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2.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drawings/drawing3.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drawings/drawing4.xml" ContentType="application/vnd.openxmlformats-officedocument.drawing+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drawings/drawing7.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drawings/drawing8.xml" ContentType="application/vnd.openxmlformats-officedocument.drawing+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drawings/drawing9.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drawings/drawing10.xml" ContentType="application/vnd.openxmlformats-officedocument.drawing+xml"/>
  <Override PartName="/xl/charts/chart21.xml" ContentType="application/vnd.openxmlformats-officedocument.drawingml.chart+xml"/>
  <Override PartName="/xl/charts/chart22.xml" ContentType="application/vnd.openxmlformats-officedocument.drawingml.chart+xml"/>
  <Override PartName="/xl/drawings/drawing11.xml" ContentType="application/vnd.openxmlformats-officedocument.drawing+xml"/>
  <Override PartName="/xl/charts/chart23.xml" ContentType="application/vnd.openxmlformats-officedocument.drawingml.chart+xml"/>
  <Override PartName="/xl/drawings/drawing12.xml" ContentType="application/vnd.openxmlformats-officedocument.drawing+xml"/>
  <Override PartName="/xl/charts/chart24.xml" ContentType="application/vnd.openxmlformats-officedocument.drawingml.chart+xml"/>
  <Override PartName="/xl/drawings/drawing13.xml" ContentType="application/vnd.openxmlformats-officedocument.drawing+xml"/>
  <Override PartName="/xl/charts/chart25.xml" ContentType="application/vnd.openxmlformats-officedocument.drawingml.chart+xml"/>
  <Override PartName="/xl/charts/chart26.xml" ContentType="application/vnd.openxmlformats-officedocument.drawingml.chart+xml"/>
  <Override PartName="/xl/drawings/drawing14.xml" ContentType="application/vnd.openxmlformats-officedocument.drawing+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drawings/drawing15.xml" ContentType="application/vnd.openxmlformats-officedocument.drawing+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drawings/drawing16.xml" ContentType="application/vnd.openxmlformats-officedocument.drawing+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drawings/drawing17.xml" ContentType="application/vnd.openxmlformats-officedocument.drawing+xml"/>
  <Override PartName="/xl/charts/chart45.xml" ContentType="application/vnd.openxmlformats-officedocument.drawingml.chart+xml"/>
  <Override PartName="/xl/charts/style4.xml" ContentType="application/vnd.ms-office.chartstyle+xml"/>
  <Override PartName="/xl/charts/colors4.xml" ContentType="application/vnd.ms-office.chartcolorstyle+xml"/>
  <Override PartName="/xl/charts/chart46.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8.xml" ContentType="application/vnd.openxmlformats-officedocument.drawing+xml"/>
  <Override PartName="/xl/charts/chart47.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codeName="ThisWorkbook" defaultThemeVersion="166925"/>
  <mc:AlternateContent xmlns:mc="http://schemas.openxmlformats.org/markup-compatibility/2006">
    <mc:Choice Requires="x15">
      <x15ac:absPath xmlns:x15ac="http://schemas.microsoft.com/office/spreadsheetml/2010/11/ac" url="https://poweradvisoryllc-my.sharepoint.com/personal/ablair_poweradvisoryllc_com/Documents/Documents/ORPC/COS/"/>
    </mc:Choice>
  </mc:AlternateContent>
  <xr:revisionPtr revIDLastSave="366" documentId="8_{8398D4F1-20F3-44B0-A849-E0044F35CD4A}" xr6:coauthVersionLast="47" xr6:coauthVersionMax="47" xr10:uidLastSave="{6AE7D9B5-2AAB-4073-B470-19EF0B2EE929}"/>
  <bookViews>
    <workbookView xWindow="-28920" yWindow="-120" windowWidth="29040" windowHeight="15720" tabRatio="879" firstSheet="28" activeTab="28" xr2:uid="{00000000-000D-0000-FFFF-FFFF00000000}"/>
  </bookViews>
  <sheets>
    <sheet name="Summary" sheetId="153" r:id="rId1"/>
    <sheet name="Monthly Data" sheetId="67" r:id="rId2"/>
    <sheet name="Monthly Data (2020-)" sheetId="149" r:id="rId3"/>
    <sheet name="Economic" sheetId="65" r:id="rId4"/>
    <sheet name="Weather" sheetId="4" r:id="rId5"/>
    <sheet name="CDM" sheetId="148" r:id="rId6"/>
    <sheet name="Res Predicted Monthly" sheetId="28" r:id="rId7"/>
    <sheet name="GS&lt;50 Predicted Monthly" sheetId="30" r:id="rId8"/>
    <sheet name="GS&gt;50 Predicted Monthly" sheetId="32" state="hidden" r:id="rId9"/>
    <sheet name="GS&gt;50 Predicted Monthly (no LC)" sheetId="154" r:id="rId10"/>
    <sheet name="LC Predicted Monthly" sheetId="155" state="hidden" r:id="rId11"/>
    <sheet name="EV Data" sheetId="150" r:id="rId12"/>
    <sheet name="EV Forecast" sheetId="151" r:id="rId13"/>
    <sheet name="Heating" sheetId="70" r:id="rId14"/>
    <sheet name="Total Additional-Lost Loads" sheetId="71" r:id="rId15"/>
    <sheet name="Model Summary" sheetId="15" r:id="rId16"/>
    <sheet name="Res Normalized Monthly" sheetId="38" r:id="rId17"/>
    <sheet name="GS&lt;50 Normalized Monthly" sheetId="34" r:id="rId18"/>
    <sheet name="GS&gt;50 (no LC) Norm Monthly" sheetId="36" r:id="rId19"/>
    <sheet name="Res Normalized Monthly WN" sheetId="75" r:id="rId20"/>
    <sheet name="GS&lt;50 Normalized Monthly WN" sheetId="76" r:id="rId21"/>
    <sheet name="GS&gt;50 (no LC) Norm Monthly WN" sheetId="77" r:id="rId22"/>
    <sheet name="Normalized Annual Summary" sheetId="17" r:id="rId23"/>
    <sheet name="Customer Count" sheetId="23" r:id="rId24"/>
    <sheet name="kW Forecast" sheetId="24" r:id="rId25"/>
    <sheet name="kW Forecast (Weather Normal)" sheetId="57" r:id="rId26"/>
    <sheet name="CDM Framework" sheetId="72" r:id="rId27"/>
    <sheet name="CDM Adjustment" sheetId="73" r:id="rId28"/>
    <sheet name="Summary Tables" sheetId="25" r:id="rId29"/>
    <sheet name="Summary Tables (Weather Normal)" sheetId="152" r:id="rId30"/>
  </sheets>
  <definedNames>
    <definedName name="_Fill" hidden="1">#REF!</definedName>
    <definedName name="_Order1" hidden="1">255</definedName>
    <definedName name="_Order2" hidden="1">0</definedName>
    <definedName name="_Sort" hidden="1">#REF!</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 i="25" l="1"/>
  <c r="O83" i="151"/>
  <c r="AH17" i="4"/>
  <c r="DN35" i="4" l="1"/>
  <c r="DM35" i="4" s="1"/>
  <c r="DL35" i="4"/>
  <c r="DK35" i="4"/>
  <c r="DJ35" i="4"/>
  <c r="DI35" i="4"/>
  <c r="DH35" i="4"/>
  <c r="DG35" i="4"/>
  <c r="DE35" i="4"/>
  <c r="DN34" i="4"/>
  <c r="DM34" i="4" s="1"/>
  <c r="DL34" i="4"/>
  <c r="DK34" i="4"/>
  <c r="DJ34" i="4"/>
  <c r="DI34" i="4"/>
  <c r="DH34" i="4"/>
  <c r="DG34" i="4"/>
  <c r="DF34" i="4"/>
  <c r="DE34" i="4"/>
  <c r="DD34" i="4"/>
  <c r="DC34" i="4"/>
  <c r="DB34" i="4"/>
  <c r="DN18" i="4"/>
  <c r="DM18" i="4"/>
  <c r="DL18" i="4"/>
  <c r="DK18" i="4"/>
  <c r="DJ18" i="4"/>
  <c r="DK47" i="4" s="1"/>
  <c r="DI18" i="4"/>
  <c r="DH18" i="4"/>
  <c r="DK45" i="4" s="1"/>
  <c r="DG18" i="4"/>
  <c r="DK44" i="4" s="1"/>
  <c r="DF18" i="4"/>
  <c r="DE18" i="4"/>
  <c r="DD18" i="4"/>
  <c r="DC18" i="4"/>
  <c r="DB18" i="4"/>
  <c r="DN17" i="4"/>
  <c r="DK17" i="4" s="1"/>
  <c r="DJ48" i="4" s="1"/>
  <c r="DM17" i="4"/>
  <c r="DJ50" i="4" s="1"/>
  <c r="DL17" i="4"/>
  <c r="DJ17" i="4"/>
  <c r="DJ47" i="4" s="1"/>
  <c r="DI17" i="4"/>
  <c r="DJ46" i="4" s="1"/>
  <c r="DH17" i="4"/>
  <c r="DJ45" i="4" s="1"/>
  <c r="DG17" i="4"/>
  <c r="DJ44" i="4" s="1"/>
  <c r="DE17" i="4"/>
  <c r="DD17" i="4"/>
  <c r="CZ35" i="4"/>
  <c r="CY35" i="4"/>
  <c r="CX35" i="4"/>
  <c r="CW35" i="4"/>
  <c r="CV35" i="4"/>
  <c r="CU35" i="4"/>
  <c r="CT35" i="4"/>
  <c r="CS35" i="4"/>
  <c r="CR35" i="4"/>
  <c r="CQ35" i="4"/>
  <c r="CP35" i="4"/>
  <c r="CO35" i="4"/>
  <c r="CN35" i="4"/>
  <c r="CZ34" i="4"/>
  <c r="CW34" i="4" s="1"/>
  <c r="CY34" i="4"/>
  <c r="CX34" i="4"/>
  <c r="CV34" i="4"/>
  <c r="CU34" i="4"/>
  <c r="CT34" i="4"/>
  <c r="CR34" i="4"/>
  <c r="CQ34" i="4"/>
  <c r="CP34" i="4"/>
  <c r="CZ18" i="4"/>
  <c r="CY18" i="4"/>
  <c r="CX18" i="4"/>
  <c r="CW18" i="4"/>
  <c r="CV18" i="4"/>
  <c r="CW47" i="4" s="1"/>
  <c r="CU18" i="4"/>
  <c r="CW46" i="4" s="1"/>
  <c r="CT18" i="4"/>
  <c r="CW45" i="4" s="1"/>
  <c r="CS18" i="4"/>
  <c r="CW44" i="4" s="1"/>
  <c r="CR18" i="4"/>
  <c r="CW43" i="4" s="1"/>
  <c r="CQ18" i="4"/>
  <c r="CP18" i="4"/>
  <c r="CO18" i="4"/>
  <c r="CN18" i="4"/>
  <c r="CZ17" i="4"/>
  <c r="CW17" i="4" s="1"/>
  <c r="CV48" i="4" s="1"/>
  <c r="CY17" i="4"/>
  <c r="CX17" i="4"/>
  <c r="CV17" i="4"/>
  <c r="CU17" i="4"/>
  <c r="CV46" i="4" s="1"/>
  <c r="CT17" i="4"/>
  <c r="CV45" i="4" s="1"/>
  <c r="CS17" i="4"/>
  <c r="CV44" i="4" s="1"/>
  <c r="CR17" i="4"/>
  <c r="CV43" i="4" s="1"/>
  <c r="CQ17" i="4"/>
  <c r="CV42" i="4" s="1"/>
  <c r="CP17" i="4"/>
  <c r="CO17" i="4"/>
  <c r="CL35" i="4"/>
  <c r="CH35" i="4" s="1"/>
  <c r="CK35" i="4"/>
  <c r="CJ35" i="4"/>
  <c r="CI35" i="4"/>
  <c r="CF35" i="4"/>
  <c r="CC35" i="4"/>
  <c r="CL34" i="4"/>
  <c r="CE34" i="4" s="1"/>
  <c r="CJ34" i="4"/>
  <c r="CI34" i="4"/>
  <c r="CH34" i="4"/>
  <c r="CG34" i="4"/>
  <c r="CF34" i="4"/>
  <c r="CC34" i="4"/>
  <c r="CB34" i="4"/>
  <c r="BZ34" i="4"/>
  <c r="CL18" i="4"/>
  <c r="CI18" i="4" s="1"/>
  <c r="CI48" i="4" s="1"/>
  <c r="CK18" i="4"/>
  <c r="CJ18" i="4"/>
  <c r="CI49" i="4" s="1"/>
  <c r="CG18" i="4"/>
  <c r="CF18" i="4"/>
  <c r="CI45" i="4" s="1"/>
  <c r="CE18" i="4"/>
  <c r="CI44" i="4" s="1"/>
  <c r="CD18" i="4"/>
  <c r="CI43" i="4" s="1"/>
  <c r="CC18" i="4"/>
  <c r="CB18" i="4"/>
  <c r="CA18" i="4"/>
  <c r="BZ18" i="4"/>
  <c r="CL17" i="4"/>
  <c r="CI17" i="4" s="1"/>
  <c r="CH48" i="4" s="1"/>
  <c r="CJ17" i="4"/>
  <c r="CG17" i="4"/>
  <c r="CC17" i="4"/>
  <c r="CH42" i="4" s="1"/>
  <c r="CB17" i="4"/>
  <c r="CA17" i="4"/>
  <c r="CH40" i="4" s="1"/>
  <c r="BX35" i="4"/>
  <c r="BW35" i="4"/>
  <c r="BV35" i="4"/>
  <c r="BU35" i="4"/>
  <c r="BT35" i="4"/>
  <c r="BS35" i="4"/>
  <c r="BR35" i="4"/>
  <c r="BQ35" i="4"/>
  <c r="BP35" i="4"/>
  <c r="BO35" i="4"/>
  <c r="BN35" i="4"/>
  <c r="BM35" i="4"/>
  <c r="BL35" i="4"/>
  <c r="BX34" i="4"/>
  <c r="BU34" i="4" s="1"/>
  <c r="BW34" i="4"/>
  <c r="BV34" i="4"/>
  <c r="BT34" i="4"/>
  <c r="BS34" i="4"/>
  <c r="BR34" i="4"/>
  <c r="BQ34" i="4"/>
  <c r="BP34" i="4"/>
  <c r="BO34" i="4"/>
  <c r="BN34" i="4"/>
  <c r="BM34" i="4"/>
  <c r="BL34" i="4"/>
  <c r="BX18" i="4"/>
  <c r="BW18" i="4"/>
  <c r="BV18" i="4"/>
  <c r="BU18" i="4"/>
  <c r="BT18" i="4"/>
  <c r="BS18" i="4"/>
  <c r="BR18" i="4"/>
  <c r="BU45" i="4" s="1"/>
  <c r="BQ18" i="4"/>
  <c r="BU44" i="4" s="1"/>
  <c r="BP18" i="4"/>
  <c r="BO18" i="4"/>
  <c r="BN18" i="4"/>
  <c r="BM18" i="4"/>
  <c r="BL18" i="4"/>
  <c r="BX17" i="4"/>
  <c r="BU17" i="4" s="1"/>
  <c r="BT48" i="4" s="1"/>
  <c r="BR17" i="4"/>
  <c r="BT45" i="4" s="1"/>
  <c r="BQ17" i="4"/>
  <c r="BT44" i="4" s="1"/>
  <c r="BP17" i="4"/>
  <c r="BT43" i="4" s="1"/>
  <c r="BO17" i="4"/>
  <c r="BT42" i="4" s="1"/>
  <c r="BN17" i="4"/>
  <c r="BT41" i="4" s="1"/>
  <c r="BJ35" i="4"/>
  <c r="BI35" i="4"/>
  <c r="BH35" i="4"/>
  <c r="BG35" i="4"/>
  <c r="BF35" i="4"/>
  <c r="BE35" i="4"/>
  <c r="BD35" i="4"/>
  <c r="BC35" i="4"/>
  <c r="BB35" i="4"/>
  <c r="BA35" i="4"/>
  <c r="AZ35" i="4"/>
  <c r="AY35" i="4"/>
  <c r="AX35" i="4"/>
  <c r="BJ34" i="4"/>
  <c r="BG34" i="4" s="1"/>
  <c r="BH34" i="4"/>
  <c r="BE34" i="4"/>
  <c r="BD34" i="4"/>
  <c r="BC34" i="4"/>
  <c r="BB34" i="4"/>
  <c r="BA34" i="4"/>
  <c r="AZ34" i="4"/>
  <c r="AY34" i="4"/>
  <c r="BJ18" i="4"/>
  <c r="AZ18" i="4" s="1"/>
  <c r="BG41" i="4" s="1"/>
  <c r="BI18" i="4"/>
  <c r="BH18" i="4"/>
  <c r="BG49" i="4" s="1"/>
  <c r="BG18" i="4"/>
  <c r="BG48" i="4" s="1"/>
  <c r="BF18" i="4"/>
  <c r="BE18" i="4"/>
  <c r="BD18" i="4"/>
  <c r="BC18" i="4"/>
  <c r="BG44" i="4" s="1"/>
  <c r="BB18" i="4"/>
  <c r="BG43" i="4" s="1"/>
  <c r="BA18" i="4"/>
  <c r="BJ17" i="4"/>
  <c r="BI17" i="4"/>
  <c r="BH17" i="4"/>
  <c r="BG17" i="4"/>
  <c r="BF17" i="4"/>
  <c r="BE17" i="4"/>
  <c r="BD17" i="4"/>
  <c r="BF45" i="4" s="1"/>
  <c r="BC17" i="4"/>
  <c r="BF44" i="4" s="1"/>
  <c r="BB17" i="4"/>
  <c r="BF43" i="4" s="1"/>
  <c r="BA17" i="4"/>
  <c r="BF42" i="4" s="1"/>
  <c r="AZ17" i="4"/>
  <c r="BF41" i="4" s="1"/>
  <c r="AY17" i="4"/>
  <c r="BF40" i="4" s="1"/>
  <c r="AX17" i="4"/>
  <c r="AV18" i="4"/>
  <c r="AU18" i="4"/>
  <c r="AT18" i="4"/>
  <c r="AS18" i="4"/>
  <c r="AS48" i="4" s="1"/>
  <c r="AL11" i="38" s="1"/>
  <c r="AL23" i="38" s="1"/>
  <c r="AL35" i="38" s="1"/>
  <c r="AL47" i="38" s="1"/>
  <c r="AL59" i="38" s="1"/>
  <c r="AL71" i="38" s="1"/>
  <c r="AL83" i="38" s="1"/>
  <c r="AL95" i="38" s="1"/>
  <c r="AL107" i="38" s="1"/>
  <c r="AL119" i="38" s="1"/>
  <c r="AL131" i="38" s="1"/>
  <c r="AL143" i="38" s="1"/>
  <c r="AQ143" i="38" s="1"/>
  <c r="AR18" i="4"/>
  <c r="AS47" i="4" s="1"/>
  <c r="AL10" i="38" s="1"/>
  <c r="AL22" i="38" s="1"/>
  <c r="AL34" i="38" s="1"/>
  <c r="AL46" i="38" s="1"/>
  <c r="AL58" i="38" s="1"/>
  <c r="AL70" i="38" s="1"/>
  <c r="AL82" i="38" s="1"/>
  <c r="AL94" i="38" s="1"/>
  <c r="AL106" i="38" s="1"/>
  <c r="AL118" i="38" s="1"/>
  <c r="AL130" i="38" s="1"/>
  <c r="AL142" i="38" s="1"/>
  <c r="AQ142" i="38" s="1"/>
  <c r="AQ18" i="4"/>
  <c r="AS46" i="4" s="1"/>
  <c r="AL9" i="38" s="1"/>
  <c r="AL21" i="38" s="1"/>
  <c r="AL33" i="38" s="1"/>
  <c r="AL45" i="38" s="1"/>
  <c r="AL57" i="38" s="1"/>
  <c r="AL69" i="38" s="1"/>
  <c r="AL81" i="38" s="1"/>
  <c r="AL93" i="38" s="1"/>
  <c r="AL105" i="38" s="1"/>
  <c r="AL117" i="38" s="1"/>
  <c r="AL129" i="38" s="1"/>
  <c r="AL141" i="38" s="1"/>
  <c r="AQ141" i="38" s="1"/>
  <c r="AP18" i="4"/>
  <c r="AS45" i="4" s="1"/>
  <c r="AL8" i="38" s="1"/>
  <c r="AL20" i="38" s="1"/>
  <c r="AL32" i="38" s="1"/>
  <c r="AL44" i="38" s="1"/>
  <c r="AL56" i="38" s="1"/>
  <c r="AL68" i="38" s="1"/>
  <c r="AL80" i="38" s="1"/>
  <c r="AL92" i="38" s="1"/>
  <c r="AL104" i="38" s="1"/>
  <c r="AL116" i="38" s="1"/>
  <c r="AL128" i="38" s="1"/>
  <c r="AL140" i="38" s="1"/>
  <c r="AQ140" i="38" s="1"/>
  <c r="AO18" i="4"/>
  <c r="AS44" i="4" s="1"/>
  <c r="AL7" i="38" s="1"/>
  <c r="AL19" i="38" s="1"/>
  <c r="AL31" i="38" s="1"/>
  <c r="AL43" i="38" s="1"/>
  <c r="AL55" i="38" s="1"/>
  <c r="AL67" i="38" s="1"/>
  <c r="AL79" i="38" s="1"/>
  <c r="AL91" i="38" s="1"/>
  <c r="AL103" i="38" s="1"/>
  <c r="AL115" i="38" s="1"/>
  <c r="AL127" i="38" s="1"/>
  <c r="AL139" i="38" s="1"/>
  <c r="AQ139" i="38" s="1"/>
  <c r="AN18" i="4"/>
  <c r="AS43" i="4" s="1"/>
  <c r="AL6" i="38" s="1"/>
  <c r="AL18" i="38" s="1"/>
  <c r="AL30" i="38" s="1"/>
  <c r="AL42" i="38" s="1"/>
  <c r="AL54" i="38" s="1"/>
  <c r="AL66" i="38" s="1"/>
  <c r="AL78" i="38" s="1"/>
  <c r="AL90" i="38" s="1"/>
  <c r="AL102" i="38" s="1"/>
  <c r="AL114" i="38" s="1"/>
  <c r="AL126" i="38" s="1"/>
  <c r="AL138" i="38" s="1"/>
  <c r="AQ138" i="38" s="1"/>
  <c r="AM18" i="4"/>
  <c r="AL18" i="4"/>
  <c r="AS41" i="4" s="1"/>
  <c r="AL4" i="38" s="1"/>
  <c r="AL16" i="38" s="1"/>
  <c r="AL28" i="38" s="1"/>
  <c r="AL40" i="38" s="1"/>
  <c r="AL52" i="38" s="1"/>
  <c r="AL64" i="38" s="1"/>
  <c r="AL76" i="38" s="1"/>
  <c r="AL88" i="38" s="1"/>
  <c r="AL100" i="38" s="1"/>
  <c r="AL112" i="38" s="1"/>
  <c r="AL124" i="38" s="1"/>
  <c r="AL136" i="38" s="1"/>
  <c r="AQ136" i="38" s="1"/>
  <c r="AK18" i="4"/>
  <c r="AJ18" i="4"/>
  <c r="AV17" i="4"/>
  <c r="AS17" i="4" s="1"/>
  <c r="AR48" i="4" s="1"/>
  <c r="AK11" i="38" s="1"/>
  <c r="AK23" i="38" s="1"/>
  <c r="AK35" i="38" s="1"/>
  <c r="AK47" i="38" s="1"/>
  <c r="AK59" i="38" s="1"/>
  <c r="AK71" i="38" s="1"/>
  <c r="AK83" i="38" s="1"/>
  <c r="AK95" i="38" s="1"/>
  <c r="AK107" i="38" s="1"/>
  <c r="AK119" i="38" s="1"/>
  <c r="AK131" i="38" s="1"/>
  <c r="AK143" i="38" s="1"/>
  <c r="AP143" i="38" s="1"/>
  <c r="AU17" i="4"/>
  <c r="AT17" i="4"/>
  <c r="AR17" i="4"/>
  <c r="AQ17" i="4"/>
  <c r="AR46" i="4" s="1"/>
  <c r="AK9" i="38" s="1"/>
  <c r="AK21" i="38" s="1"/>
  <c r="AK33" i="38" s="1"/>
  <c r="AK45" i="38" s="1"/>
  <c r="AK57" i="38" s="1"/>
  <c r="AK69" i="38" s="1"/>
  <c r="AK81" i="38" s="1"/>
  <c r="AK93" i="38" s="1"/>
  <c r="AK105" i="38" s="1"/>
  <c r="AK117" i="38" s="1"/>
  <c r="AK129" i="38" s="1"/>
  <c r="AK141" i="38" s="1"/>
  <c r="AP141" i="38" s="1"/>
  <c r="AP17" i="4"/>
  <c r="AO17" i="4"/>
  <c r="AR44" i="4" s="1"/>
  <c r="AN17" i="4"/>
  <c r="AR43" i="4" s="1"/>
  <c r="AK6" i="38" s="1"/>
  <c r="AK18" i="38" s="1"/>
  <c r="AK30" i="38" s="1"/>
  <c r="AK42" i="38" s="1"/>
  <c r="AK54" i="38" s="1"/>
  <c r="AK66" i="38" s="1"/>
  <c r="AK78" i="38" s="1"/>
  <c r="AK90" i="38" s="1"/>
  <c r="AK102" i="38" s="1"/>
  <c r="AK114" i="38" s="1"/>
  <c r="AK126" i="38" s="1"/>
  <c r="AK138" i="38" s="1"/>
  <c r="AP138" i="38" s="1"/>
  <c r="AM17" i="4"/>
  <c r="AR42" i="4" s="1"/>
  <c r="AL17" i="4"/>
  <c r="AR41" i="4" s="1"/>
  <c r="AK17" i="4"/>
  <c r="AR40" i="4" s="1"/>
  <c r="AV35" i="4"/>
  <c r="AU35" i="4"/>
  <c r="AT35" i="4"/>
  <c r="AS35" i="4"/>
  <c r="AR35" i="4"/>
  <c r="AQ35" i="4"/>
  <c r="AP35" i="4"/>
  <c r="AO35" i="4"/>
  <c r="AN35" i="4"/>
  <c r="AM35" i="4"/>
  <c r="AL35" i="4"/>
  <c r="AK35" i="4"/>
  <c r="AJ35" i="4"/>
  <c r="AV34" i="4"/>
  <c r="AS34" i="4" s="1"/>
  <c r="AU34" i="4"/>
  <c r="AT34" i="4"/>
  <c r="AO34" i="4"/>
  <c r="AN34" i="4"/>
  <c r="AM34" i="4"/>
  <c r="AJ34" i="4"/>
  <c r="AH35" i="4"/>
  <c r="Y35" i="4" s="1"/>
  <c r="AG35" i="4"/>
  <c r="AF35" i="4"/>
  <c r="AE35" i="4"/>
  <c r="AD35" i="4"/>
  <c r="AC35" i="4"/>
  <c r="AG46" i="4" s="1"/>
  <c r="AB35" i="4"/>
  <c r="AA35" i="4"/>
  <c r="Z35" i="4"/>
  <c r="AG43" i="4" s="1"/>
  <c r="V35" i="4"/>
  <c r="AH34" i="4"/>
  <c r="V34" i="4" s="1"/>
  <c r="AG34" i="4"/>
  <c r="AF34" i="4"/>
  <c r="AE34" i="4"/>
  <c r="AD34" i="4"/>
  <c r="AC34" i="4"/>
  <c r="AB34" i="4"/>
  <c r="AA34" i="4"/>
  <c r="Z34" i="4"/>
  <c r="Y34" i="4"/>
  <c r="X34" i="4"/>
  <c r="W34" i="4"/>
  <c r="AF40" i="4" s="1"/>
  <c r="AG18" i="4"/>
  <c r="AG17" i="4"/>
  <c r="AD50" i="4" s="1"/>
  <c r="AJ13" i="34" s="1"/>
  <c r="AJ25" i="34" s="1"/>
  <c r="AJ37" i="34" s="1"/>
  <c r="AJ49" i="34" s="1"/>
  <c r="AJ61" i="34" s="1"/>
  <c r="AJ73" i="34" s="1"/>
  <c r="AJ85" i="34" s="1"/>
  <c r="AJ97" i="34" s="1"/>
  <c r="AJ109" i="34" s="1"/>
  <c r="AJ121" i="34" s="1"/>
  <c r="AJ133" i="34" s="1"/>
  <c r="AJ145" i="34" s="1"/>
  <c r="AO145" i="34" s="1"/>
  <c r="AF18" i="4"/>
  <c r="AF17" i="4"/>
  <c r="AD49" i="4" s="1"/>
  <c r="AJ12" i="34" s="1"/>
  <c r="AJ24" i="34" s="1"/>
  <c r="AO24" i="34" s="1"/>
  <c r="AE18" i="4"/>
  <c r="AE17" i="4"/>
  <c r="AD48" i="4" s="1"/>
  <c r="AJ11" i="34" s="1"/>
  <c r="AJ23" i="34" s="1"/>
  <c r="AJ35" i="34" s="1"/>
  <c r="AJ47" i="34" s="1"/>
  <c r="AJ59" i="34" s="1"/>
  <c r="AJ71" i="34" s="1"/>
  <c r="AJ83" i="34" s="1"/>
  <c r="AJ95" i="34" s="1"/>
  <c r="AJ107" i="34" s="1"/>
  <c r="AJ119" i="34" s="1"/>
  <c r="AJ131" i="34" s="1"/>
  <c r="AJ143" i="34" s="1"/>
  <c r="AO143" i="34" s="1"/>
  <c r="AD18" i="4"/>
  <c r="AD17" i="4"/>
  <c r="AC18" i="4"/>
  <c r="AC17" i="4"/>
  <c r="AB18" i="4"/>
  <c r="AE45" i="4" s="1"/>
  <c r="AK8" i="34" s="1"/>
  <c r="AK20" i="34" s="1"/>
  <c r="AK32" i="34" s="1"/>
  <c r="AK44" i="34" s="1"/>
  <c r="AK56" i="34" s="1"/>
  <c r="AK68" i="34" s="1"/>
  <c r="AK80" i="34" s="1"/>
  <c r="AK92" i="34" s="1"/>
  <c r="AK104" i="34" s="1"/>
  <c r="AK116" i="34" s="1"/>
  <c r="AK128" i="34" s="1"/>
  <c r="AK140" i="34" s="1"/>
  <c r="AP140" i="34" s="1"/>
  <c r="AB17" i="4"/>
  <c r="AD45" i="4" s="1"/>
  <c r="AJ8" i="34" s="1"/>
  <c r="AJ20" i="34" s="1"/>
  <c r="AJ32" i="34" s="1"/>
  <c r="AJ44" i="34" s="1"/>
  <c r="AJ56" i="34" s="1"/>
  <c r="AJ68" i="34" s="1"/>
  <c r="AJ80" i="34" s="1"/>
  <c r="AJ92" i="34" s="1"/>
  <c r="AJ104" i="34" s="1"/>
  <c r="AJ116" i="34" s="1"/>
  <c r="AJ128" i="34" s="1"/>
  <c r="AJ140" i="34" s="1"/>
  <c r="AO140" i="34" s="1"/>
  <c r="AA18" i="4"/>
  <c r="AA17" i="4"/>
  <c r="AD44" i="4" s="1"/>
  <c r="AJ7" i="34" s="1"/>
  <c r="AJ19" i="34" s="1"/>
  <c r="AJ31" i="34" s="1"/>
  <c r="AJ43" i="34" s="1"/>
  <c r="AJ55" i="34" s="1"/>
  <c r="AJ67" i="34" s="1"/>
  <c r="AJ79" i="34" s="1"/>
  <c r="AJ91" i="34" s="1"/>
  <c r="AJ103" i="34" s="1"/>
  <c r="AJ115" i="34" s="1"/>
  <c r="AJ127" i="34" s="1"/>
  <c r="AJ139" i="34" s="1"/>
  <c r="AO139" i="34" s="1"/>
  <c r="Z18" i="4"/>
  <c r="Z17" i="4"/>
  <c r="AD43" i="4" s="1"/>
  <c r="AJ6" i="34" s="1"/>
  <c r="AJ18" i="34" s="1"/>
  <c r="AJ30" i="34" s="1"/>
  <c r="AJ42" i="34" s="1"/>
  <c r="AJ54" i="34" s="1"/>
  <c r="AJ66" i="34" s="1"/>
  <c r="AJ78" i="34" s="1"/>
  <c r="AJ90" i="34" s="1"/>
  <c r="AJ102" i="34" s="1"/>
  <c r="AJ114" i="34" s="1"/>
  <c r="AJ126" i="34" s="1"/>
  <c r="AJ138" i="34" s="1"/>
  <c r="AO138" i="34" s="1"/>
  <c r="Y18" i="4"/>
  <c r="Y17" i="4"/>
  <c r="AD42" i="4" s="1"/>
  <c r="AJ5" i="34" s="1"/>
  <c r="AJ17" i="34" s="1"/>
  <c r="AJ29" i="34" s="1"/>
  <c r="AJ41" i="34" s="1"/>
  <c r="AJ53" i="34" s="1"/>
  <c r="AJ65" i="34" s="1"/>
  <c r="AJ77" i="34" s="1"/>
  <c r="AJ89" i="34" s="1"/>
  <c r="AJ101" i="34" s="1"/>
  <c r="AJ113" i="34" s="1"/>
  <c r="AJ125" i="34" s="1"/>
  <c r="AJ137" i="34" s="1"/>
  <c r="AO137" i="34" s="1"/>
  <c r="X18" i="4"/>
  <c r="AE41" i="4" s="1"/>
  <c r="AK4" i="34" s="1"/>
  <c r="AK16" i="34" s="1"/>
  <c r="AK28" i="34" s="1"/>
  <c r="AK40" i="34" s="1"/>
  <c r="AK52" i="34" s="1"/>
  <c r="AK64" i="34" s="1"/>
  <c r="AK76" i="34" s="1"/>
  <c r="AK88" i="34" s="1"/>
  <c r="AK100" i="34" s="1"/>
  <c r="AK112" i="34" s="1"/>
  <c r="AK124" i="34" s="1"/>
  <c r="AK136" i="34" s="1"/>
  <c r="AP136" i="34" s="1"/>
  <c r="X17" i="4"/>
  <c r="AD41" i="4" s="1"/>
  <c r="AJ4" i="34" s="1"/>
  <c r="AJ16" i="34" s="1"/>
  <c r="AO16" i="34" s="1"/>
  <c r="W18" i="4"/>
  <c r="W17" i="4"/>
  <c r="AD40" i="4" s="1"/>
  <c r="AJ3" i="34" s="1"/>
  <c r="AJ15" i="34" s="1"/>
  <c r="AJ27" i="34" s="1"/>
  <c r="AJ39" i="34" s="1"/>
  <c r="AJ51" i="34" s="1"/>
  <c r="AJ63" i="34" s="1"/>
  <c r="AJ75" i="34" s="1"/>
  <c r="AJ87" i="34" s="1"/>
  <c r="AJ99" i="34" s="1"/>
  <c r="AJ111" i="34" s="1"/>
  <c r="AJ123" i="34" s="1"/>
  <c r="AJ135" i="34" s="1"/>
  <c r="AO135" i="34" s="1"/>
  <c r="V18" i="4"/>
  <c r="V17" i="4"/>
  <c r="AD39" i="4" s="1"/>
  <c r="AJ2" i="34" s="1"/>
  <c r="AJ14" i="34" s="1"/>
  <c r="AJ26" i="34" s="1"/>
  <c r="AJ38" i="34" s="1"/>
  <c r="AJ50" i="34" s="1"/>
  <c r="AJ62" i="34" s="1"/>
  <c r="AJ74" i="34" s="1"/>
  <c r="AJ86" i="34" s="1"/>
  <c r="AJ98" i="34" s="1"/>
  <c r="AJ110" i="34" s="1"/>
  <c r="AJ122" i="34" s="1"/>
  <c r="AJ134" i="34" s="1"/>
  <c r="AO134" i="34" s="1"/>
  <c r="AG39" i="4"/>
  <c r="AS49" i="4"/>
  <c r="AL12" i="38" s="1"/>
  <c r="AL24" i="38" s="1"/>
  <c r="AL36" i="38" s="1"/>
  <c r="AL48" i="38" s="1"/>
  <c r="AL60" i="38" s="1"/>
  <c r="AL72" i="38" s="1"/>
  <c r="AL84" i="38" s="1"/>
  <c r="AL96" i="38" s="1"/>
  <c r="AL108" i="38" s="1"/>
  <c r="AL120" i="38" s="1"/>
  <c r="AL132" i="38" s="1"/>
  <c r="AL144" i="38" s="1"/>
  <c r="AQ144" i="38" s="1"/>
  <c r="AS42" i="4"/>
  <c r="AL5" i="38" s="1"/>
  <c r="AL17" i="38" s="1"/>
  <c r="AL29" i="38" s="1"/>
  <c r="AL41" i="38" s="1"/>
  <c r="AL53" i="38" s="1"/>
  <c r="AL65" i="38" s="1"/>
  <c r="AL77" i="38" s="1"/>
  <c r="AL89" i="38" s="1"/>
  <c r="AL101" i="38" s="1"/>
  <c r="AL113" i="38" s="1"/>
  <c r="AL125" i="38" s="1"/>
  <c r="AL137" i="38" s="1"/>
  <c r="AQ137" i="38" s="1"/>
  <c r="AR47" i="4"/>
  <c r="AK10" i="38" s="1"/>
  <c r="AK22" i="38" s="1"/>
  <c r="AK34" i="38" s="1"/>
  <c r="AK46" i="38" s="1"/>
  <c r="AK58" i="38" s="1"/>
  <c r="AK70" i="38" s="1"/>
  <c r="AK82" i="38" s="1"/>
  <c r="AK94" i="38" s="1"/>
  <c r="AK106" i="38" s="1"/>
  <c r="AK118" i="38" s="1"/>
  <c r="AK130" i="38" s="1"/>
  <c r="AK142" i="38" s="1"/>
  <c r="AP142" i="38" s="1"/>
  <c r="AR45" i="4"/>
  <c r="AG50" i="4"/>
  <c r="AE43" i="4"/>
  <c r="AK6" i="34" s="1"/>
  <c r="AK18" i="34" s="1"/>
  <c r="AK30" i="34" s="1"/>
  <c r="AK42" i="34" s="1"/>
  <c r="AK54" i="34" s="1"/>
  <c r="AK66" i="34" s="1"/>
  <c r="AK78" i="34" s="1"/>
  <c r="AK90" i="34" s="1"/>
  <c r="AK102" i="34" s="1"/>
  <c r="AK114" i="34" s="1"/>
  <c r="AK126" i="34" s="1"/>
  <c r="AK138" i="34" s="1"/>
  <c r="AP138" i="34" s="1"/>
  <c r="AE42" i="4"/>
  <c r="AK5" i="34" s="1"/>
  <c r="AK17" i="34" s="1"/>
  <c r="AK29" i="34" s="1"/>
  <c r="AK41" i="34" s="1"/>
  <c r="AK53" i="34" s="1"/>
  <c r="AK65" i="34" s="1"/>
  <c r="AK77" i="34" s="1"/>
  <c r="AK89" i="34" s="1"/>
  <c r="AK101" i="34" s="1"/>
  <c r="AK113" i="34" s="1"/>
  <c r="AK125" i="34" s="1"/>
  <c r="AK137" i="34" s="1"/>
  <c r="AP137" i="34" s="1"/>
  <c r="AZ1" i="36"/>
  <c r="AY1" i="36"/>
  <c r="AW1" i="36"/>
  <c r="AV1" i="36"/>
  <c r="AU1" i="36"/>
  <c r="AT1" i="36"/>
  <c r="AR1" i="34"/>
  <c r="AQ1" i="34"/>
  <c r="AP1" i="34"/>
  <c r="AO1" i="34"/>
  <c r="AS1" i="38"/>
  <c r="AR1" i="38"/>
  <c r="AQ1" i="38"/>
  <c r="AP1" i="38"/>
  <c r="DK50" i="4"/>
  <c r="DK49" i="4"/>
  <c r="DJ49" i="4"/>
  <c r="DK48" i="4"/>
  <c r="DK46" i="4"/>
  <c r="DK43" i="4"/>
  <c r="DK42" i="4"/>
  <c r="DJ42" i="4"/>
  <c r="DK41" i="4"/>
  <c r="DJ41" i="4"/>
  <c r="DK40" i="4"/>
  <c r="DK39" i="4"/>
  <c r="DM38" i="4"/>
  <c r="DL38" i="4"/>
  <c r="DK38" i="4"/>
  <c r="DJ38" i="4"/>
  <c r="CW50" i="4"/>
  <c r="CV50" i="4"/>
  <c r="CW49" i="4"/>
  <c r="CV49" i="4"/>
  <c r="CW48" i="4"/>
  <c r="CV47" i="4"/>
  <c r="CW42" i="4"/>
  <c r="CW41" i="4"/>
  <c r="CV41" i="4"/>
  <c r="CW40" i="4"/>
  <c r="CV40" i="4"/>
  <c r="CW39" i="4"/>
  <c r="CY38" i="4"/>
  <c r="CX38" i="4"/>
  <c r="CW38" i="4"/>
  <c r="CV38" i="4"/>
  <c r="CI50" i="4"/>
  <c r="CH49" i="4"/>
  <c r="CI46" i="4"/>
  <c r="CH46" i="4"/>
  <c r="CI42" i="4"/>
  <c r="CI41" i="4"/>
  <c r="CH41" i="4"/>
  <c r="CI40" i="4"/>
  <c r="CI39" i="4"/>
  <c r="CK38" i="4"/>
  <c r="CJ38" i="4"/>
  <c r="CI38" i="4"/>
  <c r="CH38" i="4"/>
  <c r="BU50" i="4"/>
  <c r="BU49" i="4"/>
  <c r="BU48" i="4"/>
  <c r="BU47" i="4"/>
  <c r="BU46" i="4"/>
  <c r="BU43" i="4"/>
  <c r="BU42" i="4"/>
  <c r="BU41" i="4"/>
  <c r="BU40" i="4"/>
  <c r="BU39" i="4"/>
  <c r="BW38" i="4"/>
  <c r="BV38" i="4"/>
  <c r="BU38" i="4"/>
  <c r="BT38" i="4"/>
  <c r="BG50" i="4"/>
  <c r="BF50" i="4"/>
  <c r="BF49" i="4"/>
  <c r="BF48" i="4"/>
  <c r="BG47" i="4"/>
  <c r="BF47" i="4"/>
  <c r="BG46" i="4"/>
  <c r="BF46" i="4"/>
  <c r="BG45" i="4"/>
  <c r="BG42" i="4"/>
  <c r="BF39" i="4"/>
  <c r="BI38" i="4"/>
  <c r="BH38" i="4"/>
  <c r="BG38" i="4"/>
  <c r="BF38" i="4"/>
  <c r="AS50" i="4"/>
  <c r="AL13" i="38" s="1"/>
  <c r="AL25" i="38" s="1"/>
  <c r="AL37" i="38" s="1"/>
  <c r="AL49" i="38" s="1"/>
  <c r="AL61" i="38" s="1"/>
  <c r="AL73" i="38" s="1"/>
  <c r="AL85" i="38" s="1"/>
  <c r="AL97" i="38" s="1"/>
  <c r="AL109" i="38" s="1"/>
  <c r="AL121" i="38" s="1"/>
  <c r="AL133" i="38" s="1"/>
  <c r="AL145" i="38" s="1"/>
  <c r="AQ145" i="38" s="1"/>
  <c r="AU38" i="4"/>
  <c r="AT38" i="4"/>
  <c r="AS38" i="4"/>
  <c r="AR38" i="4"/>
  <c r="AE39" i="4"/>
  <c r="AK2" i="34" s="1"/>
  <c r="AK14" i="34" s="1"/>
  <c r="AK26" i="34" s="1"/>
  <c r="AK38" i="34" s="1"/>
  <c r="AK50" i="34" s="1"/>
  <c r="AK62" i="34" s="1"/>
  <c r="AK74" i="34" s="1"/>
  <c r="AK86" i="34" s="1"/>
  <c r="AK98" i="34" s="1"/>
  <c r="AK110" i="34" s="1"/>
  <c r="AK122" i="34" s="1"/>
  <c r="AK134" i="34" s="1"/>
  <c r="AP134" i="34" s="1"/>
  <c r="AE40" i="4"/>
  <c r="AK3" i="34" s="1"/>
  <c r="AK15" i="34" s="1"/>
  <c r="AK27" i="34" s="1"/>
  <c r="AK39" i="34" s="1"/>
  <c r="AK51" i="34" s="1"/>
  <c r="AK63" i="34" s="1"/>
  <c r="AK75" i="34" s="1"/>
  <c r="AK87" i="34" s="1"/>
  <c r="AK99" i="34" s="1"/>
  <c r="AK111" i="34" s="1"/>
  <c r="AK123" i="34" s="1"/>
  <c r="AK135" i="34" s="1"/>
  <c r="AP135" i="34" s="1"/>
  <c r="AE44" i="4"/>
  <c r="AK7" i="34" s="1"/>
  <c r="AK19" i="34" s="1"/>
  <c r="AK31" i="34" s="1"/>
  <c r="AK43" i="34" s="1"/>
  <c r="AK55" i="34" s="1"/>
  <c r="AK67" i="34" s="1"/>
  <c r="AK79" i="34" s="1"/>
  <c r="AK91" i="34" s="1"/>
  <c r="AK103" i="34" s="1"/>
  <c r="AK115" i="34" s="1"/>
  <c r="AK127" i="34" s="1"/>
  <c r="AK139" i="34" s="1"/>
  <c r="AP139" i="34" s="1"/>
  <c r="AE46" i="4"/>
  <c r="AK9" i="34" s="1"/>
  <c r="AK21" i="34" s="1"/>
  <c r="AK33" i="34" s="1"/>
  <c r="AK45" i="34" s="1"/>
  <c r="AK57" i="34" s="1"/>
  <c r="AK69" i="34" s="1"/>
  <c r="AK81" i="34" s="1"/>
  <c r="AK93" i="34" s="1"/>
  <c r="AK105" i="34" s="1"/>
  <c r="AK117" i="34" s="1"/>
  <c r="AK129" i="34" s="1"/>
  <c r="AK141" i="34" s="1"/>
  <c r="AP141" i="34" s="1"/>
  <c r="AE47" i="4"/>
  <c r="AK10" i="34" s="1"/>
  <c r="AK22" i="34" s="1"/>
  <c r="AK34" i="34" s="1"/>
  <c r="AK46" i="34" s="1"/>
  <c r="AK58" i="34" s="1"/>
  <c r="AK70" i="34" s="1"/>
  <c r="AK82" i="34" s="1"/>
  <c r="AK94" i="34" s="1"/>
  <c r="AK106" i="34" s="1"/>
  <c r="AK118" i="34" s="1"/>
  <c r="AK130" i="34" s="1"/>
  <c r="AK142" i="34" s="1"/>
  <c r="AP142" i="34" s="1"/>
  <c r="AE48" i="4"/>
  <c r="AK11" i="34" s="1"/>
  <c r="AK23" i="34" s="1"/>
  <c r="AK35" i="34" s="1"/>
  <c r="AK47" i="34" s="1"/>
  <c r="AK59" i="34" s="1"/>
  <c r="AK71" i="34" s="1"/>
  <c r="AK83" i="34" s="1"/>
  <c r="AK95" i="34" s="1"/>
  <c r="AK107" i="34" s="1"/>
  <c r="AK119" i="34" s="1"/>
  <c r="AK131" i="34" s="1"/>
  <c r="AK143" i="34" s="1"/>
  <c r="AP143" i="34" s="1"/>
  <c r="AE49" i="4"/>
  <c r="AK12" i="34" s="1"/>
  <c r="AK24" i="34" s="1"/>
  <c r="AK36" i="34" s="1"/>
  <c r="AK48" i="34" s="1"/>
  <c r="AK60" i="34" s="1"/>
  <c r="AK72" i="34" s="1"/>
  <c r="AK84" i="34" s="1"/>
  <c r="AK96" i="34" s="1"/>
  <c r="AK108" i="34" s="1"/>
  <c r="AK120" i="34" s="1"/>
  <c r="AK132" i="34" s="1"/>
  <c r="AK144" i="34" s="1"/>
  <c r="AP144" i="34" s="1"/>
  <c r="AE50" i="4"/>
  <c r="AK13" i="34" s="1"/>
  <c r="AK25" i="34" s="1"/>
  <c r="AK37" i="34" s="1"/>
  <c r="AK49" i="34" s="1"/>
  <c r="AK61" i="34" s="1"/>
  <c r="AK73" i="34" s="1"/>
  <c r="AK85" i="34" s="1"/>
  <c r="AK97" i="34" s="1"/>
  <c r="AK109" i="34" s="1"/>
  <c r="AK121" i="34" s="1"/>
  <c r="AK133" i="34" s="1"/>
  <c r="AK145" i="34" s="1"/>
  <c r="AP145" i="34" s="1"/>
  <c r="AD46" i="4"/>
  <c r="AJ9" i="34" s="1"/>
  <c r="AJ21" i="34" s="1"/>
  <c r="AJ33" i="34" s="1"/>
  <c r="AO33" i="34" s="1"/>
  <c r="AD47" i="4"/>
  <c r="AJ10" i="34" s="1"/>
  <c r="AJ22" i="34" s="1"/>
  <c r="AO22" i="34" s="1"/>
  <c r="AG38" i="4"/>
  <c r="AF38" i="4"/>
  <c r="AE38" i="4"/>
  <c r="AD38" i="4"/>
  <c r="AA39" i="4"/>
  <c r="E2" i="34" s="1"/>
  <c r="M2" i="34" s="1"/>
  <c r="DB35" i="4" l="1"/>
  <c r="DC35" i="4"/>
  <c r="DD35" i="4"/>
  <c r="DF35" i="4"/>
  <c r="DB17" i="4"/>
  <c r="DJ39" i="4" s="1"/>
  <c r="DC17" i="4"/>
  <c r="DJ40" i="4" s="1"/>
  <c r="DF17" i="4"/>
  <c r="DJ43" i="4" s="1"/>
  <c r="CN34" i="4"/>
  <c r="CX39" i="4" s="1"/>
  <c r="AQ2" i="36" s="1"/>
  <c r="AV2" i="36" s="1"/>
  <c r="CO34" i="4"/>
  <c r="CS34" i="4"/>
  <c r="CN17" i="4"/>
  <c r="CV39" i="4" s="1"/>
  <c r="CK34" i="4"/>
  <c r="BZ35" i="4"/>
  <c r="CA35" i="4"/>
  <c r="CB35" i="4"/>
  <c r="CA34" i="4"/>
  <c r="CD35" i="4"/>
  <c r="CE35" i="4"/>
  <c r="CD34" i="4"/>
  <c r="CG35" i="4"/>
  <c r="CK17" i="4"/>
  <c r="CH50" i="4" s="1"/>
  <c r="BZ17" i="4"/>
  <c r="CH39" i="4" s="1"/>
  <c r="CE17" i="4"/>
  <c r="CH44" i="4" s="1"/>
  <c r="CH18" i="4"/>
  <c r="CI47" i="4" s="1"/>
  <c r="CD17" i="4"/>
  <c r="CH43" i="4" s="1"/>
  <c r="CF17" i="4"/>
  <c r="CH45" i="4" s="1"/>
  <c r="CH17" i="4"/>
  <c r="CH47" i="4" s="1"/>
  <c r="BV17" i="4"/>
  <c r="BT49" i="4" s="1"/>
  <c r="BW17" i="4"/>
  <c r="BT50" i="4" s="1"/>
  <c r="BL17" i="4"/>
  <c r="BT39" i="4" s="1"/>
  <c r="BM17" i="4"/>
  <c r="BT40" i="4" s="1"/>
  <c r="BS17" i="4"/>
  <c r="BT46" i="4" s="1"/>
  <c r="BT17" i="4"/>
  <c r="BT47" i="4" s="1"/>
  <c r="BI34" i="4"/>
  <c r="AX34" i="4"/>
  <c r="BF34" i="4"/>
  <c r="AX18" i="4"/>
  <c r="BG39" i="4" s="1"/>
  <c r="AY18" i="4"/>
  <c r="BG40" i="4" s="1"/>
  <c r="AJ17" i="4"/>
  <c r="AR39" i="4" s="1"/>
  <c r="AK2" i="38" s="1"/>
  <c r="AK14" i="38" s="1"/>
  <c r="AK26" i="38" s="1"/>
  <c r="AK38" i="38" s="1"/>
  <c r="AK50" i="38" s="1"/>
  <c r="AK62" i="38" s="1"/>
  <c r="AK74" i="38" s="1"/>
  <c r="AK86" i="38" s="1"/>
  <c r="AK98" i="38" s="1"/>
  <c r="AK110" i="38" s="1"/>
  <c r="AK122" i="38" s="1"/>
  <c r="AK134" i="38" s="1"/>
  <c r="AP134" i="38" s="1"/>
  <c r="AK34" i="4"/>
  <c r="AL34" i="4"/>
  <c r="AP34" i="4"/>
  <c r="AQ34" i="4"/>
  <c r="AR34" i="4"/>
  <c r="W35" i="4"/>
  <c r="X35" i="4"/>
  <c r="AF50" i="4"/>
  <c r="AF49" i="4"/>
  <c r="AF48" i="4"/>
  <c r="AF47" i="4"/>
  <c r="AG49" i="4"/>
  <c r="AF46" i="4"/>
  <c r="AG48" i="4"/>
  <c r="AF45" i="4"/>
  <c r="AG47" i="4"/>
  <c r="AF44" i="4"/>
  <c r="AF43" i="4"/>
  <c r="AG45" i="4"/>
  <c r="AF42" i="4"/>
  <c r="AG44" i="4"/>
  <c r="AF41" i="4"/>
  <c r="AR49" i="4"/>
  <c r="AK12" i="38" s="1"/>
  <c r="AK24" i="38" s="1"/>
  <c r="AK36" i="38" s="1"/>
  <c r="AK48" i="38" s="1"/>
  <c r="AK60" i="38" s="1"/>
  <c r="AK72" i="38" s="1"/>
  <c r="AK84" i="38" s="1"/>
  <c r="AK96" i="38" s="1"/>
  <c r="AK108" i="38" s="1"/>
  <c r="AK120" i="38" s="1"/>
  <c r="AK132" i="38" s="1"/>
  <c r="AK144" i="38" s="1"/>
  <c r="AP144" i="38" s="1"/>
  <c r="AR50" i="4"/>
  <c r="AK13" i="38" s="1"/>
  <c r="AK25" i="38" s="1"/>
  <c r="AK37" i="38" s="1"/>
  <c r="AK49" i="38" s="1"/>
  <c r="AK61" i="38" s="1"/>
  <c r="AK73" i="38" s="1"/>
  <c r="AK85" i="38" s="1"/>
  <c r="AK97" i="38" s="1"/>
  <c r="AK109" i="38" s="1"/>
  <c r="AK121" i="38" s="1"/>
  <c r="AK133" i="38" s="1"/>
  <c r="AK145" i="38" s="1"/>
  <c r="AP145" i="38" s="1"/>
  <c r="AS39" i="4"/>
  <c r="AL2" i="38" s="1"/>
  <c r="AL14" i="38" s="1"/>
  <c r="AL26" i="38" s="1"/>
  <c r="AL38" i="38" s="1"/>
  <c r="AL50" i="38" s="1"/>
  <c r="AL62" i="38" s="1"/>
  <c r="AL74" i="38" s="1"/>
  <c r="AL86" i="38" s="1"/>
  <c r="AL98" i="38" s="1"/>
  <c r="AL110" i="38" s="1"/>
  <c r="AL122" i="38" s="1"/>
  <c r="AL134" i="38" s="1"/>
  <c r="AQ134" i="38" s="1"/>
  <c r="AS40" i="4"/>
  <c r="AL3" i="38" s="1"/>
  <c r="AL15" i="38" s="1"/>
  <c r="AL27" i="38" s="1"/>
  <c r="AL39" i="38" s="1"/>
  <c r="AL51" i="38" s="1"/>
  <c r="AL63" i="38" s="1"/>
  <c r="AL75" i="38" s="1"/>
  <c r="AL87" i="38" s="1"/>
  <c r="AL99" i="38" s="1"/>
  <c r="AL111" i="38" s="1"/>
  <c r="AL123" i="38" s="1"/>
  <c r="AL135" i="38" s="1"/>
  <c r="AQ135" i="38" s="1"/>
  <c r="AG40" i="4"/>
  <c r="AG41" i="4"/>
  <c r="AF39" i="4"/>
  <c r="AG42" i="4"/>
  <c r="AO12" i="36"/>
  <c r="AP3" i="36"/>
  <c r="AZ3" i="36" s="1"/>
  <c r="AO7" i="36"/>
  <c r="AP11" i="36"/>
  <c r="AP6" i="36"/>
  <c r="AZ6" i="36" s="1"/>
  <c r="AO6" i="36"/>
  <c r="AP5" i="36"/>
  <c r="AZ5" i="36" s="1"/>
  <c r="AP10" i="36"/>
  <c r="AO10" i="36"/>
  <c r="AP9" i="36"/>
  <c r="AO4" i="36"/>
  <c r="AO9" i="36"/>
  <c r="AP8" i="36"/>
  <c r="AZ8" i="36" s="1"/>
  <c r="AO8" i="36"/>
  <c r="AY8" i="36" s="1"/>
  <c r="AP7" i="36"/>
  <c r="AP13" i="36"/>
  <c r="AO13" i="36"/>
  <c r="AY13" i="36" s="1"/>
  <c r="AO5" i="36"/>
  <c r="AP12" i="36"/>
  <c r="AP4" i="36"/>
  <c r="AO11" i="36"/>
  <c r="AO3" i="36"/>
  <c r="AP2" i="36"/>
  <c r="AO2" i="36"/>
  <c r="AO54" i="34"/>
  <c r="AP63" i="34"/>
  <c r="AO30" i="34"/>
  <c r="AP15" i="34"/>
  <c r="AP87" i="34"/>
  <c r="AO78" i="34"/>
  <c r="AO7" i="34"/>
  <c r="AO6" i="34"/>
  <c r="AO115" i="34"/>
  <c r="AO114" i="34"/>
  <c r="AO55" i="34"/>
  <c r="AO9" i="34"/>
  <c r="AO90" i="34"/>
  <c r="AP113" i="34"/>
  <c r="AP89" i="34"/>
  <c r="AO31" i="34"/>
  <c r="AO79" i="34"/>
  <c r="AO10" i="34"/>
  <c r="AP29" i="34"/>
  <c r="AO126" i="34"/>
  <c r="AO43" i="34"/>
  <c r="AP125" i="34"/>
  <c r="AP99" i="34"/>
  <c r="AO42" i="34"/>
  <c r="AO19" i="34"/>
  <c r="AO67" i="34"/>
  <c r="AP41" i="34"/>
  <c r="AO18" i="34"/>
  <c r="AP111" i="34"/>
  <c r="AP123" i="34"/>
  <c r="AO66" i="34"/>
  <c r="AP17" i="34"/>
  <c r="AO91" i="34"/>
  <c r="AP65" i="34"/>
  <c r="AP39" i="34"/>
  <c r="AO103" i="34"/>
  <c r="AP77" i="34"/>
  <c r="AP51" i="34"/>
  <c r="AP27" i="34"/>
  <c r="AP5" i="34"/>
  <c r="AO102" i="34"/>
  <c r="AP3" i="34"/>
  <c r="AP53" i="34"/>
  <c r="AO127" i="34"/>
  <c r="AP101" i="34"/>
  <c r="AP75" i="34"/>
  <c r="AO21" i="34"/>
  <c r="AP130" i="34"/>
  <c r="AP126" i="34"/>
  <c r="AP122" i="34"/>
  <c r="AP118" i="34"/>
  <c r="AP114" i="34"/>
  <c r="AP110" i="34"/>
  <c r="AP106" i="34"/>
  <c r="AP102" i="34"/>
  <c r="AP98" i="34"/>
  <c r="AP94" i="34"/>
  <c r="AP90" i="34"/>
  <c r="AP86" i="34"/>
  <c r="AP82" i="34"/>
  <c r="AP78" i="34"/>
  <c r="AP74" i="34"/>
  <c r="AP70" i="34"/>
  <c r="AP66" i="34"/>
  <c r="AP62" i="34"/>
  <c r="AP58" i="34"/>
  <c r="AP54" i="34"/>
  <c r="AP50" i="34"/>
  <c r="AP46" i="34"/>
  <c r="AP42" i="34"/>
  <c r="AP38" i="34"/>
  <c r="AP34" i="34"/>
  <c r="AP30" i="34"/>
  <c r="AP26" i="34"/>
  <c r="AP22" i="34"/>
  <c r="AP18" i="34"/>
  <c r="AP14" i="34"/>
  <c r="AP10" i="34"/>
  <c r="AP6" i="34"/>
  <c r="AO122" i="34"/>
  <c r="AO110" i="34"/>
  <c r="AO98" i="34"/>
  <c r="AO86" i="34"/>
  <c r="AO74" i="34"/>
  <c r="AO62" i="34"/>
  <c r="AO50" i="34"/>
  <c r="AO38" i="34"/>
  <c r="AO26" i="34"/>
  <c r="AO14" i="34"/>
  <c r="AP93" i="34"/>
  <c r="AP49" i="34"/>
  <c r="AP13" i="34"/>
  <c r="AP129" i="34"/>
  <c r="AP117" i="34"/>
  <c r="AP109" i="34"/>
  <c r="AP97" i="34"/>
  <c r="AP85" i="34"/>
  <c r="AP73" i="34"/>
  <c r="AP37" i="34"/>
  <c r="AO133" i="34"/>
  <c r="AO121" i="34"/>
  <c r="AO109" i="34"/>
  <c r="AO101" i="34"/>
  <c r="AO85" i="34"/>
  <c r="AO77" i="34"/>
  <c r="AO73" i="34"/>
  <c r="AO65" i="34"/>
  <c r="AO61" i="34"/>
  <c r="AO53" i="34"/>
  <c r="AO49" i="34"/>
  <c r="AO41" i="34"/>
  <c r="AO37" i="34"/>
  <c r="AO29" i="34"/>
  <c r="AO17" i="34"/>
  <c r="AO13" i="34"/>
  <c r="AO5" i="34"/>
  <c r="AP81" i="34"/>
  <c r="AP61" i="34"/>
  <c r="AP9" i="34"/>
  <c r="AO97" i="34"/>
  <c r="AO113" i="34"/>
  <c r="AO25" i="34"/>
  <c r="AP132" i="34"/>
  <c r="AP128" i="34"/>
  <c r="AP124" i="34"/>
  <c r="AP120" i="34"/>
  <c r="AP116" i="34"/>
  <c r="AP112" i="34"/>
  <c r="AP108" i="34"/>
  <c r="AP104" i="34"/>
  <c r="AP100" i="34"/>
  <c r="AP96" i="34"/>
  <c r="AP92" i="34"/>
  <c r="AP88" i="34"/>
  <c r="AP84" i="34"/>
  <c r="AP80" i="34"/>
  <c r="AP76" i="34"/>
  <c r="AP72" i="34"/>
  <c r="AP68" i="34"/>
  <c r="AP64" i="34"/>
  <c r="AP60" i="34"/>
  <c r="AP56" i="34"/>
  <c r="AP52" i="34"/>
  <c r="AP48" i="34"/>
  <c r="AP44" i="34"/>
  <c r="AP40" i="34"/>
  <c r="AP36" i="34"/>
  <c r="AP32" i="34"/>
  <c r="AP28" i="34"/>
  <c r="AP24" i="34"/>
  <c r="AP20" i="34"/>
  <c r="AP16" i="34"/>
  <c r="AP12" i="34"/>
  <c r="AP8" i="34"/>
  <c r="AP4" i="34"/>
  <c r="AP133" i="34"/>
  <c r="AP121" i="34"/>
  <c r="AP105" i="34"/>
  <c r="AP69" i="34"/>
  <c r="AP57" i="34"/>
  <c r="AP45" i="34"/>
  <c r="AP33" i="34"/>
  <c r="AP25" i="34"/>
  <c r="AP21" i="34"/>
  <c r="AO125" i="34"/>
  <c r="AO89" i="34"/>
  <c r="AO128" i="34"/>
  <c r="AO116" i="34"/>
  <c r="AO104" i="34"/>
  <c r="AO92" i="34"/>
  <c r="AO80" i="34"/>
  <c r="AO68" i="34"/>
  <c r="AO56" i="34"/>
  <c r="AO44" i="34"/>
  <c r="AO32" i="34"/>
  <c r="AO20" i="34"/>
  <c r="AO12" i="34"/>
  <c r="AO8" i="34"/>
  <c r="AO4" i="34"/>
  <c r="AP131" i="34"/>
  <c r="AP127" i="34"/>
  <c r="AP119" i="34"/>
  <c r="AP115" i="34"/>
  <c r="AP107" i="34"/>
  <c r="AP103" i="34"/>
  <c r="AP95" i="34"/>
  <c r="AP91" i="34"/>
  <c r="AP83" i="34"/>
  <c r="AP79" i="34"/>
  <c r="AP71" i="34"/>
  <c r="AP67" i="34"/>
  <c r="AP59" i="34"/>
  <c r="AP55" i="34"/>
  <c r="AP47" i="34"/>
  <c r="AP43" i="34"/>
  <c r="AP35" i="34"/>
  <c r="AP31" i="34"/>
  <c r="AP23" i="34"/>
  <c r="AP19" i="34"/>
  <c r="AP11" i="34"/>
  <c r="AP7" i="34"/>
  <c r="AO131" i="34"/>
  <c r="AO123" i="34"/>
  <c r="AO119" i="34"/>
  <c r="AO111" i="34"/>
  <c r="AO107" i="34"/>
  <c r="AO99" i="34"/>
  <c r="AO95" i="34"/>
  <c r="AO87" i="34"/>
  <c r="AO83" i="34"/>
  <c r="AO75" i="34"/>
  <c r="AO71" i="34"/>
  <c r="AO63" i="34"/>
  <c r="AO59" i="34"/>
  <c r="AO51" i="34"/>
  <c r="AO47" i="34"/>
  <c r="AO39" i="34"/>
  <c r="AO35" i="34"/>
  <c r="AO27" i="34"/>
  <c r="AO23" i="34"/>
  <c r="AO15" i="34"/>
  <c r="AO11" i="34"/>
  <c r="AO3" i="34"/>
  <c r="AP2" i="34"/>
  <c r="AO2" i="34"/>
  <c r="AJ36" i="34"/>
  <c r="AO36" i="34" s="1"/>
  <c r="AJ45" i="34"/>
  <c r="AJ28" i="34"/>
  <c r="AJ34" i="34"/>
  <c r="AK4" i="38"/>
  <c r="AK16" i="38" s="1"/>
  <c r="AK28" i="38" s="1"/>
  <c r="AK40" i="38" s="1"/>
  <c r="AK52" i="38" s="1"/>
  <c r="AK64" i="38" s="1"/>
  <c r="AK76" i="38" s="1"/>
  <c r="AK88" i="38" s="1"/>
  <c r="AK100" i="38" s="1"/>
  <c r="AK112" i="38" s="1"/>
  <c r="AK124" i="38" s="1"/>
  <c r="AK136" i="38" s="1"/>
  <c r="AP136" i="38" s="1"/>
  <c r="AK8" i="38"/>
  <c r="AK20" i="38" s="1"/>
  <c r="AK32" i="38" s="1"/>
  <c r="AK44" i="38" s="1"/>
  <c r="AK56" i="38" s="1"/>
  <c r="AK68" i="38" s="1"/>
  <c r="AK80" i="38" s="1"/>
  <c r="AK92" i="38" s="1"/>
  <c r="AK104" i="38" s="1"/>
  <c r="AK116" i="38" s="1"/>
  <c r="AK128" i="38" s="1"/>
  <c r="AK140" i="38" s="1"/>
  <c r="AP140" i="38" s="1"/>
  <c r="AK5" i="38"/>
  <c r="AK17" i="38" s="1"/>
  <c r="AK29" i="38" s="1"/>
  <c r="AK41" i="38" s="1"/>
  <c r="AK53" i="38" s="1"/>
  <c r="AK65" i="38" s="1"/>
  <c r="AK77" i="38" s="1"/>
  <c r="AK89" i="38" s="1"/>
  <c r="AK101" i="38" s="1"/>
  <c r="AK113" i="38" s="1"/>
  <c r="AK125" i="38" s="1"/>
  <c r="AK137" i="38" s="1"/>
  <c r="AP137" i="38" s="1"/>
  <c r="AK3" i="38"/>
  <c r="AK15" i="38" s="1"/>
  <c r="AK27" i="38" s="1"/>
  <c r="AK39" i="38" s="1"/>
  <c r="AK51" i="38" s="1"/>
  <c r="AK63" i="38" s="1"/>
  <c r="AK75" i="38" s="1"/>
  <c r="AK87" i="38" s="1"/>
  <c r="AK99" i="38" s="1"/>
  <c r="AK111" i="38" s="1"/>
  <c r="AK123" i="38" s="1"/>
  <c r="AK135" i="38" s="1"/>
  <c r="AP135" i="38" s="1"/>
  <c r="AK7" i="38"/>
  <c r="AK19" i="38" s="1"/>
  <c r="AK31" i="38" s="1"/>
  <c r="AK43" i="38" s="1"/>
  <c r="AK55" i="38" s="1"/>
  <c r="AK67" i="38" s="1"/>
  <c r="AK79" i="38" s="1"/>
  <c r="AK91" i="38" s="1"/>
  <c r="AK103" i="38" s="1"/>
  <c r="AK115" i="38" s="1"/>
  <c r="AK127" i="38" s="1"/>
  <c r="AK139" i="38" s="1"/>
  <c r="AP139" i="38" s="1"/>
  <c r="AP70" i="38"/>
  <c r="AQ71" i="38"/>
  <c r="AQ42" i="38"/>
  <c r="AQ6" i="38"/>
  <c r="AQ126" i="38"/>
  <c r="AP117" i="38"/>
  <c r="AQ106" i="38"/>
  <c r="AP94" i="38"/>
  <c r="AP21" i="38"/>
  <c r="AQ133" i="38"/>
  <c r="AQ90" i="38"/>
  <c r="AQ69" i="38"/>
  <c r="AQ46" i="38"/>
  <c r="AQ12" i="38"/>
  <c r="AP69" i="38"/>
  <c r="AP46" i="38"/>
  <c r="AQ130" i="38"/>
  <c r="AQ109" i="38"/>
  <c r="AQ66" i="38"/>
  <c r="AQ45" i="38"/>
  <c r="AQ9" i="38"/>
  <c r="AQ127" i="38"/>
  <c r="AP45" i="38"/>
  <c r="AP6" i="38"/>
  <c r="AP126" i="38"/>
  <c r="AQ103" i="38"/>
  <c r="AQ5" i="38"/>
  <c r="AQ125" i="38"/>
  <c r="AQ102" i="38"/>
  <c r="AQ82" i="38"/>
  <c r="AQ61" i="38"/>
  <c r="AP102" i="38"/>
  <c r="AQ79" i="38"/>
  <c r="AQ37" i="38"/>
  <c r="AQ101" i="38"/>
  <c r="AQ78" i="38"/>
  <c r="AQ58" i="38"/>
  <c r="AQ85" i="38"/>
  <c r="AQ119" i="38"/>
  <c r="AP78" i="38"/>
  <c r="AQ55" i="38"/>
  <c r="AQ34" i="38"/>
  <c r="AQ118" i="38"/>
  <c r="AQ77" i="38"/>
  <c r="AQ54" i="38"/>
  <c r="AQ30" i="38"/>
  <c r="AP118" i="38"/>
  <c r="AQ95" i="38"/>
  <c r="AP54" i="38"/>
  <c r="AP30" i="38"/>
  <c r="AQ117" i="38"/>
  <c r="AQ94" i="38"/>
  <c r="AQ53" i="38"/>
  <c r="AQ29" i="38"/>
  <c r="AQ25" i="38"/>
  <c r="AQ22" i="38"/>
  <c r="AQ114" i="38"/>
  <c r="AQ93" i="38"/>
  <c r="AQ70" i="38"/>
  <c r="AQ21" i="38"/>
  <c r="AP93" i="38"/>
  <c r="AQ47" i="38"/>
  <c r="AQ7" i="38"/>
  <c r="AQ116" i="38"/>
  <c r="AQ100" i="38"/>
  <c r="AQ84" i="38"/>
  <c r="AQ68" i="38"/>
  <c r="AQ44" i="38"/>
  <c r="AP131" i="38"/>
  <c r="AQ19" i="38"/>
  <c r="AQ17" i="38"/>
  <c r="AP130" i="38"/>
  <c r="AP114" i="38"/>
  <c r="AP106" i="38"/>
  <c r="AP90" i="38"/>
  <c r="AP82" i="38"/>
  <c r="AP66" i="38"/>
  <c r="AP58" i="38"/>
  <c r="AP42" i="38"/>
  <c r="AP34" i="38"/>
  <c r="AP59" i="38"/>
  <c r="AQ23" i="38"/>
  <c r="AQ124" i="38"/>
  <c r="AQ108" i="38"/>
  <c r="AQ92" i="38"/>
  <c r="AQ76" i="38"/>
  <c r="AQ52" i="38"/>
  <c r="AP83" i="38"/>
  <c r="AQ129" i="38"/>
  <c r="AQ121" i="38"/>
  <c r="AQ113" i="38"/>
  <c r="AQ105" i="38"/>
  <c r="AQ97" i="38"/>
  <c r="AQ89" i="38"/>
  <c r="AQ81" i="38"/>
  <c r="AQ73" i="38"/>
  <c r="AQ65" i="38"/>
  <c r="AQ57" i="38"/>
  <c r="AQ49" i="38"/>
  <c r="AQ33" i="38"/>
  <c r="AP129" i="38"/>
  <c r="AP105" i="38"/>
  <c r="AP81" i="38"/>
  <c r="AP57" i="38"/>
  <c r="AP33" i="38"/>
  <c r="AQ132" i="38"/>
  <c r="AQ28" i="38"/>
  <c r="AQ4" i="38"/>
  <c r="AP107" i="38"/>
  <c r="AP35" i="38"/>
  <c r="AQ41" i="38"/>
  <c r="AQ13" i="38"/>
  <c r="AQ128" i="38"/>
  <c r="AQ120" i="38"/>
  <c r="AQ112" i="38"/>
  <c r="AQ104" i="38"/>
  <c r="AQ96" i="38"/>
  <c r="AQ88" i="38"/>
  <c r="AQ80" i="38"/>
  <c r="AQ72" i="38"/>
  <c r="AQ64" i="38"/>
  <c r="AQ56" i="38"/>
  <c r="AQ48" i="38"/>
  <c r="AQ40" i="38"/>
  <c r="AQ32" i="38"/>
  <c r="AQ31" i="38"/>
  <c r="AP119" i="38"/>
  <c r="AP95" i="38"/>
  <c r="AP71" i="38"/>
  <c r="AP47" i="38"/>
  <c r="AQ60" i="38"/>
  <c r="AQ20" i="38"/>
  <c r="AQ131" i="38"/>
  <c r="AQ115" i="38"/>
  <c r="AQ107" i="38"/>
  <c r="AQ91" i="38"/>
  <c r="AQ83" i="38"/>
  <c r="AQ67" i="38"/>
  <c r="AQ59" i="38"/>
  <c r="AQ43" i="38"/>
  <c r="AQ35" i="38"/>
  <c r="AQ11" i="38"/>
  <c r="AQ36" i="38"/>
  <c r="AQ18" i="38"/>
  <c r="AQ10" i="38"/>
  <c r="AP18" i="38"/>
  <c r="AP10" i="38"/>
  <c r="AP9" i="38"/>
  <c r="AP22" i="38"/>
  <c r="AQ24" i="38"/>
  <c r="AQ16" i="38"/>
  <c r="AQ8" i="38"/>
  <c r="AP23" i="38"/>
  <c r="AP11" i="38"/>
  <c r="AP38" i="38" l="1"/>
  <c r="AP2" i="38"/>
  <c r="AP74" i="38"/>
  <c r="AP14" i="38"/>
  <c r="AP110" i="38"/>
  <c r="AP122" i="38"/>
  <c r="AP62" i="38"/>
  <c r="AP98" i="38"/>
  <c r="AP26" i="38"/>
  <c r="AP86" i="38"/>
  <c r="AP50" i="38"/>
  <c r="AQ2" i="38"/>
  <c r="AQ38" i="38"/>
  <c r="AQ63" i="38"/>
  <c r="AQ110" i="38"/>
  <c r="AQ122" i="38"/>
  <c r="AQ123" i="38"/>
  <c r="AQ26" i="38"/>
  <c r="AQ15" i="38"/>
  <c r="AQ50" i="38"/>
  <c r="AQ14" i="38"/>
  <c r="AQ98" i="38"/>
  <c r="AQ86" i="38"/>
  <c r="AQ27" i="38"/>
  <c r="AQ3" i="38"/>
  <c r="AQ39" i="38"/>
  <c r="AQ75" i="38"/>
  <c r="AQ111" i="38"/>
  <c r="AQ62" i="38"/>
  <c r="AQ87" i="38"/>
  <c r="AQ74" i="38"/>
  <c r="AQ99" i="38"/>
  <c r="AQ51" i="38"/>
  <c r="AT10" i="36"/>
  <c r="AY10" i="36"/>
  <c r="AT12" i="36"/>
  <c r="AY12" i="36"/>
  <c r="AU10" i="36"/>
  <c r="AZ10" i="36"/>
  <c r="AT3" i="36"/>
  <c r="AY3" i="36"/>
  <c r="AT6" i="36"/>
  <c r="AY6" i="36"/>
  <c r="AT11" i="36"/>
  <c r="AY11" i="36"/>
  <c r="AU4" i="36"/>
  <c r="AZ4" i="36"/>
  <c r="AU11" i="36"/>
  <c r="AZ11" i="36"/>
  <c r="AU12" i="36"/>
  <c r="AZ12" i="36"/>
  <c r="AT5" i="36"/>
  <c r="AY5" i="36"/>
  <c r="AT7" i="36"/>
  <c r="AY7" i="36"/>
  <c r="AU13" i="36"/>
  <c r="AZ13" i="36"/>
  <c r="AU7" i="36"/>
  <c r="AZ7" i="36"/>
  <c r="AT9" i="36"/>
  <c r="AY9" i="36"/>
  <c r="AT4" i="36"/>
  <c r="AY4" i="36"/>
  <c r="AU9" i="36"/>
  <c r="AZ9" i="36"/>
  <c r="AU2" i="36"/>
  <c r="AZ2" i="36"/>
  <c r="AT2" i="36"/>
  <c r="AY2" i="36"/>
  <c r="AP20" i="36"/>
  <c r="AU8" i="36"/>
  <c r="AP17" i="36"/>
  <c r="AZ17" i="36" s="1"/>
  <c r="AU5" i="36"/>
  <c r="AP18" i="36"/>
  <c r="AU6" i="36"/>
  <c r="AP15" i="36"/>
  <c r="AU3" i="36"/>
  <c r="AO25" i="36"/>
  <c r="AY25" i="36" s="1"/>
  <c r="AT13" i="36"/>
  <c r="AO20" i="36"/>
  <c r="AT8" i="36"/>
  <c r="AO24" i="36"/>
  <c r="AY24" i="36" s="1"/>
  <c r="AO19" i="36"/>
  <c r="AY19" i="36" s="1"/>
  <c r="AP23" i="36"/>
  <c r="AZ23" i="36" s="1"/>
  <c r="AO18" i="36"/>
  <c r="AY18" i="36" s="1"/>
  <c r="AO23" i="36"/>
  <c r="AY23" i="36" s="1"/>
  <c r="AP24" i="36"/>
  <c r="AO17" i="36"/>
  <c r="AP16" i="36"/>
  <c r="AP25" i="36"/>
  <c r="AP19" i="36"/>
  <c r="AO21" i="36"/>
  <c r="AO16" i="36"/>
  <c r="AP21" i="36"/>
  <c r="AO15" i="36"/>
  <c r="AO22" i="36"/>
  <c r="AP22" i="36"/>
  <c r="AP14" i="36"/>
  <c r="AO14" i="36"/>
  <c r="AJ57" i="34"/>
  <c r="AO45" i="34"/>
  <c r="AJ46" i="34"/>
  <c r="AO34" i="34"/>
  <c r="AJ40" i="34"/>
  <c r="AO28" i="34"/>
  <c r="AP8" i="38"/>
  <c r="AJ48" i="34"/>
  <c r="AO48" i="34" s="1"/>
  <c r="AP132" i="38"/>
  <c r="AP52" i="38"/>
  <c r="AP79" i="38"/>
  <c r="AP48" i="38"/>
  <c r="AP96" i="38"/>
  <c r="AP108" i="38"/>
  <c r="AP12" i="38"/>
  <c r="AP24" i="38"/>
  <c r="AP37" i="38"/>
  <c r="AP120" i="38"/>
  <c r="AP13" i="38"/>
  <c r="AP36" i="38"/>
  <c r="AP80" i="38"/>
  <c r="AP27" i="38"/>
  <c r="AP116" i="38"/>
  <c r="AP15" i="38"/>
  <c r="AP128" i="38"/>
  <c r="AP63" i="38"/>
  <c r="AP87" i="38"/>
  <c r="AP111" i="38"/>
  <c r="AP101" i="38"/>
  <c r="AP123" i="38"/>
  <c r="AP41" i="38"/>
  <c r="AP49" i="38"/>
  <c r="AP60" i="38"/>
  <c r="AP125" i="38"/>
  <c r="AP68" i="38"/>
  <c r="AP56" i="38"/>
  <c r="AP29" i="38"/>
  <c r="AP84" i="38"/>
  <c r="AP72" i="38"/>
  <c r="AP89" i="38"/>
  <c r="AP85" i="38"/>
  <c r="AP25" i="38"/>
  <c r="AP61" i="38"/>
  <c r="AP133" i="38"/>
  <c r="AP73" i="38"/>
  <c r="AP109" i="38"/>
  <c r="AP97" i="38"/>
  <c r="AP121" i="38"/>
  <c r="AP28" i="38"/>
  <c r="AP4" i="38"/>
  <c r="AP100" i="38"/>
  <c r="AP5" i="38"/>
  <c r="AP53" i="38"/>
  <c r="AP17" i="38"/>
  <c r="AP32" i="38"/>
  <c r="AP113" i="38"/>
  <c r="AP77" i="38"/>
  <c r="AP127" i="38"/>
  <c r="AP75" i="38"/>
  <c r="AP3" i="38"/>
  <c r="AP31" i="38"/>
  <c r="AP40" i="38"/>
  <c r="AP44" i="38"/>
  <c r="AP51" i="38"/>
  <c r="AP43" i="38"/>
  <c r="AP76" i="38"/>
  <c r="AP19" i="38"/>
  <c r="AP39" i="38"/>
  <c r="AP92" i="38"/>
  <c r="AP99" i="38"/>
  <c r="AP7" i="38"/>
  <c r="AP55" i="38"/>
  <c r="AP64" i="38"/>
  <c r="AP20" i="38"/>
  <c r="AP88" i="38"/>
  <c r="AP124" i="38"/>
  <c r="AP16" i="38"/>
  <c r="AP104" i="38"/>
  <c r="AP67" i="38"/>
  <c r="AP91" i="38"/>
  <c r="AP115" i="38"/>
  <c r="AP103" i="38"/>
  <c r="AP112" i="38"/>
  <c r="AP65" i="38"/>
  <c r="AU25" i="36" l="1"/>
  <c r="AZ25" i="36"/>
  <c r="AT14" i="36"/>
  <c r="AY14" i="36"/>
  <c r="AU14" i="36"/>
  <c r="AZ14" i="36"/>
  <c r="AU18" i="36"/>
  <c r="AZ18" i="36"/>
  <c r="AU22" i="36"/>
  <c r="AZ22" i="36"/>
  <c r="AT20" i="36"/>
  <c r="AY20" i="36"/>
  <c r="AU16" i="36"/>
  <c r="AZ16" i="36"/>
  <c r="AT22" i="36"/>
  <c r="AY22" i="36"/>
  <c r="AU21" i="36"/>
  <c r="AZ21" i="36"/>
  <c r="AT16" i="36"/>
  <c r="AY16" i="36"/>
  <c r="AU20" i="36"/>
  <c r="AZ20" i="36"/>
  <c r="AT21" i="36"/>
  <c r="AY21" i="36"/>
  <c r="AU19" i="36"/>
  <c r="AZ19" i="36"/>
  <c r="AT15" i="36"/>
  <c r="AY15" i="36"/>
  <c r="AT17" i="36"/>
  <c r="AY17" i="36"/>
  <c r="AU24" i="36"/>
  <c r="AZ24" i="36"/>
  <c r="AU15" i="36"/>
  <c r="AZ15" i="36"/>
  <c r="AP32" i="36"/>
  <c r="AP27" i="36"/>
  <c r="AO32" i="36"/>
  <c r="AP29" i="36"/>
  <c r="AZ29" i="36" s="1"/>
  <c r="AU17" i="36"/>
  <c r="AP35" i="36"/>
  <c r="AU23" i="36"/>
  <c r="AO31" i="36"/>
  <c r="AT19" i="36"/>
  <c r="AO37" i="36"/>
  <c r="AY37" i="36" s="1"/>
  <c r="AT25" i="36"/>
  <c r="AP30" i="36"/>
  <c r="AZ30" i="36" s="1"/>
  <c r="AO35" i="36"/>
  <c r="AT23" i="36"/>
  <c r="AO36" i="36"/>
  <c r="AT24" i="36"/>
  <c r="AO30" i="36"/>
  <c r="AT18" i="36"/>
  <c r="AO33" i="36"/>
  <c r="AP34" i="36"/>
  <c r="AP36" i="36"/>
  <c r="AP31" i="36"/>
  <c r="AO34" i="36"/>
  <c r="AP37" i="36"/>
  <c r="AO27" i="36"/>
  <c r="AP33" i="36"/>
  <c r="AP28" i="36"/>
  <c r="AO29" i="36"/>
  <c r="AO28" i="36"/>
  <c r="AP26" i="36"/>
  <c r="AO26" i="36"/>
  <c r="AJ69" i="34"/>
  <c r="AO57" i="34"/>
  <c r="AJ52" i="34"/>
  <c r="AO40" i="34"/>
  <c r="AJ58" i="34"/>
  <c r="AO46" i="34"/>
  <c r="AJ60" i="34"/>
  <c r="AO60" i="34" s="1"/>
  <c r="AT31" i="36" l="1"/>
  <c r="AY31" i="36"/>
  <c r="AT26" i="36"/>
  <c r="AY26" i="36"/>
  <c r="AU26" i="36"/>
  <c r="AZ26" i="36"/>
  <c r="AU35" i="36"/>
  <c r="AZ35" i="36"/>
  <c r="AT29" i="36"/>
  <c r="AY29" i="36"/>
  <c r="AU28" i="36"/>
  <c r="AZ28" i="36"/>
  <c r="AT36" i="36"/>
  <c r="AY36" i="36"/>
  <c r="AT32" i="36"/>
  <c r="AY32" i="36"/>
  <c r="AT27" i="36"/>
  <c r="AY27" i="36"/>
  <c r="AT35" i="36"/>
  <c r="AY35" i="36"/>
  <c r="AU33" i="36"/>
  <c r="AZ33" i="36"/>
  <c r="AU27" i="36"/>
  <c r="AZ27" i="36"/>
  <c r="AU37" i="36"/>
  <c r="AZ37" i="36"/>
  <c r="AU32" i="36"/>
  <c r="AZ32" i="36"/>
  <c r="AT34" i="36"/>
  <c r="AY34" i="36"/>
  <c r="AU36" i="36"/>
  <c r="AZ36" i="36"/>
  <c r="AU31" i="36"/>
  <c r="AZ31" i="36"/>
  <c r="AT28" i="36"/>
  <c r="AY28" i="36"/>
  <c r="AT30" i="36"/>
  <c r="AY30" i="36"/>
  <c r="AU34" i="36"/>
  <c r="AZ34" i="36"/>
  <c r="AT33" i="36"/>
  <c r="AY33" i="36"/>
  <c r="AO44" i="36"/>
  <c r="AP39" i="36"/>
  <c r="AO42" i="36"/>
  <c r="AP47" i="36"/>
  <c r="AP44" i="36"/>
  <c r="AP42" i="36"/>
  <c r="AZ42" i="36" s="1"/>
  <c r="AU30" i="36"/>
  <c r="AO43" i="36"/>
  <c r="AT37" i="36"/>
  <c r="AO49" i="36"/>
  <c r="AY49" i="36" s="1"/>
  <c r="AO48" i="36"/>
  <c r="AY48" i="36" s="1"/>
  <c r="AO47" i="36"/>
  <c r="AU29" i="36"/>
  <c r="AP41" i="36"/>
  <c r="AZ41" i="36" s="1"/>
  <c r="AO46" i="36"/>
  <c r="AP43" i="36"/>
  <c r="AP49" i="36"/>
  <c r="AP46" i="36"/>
  <c r="AO40" i="36"/>
  <c r="AP48" i="36"/>
  <c r="AP40" i="36"/>
  <c r="AP45" i="36"/>
  <c r="AO45" i="36"/>
  <c r="AO41" i="36"/>
  <c r="AO39" i="36"/>
  <c r="AP38" i="36"/>
  <c r="AO38" i="36"/>
  <c r="AJ70" i="34"/>
  <c r="AO58" i="34"/>
  <c r="AJ64" i="34"/>
  <c r="AO52" i="34"/>
  <c r="AJ81" i="34"/>
  <c r="AO69" i="34"/>
  <c r="AJ72" i="34"/>
  <c r="AO72" i="34" s="1"/>
  <c r="AT39" i="36" l="1"/>
  <c r="AY39" i="36"/>
  <c r="AT41" i="36"/>
  <c r="AY41" i="36"/>
  <c r="AT47" i="36"/>
  <c r="AY47" i="36"/>
  <c r="AT42" i="36"/>
  <c r="AY42" i="36"/>
  <c r="AU45" i="36"/>
  <c r="AZ45" i="36"/>
  <c r="AO56" i="36"/>
  <c r="AO68" i="36" s="1"/>
  <c r="AY44" i="36"/>
  <c r="AT45" i="36"/>
  <c r="AY45" i="36"/>
  <c r="AP51" i="36"/>
  <c r="AP63" i="36" s="1"/>
  <c r="AZ39" i="36"/>
  <c r="AU40" i="36"/>
  <c r="AZ40" i="36"/>
  <c r="AU49" i="36"/>
  <c r="AZ49" i="36"/>
  <c r="AU48" i="36"/>
  <c r="AZ48" i="36"/>
  <c r="AT40" i="36"/>
  <c r="AY40" i="36"/>
  <c r="AT43" i="36"/>
  <c r="AY43" i="36"/>
  <c r="AT46" i="36"/>
  <c r="AY46" i="36"/>
  <c r="AU46" i="36"/>
  <c r="AZ46" i="36"/>
  <c r="AT38" i="36"/>
  <c r="AY38" i="36"/>
  <c r="AU47" i="36"/>
  <c r="AZ47" i="36"/>
  <c r="AU43" i="36"/>
  <c r="AZ43" i="36"/>
  <c r="AU44" i="36"/>
  <c r="AZ44" i="36"/>
  <c r="AU38" i="36"/>
  <c r="AZ38" i="36"/>
  <c r="AT44" i="36"/>
  <c r="AO54" i="36"/>
  <c r="AU39" i="36"/>
  <c r="AP59" i="36"/>
  <c r="AO59" i="36"/>
  <c r="AP56" i="36"/>
  <c r="AP53" i="36"/>
  <c r="AZ53" i="36" s="1"/>
  <c r="AU41" i="36"/>
  <c r="AO60" i="36"/>
  <c r="AY60" i="36" s="1"/>
  <c r="AT48" i="36"/>
  <c r="AT49" i="36"/>
  <c r="AO61" i="36"/>
  <c r="AY61" i="36" s="1"/>
  <c r="AO55" i="36"/>
  <c r="AU42" i="36"/>
  <c r="AP54" i="36"/>
  <c r="AZ54" i="36" s="1"/>
  <c r="AP57" i="36"/>
  <c r="AP60" i="36"/>
  <c r="AO53" i="36"/>
  <c r="AP52" i="36"/>
  <c r="AO52" i="36"/>
  <c r="AP58" i="36"/>
  <c r="AO51" i="36"/>
  <c r="AP61" i="36"/>
  <c r="AP55" i="36"/>
  <c r="AO58" i="36"/>
  <c r="AO57" i="36"/>
  <c r="AP50" i="36"/>
  <c r="AO50" i="36"/>
  <c r="AJ93" i="34"/>
  <c r="AO81" i="34"/>
  <c r="AJ76" i="34"/>
  <c r="AO64" i="34"/>
  <c r="AJ82" i="34"/>
  <c r="AO70" i="34"/>
  <c r="AJ84" i="34"/>
  <c r="AO84" i="34" s="1"/>
  <c r="AT68" i="36" l="1"/>
  <c r="AY68" i="36"/>
  <c r="AU50" i="36"/>
  <c r="AZ50" i="36"/>
  <c r="AU61" i="36"/>
  <c r="AZ61" i="36"/>
  <c r="AT51" i="36"/>
  <c r="AY51" i="36"/>
  <c r="AU51" i="36"/>
  <c r="AZ51" i="36"/>
  <c r="AU56" i="36"/>
  <c r="AZ56" i="36"/>
  <c r="AU58" i="36"/>
  <c r="AZ58" i="36"/>
  <c r="AU59" i="36"/>
  <c r="AZ59" i="36"/>
  <c r="AT59" i="36"/>
  <c r="AY59" i="36"/>
  <c r="AT57" i="36"/>
  <c r="AY57" i="36"/>
  <c r="AU63" i="36"/>
  <c r="AZ63" i="36"/>
  <c r="AT58" i="36"/>
  <c r="AY58" i="36"/>
  <c r="AU55" i="36"/>
  <c r="AZ55" i="36"/>
  <c r="AT52" i="36"/>
  <c r="AY52" i="36"/>
  <c r="AT50" i="36"/>
  <c r="AY50" i="36"/>
  <c r="AT55" i="36"/>
  <c r="AY55" i="36"/>
  <c r="AU52" i="36"/>
  <c r="AZ52" i="36"/>
  <c r="AT53" i="36"/>
  <c r="AY53" i="36"/>
  <c r="AT54" i="36"/>
  <c r="AY54" i="36"/>
  <c r="AT56" i="36"/>
  <c r="AY56" i="36"/>
  <c r="AU60" i="36"/>
  <c r="AZ60" i="36"/>
  <c r="AU57" i="36"/>
  <c r="AZ57" i="36"/>
  <c r="AO66" i="36"/>
  <c r="AP71" i="36"/>
  <c r="AP68" i="36"/>
  <c r="AO71" i="36"/>
  <c r="AO80" i="36"/>
  <c r="AP75" i="36"/>
  <c r="AU54" i="36"/>
  <c r="AP66" i="36"/>
  <c r="AZ66" i="36" s="1"/>
  <c r="AO67" i="36"/>
  <c r="AU53" i="36"/>
  <c r="AP65" i="36"/>
  <c r="AZ65" i="36" s="1"/>
  <c r="AT61" i="36"/>
  <c r="AO73" i="36"/>
  <c r="AY73" i="36" s="1"/>
  <c r="AT60" i="36"/>
  <c r="AO72" i="36"/>
  <c r="AY72" i="36" s="1"/>
  <c r="AO70" i="36"/>
  <c r="AO64" i="36"/>
  <c r="AP64" i="36"/>
  <c r="AP70" i="36"/>
  <c r="AO69" i="36"/>
  <c r="AP69" i="36"/>
  <c r="AO65" i="36"/>
  <c r="AP67" i="36"/>
  <c r="AP72" i="36"/>
  <c r="AP73" i="36"/>
  <c r="AO63" i="36"/>
  <c r="AP62" i="36"/>
  <c r="AO62" i="36"/>
  <c r="AJ88" i="34"/>
  <c r="AO76" i="34"/>
  <c r="AJ94" i="34"/>
  <c r="AO82" i="34"/>
  <c r="AJ105" i="34"/>
  <c r="AO93" i="34"/>
  <c r="AJ96" i="34"/>
  <c r="AO96" i="34" s="1"/>
  <c r="AU64" i="36" l="1"/>
  <c r="AZ64" i="36"/>
  <c r="AU67" i="36"/>
  <c r="AZ67" i="36"/>
  <c r="AT65" i="36"/>
  <c r="AY65" i="36"/>
  <c r="AT80" i="36"/>
  <c r="AY80" i="36"/>
  <c r="AU72" i="36"/>
  <c r="AZ72" i="36"/>
  <c r="AU69" i="36"/>
  <c r="AZ69" i="36"/>
  <c r="AT67" i="36"/>
  <c r="AY67" i="36"/>
  <c r="AT66" i="36"/>
  <c r="AY66" i="36"/>
  <c r="AT69" i="36"/>
  <c r="AY69" i="36"/>
  <c r="AT64" i="36"/>
  <c r="AY64" i="36"/>
  <c r="AU75" i="36"/>
  <c r="AZ75" i="36"/>
  <c r="AU71" i="36"/>
  <c r="AZ71" i="36"/>
  <c r="AU70" i="36"/>
  <c r="AZ70" i="36"/>
  <c r="AT70" i="36"/>
  <c r="AY70" i="36"/>
  <c r="AT71" i="36"/>
  <c r="AY71" i="36"/>
  <c r="AT62" i="36"/>
  <c r="AY62" i="36"/>
  <c r="AU68" i="36"/>
  <c r="AZ68" i="36"/>
  <c r="AU62" i="36"/>
  <c r="AZ62" i="36"/>
  <c r="AT63" i="36"/>
  <c r="AY63" i="36"/>
  <c r="AU73" i="36"/>
  <c r="AZ73" i="36"/>
  <c r="AO78" i="36"/>
  <c r="AO90" i="36" s="1"/>
  <c r="AP83" i="36"/>
  <c r="AP80" i="36"/>
  <c r="AO83" i="36"/>
  <c r="AO92" i="36"/>
  <c r="AP87" i="36"/>
  <c r="AT72" i="36"/>
  <c r="AO84" i="36"/>
  <c r="AY84" i="36" s="1"/>
  <c r="AT73" i="36"/>
  <c r="AO85" i="36"/>
  <c r="AY85" i="36" s="1"/>
  <c r="AU65" i="36"/>
  <c r="AP77" i="36"/>
  <c r="AZ77" i="36" s="1"/>
  <c r="AO79" i="36"/>
  <c r="AU66" i="36"/>
  <c r="AP78" i="36"/>
  <c r="AZ78" i="36" s="1"/>
  <c r="AO77" i="36"/>
  <c r="AP81" i="36"/>
  <c r="AO81" i="36"/>
  <c r="AP82" i="36"/>
  <c r="AP85" i="36"/>
  <c r="AP76" i="36"/>
  <c r="AP84" i="36"/>
  <c r="AP79" i="36"/>
  <c r="AO75" i="36"/>
  <c r="AO76" i="36"/>
  <c r="AO82" i="36"/>
  <c r="AP74" i="36"/>
  <c r="AO74" i="36"/>
  <c r="AJ117" i="34"/>
  <c r="AO105" i="34"/>
  <c r="AJ106" i="34"/>
  <c r="AO94" i="34"/>
  <c r="AJ100" i="34"/>
  <c r="AO88" i="34"/>
  <c r="AJ108" i="34"/>
  <c r="AO108" i="34" s="1"/>
  <c r="AU80" i="36" l="1"/>
  <c r="AZ80" i="36"/>
  <c r="AT82" i="36"/>
  <c r="AY82" i="36"/>
  <c r="AU83" i="36"/>
  <c r="AZ83" i="36"/>
  <c r="AT74" i="36"/>
  <c r="AY74" i="36"/>
  <c r="AT79" i="36"/>
  <c r="AY79" i="36"/>
  <c r="AT76" i="36"/>
  <c r="AY76" i="36"/>
  <c r="AT75" i="36"/>
  <c r="AY75" i="36"/>
  <c r="AU79" i="36"/>
  <c r="AZ79" i="36"/>
  <c r="AT78" i="36"/>
  <c r="AY78" i="36"/>
  <c r="AU85" i="36"/>
  <c r="AZ85" i="36"/>
  <c r="AT83" i="36"/>
  <c r="AY83" i="36"/>
  <c r="AU74" i="36"/>
  <c r="AZ74" i="36"/>
  <c r="AU84" i="36"/>
  <c r="AZ84" i="36"/>
  <c r="AU76" i="36"/>
  <c r="AZ76" i="36"/>
  <c r="AU82" i="36"/>
  <c r="AZ82" i="36"/>
  <c r="AT81" i="36"/>
  <c r="AY81" i="36"/>
  <c r="AU87" i="36"/>
  <c r="AZ87" i="36"/>
  <c r="AT90" i="36"/>
  <c r="AY90" i="36"/>
  <c r="AU81" i="36"/>
  <c r="AZ81" i="36"/>
  <c r="AT92" i="36"/>
  <c r="AY92" i="36"/>
  <c r="AT77" i="36"/>
  <c r="AY77" i="36"/>
  <c r="AO95" i="36"/>
  <c r="AP95" i="36"/>
  <c r="AP92" i="36"/>
  <c r="AP99" i="36"/>
  <c r="AO104" i="36"/>
  <c r="AU78" i="36"/>
  <c r="AP90" i="36"/>
  <c r="AZ90" i="36" s="1"/>
  <c r="AT85" i="36"/>
  <c r="AO97" i="36"/>
  <c r="AY97" i="36" s="1"/>
  <c r="AU77" i="36"/>
  <c r="AP89" i="36"/>
  <c r="AZ89" i="36" s="1"/>
  <c r="AO91" i="36"/>
  <c r="AT84" i="36"/>
  <c r="AO96" i="36"/>
  <c r="AY96" i="36" s="1"/>
  <c r="AP97" i="36"/>
  <c r="AP88" i="36"/>
  <c r="AO88" i="36"/>
  <c r="AO94" i="36"/>
  <c r="AO87" i="36"/>
  <c r="AP91" i="36"/>
  <c r="AP94" i="36"/>
  <c r="AO93" i="36"/>
  <c r="AP93" i="36"/>
  <c r="AP96" i="36"/>
  <c r="AO89" i="36"/>
  <c r="AP86" i="36"/>
  <c r="AO86" i="36"/>
  <c r="AO102" i="36"/>
  <c r="AJ118" i="34"/>
  <c r="AO106" i="34"/>
  <c r="AJ112" i="34"/>
  <c r="AO100" i="34"/>
  <c r="AJ129" i="34"/>
  <c r="AO117" i="34"/>
  <c r="AJ120" i="34"/>
  <c r="AO120" i="34" s="1"/>
  <c r="AU86" i="36" l="1"/>
  <c r="AZ86" i="36"/>
  <c r="AT89" i="36"/>
  <c r="AY89" i="36"/>
  <c r="AT95" i="36"/>
  <c r="AY95" i="36"/>
  <c r="AT86" i="36"/>
  <c r="AY86" i="36"/>
  <c r="AU92" i="36"/>
  <c r="AZ92" i="36"/>
  <c r="AT102" i="36"/>
  <c r="AY102" i="36"/>
  <c r="AT93" i="36"/>
  <c r="AY93" i="36"/>
  <c r="AT91" i="36"/>
  <c r="AY91" i="36"/>
  <c r="AU94" i="36"/>
  <c r="AZ94" i="36"/>
  <c r="AU96" i="36"/>
  <c r="AZ96" i="36"/>
  <c r="AU93" i="36"/>
  <c r="AZ93" i="36"/>
  <c r="AU91" i="36"/>
  <c r="AZ91" i="36"/>
  <c r="AT94" i="36"/>
  <c r="AY94" i="36"/>
  <c r="AT87" i="36"/>
  <c r="AY87" i="36"/>
  <c r="AU97" i="36"/>
  <c r="AZ97" i="36"/>
  <c r="AU95" i="36"/>
  <c r="AZ95" i="36"/>
  <c r="AT88" i="36"/>
  <c r="AY88" i="36"/>
  <c r="AU88" i="36"/>
  <c r="AZ88" i="36"/>
  <c r="AT104" i="36"/>
  <c r="AY104" i="36"/>
  <c r="AU99" i="36"/>
  <c r="AZ99" i="36"/>
  <c r="AO116" i="36"/>
  <c r="AO128" i="36" s="1"/>
  <c r="AO107" i="36"/>
  <c r="AP107" i="36"/>
  <c r="AP111" i="36"/>
  <c r="AP104" i="36"/>
  <c r="AO103" i="36"/>
  <c r="AO115" i="36" s="1"/>
  <c r="AT96" i="36"/>
  <c r="AO108" i="36"/>
  <c r="AY108" i="36" s="1"/>
  <c r="AU89" i="36"/>
  <c r="AP101" i="36"/>
  <c r="AZ101" i="36" s="1"/>
  <c r="AT97" i="36"/>
  <c r="AO109" i="36"/>
  <c r="AY109" i="36" s="1"/>
  <c r="AU90" i="36"/>
  <c r="AP102" i="36"/>
  <c r="AZ102" i="36" s="1"/>
  <c r="AP103" i="36"/>
  <c r="AO99" i="36"/>
  <c r="AO106" i="36"/>
  <c r="AO101" i="36"/>
  <c r="AO100" i="36"/>
  <c r="AP108" i="36"/>
  <c r="AP105" i="36"/>
  <c r="AP106" i="36"/>
  <c r="AP109" i="36"/>
  <c r="AP100" i="36"/>
  <c r="AO105" i="36"/>
  <c r="AP98" i="36"/>
  <c r="AO98" i="36"/>
  <c r="AO114" i="36"/>
  <c r="AJ124" i="34"/>
  <c r="AO112" i="34"/>
  <c r="AJ130" i="34"/>
  <c r="AO118" i="34"/>
  <c r="AJ141" i="34"/>
  <c r="AO141" i="34" s="1"/>
  <c r="AO129" i="34"/>
  <c r="AJ132" i="34"/>
  <c r="AO132" i="34" s="1"/>
  <c r="AU111" i="36" l="1"/>
  <c r="AZ111" i="36"/>
  <c r="AT105" i="36"/>
  <c r="AY105" i="36"/>
  <c r="AT107" i="36"/>
  <c r="AY107" i="36"/>
  <c r="AT98" i="36"/>
  <c r="AY98" i="36"/>
  <c r="AU107" i="36"/>
  <c r="AZ107" i="36"/>
  <c r="AU100" i="36"/>
  <c r="AZ100" i="36"/>
  <c r="AU109" i="36"/>
  <c r="AZ109" i="36"/>
  <c r="AT116" i="36"/>
  <c r="AY116" i="36"/>
  <c r="AU98" i="36"/>
  <c r="AZ98" i="36"/>
  <c r="AU106" i="36"/>
  <c r="AZ106" i="36"/>
  <c r="AT128" i="36"/>
  <c r="AY128" i="36"/>
  <c r="AT100" i="36"/>
  <c r="AY100" i="36"/>
  <c r="AT101" i="36"/>
  <c r="AY101" i="36"/>
  <c r="AT106" i="36"/>
  <c r="AY106" i="36"/>
  <c r="AT103" i="36"/>
  <c r="AY103" i="36"/>
  <c r="AT114" i="36"/>
  <c r="AY114" i="36"/>
  <c r="AT99" i="36"/>
  <c r="AY99" i="36"/>
  <c r="AT115" i="36"/>
  <c r="AY115" i="36"/>
  <c r="AU105" i="36"/>
  <c r="AZ105" i="36"/>
  <c r="AU108" i="36"/>
  <c r="AZ108" i="36"/>
  <c r="AU103" i="36"/>
  <c r="AZ103" i="36"/>
  <c r="AO119" i="36"/>
  <c r="AO131" i="36" s="1"/>
  <c r="AU104" i="36"/>
  <c r="AZ104" i="36"/>
  <c r="AP119" i="36"/>
  <c r="AP131" i="36" s="1"/>
  <c r="AP123" i="36"/>
  <c r="AP116" i="36"/>
  <c r="AT108" i="36"/>
  <c r="AO120" i="36"/>
  <c r="AY120" i="36" s="1"/>
  <c r="AU102" i="36"/>
  <c r="AP114" i="36"/>
  <c r="AZ114" i="36" s="1"/>
  <c r="AU101" i="36"/>
  <c r="AP113" i="36"/>
  <c r="AZ113" i="36" s="1"/>
  <c r="AT109" i="36"/>
  <c r="AO121" i="36"/>
  <c r="AY121" i="36" s="1"/>
  <c r="AO113" i="36"/>
  <c r="AP120" i="36"/>
  <c r="AP117" i="36"/>
  <c r="AO112" i="36"/>
  <c r="AO117" i="36"/>
  <c r="AP112" i="36"/>
  <c r="AO118" i="36"/>
  <c r="AP121" i="36"/>
  <c r="AO111" i="36"/>
  <c r="AP118" i="36"/>
  <c r="AO127" i="36"/>
  <c r="AP115" i="36"/>
  <c r="AP110" i="36"/>
  <c r="AO110" i="36"/>
  <c r="AO140" i="36"/>
  <c r="AO126" i="36"/>
  <c r="AJ142" i="34"/>
  <c r="AO142" i="34" s="1"/>
  <c r="AO130" i="34"/>
  <c r="AJ136" i="34"/>
  <c r="AO136" i="34" s="1"/>
  <c r="AO124" i="34"/>
  <c r="AJ144" i="34"/>
  <c r="AO144" i="34" s="1"/>
  <c r="AT140" i="36" l="1"/>
  <c r="AY140" i="36"/>
  <c r="AU112" i="36"/>
  <c r="AZ112" i="36"/>
  <c r="AT112" i="36"/>
  <c r="AY112" i="36"/>
  <c r="AT110" i="36"/>
  <c r="AY110" i="36"/>
  <c r="AU131" i="36"/>
  <c r="AZ131" i="36"/>
  <c r="AU119" i="36"/>
  <c r="AZ119" i="36"/>
  <c r="AT127" i="36"/>
  <c r="AY127" i="36"/>
  <c r="AT117" i="36"/>
  <c r="AY117" i="36"/>
  <c r="AU110" i="36"/>
  <c r="AZ110" i="36"/>
  <c r="AU118" i="36"/>
  <c r="AZ118" i="36"/>
  <c r="AT131" i="36"/>
  <c r="AY131" i="36"/>
  <c r="AT126" i="36"/>
  <c r="AY126" i="36"/>
  <c r="AU115" i="36"/>
  <c r="AZ115" i="36"/>
  <c r="AT111" i="36"/>
  <c r="AY111" i="36"/>
  <c r="AT119" i="36"/>
  <c r="AY119" i="36"/>
  <c r="AU121" i="36"/>
  <c r="AZ121" i="36"/>
  <c r="AT118" i="36"/>
  <c r="AY118" i="36"/>
  <c r="AU117" i="36"/>
  <c r="AZ117" i="36"/>
  <c r="AU116" i="36"/>
  <c r="AZ116" i="36"/>
  <c r="AU120" i="36"/>
  <c r="AZ120" i="36"/>
  <c r="AU123" i="36"/>
  <c r="AZ123" i="36"/>
  <c r="AT113" i="36"/>
  <c r="AY113" i="36"/>
  <c r="AP135" i="36"/>
  <c r="AP128" i="36"/>
  <c r="AU113" i="36"/>
  <c r="AP125" i="36"/>
  <c r="AZ125" i="36" s="1"/>
  <c r="AU114" i="36"/>
  <c r="AP126" i="36"/>
  <c r="AZ126" i="36" s="1"/>
  <c r="AT121" i="36"/>
  <c r="AO133" i="36"/>
  <c r="AY133" i="36" s="1"/>
  <c r="AT120" i="36"/>
  <c r="AO132" i="36"/>
  <c r="AY132" i="36" s="1"/>
  <c r="AP124" i="36"/>
  <c r="AO129" i="36"/>
  <c r="AO130" i="36"/>
  <c r="AO124" i="36"/>
  <c r="AP130" i="36"/>
  <c r="AP129" i="36"/>
  <c r="AO123" i="36"/>
  <c r="AP133" i="36"/>
  <c r="AP127" i="36"/>
  <c r="AO139" i="36"/>
  <c r="AP132" i="36"/>
  <c r="AO125" i="36"/>
  <c r="AP122" i="36"/>
  <c r="AO122" i="36"/>
  <c r="AO138" i="36"/>
  <c r="AP143" i="36"/>
  <c r="AO143" i="36"/>
  <c r="AT138" i="36" l="1"/>
  <c r="AY138" i="36"/>
  <c r="AT124" i="36"/>
  <c r="AY124" i="36"/>
  <c r="AU135" i="36"/>
  <c r="AZ135" i="36"/>
  <c r="AU128" i="36"/>
  <c r="AZ128" i="36"/>
  <c r="AT130" i="36"/>
  <c r="AY130" i="36"/>
  <c r="AT129" i="36"/>
  <c r="AY129" i="36"/>
  <c r="AT122" i="36"/>
  <c r="AY122" i="36"/>
  <c r="AU122" i="36"/>
  <c r="AZ122" i="36"/>
  <c r="AU124" i="36"/>
  <c r="AZ124" i="36"/>
  <c r="AT125" i="36"/>
  <c r="AY125" i="36"/>
  <c r="AU127" i="36"/>
  <c r="AZ127" i="36"/>
  <c r="AU133" i="36"/>
  <c r="AZ133" i="36"/>
  <c r="AU130" i="36"/>
  <c r="AZ130" i="36"/>
  <c r="AT143" i="36"/>
  <c r="AY143" i="36"/>
  <c r="AU143" i="36"/>
  <c r="AZ143" i="36"/>
  <c r="AU132" i="36"/>
  <c r="AZ132" i="36"/>
  <c r="AT139" i="36"/>
  <c r="AY139" i="36"/>
  <c r="AT123" i="36"/>
  <c r="AY123" i="36"/>
  <c r="AU129" i="36"/>
  <c r="AZ129" i="36"/>
  <c r="AP140" i="36"/>
  <c r="AT132" i="36"/>
  <c r="AO144" i="36"/>
  <c r="AT133" i="36"/>
  <c r="AO145" i="36"/>
  <c r="AU126" i="36"/>
  <c r="AP138" i="36"/>
  <c r="AU125" i="36"/>
  <c r="AP137" i="36"/>
  <c r="AO135" i="36"/>
  <c r="AP145" i="36"/>
  <c r="AP141" i="36"/>
  <c r="AO137" i="36"/>
  <c r="AO136" i="36"/>
  <c r="AP142" i="36"/>
  <c r="AP144" i="36"/>
  <c r="AP139" i="36"/>
  <c r="AO142" i="36"/>
  <c r="AO141" i="36"/>
  <c r="AP136" i="36"/>
  <c r="AP134" i="36"/>
  <c r="AO134" i="36"/>
  <c r="AT135" i="36" l="1"/>
  <c r="AY135" i="36"/>
  <c r="AU138" i="36"/>
  <c r="AZ138" i="36"/>
  <c r="AT134" i="36"/>
  <c r="AY134" i="36"/>
  <c r="AU134" i="36"/>
  <c r="AZ134" i="36"/>
  <c r="AU136" i="36"/>
  <c r="AZ136" i="36"/>
  <c r="AT141" i="36"/>
  <c r="AY141" i="36"/>
  <c r="AT144" i="36"/>
  <c r="AY144" i="36"/>
  <c r="AT145" i="36"/>
  <c r="AY145" i="36"/>
  <c r="AT142" i="36"/>
  <c r="AY142" i="36"/>
  <c r="AU137" i="36"/>
  <c r="AZ137" i="36"/>
  <c r="AU140" i="36"/>
  <c r="AZ140" i="36"/>
  <c r="AU144" i="36"/>
  <c r="AZ144" i="36"/>
  <c r="AU139" i="36"/>
  <c r="AZ139" i="36"/>
  <c r="AU142" i="36"/>
  <c r="AZ142" i="36"/>
  <c r="AT136" i="36"/>
  <c r="AY136" i="36"/>
  <c r="AT137" i="36"/>
  <c r="AY137" i="36"/>
  <c r="AU141" i="36"/>
  <c r="AZ141" i="36"/>
  <c r="AU145" i="36"/>
  <c r="AZ145" i="36"/>
  <c r="P27" i="71" l="1"/>
  <c r="O27" i="71"/>
  <c r="H27" i="71"/>
  <c r="G27" i="71"/>
  <c r="H5" i="71"/>
  <c r="G5" i="71"/>
  <c r="B69" i="25"/>
  <c r="B70" i="25"/>
  <c r="B71" i="25"/>
  <c r="B72" i="25"/>
  <c r="B73" i="25"/>
  <c r="B68" i="25"/>
  <c r="B59" i="25"/>
  <c r="B60" i="25"/>
  <c r="B61" i="25"/>
  <c r="B62" i="25"/>
  <c r="B63" i="25"/>
  <c r="B58" i="25"/>
  <c r="E66" i="70"/>
  <c r="F66" i="70"/>
  <c r="G66" i="70"/>
  <c r="H66" i="70"/>
  <c r="I66" i="70"/>
  <c r="D66" i="70"/>
  <c r="C92" i="70"/>
  <c r="C93" i="70"/>
  <c r="C86" i="70"/>
  <c r="C87" i="70"/>
  <c r="C78" i="70"/>
  <c r="C79" i="70"/>
  <c r="C72" i="70"/>
  <c r="C71" i="70"/>
  <c r="C75" i="70"/>
  <c r="C83" i="70" s="1"/>
  <c r="C89" i="70" s="1"/>
  <c r="C70" i="70"/>
  <c r="C77" i="70" s="1"/>
  <c r="C85" i="70" s="1"/>
  <c r="C91" i="70" s="1"/>
  <c r="C69" i="70"/>
  <c r="C76" i="70" s="1"/>
  <c r="C84" i="70" s="1"/>
  <c r="C90" i="70" s="1"/>
  <c r="C68" i="70"/>
  <c r="E90" i="70"/>
  <c r="F90" i="70" s="1"/>
  <c r="G90" i="70" s="1"/>
  <c r="H90" i="70" s="1"/>
  <c r="I90" i="70" s="1"/>
  <c r="E89" i="70"/>
  <c r="F89" i="70" s="1"/>
  <c r="E84" i="70"/>
  <c r="F84" i="70" s="1"/>
  <c r="G84" i="70" s="1"/>
  <c r="H84" i="70" s="1"/>
  <c r="I84" i="70" s="1"/>
  <c r="E83" i="70"/>
  <c r="F83" i="70" s="1"/>
  <c r="E76" i="70"/>
  <c r="F76" i="70" s="1"/>
  <c r="G76" i="70" s="1"/>
  <c r="H76" i="70" s="1"/>
  <c r="I76" i="70" s="1"/>
  <c r="E75" i="70"/>
  <c r="F75" i="70" s="1"/>
  <c r="E69" i="70"/>
  <c r="F69" i="70" s="1"/>
  <c r="G69" i="70" s="1"/>
  <c r="H69" i="70" s="1"/>
  <c r="I69" i="70" s="1"/>
  <c r="E68" i="70"/>
  <c r="F68" i="70" s="1"/>
  <c r="N81" i="151"/>
  <c r="O81" i="151" s="1" a="1"/>
  <c r="O81" i="151" s="1"/>
  <c r="X85" i="151"/>
  <c r="N87" i="151"/>
  <c r="O87" i="151"/>
  <c r="P87" i="151"/>
  <c r="Q87" i="151"/>
  <c r="R87" i="151"/>
  <c r="S87" i="151"/>
  <c r="T87" i="151"/>
  <c r="U87" i="151"/>
  <c r="V87" i="151"/>
  <c r="W87" i="151"/>
  <c r="X87" i="151"/>
  <c r="N91" i="151"/>
  <c r="L31" i="71" s="1"/>
  <c r="N86" i="151"/>
  <c r="P83" i="151"/>
  <c r="Q83" i="151" s="1"/>
  <c r="R83" i="151" s="1"/>
  <c r="S83" i="151" s="1"/>
  <c r="T83" i="151" s="1"/>
  <c r="U83" i="151" s="1"/>
  <c r="V83" i="151" s="1"/>
  <c r="W83" i="151" s="1"/>
  <c r="N83" i="151"/>
  <c r="F116" i="151"/>
  <c r="P35" i="71"/>
  <c r="O35" i="71"/>
  <c r="H35" i="71"/>
  <c r="G35" i="71"/>
  <c r="Q90" i="151"/>
  <c r="P90" i="151"/>
  <c r="R90" i="151"/>
  <c r="S90" i="151" s="1"/>
  <c r="K90" i="151"/>
  <c r="L90" i="151"/>
  <c r="L89" i="151" s="1"/>
  <c r="M90" i="151"/>
  <c r="N90" i="151"/>
  <c r="O90" i="151"/>
  <c r="K89" i="151"/>
  <c r="M89" i="151"/>
  <c r="G90" i="151"/>
  <c r="G89" i="151" s="1"/>
  <c r="H90" i="151"/>
  <c r="I90" i="151"/>
  <c r="I89" i="151" s="1"/>
  <c r="J90" i="151"/>
  <c r="F90" i="151"/>
  <c r="F95" i="151"/>
  <c r="F17" i="151"/>
  <c r="H17" i="151"/>
  <c r="G17" i="151"/>
  <c r="H89" i="151"/>
  <c r="F97" i="151"/>
  <c r="F98" i="151"/>
  <c r="N95" i="151"/>
  <c r="J89" i="151"/>
  <c r="E85" i="151"/>
  <c r="K86" i="151"/>
  <c r="L86" i="151"/>
  <c r="M86" i="151"/>
  <c r="O86" i="151"/>
  <c r="P86" i="151"/>
  <c r="Q86" i="151"/>
  <c r="R86" i="151"/>
  <c r="S86" i="151"/>
  <c r="T86" i="151"/>
  <c r="U86" i="151"/>
  <c r="V86" i="151"/>
  <c r="W86" i="151"/>
  <c r="X86" i="151"/>
  <c r="G86" i="151"/>
  <c r="H86" i="151"/>
  <c r="I86" i="151"/>
  <c r="J86" i="151"/>
  <c r="F86" i="151"/>
  <c r="F85" i="151" s="1"/>
  <c r="D90" i="151"/>
  <c r="D91" i="151"/>
  <c r="D89" i="151"/>
  <c r="E87" i="151"/>
  <c r="D86" i="151"/>
  <c r="D87" i="151"/>
  <c r="D85" i="151"/>
  <c r="P80" i="151"/>
  <c r="Q80" i="151"/>
  <c r="R80" i="151"/>
  <c r="S80" i="151"/>
  <c r="T80" i="151"/>
  <c r="U80" i="151"/>
  <c r="V80" i="151"/>
  <c r="W80" i="151"/>
  <c r="X80" i="151"/>
  <c r="L80" i="151"/>
  <c r="M80" i="151"/>
  <c r="N80" i="151"/>
  <c r="O80" i="151"/>
  <c r="K80" i="151"/>
  <c r="X82" i="151"/>
  <c r="E82" i="151"/>
  <c r="E83" i="151" s="1"/>
  <c r="AA150" i="36"/>
  <c r="AA151" i="36" s="1"/>
  <c r="C3" i="151"/>
  <c r="E5" i="151"/>
  <c r="G68" i="70" l="1"/>
  <c r="G89" i="70"/>
  <c r="G83" i="70"/>
  <c r="G75" i="70"/>
  <c r="T90" i="151"/>
  <c r="F91" i="151"/>
  <c r="F89" i="151"/>
  <c r="M91" i="151"/>
  <c r="L91" i="151"/>
  <c r="K91" i="151"/>
  <c r="J91" i="151"/>
  <c r="I91" i="151"/>
  <c r="H91" i="151"/>
  <c r="G91" i="151"/>
  <c r="E81" i="151"/>
  <c r="AA152" i="36"/>
  <c r="I20" i="73"/>
  <c r="N12" i="73"/>
  <c r="O12" i="73"/>
  <c r="M12" i="73"/>
  <c r="K14" i="72"/>
  <c r="H68" i="70" l="1"/>
  <c r="H89" i="70"/>
  <c r="H83" i="70"/>
  <c r="H75" i="70"/>
  <c r="U90" i="151"/>
  <c r="AA153" i="36"/>
  <c r="T6" i="15"/>
  <c r="T5" i="15"/>
  <c r="J76" i="151"/>
  <c r="K76" i="151"/>
  <c r="L76" i="151"/>
  <c r="M76" i="151"/>
  <c r="N76" i="151"/>
  <c r="G76" i="151"/>
  <c r="H76" i="151"/>
  <c r="I76" i="151"/>
  <c r="F76" i="151"/>
  <c r="F75" i="151"/>
  <c r="AB155" i="150"/>
  <c r="AB156" i="150" s="1"/>
  <c r="AB157" i="150" s="1"/>
  <c r="AB158" i="150" s="1"/>
  <c r="AB159" i="150" s="1"/>
  <c r="AB160" i="150" s="1"/>
  <c r="AB161" i="150" s="1"/>
  <c r="AB162" i="150" s="1"/>
  <c r="AB163" i="150" s="1"/>
  <c r="AB164" i="150" s="1"/>
  <c r="AB165" i="150" s="1"/>
  <c r="AB166" i="150" s="1"/>
  <c r="AB167" i="150" s="1"/>
  <c r="AB168" i="150" s="1"/>
  <c r="AB169" i="150" s="1"/>
  <c r="AB170" i="150" s="1"/>
  <c r="AB171" i="150" s="1"/>
  <c r="AB172" i="150" s="1"/>
  <c r="AB173" i="150" s="1"/>
  <c r="AB174" i="150" s="1"/>
  <c r="AB175" i="150" s="1"/>
  <c r="AB176" i="150" s="1"/>
  <c r="AB177" i="150" s="1"/>
  <c r="AB178" i="150" s="1"/>
  <c r="AB179" i="150" s="1"/>
  <c r="AB180" i="150" s="1"/>
  <c r="AB181" i="150" s="1"/>
  <c r="AB182" i="150" s="1"/>
  <c r="AB183" i="150" s="1"/>
  <c r="AB184" i="150" s="1"/>
  <c r="AB185" i="150" s="1"/>
  <c r="AB186" i="150" s="1"/>
  <c r="AB187" i="150" s="1"/>
  <c r="AB188" i="150" s="1"/>
  <c r="AB189" i="150" s="1"/>
  <c r="AB190" i="150" s="1"/>
  <c r="AB191" i="150" s="1"/>
  <c r="AB192" i="150" s="1"/>
  <c r="AB193" i="150" s="1"/>
  <c r="AB194" i="150" s="1"/>
  <c r="AB195" i="150" s="1"/>
  <c r="AB196" i="150" s="1"/>
  <c r="AB197" i="150" s="1"/>
  <c r="AB198" i="150" s="1"/>
  <c r="AB199" i="150" s="1"/>
  <c r="AB200" i="150" s="1"/>
  <c r="AB201" i="150" s="1"/>
  <c r="AB202" i="150" s="1"/>
  <c r="AB203" i="150" s="1"/>
  <c r="AB204" i="150" s="1"/>
  <c r="AB205" i="150" s="1"/>
  <c r="AB206" i="150" s="1"/>
  <c r="AB207" i="150" s="1"/>
  <c r="AB208" i="150" s="1"/>
  <c r="AB209" i="150" s="1"/>
  <c r="AB210" i="150" s="1"/>
  <c r="AB211" i="150" s="1"/>
  <c r="AB212" i="150" s="1"/>
  <c r="AB213" i="150" s="1"/>
  <c r="AB214" i="150" s="1"/>
  <c r="AB215" i="150" s="1"/>
  <c r="AB216" i="150" s="1"/>
  <c r="AB217" i="150" s="1"/>
  <c r="AB218" i="150" s="1"/>
  <c r="AB219" i="150" s="1"/>
  <c r="AB220" i="150" s="1"/>
  <c r="AB221" i="150" s="1"/>
  <c r="AB222" i="150" s="1"/>
  <c r="AB223" i="150" s="1"/>
  <c r="AB224" i="150" s="1"/>
  <c r="AB225" i="150" s="1"/>
  <c r="AB226" i="150" s="1"/>
  <c r="AB227" i="150" s="1"/>
  <c r="AB228" i="150" s="1"/>
  <c r="AB229" i="150" s="1"/>
  <c r="AB230" i="150" s="1"/>
  <c r="AB231" i="150" s="1"/>
  <c r="AB232" i="150" s="1"/>
  <c r="AB233" i="150" s="1"/>
  <c r="AB234" i="150" s="1"/>
  <c r="AB235" i="150" s="1"/>
  <c r="AB236" i="150" s="1"/>
  <c r="AB237" i="150" s="1"/>
  <c r="AB238" i="150" s="1"/>
  <c r="AB239" i="150" s="1"/>
  <c r="AB240" i="150" s="1"/>
  <c r="AB241" i="150" s="1"/>
  <c r="AB242" i="150" s="1"/>
  <c r="AB243" i="150" s="1"/>
  <c r="AB244" i="150" s="1"/>
  <c r="AB245" i="150" s="1"/>
  <c r="AB246" i="150" s="1"/>
  <c r="AB247" i="150" s="1"/>
  <c r="AB248" i="150" s="1"/>
  <c r="AB249" i="150" s="1"/>
  <c r="AB250" i="150" s="1"/>
  <c r="AB251" i="150" s="1"/>
  <c r="AB252" i="150" s="1"/>
  <c r="AB253" i="150" s="1"/>
  <c r="AB254" i="150" s="1"/>
  <c r="AB255" i="150" s="1"/>
  <c r="AB256" i="150" s="1"/>
  <c r="AB257" i="150" s="1"/>
  <c r="AB258" i="150" s="1"/>
  <c r="AB259" i="150" s="1"/>
  <c r="AB260" i="150" s="1"/>
  <c r="AB261" i="150" s="1"/>
  <c r="AB262" i="150" s="1"/>
  <c r="P155" i="150"/>
  <c r="P156" i="150" s="1"/>
  <c r="P157" i="150" s="1"/>
  <c r="P158" i="150" s="1"/>
  <c r="P159" i="150" s="1"/>
  <c r="P160" i="150" s="1"/>
  <c r="P161" i="150" s="1"/>
  <c r="P162" i="150" s="1"/>
  <c r="P163" i="150" s="1"/>
  <c r="P164" i="150" s="1"/>
  <c r="P165" i="150" s="1"/>
  <c r="P166" i="150" s="1"/>
  <c r="P167" i="150" s="1"/>
  <c r="P168" i="150" s="1"/>
  <c r="P169" i="150" s="1"/>
  <c r="P170" i="150" s="1"/>
  <c r="P171" i="150" s="1"/>
  <c r="P172" i="150" s="1"/>
  <c r="P173" i="150" s="1"/>
  <c r="P174" i="150" s="1"/>
  <c r="P175" i="150" s="1"/>
  <c r="P176" i="150" s="1"/>
  <c r="P177" i="150" s="1"/>
  <c r="P178" i="150" s="1"/>
  <c r="P179" i="150" s="1"/>
  <c r="P180" i="150" s="1"/>
  <c r="P181" i="150" s="1"/>
  <c r="P182" i="150" s="1"/>
  <c r="P183" i="150" s="1"/>
  <c r="P184" i="150" s="1"/>
  <c r="P185" i="150" s="1"/>
  <c r="P186" i="150" s="1"/>
  <c r="P187" i="150" s="1"/>
  <c r="P188" i="150" s="1"/>
  <c r="P189" i="150" s="1"/>
  <c r="P190" i="150" s="1"/>
  <c r="P191" i="150" s="1"/>
  <c r="P192" i="150" s="1"/>
  <c r="P193" i="150" s="1"/>
  <c r="P194" i="150" s="1"/>
  <c r="P195" i="150" s="1"/>
  <c r="P196" i="150" s="1"/>
  <c r="P197" i="150" s="1"/>
  <c r="P198" i="150" s="1"/>
  <c r="P199" i="150" s="1"/>
  <c r="P200" i="150" s="1"/>
  <c r="P201" i="150" s="1"/>
  <c r="P202" i="150" s="1"/>
  <c r="P203" i="150" s="1"/>
  <c r="P204" i="150" s="1"/>
  <c r="P205" i="150" s="1"/>
  <c r="P206" i="150" s="1"/>
  <c r="P207" i="150" s="1"/>
  <c r="P208" i="150" s="1"/>
  <c r="P209" i="150" s="1"/>
  <c r="P210" i="150" s="1"/>
  <c r="P211" i="150" s="1"/>
  <c r="P212" i="150" s="1"/>
  <c r="P213" i="150" s="1"/>
  <c r="P214" i="150" s="1"/>
  <c r="P215" i="150" s="1"/>
  <c r="P216" i="150" s="1"/>
  <c r="P217" i="150" s="1"/>
  <c r="P218" i="150" s="1"/>
  <c r="P219" i="150" s="1"/>
  <c r="P220" i="150" s="1"/>
  <c r="P221" i="150" s="1"/>
  <c r="P222" i="150" s="1"/>
  <c r="P223" i="150" s="1"/>
  <c r="P224" i="150" s="1"/>
  <c r="P225" i="150" s="1"/>
  <c r="P226" i="150" s="1"/>
  <c r="P227" i="150" s="1"/>
  <c r="P228" i="150" s="1"/>
  <c r="P229" i="150" s="1"/>
  <c r="P230" i="150" s="1"/>
  <c r="P231" i="150" s="1"/>
  <c r="P232" i="150" s="1"/>
  <c r="P233" i="150" s="1"/>
  <c r="P234" i="150" s="1"/>
  <c r="P235" i="150" s="1"/>
  <c r="P236" i="150" s="1"/>
  <c r="P237" i="150" s="1"/>
  <c r="P238" i="150" s="1"/>
  <c r="P239" i="150" s="1"/>
  <c r="P240" i="150" s="1"/>
  <c r="P241" i="150" s="1"/>
  <c r="P242" i="150" s="1"/>
  <c r="P243" i="150" s="1"/>
  <c r="P244" i="150" s="1"/>
  <c r="P245" i="150" s="1"/>
  <c r="P246" i="150" s="1"/>
  <c r="P247" i="150" s="1"/>
  <c r="P248" i="150" s="1"/>
  <c r="P249" i="150" s="1"/>
  <c r="P250" i="150" s="1"/>
  <c r="P251" i="150" s="1"/>
  <c r="P252" i="150" s="1"/>
  <c r="P253" i="150" s="1"/>
  <c r="P254" i="150" s="1"/>
  <c r="P255" i="150" s="1"/>
  <c r="P256" i="150" s="1"/>
  <c r="P257" i="150" s="1"/>
  <c r="P258" i="150" s="1"/>
  <c r="P259" i="150" s="1"/>
  <c r="P260" i="150" s="1"/>
  <c r="P261" i="150" s="1"/>
  <c r="P262" i="150" s="1"/>
  <c r="Q155" i="150"/>
  <c r="R155" i="150"/>
  <c r="S155" i="150"/>
  <c r="T155" i="150"/>
  <c r="U155" i="150"/>
  <c r="V155" i="150"/>
  <c r="W155" i="150"/>
  <c r="X155" i="150"/>
  <c r="Y155" i="150"/>
  <c r="Z155" i="150"/>
  <c r="AA155" i="150"/>
  <c r="AC155" i="150"/>
  <c r="AD155" i="150"/>
  <c r="AE155" i="150"/>
  <c r="AF155" i="150"/>
  <c r="AG155" i="150"/>
  <c r="AH155" i="150"/>
  <c r="AI155" i="150"/>
  <c r="AJ155" i="150"/>
  <c r="AK155" i="150"/>
  <c r="AL155" i="150"/>
  <c r="AM155" i="150"/>
  <c r="AO155" i="150"/>
  <c r="AP155" i="150"/>
  <c r="AQ155" i="150"/>
  <c r="AR155" i="150"/>
  <c r="AS155" i="150"/>
  <c r="AT155" i="150"/>
  <c r="AU155" i="150"/>
  <c r="AV155" i="150"/>
  <c r="AW155" i="150"/>
  <c r="AX155" i="150"/>
  <c r="AY155" i="150"/>
  <c r="AB151" i="150"/>
  <c r="AB150" i="150"/>
  <c r="AB149" i="150"/>
  <c r="AB148" i="150"/>
  <c r="AB147" i="150"/>
  <c r="AB146" i="150"/>
  <c r="AB145" i="150"/>
  <c r="AB144" i="150"/>
  <c r="AB143" i="150"/>
  <c r="AB142" i="150"/>
  <c r="AB141" i="150"/>
  <c r="AB140" i="150"/>
  <c r="AB139" i="150"/>
  <c r="AB138" i="150"/>
  <c r="AB137" i="150"/>
  <c r="AB136" i="150"/>
  <c r="AB135" i="150"/>
  <c r="AB134" i="150"/>
  <c r="AB133" i="150"/>
  <c r="AB132" i="150"/>
  <c r="AB131" i="150"/>
  <c r="AB130" i="150"/>
  <c r="AB129" i="150"/>
  <c r="AB128" i="150"/>
  <c r="AB127" i="150"/>
  <c r="AB126" i="150"/>
  <c r="AB125" i="150"/>
  <c r="AB124" i="150"/>
  <c r="AB123" i="150"/>
  <c r="AB122" i="150"/>
  <c r="AB121" i="150"/>
  <c r="AB120" i="150"/>
  <c r="AB119" i="150"/>
  <c r="AB118" i="150"/>
  <c r="AB117" i="150"/>
  <c r="AB116" i="150"/>
  <c r="AB115" i="150"/>
  <c r="AB114" i="150"/>
  <c r="AB113" i="150"/>
  <c r="AB112" i="150"/>
  <c r="AB111" i="150"/>
  <c r="AB110" i="150"/>
  <c r="AB109" i="150"/>
  <c r="AB108" i="150"/>
  <c r="AB107" i="150"/>
  <c r="AB106" i="150"/>
  <c r="AB105" i="150"/>
  <c r="AB104" i="150"/>
  <c r="AB103" i="150"/>
  <c r="AB102" i="150"/>
  <c r="AB101" i="150"/>
  <c r="AB100" i="150"/>
  <c r="AB99" i="150"/>
  <c r="AB98" i="150"/>
  <c r="AB97" i="150"/>
  <c r="AB96" i="150"/>
  <c r="AB95" i="150"/>
  <c r="AB94" i="150"/>
  <c r="AB93" i="150"/>
  <c r="AB92" i="150"/>
  <c r="AB91" i="150"/>
  <c r="AB90" i="150"/>
  <c r="AB89" i="150"/>
  <c r="AB88" i="150"/>
  <c r="AB87" i="150"/>
  <c r="AB86" i="150"/>
  <c r="AB85" i="150"/>
  <c r="AB84" i="150"/>
  <c r="AB83" i="150"/>
  <c r="AB82" i="150"/>
  <c r="AB81" i="150"/>
  <c r="AB80" i="150"/>
  <c r="AB79" i="150"/>
  <c r="AB78" i="150"/>
  <c r="AB77" i="150"/>
  <c r="AB76" i="150"/>
  <c r="AB75" i="150"/>
  <c r="AB74" i="150"/>
  <c r="AB73" i="150"/>
  <c r="AB72" i="150"/>
  <c r="AB71" i="150"/>
  <c r="AB70" i="150"/>
  <c r="AB69" i="150"/>
  <c r="AB68" i="150"/>
  <c r="AB67" i="150"/>
  <c r="AB66" i="150"/>
  <c r="AB65" i="150"/>
  <c r="AB64" i="150"/>
  <c r="AB63" i="150"/>
  <c r="AB62" i="150"/>
  <c r="AB61" i="150"/>
  <c r="AB60" i="150"/>
  <c r="AB59" i="150"/>
  <c r="AB58" i="150"/>
  <c r="AB57" i="150"/>
  <c r="AB56" i="150"/>
  <c r="AB55" i="150"/>
  <c r="AB54" i="150"/>
  <c r="AB53" i="150"/>
  <c r="AB52" i="150"/>
  <c r="AB51" i="150"/>
  <c r="AB50" i="150"/>
  <c r="AB49" i="150"/>
  <c r="AB48" i="150"/>
  <c r="AB47" i="150"/>
  <c r="AB46" i="150"/>
  <c r="AB45" i="150"/>
  <c r="AB44" i="150"/>
  <c r="P151" i="150"/>
  <c r="P150" i="150"/>
  <c r="P149" i="150"/>
  <c r="P148" i="150"/>
  <c r="P147" i="150"/>
  <c r="P146" i="150"/>
  <c r="P145" i="150"/>
  <c r="P144" i="150"/>
  <c r="P143" i="150"/>
  <c r="P142" i="150"/>
  <c r="P141" i="150"/>
  <c r="P140" i="150"/>
  <c r="P139" i="150"/>
  <c r="P138" i="150"/>
  <c r="P137" i="150"/>
  <c r="P136" i="150"/>
  <c r="P135" i="150"/>
  <c r="P134" i="150"/>
  <c r="P133" i="150"/>
  <c r="P132" i="150"/>
  <c r="P131" i="150"/>
  <c r="P130" i="150"/>
  <c r="P129" i="150"/>
  <c r="P128" i="150"/>
  <c r="P127" i="150"/>
  <c r="P126" i="150"/>
  <c r="P125" i="150"/>
  <c r="P124" i="150"/>
  <c r="P123" i="150"/>
  <c r="P122" i="150"/>
  <c r="P121" i="150"/>
  <c r="P120" i="150"/>
  <c r="P119" i="150"/>
  <c r="P118" i="150"/>
  <c r="P117" i="150"/>
  <c r="P116" i="150"/>
  <c r="P115" i="150"/>
  <c r="P114" i="150"/>
  <c r="P113" i="150"/>
  <c r="P112" i="150"/>
  <c r="P111" i="150"/>
  <c r="P110" i="150"/>
  <c r="P109" i="150"/>
  <c r="P108" i="150"/>
  <c r="P107" i="150"/>
  <c r="P106" i="150"/>
  <c r="P105" i="150"/>
  <c r="P104" i="150"/>
  <c r="P103" i="150"/>
  <c r="P102" i="150"/>
  <c r="P101" i="150"/>
  <c r="P100" i="150"/>
  <c r="P99" i="150"/>
  <c r="P98" i="150"/>
  <c r="P97" i="150"/>
  <c r="P96" i="150"/>
  <c r="P95" i="150"/>
  <c r="P94" i="150"/>
  <c r="P93" i="150"/>
  <c r="P92" i="150"/>
  <c r="P91" i="150"/>
  <c r="P90" i="150"/>
  <c r="P89" i="150"/>
  <c r="P88" i="150"/>
  <c r="P87" i="150"/>
  <c r="P86" i="150"/>
  <c r="P85" i="150"/>
  <c r="P84" i="150"/>
  <c r="P83" i="150"/>
  <c r="P82" i="150"/>
  <c r="P81" i="150"/>
  <c r="P80" i="150"/>
  <c r="P79" i="150"/>
  <c r="P78" i="150"/>
  <c r="P77" i="150"/>
  <c r="P76" i="150"/>
  <c r="P75" i="150"/>
  <c r="P74" i="150"/>
  <c r="P73" i="150"/>
  <c r="P72" i="150"/>
  <c r="P71" i="150"/>
  <c r="P70" i="150"/>
  <c r="P69" i="150"/>
  <c r="P68" i="150"/>
  <c r="P67" i="150"/>
  <c r="P66" i="150"/>
  <c r="P65" i="150"/>
  <c r="P64" i="150"/>
  <c r="P63" i="150"/>
  <c r="P62" i="150"/>
  <c r="P61" i="150"/>
  <c r="P60" i="150"/>
  <c r="P59" i="150"/>
  <c r="P58" i="150"/>
  <c r="P57" i="150"/>
  <c r="P56" i="150"/>
  <c r="P55" i="150"/>
  <c r="P54" i="150"/>
  <c r="P53" i="150"/>
  <c r="P52" i="150"/>
  <c r="P51" i="150"/>
  <c r="P50" i="150"/>
  <c r="P49" i="150"/>
  <c r="P48" i="150"/>
  <c r="P47" i="150"/>
  <c r="P46" i="150"/>
  <c r="P45" i="150"/>
  <c r="P44" i="150"/>
  <c r="X122" i="77"/>
  <c r="X123" i="77"/>
  <c r="X124" i="77"/>
  <c r="X125" i="77"/>
  <c r="X126" i="77"/>
  <c r="X127" i="77"/>
  <c r="X128" i="77"/>
  <c r="X129" i="77"/>
  <c r="X130" i="77"/>
  <c r="X131" i="77"/>
  <c r="X132" i="77"/>
  <c r="X133" i="77"/>
  <c r="X134" i="77"/>
  <c r="X135" i="77"/>
  <c r="X136" i="77"/>
  <c r="X137" i="77"/>
  <c r="X138" i="77"/>
  <c r="X139" i="77"/>
  <c r="X140" i="77"/>
  <c r="X141" i="77"/>
  <c r="X142" i="77"/>
  <c r="X143" i="77"/>
  <c r="X144" i="77"/>
  <c r="X145" i="77"/>
  <c r="L122" i="77"/>
  <c r="L123" i="77"/>
  <c r="L124" i="77"/>
  <c r="L125" i="77"/>
  <c r="L126" i="77"/>
  <c r="L127" i="77"/>
  <c r="L128" i="77"/>
  <c r="L129" i="77"/>
  <c r="L130" i="77"/>
  <c r="L131" i="77"/>
  <c r="L132" i="77"/>
  <c r="L133" i="77"/>
  <c r="L134" i="77"/>
  <c r="L135" i="77"/>
  <c r="L136" i="77"/>
  <c r="L137" i="77"/>
  <c r="L138" i="77"/>
  <c r="L139" i="77"/>
  <c r="L140" i="77"/>
  <c r="L141" i="77"/>
  <c r="L142" i="77"/>
  <c r="L143" i="77"/>
  <c r="L144" i="77"/>
  <c r="L145" i="77"/>
  <c r="V14" i="77"/>
  <c r="V15" i="77"/>
  <c r="V16" i="77"/>
  <c r="V17" i="77"/>
  <c r="V18" i="77"/>
  <c r="V19" i="77"/>
  <c r="V20" i="77"/>
  <c r="V21" i="77"/>
  <c r="V22" i="77"/>
  <c r="V23" i="77"/>
  <c r="V24" i="77"/>
  <c r="V25" i="77"/>
  <c r="V26" i="77"/>
  <c r="V27" i="77"/>
  <c r="V28" i="77"/>
  <c r="V29" i="77"/>
  <c r="V30" i="77"/>
  <c r="V31" i="77"/>
  <c r="V32" i="77"/>
  <c r="V33" i="77"/>
  <c r="V34" i="77"/>
  <c r="V35" i="77"/>
  <c r="V36" i="77"/>
  <c r="V37" i="77"/>
  <c r="V38" i="77"/>
  <c r="V39" i="77"/>
  <c r="V40" i="77"/>
  <c r="V41" i="77"/>
  <c r="V42" i="77"/>
  <c r="V43" i="77"/>
  <c r="V44" i="77"/>
  <c r="V45" i="77"/>
  <c r="V46" i="77"/>
  <c r="V47" i="77"/>
  <c r="V48" i="77"/>
  <c r="V49" i="77"/>
  <c r="V50" i="77"/>
  <c r="V51" i="77"/>
  <c r="V52" i="77"/>
  <c r="V53" i="77"/>
  <c r="V54" i="77"/>
  <c r="V55" i="77"/>
  <c r="V56" i="77"/>
  <c r="V57" i="77"/>
  <c r="V58" i="77"/>
  <c r="V59" i="77"/>
  <c r="V60" i="77"/>
  <c r="V61" i="77"/>
  <c r="V5" i="77"/>
  <c r="V6" i="77"/>
  <c r="V7" i="77"/>
  <c r="V8" i="77"/>
  <c r="V9" i="77"/>
  <c r="V10" i="77"/>
  <c r="V11" i="77"/>
  <c r="V12" i="77"/>
  <c r="V13" i="77"/>
  <c r="V3" i="77"/>
  <c r="V4" i="77"/>
  <c r="V2" i="77"/>
  <c r="V1" i="77"/>
  <c r="AB1" i="77" s="1"/>
  <c r="S3" i="77"/>
  <c r="S4" i="77"/>
  <c r="S5" i="77"/>
  <c r="S6" i="77"/>
  <c r="S7" i="77"/>
  <c r="S8" i="77"/>
  <c r="S9" i="77"/>
  <c r="S10" i="77"/>
  <c r="S11" i="77"/>
  <c r="S12" i="77"/>
  <c r="S13" i="77"/>
  <c r="S14" i="77"/>
  <c r="S15" i="77"/>
  <c r="S16" i="77"/>
  <c r="S17" i="77"/>
  <c r="S18" i="77"/>
  <c r="S19" i="77"/>
  <c r="S20" i="77"/>
  <c r="S21" i="77"/>
  <c r="S22" i="77"/>
  <c r="S23" i="77"/>
  <c r="S24" i="77"/>
  <c r="S25" i="77"/>
  <c r="S26" i="77"/>
  <c r="S27" i="77"/>
  <c r="S28" i="77"/>
  <c r="S29" i="77"/>
  <c r="S30" i="77"/>
  <c r="S31" i="77"/>
  <c r="S32" i="77"/>
  <c r="S33" i="77"/>
  <c r="S34" i="77"/>
  <c r="S35" i="77"/>
  <c r="S36" i="77"/>
  <c r="S37" i="77"/>
  <c r="S38" i="77"/>
  <c r="S39" i="77"/>
  <c r="S40" i="77"/>
  <c r="S41" i="77"/>
  <c r="S42" i="77"/>
  <c r="S43" i="77"/>
  <c r="S44" i="77"/>
  <c r="S45" i="77"/>
  <c r="S46" i="77"/>
  <c r="S47" i="77"/>
  <c r="S48" i="77"/>
  <c r="S49" i="77"/>
  <c r="S50" i="77"/>
  <c r="S51" i="77"/>
  <c r="S52" i="77"/>
  <c r="S53" i="77"/>
  <c r="S54" i="77"/>
  <c r="S55" i="77"/>
  <c r="S56" i="77"/>
  <c r="S57" i="77"/>
  <c r="S58" i="77"/>
  <c r="S59" i="77"/>
  <c r="S60" i="77"/>
  <c r="S61" i="77"/>
  <c r="S62" i="77"/>
  <c r="S63" i="77"/>
  <c r="S64" i="77"/>
  <c r="S65" i="77"/>
  <c r="S66" i="77"/>
  <c r="S67" i="77"/>
  <c r="S68" i="77"/>
  <c r="S69" i="77"/>
  <c r="S70" i="77"/>
  <c r="S71" i="77"/>
  <c r="S72" i="77"/>
  <c r="S73" i="77"/>
  <c r="S74" i="77"/>
  <c r="S75" i="77"/>
  <c r="S76" i="77"/>
  <c r="S77" i="77"/>
  <c r="S78" i="77"/>
  <c r="S79" i="77"/>
  <c r="S80" i="77"/>
  <c r="S81" i="77"/>
  <c r="S82" i="77"/>
  <c r="S83" i="77"/>
  <c r="S84" i="77"/>
  <c r="S85" i="77"/>
  <c r="S86" i="77"/>
  <c r="S87" i="77"/>
  <c r="S88" i="77"/>
  <c r="S89" i="77"/>
  <c r="S90" i="77"/>
  <c r="S91" i="77"/>
  <c r="S92" i="77"/>
  <c r="S93" i="77"/>
  <c r="S94" i="77"/>
  <c r="S95" i="77"/>
  <c r="S96" i="77"/>
  <c r="S97" i="77"/>
  <c r="S98" i="77"/>
  <c r="S99" i="77"/>
  <c r="S100" i="77"/>
  <c r="S101" i="77"/>
  <c r="S102" i="77"/>
  <c r="S103" i="77"/>
  <c r="S104" i="77"/>
  <c r="S105" i="77"/>
  <c r="S106" i="77"/>
  <c r="S107" i="77"/>
  <c r="S108" i="77"/>
  <c r="S109" i="77"/>
  <c r="S110" i="77"/>
  <c r="S111" i="77"/>
  <c r="S112" i="77"/>
  <c r="S113" i="77"/>
  <c r="S114" i="77"/>
  <c r="S115" i="77"/>
  <c r="S116" i="77"/>
  <c r="S117" i="77"/>
  <c r="S118" i="77"/>
  <c r="S119" i="77"/>
  <c r="S120" i="77"/>
  <c r="S121" i="77"/>
  <c r="S122" i="77"/>
  <c r="Z122" i="77" s="1"/>
  <c r="S123" i="77"/>
  <c r="Z123" i="77" s="1"/>
  <c r="S124" i="77"/>
  <c r="Z124" i="77" s="1"/>
  <c r="S125" i="77"/>
  <c r="Z125" i="77" s="1"/>
  <c r="S126" i="77"/>
  <c r="Z126" i="77" s="1"/>
  <c r="S127" i="77"/>
  <c r="Z127" i="77" s="1"/>
  <c r="S128" i="77"/>
  <c r="Z128" i="77" s="1"/>
  <c r="S129" i="77"/>
  <c r="Z129" i="77" s="1"/>
  <c r="S130" i="77"/>
  <c r="Z130" i="77" s="1"/>
  <c r="S131" i="77"/>
  <c r="Z131" i="77" s="1"/>
  <c r="S132" i="77"/>
  <c r="Z132" i="77" s="1"/>
  <c r="S133" i="77"/>
  <c r="Z133" i="77" s="1"/>
  <c r="S134" i="77"/>
  <c r="Z134" i="77" s="1"/>
  <c r="S135" i="77"/>
  <c r="Z135" i="77" s="1"/>
  <c r="S136" i="77"/>
  <c r="Z136" i="77" s="1"/>
  <c r="S137" i="77"/>
  <c r="Z137" i="77" s="1"/>
  <c r="S138" i="77"/>
  <c r="Z138" i="77" s="1"/>
  <c r="S139" i="77"/>
  <c r="Z139" i="77" s="1"/>
  <c r="S140" i="77"/>
  <c r="Z140" i="77" s="1"/>
  <c r="S141" i="77"/>
  <c r="Z141" i="77" s="1"/>
  <c r="S142" i="77"/>
  <c r="Z142" i="77" s="1"/>
  <c r="S143" i="77"/>
  <c r="Z143" i="77" s="1"/>
  <c r="S144" i="77"/>
  <c r="Z144" i="77" s="1"/>
  <c r="S145" i="77"/>
  <c r="Z145" i="77" s="1"/>
  <c r="S2" i="77"/>
  <c r="S1" i="77"/>
  <c r="Z1" i="77" s="1"/>
  <c r="R3" i="77"/>
  <c r="R4" i="77"/>
  <c r="R5" i="77"/>
  <c r="R6" i="77"/>
  <c r="R7" i="77"/>
  <c r="R8" i="77"/>
  <c r="R9" i="77"/>
  <c r="R10" i="77"/>
  <c r="R11" i="77"/>
  <c r="R12" i="77"/>
  <c r="R13" i="77"/>
  <c r="R14" i="77"/>
  <c r="R15" i="77"/>
  <c r="R16" i="77"/>
  <c r="R17" i="77"/>
  <c r="R18" i="77"/>
  <c r="R19" i="77"/>
  <c r="R20" i="77"/>
  <c r="R21" i="77"/>
  <c r="R22" i="77"/>
  <c r="R23" i="77"/>
  <c r="R24" i="77"/>
  <c r="R25" i="77"/>
  <c r="R26" i="77"/>
  <c r="R27" i="77"/>
  <c r="R28" i="77"/>
  <c r="R29" i="77"/>
  <c r="R30" i="77"/>
  <c r="R31" i="77"/>
  <c r="R32" i="77"/>
  <c r="R33" i="77"/>
  <c r="R34" i="77"/>
  <c r="R35" i="77"/>
  <c r="R36" i="77"/>
  <c r="R37" i="77"/>
  <c r="R38" i="77"/>
  <c r="R39" i="77"/>
  <c r="R40" i="77"/>
  <c r="R41" i="77"/>
  <c r="R42" i="77"/>
  <c r="R43" i="77"/>
  <c r="R44" i="77"/>
  <c r="R45" i="77"/>
  <c r="R46" i="77"/>
  <c r="R47" i="77"/>
  <c r="R48" i="77"/>
  <c r="R49" i="77"/>
  <c r="R50" i="77"/>
  <c r="R51" i="77"/>
  <c r="R52" i="77"/>
  <c r="R53" i="77"/>
  <c r="R54" i="77"/>
  <c r="R55" i="77"/>
  <c r="R56" i="77"/>
  <c r="R57" i="77"/>
  <c r="R58" i="77"/>
  <c r="R59" i="77"/>
  <c r="R60" i="77"/>
  <c r="R61" i="77"/>
  <c r="R62" i="77"/>
  <c r="R63" i="77"/>
  <c r="R64" i="77"/>
  <c r="R65" i="77"/>
  <c r="R66" i="77"/>
  <c r="R67" i="77"/>
  <c r="R68" i="77"/>
  <c r="R69" i="77"/>
  <c r="R70" i="77"/>
  <c r="R71" i="77"/>
  <c r="R72" i="77"/>
  <c r="R73" i="77"/>
  <c r="R74" i="77"/>
  <c r="R75" i="77"/>
  <c r="R76" i="77"/>
  <c r="R77" i="77"/>
  <c r="R78" i="77"/>
  <c r="R79" i="77"/>
  <c r="R80" i="77"/>
  <c r="R81" i="77"/>
  <c r="R82" i="77"/>
  <c r="R83" i="77"/>
  <c r="R84" i="77"/>
  <c r="R85" i="77"/>
  <c r="R86" i="77"/>
  <c r="R87" i="77"/>
  <c r="R88" i="77"/>
  <c r="R89" i="77"/>
  <c r="R90" i="77"/>
  <c r="R91" i="77"/>
  <c r="R92" i="77"/>
  <c r="R93" i="77"/>
  <c r="R94" i="77"/>
  <c r="R95" i="77"/>
  <c r="R96" i="77"/>
  <c r="R97" i="77"/>
  <c r="R98" i="77"/>
  <c r="R99" i="77"/>
  <c r="R100" i="77"/>
  <c r="R101" i="77"/>
  <c r="R102" i="77"/>
  <c r="R103" i="77"/>
  <c r="R104" i="77"/>
  <c r="R105" i="77"/>
  <c r="R106" i="77"/>
  <c r="R107" i="77"/>
  <c r="R108" i="77"/>
  <c r="R109" i="77"/>
  <c r="R110" i="77"/>
  <c r="R111" i="77"/>
  <c r="R112" i="77"/>
  <c r="R113" i="77"/>
  <c r="R114" i="77"/>
  <c r="R115" i="77"/>
  <c r="R116" i="77"/>
  <c r="R117" i="77"/>
  <c r="R118" i="77"/>
  <c r="R119" i="77"/>
  <c r="R120" i="77"/>
  <c r="R121" i="77"/>
  <c r="R122" i="77"/>
  <c r="Y122" i="77" s="1"/>
  <c r="R123" i="77"/>
  <c r="Y123" i="77" s="1"/>
  <c r="R124" i="77"/>
  <c r="Y124" i="77" s="1"/>
  <c r="R125" i="77"/>
  <c r="Y125" i="77" s="1"/>
  <c r="R126" i="77"/>
  <c r="Y126" i="77" s="1"/>
  <c r="R127" i="77"/>
  <c r="Y127" i="77" s="1"/>
  <c r="R128" i="77"/>
  <c r="Y128" i="77" s="1"/>
  <c r="R129" i="77"/>
  <c r="Y129" i="77" s="1"/>
  <c r="R130" i="77"/>
  <c r="Y130" i="77" s="1"/>
  <c r="R131" i="77"/>
  <c r="Y131" i="77" s="1"/>
  <c r="R132" i="77"/>
  <c r="Y132" i="77" s="1"/>
  <c r="R133" i="77"/>
  <c r="Y133" i="77" s="1"/>
  <c r="R134" i="77"/>
  <c r="Y134" i="77" s="1"/>
  <c r="R135" i="77"/>
  <c r="Y135" i="77" s="1"/>
  <c r="R136" i="77"/>
  <c r="Y136" i="77" s="1"/>
  <c r="R137" i="77"/>
  <c r="Y137" i="77" s="1"/>
  <c r="R138" i="77"/>
  <c r="Y138" i="77" s="1"/>
  <c r="R139" i="77"/>
  <c r="Y139" i="77" s="1"/>
  <c r="R140" i="77"/>
  <c r="Y140" i="77" s="1"/>
  <c r="R141" i="77"/>
  <c r="Y141" i="77" s="1"/>
  <c r="R142" i="77"/>
  <c r="Y142" i="77" s="1"/>
  <c r="R143" i="77"/>
  <c r="Y143" i="77" s="1"/>
  <c r="R144" i="77"/>
  <c r="Y144" i="77" s="1"/>
  <c r="R145" i="77"/>
  <c r="Y145" i="77" s="1"/>
  <c r="R2" i="77"/>
  <c r="R1" i="77"/>
  <c r="Y1" i="77" s="1"/>
  <c r="Q5" i="77"/>
  <c r="Q6" i="77"/>
  <c r="Q7" i="77"/>
  <c r="Q8" i="77"/>
  <c r="Q9" i="77"/>
  <c r="Q10" i="77"/>
  <c r="Q11" i="77"/>
  <c r="Q12" i="77"/>
  <c r="Q13" i="77"/>
  <c r="Q14" i="77"/>
  <c r="Q15" i="77"/>
  <c r="Q16" i="77"/>
  <c r="Q17" i="77"/>
  <c r="Q18" i="77"/>
  <c r="Q19" i="77"/>
  <c r="Q20" i="77"/>
  <c r="Q21" i="77"/>
  <c r="Q22" i="77"/>
  <c r="Q23" i="77"/>
  <c r="Q24" i="77"/>
  <c r="Q25" i="77"/>
  <c r="Q26" i="77"/>
  <c r="Q27" i="77"/>
  <c r="Q28" i="77"/>
  <c r="Q29" i="77"/>
  <c r="Q30" i="77"/>
  <c r="Q31" i="77"/>
  <c r="Q32" i="77"/>
  <c r="Q33" i="77"/>
  <c r="Q34" i="77"/>
  <c r="Q35" i="77"/>
  <c r="Q36" i="77"/>
  <c r="Q37" i="77"/>
  <c r="Q38" i="77"/>
  <c r="Q39" i="77"/>
  <c r="Q40" i="77"/>
  <c r="Q41" i="77"/>
  <c r="Q42" i="77"/>
  <c r="Q43" i="77"/>
  <c r="Q44" i="77"/>
  <c r="Q45" i="77"/>
  <c r="Q46" i="77"/>
  <c r="Q47" i="77"/>
  <c r="Q48" i="77"/>
  <c r="Q49" i="77"/>
  <c r="Q50" i="77"/>
  <c r="Q51" i="77"/>
  <c r="Q52" i="77"/>
  <c r="Q53" i="77"/>
  <c r="Q54" i="77"/>
  <c r="Q55" i="77"/>
  <c r="Q56" i="77"/>
  <c r="Q57" i="77"/>
  <c r="Q58" i="77"/>
  <c r="Q59" i="77"/>
  <c r="Q60" i="77"/>
  <c r="Q61" i="77"/>
  <c r="Q62" i="77"/>
  <c r="Q63" i="77"/>
  <c r="Q64" i="77"/>
  <c r="Q65" i="77"/>
  <c r="Q66" i="77"/>
  <c r="Q67" i="77"/>
  <c r="Q68" i="77"/>
  <c r="Q69" i="77"/>
  <c r="Q70" i="77"/>
  <c r="Q71" i="77"/>
  <c r="Q72" i="77"/>
  <c r="Q73" i="77"/>
  <c r="Q74" i="77"/>
  <c r="Q75" i="77"/>
  <c r="Q76" i="77"/>
  <c r="Q77" i="77"/>
  <c r="Q78" i="77"/>
  <c r="Q79" i="77"/>
  <c r="Q80" i="77"/>
  <c r="Q81" i="77"/>
  <c r="Q82" i="77"/>
  <c r="Q83" i="77"/>
  <c r="Q84" i="77"/>
  <c r="Q85" i="77"/>
  <c r="Q86" i="77"/>
  <c r="Q87" i="77"/>
  <c r="Q88" i="77"/>
  <c r="Q89" i="77"/>
  <c r="Q90" i="77"/>
  <c r="Q91" i="77"/>
  <c r="Q92" i="77"/>
  <c r="Q93" i="77"/>
  <c r="Q94" i="77"/>
  <c r="Q95" i="77"/>
  <c r="Q96" i="77"/>
  <c r="Q97" i="77"/>
  <c r="Q98" i="77"/>
  <c r="Q99" i="77"/>
  <c r="Q100" i="77"/>
  <c r="Q101" i="77"/>
  <c r="Q102" i="77"/>
  <c r="Q103" i="77"/>
  <c r="Q104" i="77"/>
  <c r="Q105" i="77"/>
  <c r="Q106" i="77"/>
  <c r="Q107" i="77"/>
  <c r="Q108" i="77"/>
  <c r="Q109" i="77"/>
  <c r="Q110" i="77"/>
  <c r="Q111" i="77"/>
  <c r="Q112" i="77"/>
  <c r="Q113" i="77"/>
  <c r="Q114" i="77"/>
  <c r="Q115" i="77"/>
  <c r="Q116" i="77"/>
  <c r="Q117" i="77"/>
  <c r="Q118" i="77"/>
  <c r="Q119" i="77"/>
  <c r="Q120" i="77"/>
  <c r="Q121" i="77"/>
  <c r="Q3" i="77"/>
  <c r="Q4" i="77"/>
  <c r="Q2" i="77"/>
  <c r="Q1" i="77"/>
  <c r="D1" i="36"/>
  <c r="N145" i="36"/>
  <c r="T145" i="36" s="1"/>
  <c r="O145" i="36"/>
  <c r="U145" i="36" s="1"/>
  <c r="S145" i="36"/>
  <c r="S33" i="36"/>
  <c r="S34" i="36"/>
  <c r="S35" i="36"/>
  <c r="S36" i="36"/>
  <c r="S37" i="36"/>
  <c r="S38" i="36"/>
  <c r="S39" i="36"/>
  <c r="S40" i="36"/>
  <c r="S41" i="36"/>
  <c r="S42" i="36"/>
  <c r="S43" i="36"/>
  <c r="S44" i="36"/>
  <c r="S45" i="36"/>
  <c r="S46" i="36"/>
  <c r="S47" i="36"/>
  <c r="S48" i="36"/>
  <c r="S49" i="36"/>
  <c r="S50" i="36"/>
  <c r="S51" i="36"/>
  <c r="S52" i="36"/>
  <c r="S53" i="36"/>
  <c r="S54" i="36"/>
  <c r="S55" i="36"/>
  <c r="S56" i="36"/>
  <c r="S57" i="36"/>
  <c r="S58" i="36"/>
  <c r="S59" i="36"/>
  <c r="S60" i="36"/>
  <c r="S61" i="36"/>
  <c r="S62" i="36"/>
  <c r="S63" i="36"/>
  <c r="S64" i="36"/>
  <c r="S65" i="36"/>
  <c r="S66" i="36"/>
  <c r="S67" i="36"/>
  <c r="S68" i="36"/>
  <c r="S69" i="36"/>
  <c r="S70" i="36"/>
  <c r="S71" i="36"/>
  <c r="S72" i="36"/>
  <c r="S73" i="36"/>
  <c r="S74" i="36"/>
  <c r="S75" i="36"/>
  <c r="S76" i="36"/>
  <c r="S77" i="36"/>
  <c r="S78" i="36"/>
  <c r="S79" i="36"/>
  <c r="S80" i="36"/>
  <c r="S81" i="36"/>
  <c r="S82" i="36"/>
  <c r="S83" i="36"/>
  <c r="S84" i="36"/>
  <c r="S85" i="36"/>
  <c r="S86" i="36"/>
  <c r="S87" i="36"/>
  <c r="S88" i="36"/>
  <c r="S89" i="36"/>
  <c r="S90" i="36"/>
  <c r="S91" i="36"/>
  <c r="S92" i="36"/>
  <c r="S93" i="36"/>
  <c r="S94" i="36"/>
  <c r="S95" i="36"/>
  <c r="S96" i="36"/>
  <c r="S97" i="36"/>
  <c r="S98" i="36"/>
  <c r="S99" i="36"/>
  <c r="S100" i="36"/>
  <c r="S101" i="36"/>
  <c r="S102" i="36"/>
  <c r="S103" i="36"/>
  <c r="S104" i="36"/>
  <c r="S105" i="36"/>
  <c r="S106" i="36"/>
  <c r="S107" i="36"/>
  <c r="S108" i="36"/>
  <c r="S109" i="36"/>
  <c r="S110" i="36"/>
  <c r="S111" i="36"/>
  <c r="S112" i="36"/>
  <c r="S113" i="36"/>
  <c r="S114" i="36"/>
  <c r="S115" i="36"/>
  <c r="S116" i="36"/>
  <c r="S117" i="36"/>
  <c r="S118" i="36"/>
  <c r="S119" i="36"/>
  <c r="S120" i="36"/>
  <c r="S121" i="36"/>
  <c r="S122" i="36"/>
  <c r="S123" i="36"/>
  <c r="S124" i="36"/>
  <c r="S125" i="36"/>
  <c r="S126" i="36"/>
  <c r="S127" i="36"/>
  <c r="S128" i="36"/>
  <c r="S129" i="36"/>
  <c r="S130" i="36"/>
  <c r="S131" i="36"/>
  <c r="S132" i="36"/>
  <c r="S133" i="36"/>
  <c r="S134" i="36"/>
  <c r="S135" i="36"/>
  <c r="S136" i="36"/>
  <c r="S137" i="36"/>
  <c r="S138" i="36"/>
  <c r="S139" i="36"/>
  <c r="S140" i="36"/>
  <c r="S141" i="36"/>
  <c r="S142" i="36"/>
  <c r="S143" i="36"/>
  <c r="S144" i="36"/>
  <c r="S3" i="36"/>
  <c r="S4" i="36"/>
  <c r="S5" i="36"/>
  <c r="S6" i="36"/>
  <c r="S7" i="36"/>
  <c r="S8" i="36"/>
  <c r="S9" i="36"/>
  <c r="S10" i="36"/>
  <c r="S11" i="36"/>
  <c r="S12" i="36"/>
  <c r="S13" i="36"/>
  <c r="S14" i="36"/>
  <c r="S15" i="36"/>
  <c r="S16" i="36"/>
  <c r="S17" i="36"/>
  <c r="S18" i="36"/>
  <c r="S19" i="36"/>
  <c r="S20" i="36"/>
  <c r="S21" i="36"/>
  <c r="S22" i="36"/>
  <c r="S23" i="36"/>
  <c r="S24" i="36"/>
  <c r="S25" i="36"/>
  <c r="S26" i="36"/>
  <c r="S27" i="36"/>
  <c r="S28" i="36"/>
  <c r="S29" i="36"/>
  <c r="S30" i="36"/>
  <c r="S31" i="36"/>
  <c r="S32" i="36"/>
  <c r="S2" i="36"/>
  <c r="N5" i="36"/>
  <c r="T5" i="36" s="1"/>
  <c r="O5" i="36"/>
  <c r="U5" i="36" s="1"/>
  <c r="Q5" i="36"/>
  <c r="W5" i="36" s="1"/>
  <c r="N6" i="36"/>
  <c r="T6" i="36" s="1"/>
  <c r="O6" i="36"/>
  <c r="U6" i="36" s="1"/>
  <c r="Q6" i="36"/>
  <c r="W6" i="36" s="1"/>
  <c r="N7" i="36"/>
  <c r="T7" i="36" s="1"/>
  <c r="O7" i="36"/>
  <c r="U7" i="36" s="1"/>
  <c r="Q7" i="36"/>
  <c r="W7" i="36" s="1"/>
  <c r="N8" i="36"/>
  <c r="T8" i="36" s="1"/>
  <c r="O8" i="36"/>
  <c r="U8" i="36" s="1"/>
  <c r="Q8" i="36"/>
  <c r="W8" i="36" s="1"/>
  <c r="N9" i="36"/>
  <c r="T9" i="36" s="1"/>
  <c r="O9" i="36"/>
  <c r="U9" i="36" s="1"/>
  <c r="Q9" i="36"/>
  <c r="W9" i="36" s="1"/>
  <c r="N10" i="36"/>
  <c r="T10" i="36" s="1"/>
  <c r="O10" i="36"/>
  <c r="U10" i="36" s="1"/>
  <c r="Q10" i="36"/>
  <c r="W10" i="36" s="1"/>
  <c r="N11" i="36"/>
  <c r="T11" i="36" s="1"/>
  <c r="O11" i="36"/>
  <c r="U11" i="36" s="1"/>
  <c r="Q11" i="36"/>
  <c r="W11" i="36" s="1"/>
  <c r="N12" i="36"/>
  <c r="T12" i="36" s="1"/>
  <c r="O12" i="36"/>
  <c r="U12" i="36" s="1"/>
  <c r="Q12" i="36"/>
  <c r="W12" i="36" s="1"/>
  <c r="N13" i="36"/>
  <c r="T13" i="36" s="1"/>
  <c r="O13" i="36"/>
  <c r="U13" i="36" s="1"/>
  <c r="Q13" i="36"/>
  <c r="W13" i="36" s="1"/>
  <c r="N14" i="36"/>
  <c r="T14" i="36" s="1"/>
  <c r="O14" i="36"/>
  <c r="U14" i="36" s="1"/>
  <c r="Q14" i="36"/>
  <c r="W14" i="36" s="1"/>
  <c r="N15" i="36"/>
  <c r="T15" i="36" s="1"/>
  <c r="O15" i="36"/>
  <c r="U15" i="36" s="1"/>
  <c r="Q15" i="36"/>
  <c r="W15" i="36" s="1"/>
  <c r="N16" i="36"/>
  <c r="T16" i="36" s="1"/>
  <c r="O16" i="36"/>
  <c r="U16" i="36" s="1"/>
  <c r="Q16" i="36"/>
  <c r="W16" i="36" s="1"/>
  <c r="N17" i="36"/>
  <c r="T17" i="36" s="1"/>
  <c r="O17" i="36"/>
  <c r="U17" i="36" s="1"/>
  <c r="Q17" i="36"/>
  <c r="W17" i="36" s="1"/>
  <c r="N18" i="36"/>
  <c r="T18" i="36" s="1"/>
  <c r="O18" i="36"/>
  <c r="U18" i="36" s="1"/>
  <c r="Q18" i="36"/>
  <c r="W18" i="36" s="1"/>
  <c r="N19" i="36"/>
  <c r="T19" i="36" s="1"/>
  <c r="O19" i="36"/>
  <c r="U19" i="36" s="1"/>
  <c r="Q19" i="36"/>
  <c r="W19" i="36" s="1"/>
  <c r="N20" i="36"/>
  <c r="T20" i="36" s="1"/>
  <c r="O20" i="36"/>
  <c r="U20" i="36" s="1"/>
  <c r="Q20" i="36"/>
  <c r="W20" i="36" s="1"/>
  <c r="N21" i="36"/>
  <c r="T21" i="36" s="1"/>
  <c r="O21" i="36"/>
  <c r="U21" i="36" s="1"/>
  <c r="Q21" i="36"/>
  <c r="W21" i="36" s="1"/>
  <c r="N22" i="36"/>
  <c r="T22" i="36" s="1"/>
  <c r="O22" i="36"/>
  <c r="U22" i="36" s="1"/>
  <c r="Q22" i="36"/>
  <c r="W22" i="36" s="1"/>
  <c r="N23" i="36"/>
  <c r="T23" i="36" s="1"/>
  <c r="O23" i="36"/>
  <c r="U23" i="36" s="1"/>
  <c r="Q23" i="36"/>
  <c r="W23" i="36" s="1"/>
  <c r="N24" i="36"/>
  <c r="T24" i="36" s="1"/>
  <c r="O24" i="36"/>
  <c r="U24" i="36" s="1"/>
  <c r="Q24" i="36"/>
  <c r="W24" i="36" s="1"/>
  <c r="N25" i="36"/>
  <c r="T25" i="36" s="1"/>
  <c r="O25" i="36"/>
  <c r="U25" i="36" s="1"/>
  <c r="Q25" i="36"/>
  <c r="W25" i="36" s="1"/>
  <c r="N26" i="36"/>
  <c r="T26" i="36" s="1"/>
  <c r="O26" i="36"/>
  <c r="U26" i="36" s="1"/>
  <c r="Q26" i="36"/>
  <c r="W26" i="36" s="1"/>
  <c r="N27" i="36"/>
  <c r="T27" i="36" s="1"/>
  <c r="O27" i="36"/>
  <c r="U27" i="36" s="1"/>
  <c r="Q27" i="36"/>
  <c r="W27" i="36" s="1"/>
  <c r="N28" i="36"/>
  <c r="T28" i="36" s="1"/>
  <c r="O28" i="36"/>
  <c r="U28" i="36" s="1"/>
  <c r="Q28" i="36"/>
  <c r="W28" i="36" s="1"/>
  <c r="N29" i="36"/>
  <c r="T29" i="36" s="1"/>
  <c r="O29" i="36"/>
  <c r="U29" i="36" s="1"/>
  <c r="Q29" i="36"/>
  <c r="W29" i="36" s="1"/>
  <c r="N30" i="36"/>
  <c r="T30" i="36" s="1"/>
  <c r="O30" i="36"/>
  <c r="U30" i="36" s="1"/>
  <c r="Q30" i="36"/>
  <c r="W30" i="36" s="1"/>
  <c r="N31" i="36"/>
  <c r="T31" i="36" s="1"/>
  <c r="O31" i="36"/>
  <c r="U31" i="36" s="1"/>
  <c r="Q31" i="36"/>
  <c r="W31" i="36" s="1"/>
  <c r="N32" i="36"/>
  <c r="T32" i="36" s="1"/>
  <c r="O32" i="36"/>
  <c r="U32" i="36" s="1"/>
  <c r="Q32" i="36"/>
  <c r="W32" i="36" s="1"/>
  <c r="N33" i="36"/>
  <c r="T33" i="36" s="1"/>
  <c r="O33" i="36"/>
  <c r="U33" i="36" s="1"/>
  <c r="Q33" i="36"/>
  <c r="W33" i="36" s="1"/>
  <c r="N34" i="36"/>
  <c r="T34" i="36" s="1"/>
  <c r="O34" i="36"/>
  <c r="U34" i="36" s="1"/>
  <c r="Q34" i="36"/>
  <c r="W34" i="36" s="1"/>
  <c r="N35" i="36"/>
  <c r="T35" i="36" s="1"/>
  <c r="O35" i="36"/>
  <c r="U35" i="36" s="1"/>
  <c r="Q35" i="36"/>
  <c r="W35" i="36" s="1"/>
  <c r="N36" i="36"/>
  <c r="T36" i="36" s="1"/>
  <c r="O36" i="36"/>
  <c r="U36" i="36" s="1"/>
  <c r="Q36" i="36"/>
  <c r="W36" i="36" s="1"/>
  <c r="N37" i="36"/>
  <c r="T37" i="36" s="1"/>
  <c r="O37" i="36"/>
  <c r="U37" i="36" s="1"/>
  <c r="Q37" i="36"/>
  <c r="W37" i="36" s="1"/>
  <c r="N38" i="36"/>
  <c r="T38" i="36" s="1"/>
  <c r="O38" i="36"/>
  <c r="U38" i="36" s="1"/>
  <c r="Q38" i="36"/>
  <c r="W38" i="36" s="1"/>
  <c r="N39" i="36"/>
  <c r="T39" i="36" s="1"/>
  <c r="O39" i="36"/>
  <c r="U39" i="36" s="1"/>
  <c r="Q39" i="36"/>
  <c r="W39" i="36" s="1"/>
  <c r="N40" i="36"/>
  <c r="T40" i="36" s="1"/>
  <c r="O40" i="36"/>
  <c r="U40" i="36" s="1"/>
  <c r="Q40" i="36"/>
  <c r="W40" i="36" s="1"/>
  <c r="N41" i="36"/>
  <c r="T41" i="36" s="1"/>
  <c r="O41" i="36"/>
  <c r="U41" i="36" s="1"/>
  <c r="Q41" i="36"/>
  <c r="W41" i="36" s="1"/>
  <c r="N42" i="36"/>
  <c r="T42" i="36" s="1"/>
  <c r="O42" i="36"/>
  <c r="U42" i="36" s="1"/>
  <c r="Q42" i="36"/>
  <c r="W42" i="36" s="1"/>
  <c r="N43" i="36"/>
  <c r="T43" i="36" s="1"/>
  <c r="O43" i="36"/>
  <c r="U43" i="36" s="1"/>
  <c r="Q43" i="36"/>
  <c r="W43" i="36" s="1"/>
  <c r="N44" i="36"/>
  <c r="T44" i="36" s="1"/>
  <c r="O44" i="36"/>
  <c r="U44" i="36" s="1"/>
  <c r="Q44" i="36"/>
  <c r="W44" i="36" s="1"/>
  <c r="N45" i="36"/>
  <c r="T45" i="36" s="1"/>
  <c r="O45" i="36"/>
  <c r="U45" i="36" s="1"/>
  <c r="Q45" i="36"/>
  <c r="W45" i="36" s="1"/>
  <c r="N46" i="36"/>
  <c r="T46" i="36" s="1"/>
  <c r="O46" i="36"/>
  <c r="U46" i="36" s="1"/>
  <c r="Q46" i="36"/>
  <c r="W46" i="36" s="1"/>
  <c r="N47" i="36"/>
  <c r="T47" i="36" s="1"/>
  <c r="O47" i="36"/>
  <c r="U47" i="36" s="1"/>
  <c r="Q47" i="36"/>
  <c r="W47" i="36" s="1"/>
  <c r="N48" i="36"/>
  <c r="T48" i="36" s="1"/>
  <c r="O48" i="36"/>
  <c r="U48" i="36" s="1"/>
  <c r="Q48" i="36"/>
  <c r="W48" i="36" s="1"/>
  <c r="N49" i="36"/>
  <c r="T49" i="36" s="1"/>
  <c r="O49" i="36"/>
  <c r="U49" i="36" s="1"/>
  <c r="Q49" i="36"/>
  <c r="W49" i="36" s="1"/>
  <c r="N50" i="36"/>
  <c r="T50" i="36" s="1"/>
  <c r="O50" i="36"/>
  <c r="U50" i="36" s="1"/>
  <c r="Q50" i="36"/>
  <c r="W50" i="36" s="1"/>
  <c r="N51" i="36"/>
  <c r="T51" i="36" s="1"/>
  <c r="O51" i="36"/>
  <c r="U51" i="36" s="1"/>
  <c r="Q51" i="36"/>
  <c r="W51" i="36" s="1"/>
  <c r="N52" i="36"/>
  <c r="T52" i="36" s="1"/>
  <c r="O52" i="36"/>
  <c r="U52" i="36" s="1"/>
  <c r="Q52" i="36"/>
  <c r="W52" i="36" s="1"/>
  <c r="N53" i="36"/>
  <c r="T53" i="36" s="1"/>
  <c r="O53" i="36"/>
  <c r="U53" i="36" s="1"/>
  <c r="Q53" i="36"/>
  <c r="W53" i="36" s="1"/>
  <c r="N54" i="36"/>
  <c r="T54" i="36" s="1"/>
  <c r="O54" i="36"/>
  <c r="U54" i="36" s="1"/>
  <c r="Q54" i="36"/>
  <c r="W54" i="36" s="1"/>
  <c r="N55" i="36"/>
  <c r="T55" i="36" s="1"/>
  <c r="O55" i="36"/>
  <c r="U55" i="36" s="1"/>
  <c r="Q55" i="36"/>
  <c r="W55" i="36" s="1"/>
  <c r="N56" i="36"/>
  <c r="T56" i="36" s="1"/>
  <c r="O56" i="36"/>
  <c r="U56" i="36" s="1"/>
  <c r="Q56" i="36"/>
  <c r="W56" i="36" s="1"/>
  <c r="N57" i="36"/>
  <c r="T57" i="36" s="1"/>
  <c r="O57" i="36"/>
  <c r="U57" i="36" s="1"/>
  <c r="Q57" i="36"/>
  <c r="W57" i="36" s="1"/>
  <c r="N58" i="36"/>
  <c r="T58" i="36" s="1"/>
  <c r="O58" i="36"/>
  <c r="U58" i="36" s="1"/>
  <c r="Q58" i="36"/>
  <c r="W58" i="36" s="1"/>
  <c r="N59" i="36"/>
  <c r="T59" i="36" s="1"/>
  <c r="O59" i="36"/>
  <c r="U59" i="36" s="1"/>
  <c r="Q59" i="36"/>
  <c r="W59" i="36" s="1"/>
  <c r="N60" i="36"/>
  <c r="T60" i="36" s="1"/>
  <c r="O60" i="36"/>
  <c r="U60" i="36" s="1"/>
  <c r="Q60" i="36"/>
  <c r="W60" i="36" s="1"/>
  <c r="N61" i="36"/>
  <c r="T61" i="36" s="1"/>
  <c r="O61" i="36"/>
  <c r="U61" i="36" s="1"/>
  <c r="Q61" i="36"/>
  <c r="W61" i="36" s="1"/>
  <c r="N62" i="36"/>
  <c r="T62" i="36" s="1"/>
  <c r="O62" i="36"/>
  <c r="U62" i="36" s="1"/>
  <c r="N63" i="36"/>
  <c r="T63" i="36" s="1"/>
  <c r="O63" i="36"/>
  <c r="U63" i="36" s="1"/>
  <c r="N64" i="36"/>
  <c r="T64" i="36" s="1"/>
  <c r="O64" i="36"/>
  <c r="U64" i="36" s="1"/>
  <c r="N65" i="36"/>
  <c r="T65" i="36" s="1"/>
  <c r="O65" i="36"/>
  <c r="U65" i="36" s="1"/>
  <c r="N66" i="36"/>
  <c r="T66" i="36" s="1"/>
  <c r="O66" i="36"/>
  <c r="U66" i="36" s="1"/>
  <c r="N67" i="36"/>
  <c r="T67" i="36" s="1"/>
  <c r="O67" i="36"/>
  <c r="U67" i="36" s="1"/>
  <c r="N68" i="36"/>
  <c r="T68" i="36" s="1"/>
  <c r="O68" i="36"/>
  <c r="U68" i="36" s="1"/>
  <c r="N69" i="36"/>
  <c r="T69" i="36" s="1"/>
  <c r="O69" i="36"/>
  <c r="U69" i="36" s="1"/>
  <c r="N70" i="36"/>
  <c r="T70" i="36" s="1"/>
  <c r="O70" i="36"/>
  <c r="U70" i="36" s="1"/>
  <c r="N71" i="36"/>
  <c r="T71" i="36" s="1"/>
  <c r="O71" i="36"/>
  <c r="U71" i="36" s="1"/>
  <c r="N72" i="36"/>
  <c r="T72" i="36" s="1"/>
  <c r="O72" i="36"/>
  <c r="U72" i="36" s="1"/>
  <c r="N73" i="36"/>
  <c r="T73" i="36" s="1"/>
  <c r="O73" i="36"/>
  <c r="U73" i="36" s="1"/>
  <c r="N74" i="36"/>
  <c r="T74" i="36" s="1"/>
  <c r="O74" i="36"/>
  <c r="U74" i="36" s="1"/>
  <c r="N75" i="36"/>
  <c r="T75" i="36" s="1"/>
  <c r="O75" i="36"/>
  <c r="U75" i="36" s="1"/>
  <c r="N76" i="36"/>
  <c r="T76" i="36" s="1"/>
  <c r="O76" i="36"/>
  <c r="U76" i="36" s="1"/>
  <c r="N77" i="36"/>
  <c r="T77" i="36" s="1"/>
  <c r="O77" i="36"/>
  <c r="U77" i="36" s="1"/>
  <c r="N78" i="36"/>
  <c r="T78" i="36" s="1"/>
  <c r="O78" i="36"/>
  <c r="U78" i="36" s="1"/>
  <c r="N79" i="36"/>
  <c r="T79" i="36" s="1"/>
  <c r="O79" i="36"/>
  <c r="U79" i="36" s="1"/>
  <c r="N80" i="36"/>
  <c r="T80" i="36" s="1"/>
  <c r="O80" i="36"/>
  <c r="U80" i="36" s="1"/>
  <c r="N81" i="36"/>
  <c r="T81" i="36" s="1"/>
  <c r="O81" i="36"/>
  <c r="U81" i="36" s="1"/>
  <c r="N82" i="36"/>
  <c r="T82" i="36" s="1"/>
  <c r="O82" i="36"/>
  <c r="U82" i="36" s="1"/>
  <c r="N83" i="36"/>
  <c r="T83" i="36" s="1"/>
  <c r="O83" i="36"/>
  <c r="U83" i="36" s="1"/>
  <c r="N84" i="36"/>
  <c r="T84" i="36" s="1"/>
  <c r="O84" i="36"/>
  <c r="U84" i="36" s="1"/>
  <c r="N85" i="36"/>
  <c r="T85" i="36" s="1"/>
  <c r="O85" i="36"/>
  <c r="U85" i="36" s="1"/>
  <c r="N86" i="36"/>
  <c r="T86" i="36" s="1"/>
  <c r="O86" i="36"/>
  <c r="U86" i="36" s="1"/>
  <c r="N87" i="36"/>
  <c r="T87" i="36" s="1"/>
  <c r="O87" i="36"/>
  <c r="U87" i="36" s="1"/>
  <c r="N88" i="36"/>
  <c r="T88" i="36" s="1"/>
  <c r="O88" i="36"/>
  <c r="U88" i="36" s="1"/>
  <c r="N89" i="36"/>
  <c r="T89" i="36" s="1"/>
  <c r="O89" i="36"/>
  <c r="U89" i="36" s="1"/>
  <c r="N90" i="36"/>
  <c r="T90" i="36" s="1"/>
  <c r="O90" i="36"/>
  <c r="U90" i="36" s="1"/>
  <c r="N91" i="36"/>
  <c r="T91" i="36" s="1"/>
  <c r="O91" i="36"/>
  <c r="U91" i="36" s="1"/>
  <c r="N92" i="36"/>
  <c r="T92" i="36" s="1"/>
  <c r="O92" i="36"/>
  <c r="U92" i="36" s="1"/>
  <c r="N93" i="36"/>
  <c r="T93" i="36" s="1"/>
  <c r="O93" i="36"/>
  <c r="U93" i="36" s="1"/>
  <c r="N94" i="36"/>
  <c r="T94" i="36" s="1"/>
  <c r="O94" i="36"/>
  <c r="U94" i="36" s="1"/>
  <c r="N95" i="36"/>
  <c r="T95" i="36" s="1"/>
  <c r="O95" i="36"/>
  <c r="U95" i="36" s="1"/>
  <c r="N96" i="36"/>
  <c r="T96" i="36" s="1"/>
  <c r="O96" i="36"/>
  <c r="U96" i="36" s="1"/>
  <c r="N97" i="36"/>
  <c r="T97" i="36" s="1"/>
  <c r="O97" i="36"/>
  <c r="U97" i="36" s="1"/>
  <c r="N98" i="36"/>
  <c r="T98" i="36" s="1"/>
  <c r="O98" i="36"/>
  <c r="U98" i="36" s="1"/>
  <c r="N99" i="36"/>
  <c r="T99" i="36" s="1"/>
  <c r="O99" i="36"/>
  <c r="U99" i="36" s="1"/>
  <c r="N100" i="36"/>
  <c r="T100" i="36" s="1"/>
  <c r="O100" i="36"/>
  <c r="U100" i="36" s="1"/>
  <c r="N101" i="36"/>
  <c r="T101" i="36" s="1"/>
  <c r="O101" i="36"/>
  <c r="U101" i="36" s="1"/>
  <c r="N102" i="36"/>
  <c r="T102" i="36" s="1"/>
  <c r="O102" i="36"/>
  <c r="U102" i="36" s="1"/>
  <c r="N103" i="36"/>
  <c r="T103" i="36" s="1"/>
  <c r="O103" i="36"/>
  <c r="U103" i="36" s="1"/>
  <c r="N104" i="36"/>
  <c r="T104" i="36" s="1"/>
  <c r="O104" i="36"/>
  <c r="U104" i="36" s="1"/>
  <c r="N105" i="36"/>
  <c r="T105" i="36" s="1"/>
  <c r="O105" i="36"/>
  <c r="U105" i="36" s="1"/>
  <c r="N106" i="36"/>
  <c r="T106" i="36" s="1"/>
  <c r="O106" i="36"/>
  <c r="U106" i="36" s="1"/>
  <c r="N107" i="36"/>
  <c r="T107" i="36" s="1"/>
  <c r="O107" i="36"/>
  <c r="U107" i="36" s="1"/>
  <c r="N108" i="36"/>
  <c r="T108" i="36" s="1"/>
  <c r="O108" i="36"/>
  <c r="U108" i="36" s="1"/>
  <c r="N109" i="36"/>
  <c r="T109" i="36" s="1"/>
  <c r="O109" i="36"/>
  <c r="U109" i="36" s="1"/>
  <c r="N110" i="36"/>
  <c r="T110" i="36" s="1"/>
  <c r="O110" i="36"/>
  <c r="U110" i="36" s="1"/>
  <c r="N111" i="36"/>
  <c r="T111" i="36" s="1"/>
  <c r="O111" i="36"/>
  <c r="U111" i="36" s="1"/>
  <c r="N112" i="36"/>
  <c r="T112" i="36" s="1"/>
  <c r="O112" i="36"/>
  <c r="U112" i="36" s="1"/>
  <c r="N113" i="36"/>
  <c r="T113" i="36" s="1"/>
  <c r="O113" i="36"/>
  <c r="U113" i="36" s="1"/>
  <c r="N114" i="36"/>
  <c r="T114" i="36" s="1"/>
  <c r="O114" i="36"/>
  <c r="U114" i="36" s="1"/>
  <c r="N115" i="36"/>
  <c r="T115" i="36" s="1"/>
  <c r="O115" i="36"/>
  <c r="U115" i="36" s="1"/>
  <c r="N116" i="36"/>
  <c r="T116" i="36" s="1"/>
  <c r="O116" i="36"/>
  <c r="U116" i="36" s="1"/>
  <c r="N117" i="36"/>
  <c r="T117" i="36" s="1"/>
  <c r="O117" i="36"/>
  <c r="U117" i="36" s="1"/>
  <c r="N118" i="36"/>
  <c r="T118" i="36" s="1"/>
  <c r="O118" i="36"/>
  <c r="U118" i="36" s="1"/>
  <c r="N119" i="36"/>
  <c r="T119" i="36" s="1"/>
  <c r="O119" i="36"/>
  <c r="U119" i="36" s="1"/>
  <c r="N120" i="36"/>
  <c r="T120" i="36" s="1"/>
  <c r="O120" i="36"/>
  <c r="U120" i="36" s="1"/>
  <c r="N121" i="36"/>
  <c r="T121" i="36" s="1"/>
  <c r="O121" i="36"/>
  <c r="U121" i="36" s="1"/>
  <c r="N122" i="36"/>
  <c r="T122" i="36" s="1"/>
  <c r="O122" i="36"/>
  <c r="U122" i="36" s="1"/>
  <c r="N123" i="36"/>
  <c r="T123" i="36" s="1"/>
  <c r="O123" i="36"/>
  <c r="U123" i="36" s="1"/>
  <c r="N124" i="36"/>
  <c r="T124" i="36" s="1"/>
  <c r="O124" i="36"/>
  <c r="U124" i="36" s="1"/>
  <c r="N125" i="36"/>
  <c r="T125" i="36" s="1"/>
  <c r="O125" i="36"/>
  <c r="U125" i="36" s="1"/>
  <c r="N126" i="36"/>
  <c r="T126" i="36" s="1"/>
  <c r="O126" i="36"/>
  <c r="U126" i="36" s="1"/>
  <c r="N127" i="36"/>
  <c r="T127" i="36" s="1"/>
  <c r="O127" i="36"/>
  <c r="U127" i="36" s="1"/>
  <c r="N128" i="36"/>
  <c r="T128" i="36" s="1"/>
  <c r="O128" i="36"/>
  <c r="U128" i="36" s="1"/>
  <c r="N129" i="36"/>
  <c r="T129" i="36" s="1"/>
  <c r="O129" i="36"/>
  <c r="U129" i="36" s="1"/>
  <c r="N130" i="36"/>
  <c r="T130" i="36" s="1"/>
  <c r="O130" i="36"/>
  <c r="U130" i="36" s="1"/>
  <c r="N131" i="36"/>
  <c r="T131" i="36" s="1"/>
  <c r="O131" i="36"/>
  <c r="U131" i="36" s="1"/>
  <c r="N132" i="36"/>
  <c r="T132" i="36" s="1"/>
  <c r="O132" i="36"/>
  <c r="U132" i="36" s="1"/>
  <c r="N133" i="36"/>
  <c r="T133" i="36" s="1"/>
  <c r="O133" i="36"/>
  <c r="U133" i="36" s="1"/>
  <c r="N134" i="36"/>
  <c r="T134" i="36" s="1"/>
  <c r="O134" i="36"/>
  <c r="U134" i="36" s="1"/>
  <c r="N135" i="36"/>
  <c r="T135" i="36" s="1"/>
  <c r="O135" i="36"/>
  <c r="U135" i="36" s="1"/>
  <c r="N136" i="36"/>
  <c r="T136" i="36" s="1"/>
  <c r="O136" i="36"/>
  <c r="U136" i="36" s="1"/>
  <c r="N137" i="36"/>
  <c r="T137" i="36" s="1"/>
  <c r="O137" i="36"/>
  <c r="U137" i="36" s="1"/>
  <c r="N138" i="36"/>
  <c r="T138" i="36" s="1"/>
  <c r="O138" i="36"/>
  <c r="U138" i="36" s="1"/>
  <c r="N139" i="36"/>
  <c r="T139" i="36" s="1"/>
  <c r="O139" i="36"/>
  <c r="U139" i="36" s="1"/>
  <c r="N140" i="36"/>
  <c r="T140" i="36" s="1"/>
  <c r="O140" i="36"/>
  <c r="U140" i="36" s="1"/>
  <c r="N141" i="36"/>
  <c r="T141" i="36" s="1"/>
  <c r="O141" i="36"/>
  <c r="U141" i="36" s="1"/>
  <c r="N142" i="36"/>
  <c r="T142" i="36" s="1"/>
  <c r="O142" i="36"/>
  <c r="U142" i="36" s="1"/>
  <c r="N143" i="36"/>
  <c r="T143" i="36" s="1"/>
  <c r="O143" i="36"/>
  <c r="U143" i="36" s="1"/>
  <c r="N144" i="36"/>
  <c r="T144" i="36" s="1"/>
  <c r="O144" i="36"/>
  <c r="U144" i="36" s="1"/>
  <c r="N2" i="36"/>
  <c r="T2" i="36" s="1"/>
  <c r="O2" i="36"/>
  <c r="U2" i="36" s="1"/>
  <c r="Q2" i="36"/>
  <c r="W2" i="36" s="1"/>
  <c r="N3" i="36"/>
  <c r="T3" i="36" s="1"/>
  <c r="O3" i="36"/>
  <c r="U3" i="36" s="1"/>
  <c r="Q3" i="36"/>
  <c r="W3" i="36" s="1"/>
  <c r="N4" i="36"/>
  <c r="T4" i="36" s="1"/>
  <c r="O4" i="36"/>
  <c r="U4" i="36" s="1"/>
  <c r="Q4" i="36"/>
  <c r="W4" i="36" s="1"/>
  <c r="Q1" i="36"/>
  <c r="W1" i="36" s="1"/>
  <c r="O1" i="36"/>
  <c r="U1" i="36" s="1"/>
  <c r="N1" i="36"/>
  <c r="T1" i="36" s="1"/>
  <c r="P1" i="36"/>
  <c r="V1" i="36" s="1"/>
  <c r="F1" i="36"/>
  <c r="E1" i="36"/>
  <c r="D3" i="155"/>
  <c r="D4" i="155"/>
  <c r="D5" i="155"/>
  <c r="D6" i="155"/>
  <c r="D7" i="155"/>
  <c r="D8" i="155"/>
  <c r="D9" i="155"/>
  <c r="D10" i="155"/>
  <c r="D11" i="155"/>
  <c r="D12" i="155"/>
  <c r="D13" i="155"/>
  <c r="D14" i="155"/>
  <c r="D15" i="155"/>
  <c r="D16" i="155"/>
  <c r="D17" i="155"/>
  <c r="D18" i="155"/>
  <c r="D19" i="155"/>
  <c r="D20" i="155"/>
  <c r="D21" i="155"/>
  <c r="D22" i="155"/>
  <c r="D23" i="155"/>
  <c r="D24" i="155"/>
  <c r="D25" i="155"/>
  <c r="D26" i="155"/>
  <c r="D27" i="155"/>
  <c r="D28" i="155"/>
  <c r="D29" i="155"/>
  <c r="D30" i="155"/>
  <c r="D31" i="155"/>
  <c r="D32" i="155"/>
  <c r="D33" i="155"/>
  <c r="D34" i="155"/>
  <c r="D35" i="155"/>
  <c r="D36" i="155"/>
  <c r="D37" i="155"/>
  <c r="D38" i="155"/>
  <c r="D39" i="155"/>
  <c r="D40" i="155"/>
  <c r="D41" i="155"/>
  <c r="D42" i="155"/>
  <c r="D43" i="155"/>
  <c r="D44" i="155"/>
  <c r="D45" i="155"/>
  <c r="D46" i="155"/>
  <c r="D47" i="155"/>
  <c r="D48" i="155"/>
  <c r="D49" i="155"/>
  <c r="D50" i="155"/>
  <c r="D51" i="155"/>
  <c r="D52" i="155"/>
  <c r="D53" i="155"/>
  <c r="D54" i="155"/>
  <c r="D55" i="155"/>
  <c r="D56" i="155"/>
  <c r="D57" i="155"/>
  <c r="D58" i="155"/>
  <c r="D59" i="155"/>
  <c r="D60" i="155"/>
  <c r="D61" i="155"/>
  <c r="D62" i="155"/>
  <c r="D63" i="155"/>
  <c r="D64" i="155"/>
  <c r="D65" i="155"/>
  <c r="D66" i="155"/>
  <c r="D67" i="155"/>
  <c r="D68" i="155"/>
  <c r="D69" i="155"/>
  <c r="D70" i="155"/>
  <c r="D71" i="155"/>
  <c r="D72" i="155"/>
  <c r="D73" i="155"/>
  <c r="D74" i="155"/>
  <c r="D75" i="155"/>
  <c r="D76" i="155"/>
  <c r="D77" i="155"/>
  <c r="D78" i="155"/>
  <c r="D79" i="155"/>
  <c r="D80" i="155"/>
  <c r="D81" i="155"/>
  <c r="D82" i="155"/>
  <c r="D83" i="155"/>
  <c r="D84" i="155"/>
  <c r="D85" i="155"/>
  <c r="D86" i="155"/>
  <c r="D87" i="155"/>
  <c r="D88" i="155"/>
  <c r="D89" i="155"/>
  <c r="D90" i="155"/>
  <c r="D91" i="155"/>
  <c r="D92" i="155"/>
  <c r="D93" i="155"/>
  <c r="D94" i="155"/>
  <c r="D95" i="155"/>
  <c r="D96" i="155"/>
  <c r="D97" i="155"/>
  <c r="D98" i="155"/>
  <c r="D99" i="155"/>
  <c r="D100" i="155"/>
  <c r="D101" i="155"/>
  <c r="D102" i="155"/>
  <c r="D103" i="155"/>
  <c r="D104" i="155"/>
  <c r="D105" i="155"/>
  <c r="D106" i="155"/>
  <c r="D107" i="155"/>
  <c r="D108" i="155"/>
  <c r="D109" i="155"/>
  <c r="D110" i="155"/>
  <c r="D111" i="155"/>
  <c r="D112" i="155"/>
  <c r="D113" i="155"/>
  <c r="D114" i="155"/>
  <c r="D115" i="155"/>
  <c r="D116" i="155"/>
  <c r="D117" i="155"/>
  <c r="D118" i="155"/>
  <c r="D119" i="155"/>
  <c r="D120" i="155"/>
  <c r="D121" i="155"/>
  <c r="D2" i="155"/>
  <c r="D1" i="155"/>
  <c r="H4" i="155"/>
  <c r="H5" i="155"/>
  <c r="N5" i="155" s="1"/>
  <c r="H6" i="155"/>
  <c r="N6" i="155" s="1"/>
  <c r="H7" i="155"/>
  <c r="N7" i="155" s="1"/>
  <c r="H8" i="155"/>
  <c r="N8" i="155" s="1"/>
  <c r="H9" i="155"/>
  <c r="N9" i="155" s="1"/>
  <c r="H10" i="155"/>
  <c r="N10" i="155" s="1"/>
  <c r="H11" i="155"/>
  <c r="N11" i="155" s="1"/>
  <c r="H12" i="155"/>
  <c r="N12" i="155" s="1"/>
  <c r="H13" i="155"/>
  <c r="N13" i="155" s="1"/>
  <c r="H14" i="155"/>
  <c r="N14" i="155" s="1"/>
  <c r="H15" i="155"/>
  <c r="N15" i="155" s="1"/>
  <c r="H16" i="155"/>
  <c r="N16" i="155" s="1"/>
  <c r="H17" i="155"/>
  <c r="N17" i="155" s="1"/>
  <c r="H18" i="155"/>
  <c r="H19" i="155"/>
  <c r="N19" i="155" s="1"/>
  <c r="H20" i="155"/>
  <c r="N20" i="155" s="1"/>
  <c r="H21" i="155"/>
  <c r="N21" i="155" s="1"/>
  <c r="H22" i="155"/>
  <c r="H23" i="155"/>
  <c r="N23" i="155" s="1"/>
  <c r="H24" i="155"/>
  <c r="N24" i="155" s="1"/>
  <c r="H25" i="155"/>
  <c r="N25" i="155" s="1"/>
  <c r="H26" i="155"/>
  <c r="N26" i="155" s="1"/>
  <c r="H27" i="155"/>
  <c r="N27" i="155" s="1"/>
  <c r="H28" i="155"/>
  <c r="N28" i="155" s="1"/>
  <c r="H29" i="155"/>
  <c r="N29" i="155" s="1"/>
  <c r="H30" i="155"/>
  <c r="N30" i="155" s="1"/>
  <c r="H31" i="155"/>
  <c r="H32" i="155"/>
  <c r="N32" i="155" s="1"/>
  <c r="H33" i="155"/>
  <c r="N33" i="155" s="1"/>
  <c r="H34" i="155"/>
  <c r="N34" i="155" s="1"/>
  <c r="H35" i="155"/>
  <c r="N35" i="155" s="1"/>
  <c r="H36" i="155"/>
  <c r="N36" i="155" s="1"/>
  <c r="H37" i="155"/>
  <c r="N37" i="155" s="1"/>
  <c r="H38" i="155"/>
  <c r="N38" i="155" s="1"/>
  <c r="H39" i="155"/>
  <c r="N39" i="155" s="1"/>
  <c r="H40" i="155"/>
  <c r="H41" i="155"/>
  <c r="N41" i="155" s="1"/>
  <c r="H42" i="155"/>
  <c r="H43" i="155"/>
  <c r="N43" i="155" s="1"/>
  <c r="H44" i="155"/>
  <c r="N44" i="155" s="1"/>
  <c r="H45" i="155"/>
  <c r="N45" i="155" s="1"/>
  <c r="H46" i="155"/>
  <c r="H47" i="155"/>
  <c r="N47" i="155" s="1"/>
  <c r="H48" i="155"/>
  <c r="N48" i="155" s="1"/>
  <c r="H49" i="155"/>
  <c r="N49" i="155" s="1"/>
  <c r="H50" i="155"/>
  <c r="N50" i="155" s="1"/>
  <c r="H51" i="155"/>
  <c r="N51" i="155" s="1"/>
  <c r="H52" i="155"/>
  <c r="N52" i="155" s="1"/>
  <c r="H53" i="155"/>
  <c r="N53" i="155" s="1"/>
  <c r="H54" i="155"/>
  <c r="N54" i="155" s="1"/>
  <c r="H55" i="155"/>
  <c r="N55" i="155" s="1"/>
  <c r="H56" i="155"/>
  <c r="N56" i="155" s="1"/>
  <c r="H57" i="155"/>
  <c r="N57" i="155" s="1"/>
  <c r="H58" i="155"/>
  <c r="N58" i="155" s="1"/>
  <c r="H59" i="155"/>
  <c r="N59" i="155" s="1"/>
  <c r="H60" i="155"/>
  <c r="N60" i="155" s="1"/>
  <c r="H61" i="155"/>
  <c r="N61" i="155" s="1"/>
  <c r="H2" i="155"/>
  <c r="N2" i="155" s="1"/>
  <c r="H3" i="155"/>
  <c r="N3" i="155" s="1"/>
  <c r="H1" i="155"/>
  <c r="N1" i="155" s="1"/>
  <c r="E5" i="155"/>
  <c r="F5" i="155"/>
  <c r="L5" i="155" s="1"/>
  <c r="E6" i="155"/>
  <c r="K6" i="155" s="1"/>
  <c r="F6" i="155"/>
  <c r="L6" i="155" s="1"/>
  <c r="E7" i="155"/>
  <c r="K7" i="155" s="1"/>
  <c r="F7" i="155"/>
  <c r="L7" i="155" s="1"/>
  <c r="E8" i="155"/>
  <c r="K8" i="155" s="1"/>
  <c r="F8" i="155"/>
  <c r="L8" i="155" s="1"/>
  <c r="E9" i="155"/>
  <c r="K9" i="155" s="1"/>
  <c r="F9" i="155"/>
  <c r="L9" i="155" s="1"/>
  <c r="E10" i="155"/>
  <c r="K10" i="155" s="1"/>
  <c r="F10" i="155"/>
  <c r="L10" i="155" s="1"/>
  <c r="E11" i="155"/>
  <c r="K11" i="155" s="1"/>
  <c r="F11" i="155"/>
  <c r="L11" i="155" s="1"/>
  <c r="E12" i="155"/>
  <c r="K12" i="155" s="1"/>
  <c r="F12" i="155"/>
  <c r="L12" i="155" s="1"/>
  <c r="E13" i="155"/>
  <c r="F13" i="155"/>
  <c r="L13" i="155" s="1"/>
  <c r="E14" i="155"/>
  <c r="K14" i="155" s="1"/>
  <c r="F14" i="155"/>
  <c r="L14" i="155" s="1"/>
  <c r="E15" i="155"/>
  <c r="K15" i="155" s="1"/>
  <c r="F15" i="155"/>
  <c r="L15" i="155" s="1"/>
  <c r="E16" i="155"/>
  <c r="K16" i="155" s="1"/>
  <c r="F16" i="155"/>
  <c r="L16" i="155" s="1"/>
  <c r="E17" i="155"/>
  <c r="K17" i="155" s="1"/>
  <c r="F17" i="155"/>
  <c r="L17" i="155" s="1"/>
  <c r="E18" i="155"/>
  <c r="K18" i="155" s="1"/>
  <c r="F18" i="155"/>
  <c r="L18" i="155" s="1"/>
  <c r="E19" i="155"/>
  <c r="K19" i="155" s="1"/>
  <c r="F19" i="155"/>
  <c r="L19" i="155" s="1"/>
  <c r="E20" i="155"/>
  <c r="K20" i="155" s="1"/>
  <c r="F20" i="155"/>
  <c r="L20" i="155" s="1"/>
  <c r="E21" i="155"/>
  <c r="F21" i="155"/>
  <c r="L21" i="155" s="1"/>
  <c r="E22" i="155"/>
  <c r="K22" i="155" s="1"/>
  <c r="F22" i="155"/>
  <c r="L22" i="155" s="1"/>
  <c r="E23" i="155"/>
  <c r="K23" i="155" s="1"/>
  <c r="F23" i="155"/>
  <c r="L23" i="155" s="1"/>
  <c r="E24" i="155"/>
  <c r="K24" i="155" s="1"/>
  <c r="F24" i="155"/>
  <c r="L24" i="155" s="1"/>
  <c r="E25" i="155"/>
  <c r="K25" i="155" s="1"/>
  <c r="F25" i="155"/>
  <c r="L25" i="155" s="1"/>
  <c r="E26" i="155"/>
  <c r="K26" i="155" s="1"/>
  <c r="F26" i="155"/>
  <c r="L26" i="155" s="1"/>
  <c r="E27" i="155"/>
  <c r="K27" i="155" s="1"/>
  <c r="F27" i="155"/>
  <c r="L27" i="155" s="1"/>
  <c r="E28" i="155"/>
  <c r="K28" i="155" s="1"/>
  <c r="F28" i="155"/>
  <c r="L28" i="155" s="1"/>
  <c r="E29" i="155"/>
  <c r="F29" i="155"/>
  <c r="L29" i="155" s="1"/>
  <c r="E30" i="155"/>
  <c r="K30" i="155" s="1"/>
  <c r="F30" i="155"/>
  <c r="L30" i="155" s="1"/>
  <c r="E31" i="155"/>
  <c r="K31" i="155" s="1"/>
  <c r="F31" i="155"/>
  <c r="L31" i="155" s="1"/>
  <c r="E32" i="155"/>
  <c r="K32" i="155" s="1"/>
  <c r="F32" i="155"/>
  <c r="L32" i="155" s="1"/>
  <c r="E33" i="155"/>
  <c r="K33" i="155" s="1"/>
  <c r="F33" i="155"/>
  <c r="L33" i="155" s="1"/>
  <c r="E34" i="155"/>
  <c r="K34" i="155" s="1"/>
  <c r="F34" i="155"/>
  <c r="L34" i="155" s="1"/>
  <c r="E35" i="155"/>
  <c r="K35" i="155" s="1"/>
  <c r="F35" i="155"/>
  <c r="L35" i="155" s="1"/>
  <c r="E36" i="155"/>
  <c r="K36" i="155" s="1"/>
  <c r="F36" i="155"/>
  <c r="L36" i="155" s="1"/>
  <c r="E37" i="155"/>
  <c r="F37" i="155"/>
  <c r="L37" i="155" s="1"/>
  <c r="E38" i="155"/>
  <c r="K38" i="155" s="1"/>
  <c r="F38" i="155"/>
  <c r="L38" i="155" s="1"/>
  <c r="E39" i="155"/>
  <c r="K39" i="155" s="1"/>
  <c r="F39" i="155"/>
  <c r="L39" i="155" s="1"/>
  <c r="E40" i="155"/>
  <c r="K40" i="155" s="1"/>
  <c r="F40" i="155"/>
  <c r="L40" i="155" s="1"/>
  <c r="E41" i="155"/>
  <c r="K41" i="155" s="1"/>
  <c r="F41" i="155"/>
  <c r="L41" i="155" s="1"/>
  <c r="E42" i="155"/>
  <c r="K42" i="155" s="1"/>
  <c r="F42" i="155"/>
  <c r="L42" i="155" s="1"/>
  <c r="E43" i="155"/>
  <c r="K43" i="155" s="1"/>
  <c r="F43" i="155"/>
  <c r="L43" i="155" s="1"/>
  <c r="E44" i="155"/>
  <c r="K44" i="155" s="1"/>
  <c r="F44" i="155"/>
  <c r="L44" i="155" s="1"/>
  <c r="E45" i="155"/>
  <c r="F45" i="155"/>
  <c r="L45" i="155" s="1"/>
  <c r="E46" i="155"/>
  <c r="K46" i="155" s="1"/>
  <c r="F46" i="155"/>
  <c r="L46" i="155" s="1"/>
  <c r="E47" i="155"/>
  <c r="K47" i="155" s="1"/>
  <c r="F47" i="155"/>
  <c r="L47" i="155" s="1"/>
  <c r="E48" i="155"/>
  <c r="K48" i="155" s="1"/>
  <c r="F48" i="155"/>
  <c r="L48" i="155" s="1"/>
  <c r="E49" i="155"/>
  <c r="K49" i="155" s="1"/>
  <c r="F49" i="155"/>
  <c r="L49" i="155" s="1"/>
  <c r="E50" i="155"/>
  <c r="K50" i="155" s="1"/>
  <c r="F50" i="155"/>
  <c r="L50" i="155" s="1"/>
  <c r="E51" i="155"/>
  <c r="K51" i="155" s="1"/>
  <c r="F51" i="155"/>
  <c r="L51" i="155" s="1"/>
  <c r="E52" i="155"/>
  <c r="K52" i="155" s="1"/>
  <c r="F52" i="155"/>
  <c r="L52" i="155" s="1"/>
  <c r="E53" i="155"/>
  <c r="K53" i="155" s="1"/>
  <c r="F53" i="155"/>
  <c r="L53" i="155" s="1"/>
  <c r="E54" i="155"/>
  <c r="K54" i="155" s="1"/>
  <c r="F54" i="155"/>
  <c r="L54" i="155" s="1"/>
  <c r="E55" i="155"/>
  <c r="K55" i="155" s="1"/>
  <c r="F55" i="155"/>
  <c r="L55" i="155" s="1"/>
  <c r="E56" i="155"/>
  <c r="K56" i="155" s="1"/>
  <c r="F56" i="155"/>
  <c r="L56" i="155" s="1"/>
  <c r="E57" i="155"/>
  <c r="K57" i="155" s="1"/>
  <c r="F57" i="155"/>
  <c r="E58" i="155"/>
  <c r="K58" i="155" s="1"/>
  <c r="F58" i="155"/>
  <c r="L58" i="155" s="1"/>
  <c r="E59" i="155"/>
  <c r="K59" i="155" s="1"/>
  <c r="F59" i="155"/>
  <c r="L59" i="155" s="1"/>
  <c r="E60" i="155"/>
  <c r="K60" i="155" s="1"/>
  <c r="F60" i="155"/>
  <c r="L60" i="155" s="1"/>
  <c r="E61" i="155"/>
  <c r="F61" i="155"/>
  <c r="L61" i="155" s="1"/>
  <c r="E62" i="155"/>
  <c r="K62" i="155" s="1"/>
  <c r="F62" i="155"/>
  <c r="L62" i="155" s="1"/>
  <c r="E63" i="155"/>
  <c r="K63" i="155" s="1"/>
  <c r="F63" i="155"/>
  <c r="L63" i="155" s="1"/>
  <c r="E64" i="155"/>
  <c r="K64" i="155" s="1"/>
  <c r="F64" i="155"/>
  <c r="L64" i="155" s="1"/>
  <c r="E65" i="155"/>
  <c r="K65" i="155" s="1"/>
  <c r="F65" i="155"/>
  <c r="L65" i="155" s="1"/>
  <c r="E66" i="155"/>
  <c r="K66" i="155" s="1"/>
  <c r="F66" i="155"/>
  <c r="E67" i="155"/>
  <c r="K67" i="155" s="1"/>
  <c r="F67" i="155"/>
  <c r="L67" i="155" s="1"/>
  <c r="E68" i="155"/>
  <c r="K68" i="155" s="1"/>
  <c r="F68" i="155"/>
  <c r="L68" i="155" s="1"/>
  <c r="E69" i="155"/>
  <c r="K69" i="155" s="1"/>
  <c r="F69" i="155"/>
  <c r="L69" i="155" s="1"/>
  <c r="E70" i="155"/>
  <c r="K70" i="155" s="1"/>
  <c r="F70" i="155"/>
  <c r="L70" i="155" s="1"/>
  <c r="E71" i="155"/>
  <c r="K71" i="155" s="1"/>
  <c r="F71" i="155"/>
  <c r="L71" i="155" s="1"/>
  <c r="E72" i="155"/>
  <c r="K72" i="155" s="1"/>
  <c r="F72" i="155"/>
  <c r="L72" i="155" s="1"/>
  <c r="E73" i="155"/>
  <c r="K73" i="155" s="1"/>
  <c r="F73" i="155"/>
  <c r="L73" i="155" s="1"/>
  <c r="E74" i="155"/>
  <c r="K74" i="155" s="1"/>
  <c r="F74" i="155"/>
  <c r="L74" i="155" s="1"/>
  <c r="E75" i="155"/>
  <c r="K75" i="155" s="1"/>
  <c r="F75" i="155"/>
  <c r="E76" i="155"/>
  <c r="K76" i="155" s="1"/>
  <c r="F76" i="155"/>
  <c r="L76" i="155" s="1"/>
  <c r="E77" i="155"/>
  <c r="F77" i="155"/>
  <c r="L77" i="155" s="1"/>
  <c r="E78" i="155"/>
  <c r="K78" i="155" s="1"/>
  <c r="F78" i="155"/>
  <c r="L78" i="155" s="1"/>
  <c r="E79" i="155"/>
  <c r="K79" i="155" s="1"/>
  <c r="F79" i="155"/>
  <c r="L79" i="155" s="1"/>
  <c r="E80" i="155"/>
  <c r="K80" i="155" s="1"/>
  <c r="F80" i="155"/>
  <c r="L80" i="155" s="1"/>
  <c r="E81" i="155"/>
  <c r="K81" i="155" s="1"/>
  <c r="F81" i="155"/>
  <c r="L81" i="155" s="1"/>
  <c r="E82" i="155"/>
  <c r="K82" i="155" s="1"/>
  <c r="F82" i="155"/>
  <c r="L82" i="155" s="1"/>
  <c r="E83" i="155"/>
  <c r="K83" i="155" s="1"/>
  <c r="F83" i="155"/>
  <c r="L83" i="155" s="1"/>
  <c r="E84" i="155"/>
  <c r="K84" i="155" s="1"/>
  <c r="F84" i="155"/>
  <c r="L84" i="155" s="1"/>
  <c r="E85" i="155"/>
  <c r="F85" i="155"/>
  <c r="L85" i="155" s="1"/>
  <c r="E86" i="155"/>
  <c r="K86" i="155" s="1"/>
  <c r="F86" i="155"/>
  <c r="L86" i="155" s="1"/>
  <c r="E87" i="155"/>
  <c r="K87" i="155" s="1"/>
  <c r="F87" i="155"/>
  <c r="L87" i="155" s="1"/>
  <c r="E88" i="155"/>
  <c r="K88" i="155" s="1"/>
  <c r="F88" i="155"/>
  <c r="L88" i="155" s="1"/>
  <c r="E89" i="155"/>
  <c r="K89" i="155" s="1"/>
  <c r="F89" i="155"/>
  <c r="L89" i="155" s="1"/>
  <c r="E90" i="155"/>
  <c r="K90" i="155" s="1"/>
  <c r="F90" i="155"/>
  <c r="L90" i="155" s="1"/>
  <c r="E91" i="155"/>
  <c r="K91" i="155" s="1"/>
  <c r="F91" i="155"/>
  <c r="L91" i="155" s="1"/>
  <c r="E92" i="155"/>
  <c r="K92" i="155" s="1"/>
  <c r="F92" i="155"/>
  <c r="L92" i="155" s="1"/>
  <c r="E93" i="155"/>
  <c r="F93" i="155"/>
  <c r="L93" i="155" s="1"/>
  <c r="E94" i="155"/>
  <c r="K94" i="155" s="1"/>
  <c r="F94" i="155"/>
  <c r="L94" i="155" s="1"/>
  <c r="E95" i="155"/>
  <c r="K95" i="155" s="1"/>
  <c r="F95" i="155"/>
  <c r="L95" i="155" s="1"/>
  <c r="E96" i="155"/>
  <c r="K96" i="155" s="1"/>
  <c r="F96" i="155"/>
  <c r="L96" i="155" s="1"/>
  <c r="E97" i="155"/>
  <c r="K97" i="155" s="1"/>
  <c r="F97" i="155"/>
  <c r="L97" i="155" s="1"/>
  <c r="E98" i="155"/>
  <c r="K98" i="155" s="1"/>
  <c r="F98" i="155"/>
  <c r="L98" i="155" s="1"/>
  <c r="E99" i="155"/>
  <c r="K99" i="155" s="1"/>
  <c r="F99" i="155"/>
  <c r="L99" i="155" s="1"/>
  <c r="E100" i="155"/>
  <c r="K100" i="155" s="1"/>
  <c r="F100" i="155"/>
  <c r="L100" i="155" s="1"/>
  <c r="E101" i="155"/>
  <c r="F101" i="155"/>
  <c r="L101" i="155" s="1"/>
  <c r="E102" i="155"/>
  <c r="K102" i="155" s="1"/>
  <c r="F102" i="155"/>
  <c r="L102" i="155" s="1"/>
  <c r="E103" i="155"/>
  <c r="K103" i="155" s="1"/>
  <c r="F103" i="155"/>
  <c r="L103" i="155" s="1"/>
  <c r="E104" i="155"/>
  <c r="K104" i="155" s="1"/>
  <c r="F104" i="155"/>
  <c r="L104" i="155" s="1"/>
  <c r="E105" i="155"/>
  <c r="K105" i="155" s="1"/>
  <c r="F105" i="155"/>
  <c r="L105" i="155" s="1"/>
  <c r="E106" i="155"/>
  <c r="K106" i="155" s="1"/>
  <c r="F106" i="155"/>
  <c r="L106" i="155" s="1"/>
  <c r="E107" i="155"/>
  <c r="K107" i="155" s="1"/>
  <c r="F107" i="155"/>
  <c r="L107" i="155" s="1"/>
  <c r="E108" i="155"/>
  <c r="K108" i="155" s="1"/>
  <c r="F108" i="155"/>
  <c r="L108" i="155" s="1"/>
  <c r="E109" i="155"/>
  <c r="K109" i="155" s="1"/>
  <c r="F109" i="155"/>
  <c r="L109" i="155" s="1"/>
  <c r="E110" i="155"/>
  <c r="K110" i="155" s="1"/>
  <c r="F110" i="155"/>
  <c r="L110" i="155" s="1"/>
  <c r="E111" i="155"/>
  <c r="K111" i="155" s="1"/>
  <c r="F111" i="155"/>
  <c r="L111" i="155" s="1"/>
  <c r="E112" i="155"/>
  <c r="K112" i="155" s="1"/>
  <c r="F112" i="155"/>
  <c r="L112" i="155" s="1"/>
  <c r="E113" i="155"/>
  <c r="K113" i="155" s="1"/>
  <c r="F113" i="155"/>
  <c r="L113" i="155" s="1"/>
  <c r="E114" i="155"/>
  <c r="K114" i="155" s="1"/>
  <c r="F114" i="155"/>
  <c r="L114" i="155" s="1"/>
  <c r="E115" i="155"/>
  <c r="K115" i="155" s="1"/>
  <c r="F115" i="155"/>
  <c r="L115" i="155" s="1"/>
  <c r="E116" i="155"/>
  <c r="K116" i="155" s="1"/>
  <c r="F116" i="155"/>
  <c r="L116" i="155" s="1"/>
  <c r="E117" i="155"/>
  <c r="K117" i="155" s="1"/>
  <c r="F117" i="155"/>
  <c r="L117" i="155" s="1"/>
  <c r="E118" i="155"/>
  <c r="K118" i="155" s="1"/>
  <c r="F118" i="155"/>
  <c r="L118" i="155" s="1"/>
  <c r="E119" i="155"/>
  <c r="K119" i="155" s="1"/>
  <c r="F119" i="155"/>
  <c r="L119" i="155" s="1"/>
  <c r="E120" i="155"/>
  <c r="K120" i="155" s="1"/>
  <c r="F120" i="155"/>
  <c r="L120" i="155" s="1"/>
  <c r="E121" i="155"/>
  <c r="K121" i="155" s="1"/>
  <c r="F121" i="155"/>
  <c r="L121" i="155" s="1"/>
  <c r="E2" i="155"/>
  <c r="K2" i="155" s="1"/>
  <c r="F2" i="155"/>
  <c r="L2" i="155" s="1"/>
  <c r="E3" i="155"/>
  <c r="K3" i="155" s="1"/>
  <c r="F3" i="155"/>
  <c r="L3" i="155" s="1"/>
  <c r="E4" i="155"/>
  <c r="K4" i="155" s="1"/>
  <c r="F4" i="155"/>
  <c r="L4" i="155" s="1"/>
  <c r="F1" i="155"/>
  <c r="L1" i="155" s="1"/>
  <c r="E1" i="155"/>
  <c r="K1" i="155" s="1"/>
  <c r="G1" i="155"/>
  <c r="M1" i="155" s="1"/>
  <c r="N4" i="155"/>
  <c r="N18" i="155"/>
  <c r="N22" i="155"/>
  <c r="N31" i="155"/>
  <c r="N40" i="155"/>
  <c r="N42" i="155"/>
  <c r="N46" i="155"/>
  <c r="J121" i="155"/>
  <c r="J120" i="155"/>
  <c r="J119" i="155"/>
  <c r="J118" i="155"/>
  <c r="J117" i="155"/>
  <c r="J116" i="155"/>
  <c r="J115" i="155"/>
  <c r="J114" i="155"/>
  <c r="J113" i="155"/>
  <c r="J112" i="155"/>
  <c r="J111" i="155"/>
  <c r="J110" i="155"/>
  <c r="J109" i="155"/>
  <c r="J108" i="155"/>
  <c r="J107" i="155"/>
  <c r="J106" i="155"/>
  <c r="J105" i="155"/>
  <c r="J104" i="155"/>
  <c r="J103" i="155"/>
  <c r="J102" i="155"/>
  <c r="J101" i="155"/>
  <c r="K101" i="155"/>
  <c r="J100" i="155"/>
  <c r="J99" i="155"/>
  <c r="J98" i="155"/>
  <c r="J97" i="155"/>
  <c r="J96" i="155"/>
  <c r="J95" i="155"/>
  <c r="J94" i="155"/>
  <c r="J93" i="155"/>
  <c r="K93" i="155"/>
  <c r="J92" i="155"/>
  <c r="J91" i="155"/>
  <c r="J90" i="155"/>
  <c r="J89" i="155"/>
  <c r="J88" i="155"/>
  <c r="J87" i="155"/>
  <c r="J86" i="155"/>
  <c r="J85" i="155"/>
  <c r="K85" i="155"/>
  <c r="J84" i="155"/>
  <c r="J83" i="155"/>
  <c r="J82" i="155"/>
  <c r="J81" i="155"/>
  <c r="J80" i="155"/>
  <c r="J79" i="155"/>
  <c r="J78" i="155"/>
  <c r="J77" i="155"/>
  <c r="K77" i="155"/>
  <c r="J76" i="155"/>
  <c r="J75" i="155"/>
  <c r="L75" i="155"/>
  <c r="J74" i="155"/>
  <c r="J73" i="155"/>
  <c r="J72" i="155"/>
  <c r="J71" i="155"/>
  <c r="J70" i="155"/>
  <c r="J69" i="155"/>
  <c r="J68" i="155"/>
  <c r="J67" i="155"/>
  <c r="J66" i="155"/>
  <c r="L66" i="155"/>
  <c r="J65" i="155"/>
  <c r="J64" i="155"/>
  <c r="J63" i="155"/>
  <c r="J62" i="155"/>
  <c r="J61" i="155"/>
  <c r="K61" i="155"/>
  <c r="J60" i="155"/>
  <c r="J59" i="155"/>
  <c r="J58" i="155"/>
  <c r="L57" i="155"/>
  <c r="J57" i="155"/>
  <c r="J56" i="155"/>
  <c r="J55" i="155"/>
  <c r="J54" i="155"/>
  <c r="J53" i="155"/>
  <c r="J52" i="155"/>
  <c r="J51" i="155"/>
  <c r="J50" i="155"/>
  <c r="J49" i="155"/>
  <c r="J48" i="155"/>
  <c r="J47" i="155"/>
  <c r="J46" i="155"/>
  <c r="J45" i="155"/>
  <c r="K45" i="155"/>
  <c r="J44" i="155"/>
  <c r="J43" i="155"/>
  <c r="J42" i="155"/>
  <c r="J41" i="155"/>
  <c r="J40" i="155"/>
  <c r="J39" i="155"/>
  <c r="J38" i="155"/>
  <c r="J37" i="155"/>
  <c r="K37" i="155"/>
  <c r="J36" i="155"/>
  <c r="J35" i="155"/>
  <c r="J34" i="155"/>
  <c r="J33" i="155"/>
  <c r="J32" i="155"/>
  <c r="J31" i="155"/>
  <c r="J30" i="155"/>
  <c r="J29" i="155"/>
  <c r="K29" i="155"/>
  <c r="J28" i="155"/>
  <c r="J27" i="155"/>
  <c r="J26" i="155"/>
  <c r="J25" i="155"/>
  <c r="J24" i="155"/>
  <c r="J23" i="155"/>
  <c r="J22" i="155"/>
  <c r="K21" i="155"/>
  <c r="J21" i="155"/>
  <c r="J20" i="155"/>
  <c r="J19" i="155"/>
  <c r="J18" i="155"/>
  <c r="J17" i="155"/>
  <c r="J16" i="155"/>
  <c r="J15" i="155"/>
  <c r="J14" i="155"/>
  <c r="J13" i="155"/>
  <c r="K13" i="155"/>
  <c r="J12" i="155"/>
  <c r="J11" i="155"/>
  <c r="J10" i="155"/>
  <c r="J9" i="155"/>
  <c r="J8" i="155"/>
  <c r="J7" i="155"/>
  <c r="J6" i="155"/>
  <c r="K5" i="155"/>
  <c r="J5" i="155"/>
  <c r="J4" i="155"/>
  <c r="J3" i="155"/>
  <c r="J2" i="155"/>
  <c r="A2" i="155"/>
  <c r="C2" i="155" s="1"/>
  <c r="A1" i="155"/>
  <c r="D1" i="77"/>
  <c r="F1" i="77"/>
  <c r="I68" i="70" l="1"/>
  <c r="I89" i="70"/>
  <c r="I83" i="70"/>
  <c r="I75" i="70"/>
  <c r="V90" i="151"/>
  <c r="AA154" i="36"/>
  <c r="T7" i="15"/>
  <c r="B2" i="155"/>
  <c r="W90" i="151" l="1"/>
  <c r="AA155" i="36"/>
  <c r="T8" i="15"/>
  <c r="X90" i="151" l="1"/>
  <c r="AA156" i="36"/>
  <c r="T9" i="15"/>
  <c r="AC64" i="67"/>
  <c r="T4" i="72"/>
  <c r="K9" i="72"/>
  <c r="K8" i="72"/>
  <c r="K7" i="72"/>
  <c r="AA157" i="36" l="1"/>
  <c r="T10" i="15"/>
  <c r="R2" i="25"/>
  <c r="S2" i="25"/>
  <c r="K6" i="72"/>
  <c r="J1" i="77"/>
  <c r="I1" i="77"/>
  <c r="U1" i="77" s="1"/>
  <c r="G1" i="36"/>
  <c r="M3" i="36"/>
  <c r="M4" i="36"/>
  <c r="M5" i="36"/>
  <c r="M6" i="36"/>
  <c r="M7" i="36"/>
  <c r="M8" i="36"/>
  <c r="M9" i="36"/>
  <c r="M10" i="36"/>
  <c r="M11" i="36"/>
  <c r="M12" i="36"/>
  <c r="M13" i="36"/>
  <c r="M14" i="36"/>
  <c r="M15" i="36"/>
  <c r="M16" i="36"/>
  <c r="M17" i="36"/>
  <c r="M18" i="36"/>
  <c r="M19" i="36"/>
  <c r="M20" i="36"/>
  <c r="M21" i="36"/>
  <c r="M22" i="36"/>
  <c r="M23" i="36"/>
  <c r="M24" i="36"/>
  <c r="M25" i="36"/>
  <c r="M26" i="36"/>
  <c r="M27" i="36"/>
  <c r="M28" i="36"/>
  <c r="M29" i="36"/>
  <c r="M30" i="36"/>
  <c r="M31" i="36"/>
  <c r="M32" i="36"/>
  <c r="M33" i="36"/>
  <c r="M34" i="36"/>
  <c r="M35" i="36"/>
  <c r="M36" i="36"/>
  <c r="M37" i="36"/>
  <c r="M38" i="36"/>
  <c r="M39" i="36"/>
  <c r="M40" i="36"/>
  <c r="M41" i="36"/>
  <c r="M42" i="36"/>
  <c r="M43" i="36"/>
  <c r="M44" i="36"/>
  <c r="M45" i="36"/>
  <c r="M46" i="36"/>
  <c r="M47" i="36"/>
  <c r="M48" i="36"/>
  <c r="M49" i="36"/>
  <c r="M50" i="36"/>
  <c r="M51" i="36"/>
  <c r="M52" i="36"/>
  <c r="M53" i="36"/>
  <c r="M54" i="36"/>
  <c r="M55" i="36"/>
  <c r="M56" i="36"/>
  <c r="M57" i="36"/>
  <c r="M58" i="36"/>
  <c r="M59" i="36"/>
  <c r="M60" i="36"/>
  <c r="M61" i="36"/>
  <c r="M62" i="36"/>
  <c r="M63" i="36"/>
  <c r="M64" i="36"/>
  <c r="M65" i="36"/>
  <c r="M66" i="36"/>
  <c r="M67" i="36"/>
  <c r="M68" i="36"/>
  <c r="M69" i="36"/>
  <c r="M70" i="36"/>
  <c r="M71" i="36"/>
  <c r="M72" i="36"/>
  <c r="M73" i="36"/>
  <c r="M74" i="36"/>
  <c r="M75" i="36"/>
  <c r="M76" i="36"/>
  <c r="M77" i="36"/>
  <c r="M78" i="36"/>
  <c r="M79" i="36"/>
  <c r="M80" i="36"/>
  <c r="M81" i="36"/>
  <c r="M82" i="36"/>
  <c r="M83" i="36"/>
  <c r="M84" i="36"/>
  <c r="M85" i="36"/>
  <c r="M86" i="36"/>
  <c r="M87" i="36"/>
  <c r="M88" i="36"/>
  <c r="M89" i="36"/>
  <c r="M90" i="36"/>
  <c r="M91" i="36"/>
  <c r="M92" i="36"/>
  <c r="M93" i="36"/>
  <c r="M94" i="36"/>
  <c r="M95" i="36"/>
  <c r="M96" i="36"/>
  <c r="M97" i="36"/>
  <c r="M98" i="36"/>
  <c r="M99" i="36"/>
  <c r="M100" i="36"/>
  <c r="M101" i="36"/>
  <c r="M102" i="36"/>
  <c r="M103" i="36"/>
  <c r="M104" i="36"/>
  <c r="M105" i="36"/>
  <c r="M106" i="36"/>
  <c r="M107" i="36"/>
  <c r="M108" i="36"/>
  <c r="M109" i="36"/>
  <c r="M110" i="36"/>
  <c r="M111" i="36"/>
  <c r="M112" i="36"/>
  <c r="M113" i="36"/>
  <c r="M114" i="36"/>
  <c r="M115" i="36"/>
  <c r="M116" i="36"/>
  <c r="M117" i="36"/>
  <c r="M118" i="36"/>
  <c r="M119" i="36"/>
  <c r="M120" i="36"/>
  <c r="M121" i="36"/>
  <c r="M2" i="36"/>
  <c r="M1" i="36"/>
  <c r="I3" i="36"/>
  <c r="I4" i="36"/>
  <c r="I5" i="36"/>
  <c r="I6" i="36"/>
  <c r="I7" i="36"/>
  <c r="I8" i="36"/>
  <c r="I9" i="36"/>
  <c r="I10" i="36"/>
  <c r="I11" i="36"/>
  <c r="I12" i="36"/>
  <c r="I13" i="36"/>
  <c r="I14" i="36"/>
  <c r="I15" i="36"/>
  <c r="I16" i="36"/>
  <c r="I17" i="36"/>
  <c r="I18" i="36"/>
  <c r="I19" i="36"/>
  <c r="I20" i="36"/>
  <c r="I21" i="36"/>
  <c r="I22" i="36"/>
  <c r="I23" i="36"/>
  <c r="I24" i="36"/>
  <c r="I25" i="36"/>
  <c r="I26" i="36"/>
  <c r="I27" i="36"/>
  <c r="I28" i="36"/>
  <c r="I29" i="36"/>
  <c r="I30" i="36"/>
  <c r="I31" i="36"/>
  <c r="I32" i="36"/>
  <c r="I33" i="36"/>
  <c r="I34" i="36"/>
  <c r="I35" i="36"/>
  <c r="I36" i="36"/>
  <c r="I37" i="36"/>
  <c r="I38" i="36"/>
  <c r="I39" i="36"/>
  <c r="I40" i="36"/>
  <c r="I41" i="36"/>
  <c r="I42" i="36"/>
  <c r="I43" i="36"/>
  <c r="I44" i="36"/>
  <c r="I45" i="36"/>
  <c r="I46" i="36"/>
  <c r="I47" i="36"/>
  <c r="I48" i="36"/>
  <c r="I49" i="36"/>
  <c r="I50" i="36"/>
  <c r="I51" i="36"/>
  <c r="I52" i="36"/>
  <c r="I53" i="36"/>
  <c r="I54" i="36"/>
  <c r="I55" i="36"/>
  <c r="I56" i="36"/>
  <c r="I57" i="36"/>
  <c r="I58" i="36"/>
  <c r="I59" i="36"/>
  <c r="I60" i="36"/>
  <c r="I61" i="36"/>
  <c r="I62" i="36"/>
  <c r="I63" i="36"/>
  <c r="I64" i="36"/>
  <c r="I65" i="36"/>
  <c r="I66" i="36"/>
  <c r="I67" i="36"/>
  <c r="I68" i="36"/>
  <c r="I69" i="36"/>
  <c r="I70" i="36"/>
  <c r="I71" i="36"/>
  <c r="I72" i="36"/>
  <c r="I73" i="36"/>
  <c r="I74" i="36"/>
  <c r="I75" i="36"/>
  <c r="I76" i="36"/>
  <c r="I77" i="36"/>
  <c r="I78" i="36"/>
  <c r="I79" i="36"/>
  <c r="I80" i="36"/>
  <c r="I81" i="36"/>
  <c r="I82" i="36"/>
  <c r="I83" i="36"/>
  <c r="I84" i="36"/>
  <c r="I85" i="36"/>
  <c r="I86" i="36"/>
  <c r="I87" i="36"/>
  <c r="I88" i="36"/>
  <c r="I89" i="36"/>
  <c r="I90" i="36"/>
  <c r="I91" i="36"/>
  <c r="I92" i="36"/>
  <c r="I93" i="36"/>
  <c r="I94" i="36"/>
  <c r="I95" i="36"/>
  <c r="I96" i="36"/>
  <c r="I97" i="36"/>
  <c r="I98" i="36"/>
  <c r="I99" i="36"/>
  <c r="I100" i="36"/>
  <c r="I101" i="36"/>
  <c r="I102" i="36"/>
  <c r="I103" i="36"/>
  <c r="I104" i="36"/>
  <c r="I105" i="36"/>
  <c r="I106" i="36"/>
  <c r="I107" i="36"/>
  <c r="I108" i="36"/>
  <c r="I109" i="36"/>
  <c r="I110" i="36"/>
  <c r="I111" i="36"/>
  <c r="I112" i="36"/>
  <c r="I113" i="36"/>
  <c r="I114" i="36"/>
  <c r="I115" i="36"/>
  <c r="I116" i="36"/>
  <c r="I117" i="36"/>
  <c r="I118" i="36"/>
  <c r="I119" i="36"/>
  <c r="I120" i="36"/>
  <c r="I121" i="36"/>
  <c r="I122" i="36"/>
  <c r="I123" i="36"/>
  <c r="I124" i="36"/>
  <c r="I125" i="36"/>
  <c r="I126" i="36"/>
  <c r="I127" i="36"/>
  <c r="I128" i="36"/>
  <c r="I129" i="36"/>
  <c r="I130" i="36"/>
  <c r="I131" i="36"/>
  <c r="I132" i="36"/>
  <c r="I133" i="36"/>
  <c r="I134" i="36"/>
  <c r="I135" i="36"/>
  <c r="I136" i="36"/>
  <c r="I137" i="36"/>
  <c r="I138" i="36"/>
  <c r="I139" i="36"/>
  <c r="I140" i="36"/>
  <c r="I141" i="36"/>
  <c r="I142" i="36"/>
  <c r="I143" i="36"/>
  <c r="I144" i="36"/>
  <c r="I145" i="36"/>
  <c r="I2" i="36"/>
  <c r="D1" i="154"/>
  <c r="H121" i="154"/>
  <c r="H120" i="154"/>
  <c r="H119" i="154"/>
  <c r="H118" i="154"/>
  <c r="H117" i="154"/>
  <c r="H116" i="154"/>
  <c r="H115" i="154"/>
  <c r="H114" i="154"/>
  <c r="H113" i="154"/>
  <c r="H112" i="154"/>
  <c r="H111" i="154"/>
  <c r="H110" i="154"/>
  <c r="H109" i="154"/>
  <c r="H108" i="154"/>
  <c r="H107" i="154"/>
  <c r="H106" i="154"/>
  <c r="H105" i="154"/>
  <c r="H104" i="154"/>
  <c r="H103" i="154"/>
  <c r="H102" i="154"/>
  <c r="H101" i="154"/>
  <c r="H100" i="154"/>
  <c r="H99" i="154"/>
  <c r="H98" i="154"/>
  <c r="H97" i="154"/>
  <c r="H96" i="154"/>
  <c r="H95" i="154"/>
  <c r="H94" i="154"/>
  <c r="H93" i="154"/>
  <c r="H92" i="154"/>
  <c r="H91" i="154"/>
  <c r="H90" i="154"/>
  <c r="H89" i="154"/>
  <c r="H88" i="154"/>
  <c r="H87" i="154"/>
  <c r="H86" i="154"/>
  <c r="H85" i="154"/>
  <c r="H84" i="154"/>
  <c r="H83" i="154"/>
  <c r="H82" i="154"/>
  <c r="H81" i="154"/>
  <c r="H80" i="154"/>
  <c r="H79" i="154"/>
  <c r="H78" i="154"/>
  <c r="H77" i="154"/>
  <c r="H76" i="154"/>
  <c r="H75" i="154"/>
  <c r="H74" i="154"/>
  <c r="H73" i="154"/>
  <c r="H72" i="154"/>
  <c r="H71" i="154"/>
  <c r="H70" i="154"/>
  <c r="H69" i="154"/>
  <c r="H68" i="154"/>
  <c r="H67" i="154"/>
  <c r="H66" i="154"/>
  <c r="H65" i="154"/>
  <c r="H64" i="154"/>
  <c r="H63" i="154"/>
  <c r="H62" i="154"/>
  <c r="H61" i="154"/>
  <c r="H60" i="154"/>
  <c r="H59" i="154"/>
  <c r="H58" i="154"/>
  <c r="H57" i="154"/>
  <c r="H56" i="154"/>
  <c r="H55" i="154"/>
  <c r="H54" i="154"/>
  <c r="H53" i="154"/>
  <c r="H52" i="154"/>
  <c r="H51" i="154"/>
  <c r="H50" i="154"/>
  <c r="H49" i="154"/>
  <c r="H48" i="154"/>
  <c r="H47" i="154"/>
  <c r="H46" i="154"/>
  <c r="H45" i="154"/>
  <c r="H44" i="154"/>
  <c r="H43" i="154"/>
  <c r="H42" i="154"/>
  <c r="H41" i="154"/>
  <c r="H40" i="154"/>
  <c r="H39" i="154"/>
  <c r="H38" i="154"/>
  <c r="H37" i="154"/>
  <c r="H36" i="154"/>
  <c r="H35" i="154"/>
  <c r="H34" i="154"/>
  <c r="H33" i="154"/>
  <c r="H32" i="154"/>
  <c r="H31" i="154"/>
  <c r="H30" i="154"/>
  <c r="H29" i="154"/>
  <c r="H28" i="154"/>
  <c r="H27" i="154"/>
  <c r="H26" i="154"/>
  <c r="H25" i="154"/>
  <c r="H24" i="154"/>
  <c r="H23" i="154"/>
  <c r="H22" i="154"/>
  <c r="H21" i="154"/>
  <c r="H20" i="154"/>
  <c r="H19" i="154"/>
  <c r="H18" i="154"/>
  <c r="H17" i="154"/>
  <c r="H16" i="154"/>
  <c r="H15" i="154"/>
  <c r="H14" i="154"/>
  <c r="H13" i="154"/>
  <c r="H12" i="154"/>
  <c r="H11" i="154"/>
  <c r="H10" i="154"/>
  <c r="H9" i="154"/>
  <c r="H8" i="154"/>
  <c r="H7" i="154"/>
  <c r="H6" i="154"/>
  <c r="H5" i="154"/>
  <c r="H4" i="154"/>
  <c r="H3" i="154"/>
  <c r="H2" i="154"/>
  <c r="A2" i="154"/>
  <c r="C2" i="154" s="1"/>
  <c r="F1" i="154"/>
  <c r="J1" i="154" s="1"/>
  <c r="E1" i="154"/>
  <c r="I1" i="154" s="1"/>
  <c r="A1" i="154"/>
  <c r="F1" i="32"/>
  <c r="E1" i="32"/>
  <c r="J9" i="76"/>
  <c r="K9" i="76"/>
  <c r="J10" i="76"/>
  <c r="K10" i="76"/>
  <c r="J11" i="76"/>
  <c r="K11" i="76"/>
  <c r="J12" i="76"/>
  <c r="K12" i="76"/>
  <c r="J13" i="76"/>
  <c r="K13" i="76"/>
  <c r="J14" i="76"/>
  <c r="K14" i="76"/>
  <c r="J15" i="76"/>
  <c r="K15" i="76"/>
  <c r="J16" i="76"/>
  <c r="K16" i="76"/>
  <c r="J17" i="76"/>
  <c r="K17" i="76"/>
  <c r="J18" i="76"/>
  <c r="K18" i="76"/>
  <c r="J19" i="76"/>
  <c r="K19" i="76"/>
  <c r="J20" i="76"/>
  <c r="K20" i="76"/>
  <c r="J21" i="76"/>
  <c r="K21" i="76"/>
  <c r="J22" i="76"/>
  <c r="K22" i="76"/>
  <c r="J23" i="76"/>
  <c r="K23" i="76"/>
  <c r="J24" i="76"/>
  <c r="K24" i="76"/>
  <c r="J25" i="76"/>
  <c r="K25" i="76"/>
  <c r="J26" i="76"/>
  <c r="K26" i="76"/>
  <c r="J27" i="76"/>
  <c r="K27" i="76"/>
  <c r="J28" i="76"/>
  <c r="K28" i="76"/>
  <c r="J29" i="76"/>
  <c r="K29" i="76"/>
  <c r="J30" i="76"/>
  <c r="K30" i="76"/>
  <c r="J31" i="76"/>
  <c r="K31" i="76"/>
  <c r="J32" i="76"/>
  <c r="K32" i="76"/>
  <c r="J33" i="76"/>
  <c r="K33" i="76"/>
  <c r="J34" i="76"/>
  <c r="K34" i="76"/>
  <c r="J35" i="76"/>
  <c r="K35" i="76"/>
  <c r="J36" i="76"/>
  <c r="K36" i="76"/>
  <c r="J37" i="76"/>
  <c r="K37" i="76"/>
  <c r="J38" i="76"/>
  <c r="K38" i="76"/>
  <c r="J39" i="76"/>
  <c r="K39" i="76"/>
  <c r="J40" i="76"/>
  <c r="K40" i="76"/>
  <c r="J41" i="76"/>
  <c r="K41" i="76"/>
  <c r="J42" i="76"/>
  <c r="K42" i="76"/>
  <c r="J43" i="76"/>
  <c r="K43" i="76"/>
  <c r="J44" i="76"/>
  <c r="K44" i="76"/>
  <c r="J45" i="76"/>
  <c r="K45" i="76"/>
  <c r="J46" i="76"/>
  <c r="K46" i="76"/>
  <c r="J47" i="76"/>
  <c r="K47" i="76"/>
  <c r="J48" i="76"/>
  <c r="K48" i="76"/>
  <c r="J49" i="76"/>
  <c r="K49" i="76"/>
  <c r="J50" i="76"/>
  <c r="K50" i="76"/>
  <c r="J51" i="76"/>
  <c r="K51" i="76"/>
  <c r="J52" i="76"/>
  <c r="K52" i="76"/>
  <c r="J53" i="76"/>
  <c r="K53" i="76"/>
  <c r="J54" i="76"/>
  <c r="K54" i="76"/>
  <c r="J55" i="76"/>
  <c r="K55" i="76"/>
  <c r="J56" i="76"/>
  <c r="K56" i="76"/>
  <c r="J57" i="76"/>
  <c r="K57" i="76"/>
  <c r="J58" i="76"/>
  <c r="K58" i="76"/>
  <c r="J59" i="76"/>
  <c r="K59" i="76"/>
  <c r="J60" i="76"/>
  <c r="K60" i="76"/>
  <c r="J61" i="76"/>
  <c r="K61" i="76"/>
  <c r="K62" i="76"/>
  <c r="K63" i="76"/>
  <c r="K64" i="76"/>
  <c r="K65" i="76"/>
  <c r="K66" i="76"/>
  <c r="K67" i="76"/>
  <c r="K68" i="76"/>
  <c r="K69" i="76"/>
  <c r="K70" i="76"/>
  <c r="K71" i="76"/>
  <c r="K72" i="76"/>
  <c r="K73" i="76"/>
  <c r="K74" i="76"/>
  <c r="K75" i="76"/>
  <c r="K76" i="76"/>
  <c r="K77" i="76"/>
  <c r="K78" i="76"/>
  <c r="K79" i="76"/>
  <c r="K80" i="76"/>
  <c r="K81" i="76"/>
  <c r="K82" i="76"/>
  <c r="K83" i="76"/>
  <c r="K84" i="76"/>
  <c r="K85" i="76"/>
  <c r="K86" i="76"/>
  <c r="K87" i="76"/>
  <c r="K88" i="76"/>
  <c r="K89" i="76"/>
  <c r="K90" i="76"/>
  <c r="K91" i="76"/>
  <c r="K92" i="76"/>
  <c r="K93" i="76"/>
  <c r="K94" i="76"/>
  <c r="K95" i="76"/>
  <c r="K96" i="76"/>
  <c r="K97" i="76"/>
  <c r="K98" i="76"/>
  <c r="K99" i="76"/>
  <c r="K100" i="76"/>
  <c r="K101" i="76"/>
  <c r="K102" i="76"/>
  <c r="K103" i="76"/>
  <c r="K104" i="76"/>
  <c r="K105" i="76"/>
  <c r="K106" i="76"/>
  <c r="K107" i="76"/>
  <c r="K108" i="76"/>
  <c r="K109" i="76"/>
  <c r="K110" i="76"/>
  <c r="K111" i="76"/>
  <c r="K112" i="76"/>
  <c r="K113" i="76"/>
  <c r="K114" i="76"/>
  <c r="K115" i="76"/>
  <c r="K116" i="76"/>
  <c r="K117" i="76"/>
  <c r="K118" i="76"/>
  <c r="K119" i="76"/>
  <c r="K120" i="76"/>
  <c r="K121" i="76"/>
  <c r="J3" i="76"/>
  <c r="K3" i="76"/>
  <c r="J4" i="76"/>
  <c r="K4" i="76"/>
  <c r="J5" i="76"/>
  <c r="K5" i="76"/>
  <c r="J6" i="76"/>
  <c r="K6" i="76"/>
  <c r="J7" i="76"/>
  <c r="K7" i="76"/>
  <c r="J8" i="76"/>
  <c r="K8" i="76"/>
  <c r="J2" i="76"/>
  <c r="K2" i="76"/>
  <c r="K1" i="76"/>
  <c r="J1" i="76"/>
  <c r="I1" i="76"/>
  <c r="H1" i="76"/>
  <c r="G1" i="76"/>
  <c r="B35" i="153"/>
  <c r="B8" i="153" s="1"/>
  <c r="B34" i="153"/>
  <c r="B7" i="153" s="1"/>
  <c r="B33" i="153"/>
  <c r="B6" i="153" s="1"/>
  <c r="B32" i="153"/>
  <c r="B5" i="153" s="1"/>
  <c r="B31" i="153"/>
  <c r="B4" i="153" s="1"/>
  <c r="B30" i="153"/>
  <c r="B3" i="153" s="1"/>
  <c r="H3" i="34"/>
  <c r="I3" i="34"/>
  <c r="H4" i="34"/>
  <c r="I4" i="34"/>
  <c r="H5" i="34"/>
  <c r="I5" i="34"/>
  <c r="H6" i="34"/>
  <c r="I6" i="34"/>
  <c r="H7" i="34"/>
  <c r="I7" i="34"/>
  <c r="H8" i="34"/>
  <c r="I8" i="34"/>
  <c r="H9" i="34"/>
  <c r="I9" i="34"/>
  <c r="H10" i="34"/>
  <c r="I10" i="34"/>
  <c r="H11" i="34"/>
  <c r="I11" i="34"/>
  <c r="H12" i="34"/>
  <c r="I12" i="34"/>
  <c r="H13" i="34"/>
  <c r="I13" i="34"/>
  <c r="H14" i="34"/>
  <c r="I14" i="34"/>
  <c r="H15" i="34"/>
  <c r="I15" i="34"/>
  <c r="H16" i="34"/>
  <c r="I16" i="34"/>
  <c r="H17" i="34"/>
  <c r="I17" i="34"/>
  <c r="H18" i="34"/>
  <c r="I18" i="34"/>
  <c r="H19" i="34"/>
  <c r="I19" i="34"/>
  <c r="H20" i="34"/>
  <c r="I20" i="34"/>
  <c r="H21" i="34"/>
  <c r="I21" i="34"/>
  <c r="H22" i="34"/>
  <c r="I22" i="34"/>
  <c r="H23" i="34"/>
  <c r="I23" i="34"/>
  <c r="H24" i="34"/>
  <c r="I24" i="34"/>
  <c r="H25" i="34"/>
  <c r="I25" i="34"/>
  <c r="H26" i="34"/>
  <c r="I26" i="34"/>
  <c r="H27" i="34"/>
  <c r="I27" i="34"/>
  <c r="H28" i="34"/>
  <c r="I28" i="34"/>
  <c r="H29" i="34"/>
  <c r="I29" i="34"/>
  <c r="H30" i="34"/>
  <c r="I30" i="34"/>
  <c r="H31" i="34"/>
  <c r="I31" i="34"/>
  <c r="H32" i="34"/>
  <c r="I32" i="34"/>
  <c r="H33" i="34"/>
  <c r="I33" i="34"/>
  <c r="H34" i="34"/>
  <c r="I34" i="34"/>
  <c r="H35" i="34"/>
  <c r="I35" i="34"/>
  <c r="H36" i="34"/>
  <c r="I36" i="34"/>
  <c r="H37" i="34"/>
  <c r="I37" i="34"/>
  <c r="H38" i="34"/>
  <c r="I38" i="34"/>
  <c r="H39" i="34"/>
  <c r="I39" i="34"/>
  <c r="H40" i="34"/>
  <c r="I40" i="34"/>
  <c r="H41" i="34"/>
  <c r="I41" i="34"/>
  <c r="H42" i="34"/>
  <c r="I42" i="34"/>
  <c r="H43" i="34"/>
  <c r="I43" i="34"/>
  <c r="H44" i="34"/>
  <c r="I44" i="34"/>
  <c r="H45" i="34"/>
  <c r="I45" i="34"/>
  <c r="H46" i="34"/>
  <c r="I46" i="34"/>
  <c r="H47" i="34"/>
  <c r="I47" i="34"/>
  <c r="H48" i="34"/>
  <c r="I48" i="34"/>
  <c r="H49" i="34"/>
  <c r="I49" i="34"/>
  <c r="H50" i="34"/>
  <c r="I50" i="34"/>
  <c r="H51" i="34"/>
  <c r="I51" i="34"/>
  <c r="H52" i="34"/>
  <c r="I52" i="34"/>
  <c r="H53" i="34"/>
  <c r="I53" i="34"/>
  <c r="H54" i="34"/>
  <c r="I54" i="34"/>
  <c r="H55" i="34"/>
  <c r="I55" i="34"/>
  <c r="H56" i="34"/>
  <c r="I56" i="34"/>
  <c r="H57" i="34"/>
  <c r="I57" i="34"/>
  <c r="H58" i="34"/>
  <c r="I58" i="34"/>
  <c r="H59" i="34"/>
  <c r="I59" i="34"/>
  <c r="H60" i="34"/>
  <c r="I60" i="34"/>
  <c r="H61" i="34"/>
  <c r="I61" i="34"/>
  <c r="I62" i="34"/>
  <c r="I63" i="34"/>
  <c r="I64" i="34"/>
  <c r="I65" i="34"/>
  <c r="I66" i="34"/>
  <c r="I67" i="34"/>
  <c r="I68" i="34"/>
  <c r="I69" i="34"/>
  <c r="I70" i="34"/>
  <c r="I71" i="34"/>
  <c r="I72" i="34"/>
  <c r="I73" i="34"/>
  <c r="I74" i="34"/>
  <c r="I75" i="34"/>
  <c r="I76" i="34"/>
  <c r="I77" i="34"/>
  <c r="I78" i="34"/>
  <c r="I79" i="34"/>
  <c r="I80" i="34"/>
  <c r="I81" i="34"/>
  <c r="I82" i="34"/>
  <c r="I83" i="34"/>
  <c r="I84" i="34"/>
  <c r="I85" i="34"/>
  <c r="I86" i="34"/>
  <c r="I87" i="34"/>
  <c r="I88" i="34"/>
  <c r="I89" i="34"/>
  <c r="I90" i="34"/>
  <c r="I91" i="34"/>
  <c r="I92" i="34"/>
  <c r="I93" i="34"/>
  <c r="I94" i="34"/>
  <c r="I95" i="34"/>
  <c r="I96" i="34"/>
  <c r="I97" i="34"/>
  <c r="I98" i="34"/>
  <c r="I99" i="34"/>
  <c r="I100" i="34"/>
  <c r="I101" i="34"/>
  <c r="I102" i="34"/>
  <c r="I103" i="34"/>
  <c r="I104" i="34"/>
  <c r="I105" i="34"/>
  <c r="I106" i="34"/>
  <c r="I107" i="34"/>
  <c r="I108" i="34"/>
  <c r="I109" i="34"/>
  <c r="I110" i="34"/>
  <c r="I111" i="34"/>
  <c r="I112" i="34"/>
  <c r="I113" i="34"/>
  <c r="I114" i="34"/>
  <c r="I115" i="34"/>
  <c r="I116" i="34"/>
  <c r="I117" i="34"/>
  <c r="I118" i="34"/>
  <c r="I119" i="34"/>
  <c r="I120" i="34"/>
  <c r="I121" i="34"/>
  <c r="I2" i="34"/>
  <c r="H2" i="34"/>
  <c r="I1" i="34"/>
  <c r="H1" i="34"/>
  <c r="G1" i="34"/>
  <c r="F1" i="34"/>
  <c r="E1" i="34"/>
  <c r="H4" i="30"/>
  <c r="I4" i="30"/>
  <c r="H5" i="30"/>
  <c r="I5" i="30"/>
  <c r="H6" i="30"/>
  <c r="I6" i="30"/>
  <c r="H7" i="30"/>
  <c r="I7" i="30"/>
  <c r="H8" i="30"/>
  <c r="I8" i="30"/>
  <c r="H9" i="30"/>
  <c r="I9" i="30"/>
  <c r="H10" i="30"/>
  <c r="I10" i="30"/>
  <c r="H11" i="30"/>
  <c r="I11" i="30"/>
  <c r="H12" i="30"/>
  <c r="I12" i="30"/>
  <c r="H13" i="30"/>
  <c r="I13" i="30"/>
  <c r="H14" i="30"/>
  <c r="I14" i="30"/>
  <c r="H15" i="30"/>
  <c r="I15" i="30"/>
  <c r="H16" i="30"/>
  <c r="I16" i="30"/>
  <c r="H17" i="30"/>
  <c r="I17" i="30"/>
  <c r="H18" i="30"/>
  <c r="I18" i="30"/>
  <c r="H19" i="30"/>
  <c r="I19" i="30"/>
  <c r="H20" i="30"/>
  <c r="I20" i="30"/>
  <c r="H21" i="30"/>
  <c r="I21" i="30"/>
  <c r="H22" i="30"/>
  <c r="I22" i="30"/>
  <c r="H23" i="30"/>
  <c r="I23" i="30"/>
  <c r="H24" i="30"/>
  <c r="I24" i="30"/>
  <c r="H25" i="30"/>
  <c r="I25" i="30"/>
  <c r="H26" i="30"/>
  <c r="I26" i="30"/>
  <c r="H27" i="30"/>
  <c r="I27" i="30"/>
  <c r="H28" i="30"/>
  <c r="I28" i="30"/>
  <c r="H29" i="30"/>
  <c r="I29" i="30"/>
  <c r="H30" i="30"/>
  <c r="I30" i="30"/>
  <c r="H31" i="30"/>
  <c r="I31" i="30"/>
  <c r="H32" i="30"/>
  <c r="I32" i="30"/>
  <c r="H33" i="30"/>
  <c r="I33" i="30"/>
  <c r="H34" i="30"/>
  <c r="I34" i="30"/>
  <c r="H35" i="30"/>
  <c r="I35" i="30"/>
  <c r="H36" i="30"/>
  <c r="I36" i="30"/>
  <c r="H37" i="30"/>
  <c r="I37" i="30"/>
  <c r="H38" i="30"/>
  <c r="I38" i="30"/>
  <c r="H39" i="30"/>
  <c r="I39" i="30"/>
  <c r="H40" i="30"/>
  <c r="I40" i="30"/>
  <c r="H41" i="30"/>
  <c r="I41" i="30"/>
  <c r="H42" i="30"/>
  <c r="I42" i="30"/>
  <c r="H43" i="30"/>
  <c r="I43" i="30"/>
  <c r="H44" i="30"/>
  <c r="I44" i="30"/>
  <c r="H45" i="30"/>
  <c r="I45" i="30"/>
  <c r="H46" i="30"/>
  <c r="I46" i="30"/>
  <c r="H47" i="30"/>
  <c r="I47" i="30"/>
  <c r="H48" i="30"/>
  <c r="I48" i="30"/>
  <c r="H49" i="30"/>
  <c r="I49" i="30"/>
  <c r="H50" i="30"/>
  <c r="I50" i="30"/>
  <c r="H51" i="30"/>
  <c r="I51" i="30"/>
  <c r="H52" i="30"/>
  <c r="I52" i="30"/>
  <c r="H53" i="30"/>
  <c r="I53" i="30"/>
  <c r="H54" i="30"/>
  <c r="I54" i="30"/>
  <c r="H55" i="30"/>
  <c r="I55" i="30"/>
  <c r="H56" i="30"/>
  <c r="I56" i="30"/>
  <c r="H57" i="30"/>
  <c r="I57" i="30"/>
  <c r="H58" i="30"/>
  <c r="I58" i="30"/>
  <c r="H59" i="30"/>
  <c r="I59" i="30"/>
  <c r="H60" i="30"/>
  <c r="I60" i="30"/>
  <c r="H61" i="30"/>
  <c r="I61" i="30"/>
  <c r="I62" i="30"/>
  <c r="I63" i="30"/>
  <c r="I64" i="30"/>
  <c r="I65" i="30"/>
  <c r="I66" i="30"/>
  <c r="I67" i="30"/>
  <c r="I68" i="30"/>
  <c r="I69" i="30"/>
  <c r="I70" i="30"/>
  <c r="I71" i="30"/>
  <c r="I72" i="30"/>
  <c r="I73" i="30"/>
  <c r="I74" i="30"/>
  <c r="I75" i="30"/>
  <c r="I76" i="30"/>
  <c r="I77" i="30"/>
  <c r="I78" i="30"/>
  <c r="I79" i="30"/>
  <c r="I80" i="30"/>
  <c r="I81" i="30"/>
  <c r="I82" i="30"/>
  <c r="I83" i="30"/>
  <c r="I84" i="30"/>
  <c r="I85" i="30"/>
  <c r="I86" i="30"/>
  <c r="I87" i="30"/>
  <c r="I88" i="30"/>
  <c r="I89" i="30"/>
  <c r="I90" i="30"/>
  <c r="I91" i="30"/>
  <c r="I92" i="30"/>
  <c r="I93" i="30"/>
  <c r="I94" i="30"/>
  <c r="I95" i="30"/>
  <c r="I96" i="30"/>
  <c r="I97" i="30"/>
  <c r="I98" i="30"/>
  <c r="I99" i="30"/>
  <c r="I100" i="30"/>
  <c r="I101" i="30"/>
  <c r="I102" i="30"/>
  <c r="I103" i="30"/>
  <c r="I104" i="30"/>
  <c r="I105" i="30"/>
  <c r="I106" i="30"/>
  <c r="I107" i="30"/>
  <c r="I108" i="30"/>
  <c r="I109" i="30"/>
  <c r="I110" i="30"/>
  <c r="I111" i="30"/>
  <c r="I112" i="30"/>
  <c r="I113" i="30"/>
  <c r="I114" i="30"/>
  <c r="I115" i="30"/>
  <c r="I116" i="30"/>
  <c r="I117" i="30"/>
  <c r="I118" i="30"/>
  <c r="I119" i="30"/>
  <c r="I120" i="30"/>
  <c r="I121" i="30"/>
  <c r="H2" i="30"/>
  <c r="I2" i="30"/>
  <c r="H3" i="30"/>
  <c r="I3" i="30"/>
  <c r="I1" i="30"/>
  <c r="H1" i="30"/>
  <c r="G1" i="30"/>
  <c r="F1" i="30"/>
  <c r="E1" i="30"/>
  <c r="O1" i="75"/>
  <c r="O3" i="75"/>
  <c r="O4" i="75"/>
  <c r="O5" i="75"/>
  <c r="O6" i="75"/>
  <c r="O7" i="75"/>
  <c r="O8" i="75"/>
  <c r="O9" i="75"/>
  <c r="O10" i="75"/>
  <c r="O11" i="75"/>
  <c r="O12" i="75"/>
  <c r="O13" i="75"/>
  <c r="O14" i="75"/>
  <c r="O15" i="75"/>
  <c r="O16" i="75"/>
  <c r="O17" i="75"/>
  <c r="O18" i="75"/>
  <c r="O19" i="75"/>
  <c r="O20" i="75"/>
  <c r="O21" i="75"/>
  <c r="O22" i="75"/>
  <c r="O23" i="75"/>
  <c r="O24" i="75"/>
  <c r="O25" i="75"/>
  <c r="O26" i="75"/>
  <c r="O27" i="75"/>
  <c r="O28" i="75"/>
  <c r="O29" i="75"/>
  <c r="O30" i="75"/>
  <c r="O31" i="75"/>
  <c r="O32" i="75"/>
  <c r="O33" i="75"/>
  <c r="O34" i="75"/>
  <c r="O35" i="75"/>
  <c r="O36" i="75"/>
  <c r="O37" i="75"/>
  <c r="O38" i="75"/>
  <c r="O39" i="75"/>
  <c r="O40" i="75"/>
  <c r="O41" i="75"/>
  <c r="O42" i="75"/>
  <c r="O43" i="75"/>
  <c r="O44" i="75"/>
  <c r="O45" i="75"/>
  <c r="O46" i="75"/>
  <c r="O47" i="75"/>
  <c r="O48" i="75"/>
  <c r="O49" i="75"/>
  <c r="O50" i="75"/>
  <c r="O51" i="75"/>
  <c r="O52" i="75"/>
  <c r="O53" i="75"/>
  <c r="O54" i="75"/>
  <c r="O55" i="75"/>
  <c r="O56" i="75"/>
  <c r="O57" i="75"/>
  <c r="O58" i="75"/>
  <c r="O59" i="75"/>
  <c r="O60" i="75"/>
  <c r="O61" i="75"/>
  <c r="O62" i="75"/>
  <c r="O63" i="75"/>
  <c r="O64" i="75"/>
  <c r="O65" i="75"/>
  <c r="O66" i="75"/>
  <c r="O67" i="75"/>
  <c r="O68" i="75"/>
  <c r="O69" i="75"/>
  <c r="O70" i="75"/>
  <c r="O71" i="75"/>
  <c r="O72" i="75"/>
  <c r="O73" i="75"/>
  <c r="O74" i="75"/>
  <c r="O75" i="75"/>
  <c r="O76" i="75"/>
  <c r="O77" i="75"/>
  <c r="O78" i="75"/>
  <c r="O79" i="75"/>
  <c r="O80" i="75"/>
  <c r="O81" i="75"/>
  <c r="O82" i="75"/>
  <c r="O83" i="75"/>
  <c r="O84" i="75"/>
  <c r="O85" i="75"/>
  <c r="O86" i="75"/>
  <c r="O87" i="75"/>
  <c r="O88" i="75"/>
  <c r="O89" i="75"/>
  <c r="O90" i="75"/>
  <c r="O91" i="75"/>
  <c r="O92" i="75"/>
  <c r="O93" i="75"/>
  <c r="O94" i="75"/>
  <c r="O95" i="75"/>
  <c r="O96" i="75"/>
  <c r="O97" i="75"/>
  <c r="O98" i="75"/>
  <c r="O99" i="75"/>
  <c r="O100" i="75"/>
  <c r="O101" i="75"/>
  <c r="O102" i="75"/>
  <c r="O103" i="75"/>
  <c r="O104" i="75"/>
  <c r="O105" i="75"/>
  <c r="O106" i="75"/>
  <c r="O107" i="75"/>
  <c r="O108" i="75"/>
  <c r="O109" i="75"/>
  <c r="O110" i="75"/>
  <c r="O111" i="75"/>
  <c r="O112" i="75"/>
  <c r="O113" i="75"/>
  <c r="O114" i="75"/>
  <c r="O115" i="75"/>
  <c r="O116" i="75"/>
  <c r="O117" i="75"/>
  <c r="O118" i="75"/>
  <c r="O119" i="75"/>
  <c r="O120" i="75"/>
  <c r="O121" i="75"/>
  <c r="O122" i="75" s="1"/>
  <c r="O123" i="75" s="1"/>
  <c r="O124" i="75" s="1"/>
  <c r="O125" i="75" s="1"/>
  <c r="O126" i="75" s="1"/>
  <c r="O127" i="75" s="1"/>
  <c r="O128" i="75" s="1"/>
  <c r="O129" i="75" s="1"/>
  <c r="O130" i="75" s="1"/>
  <c r="O131" i="75" s="1"/>
  <c r="O132" i="75" s="1"/>
  <c r="O133" i="75" s="1"/>
  <c r="O134" i="75" s="1"/>
  <c r="O135" i="75" s="1"/>
  <c r="O136" i="75" s="1"/>
  <c r="O137" i="75" s="1"/>
  <c r="O138" i="75" s="1"/>
  <c r="O139" i="75" s="1"/>
  <c r="O140" i="75" s="1"/>
  <c r="O141" i="75" s="1"/>
  <c r="O142" i="75" s="1"/>
  <c r="O143" i="75" s="1"/>
  <c r="O144" i="75" s="1"/>
  <c r="O145" i="75" s="1"/>
  <c r="O2" i="75"/>
  <c r="I3" i="75"/>
  <c r="J3" i="75"/>
  <c r="I4" i="75"/>
  <c r="J4" i="75"/>
  <c r="I5" i="75"/>
  <c r="J5" i="75"/>
  <c r="I6" i="75"/>
  <c r="J6" i="75"/>
  <c r="I7" i="75"/>
  <c r="J7" i="75"/>
  <c r="I8" i="75"/>
  <c r="J8" i="75"/>
  <c r="I9" i="75"/>
  <c r="J9" i="75"/>
  <c r="I10" i="75"/>
  <c r="J10" i="75"/>
  <c r="I11" i="75"/>
  <c r="J11" i="75"/>
  <c r="I12" i="75"/>
  <c r="J12" i="75"/>
  <c r="I13" i="75"/>
  <c r="J13" i="75"/>
  <c r="I14" i="75"/>
  <c r="J14" i="75"/>
  <c r="I15" i="75"/>
  <c r="J15" i="75"/>
  <c r="I16" i="75"/>
  <c r="J16" i="75"/>
  <c r="I17" i="75"/>
  <c r="J17" i="75"/>
  <c r="I18" i="75"/>
  <c r="J18" i="75"/>
  <c r="I19" i="75"/>
  <c r="J19" i="75"/>
  <c r="I20" i="75"/>
  <c r="J20" i="75"/>
  <c r="I21" i="75"/>
  <c r="J21" i="75"/>
  <c r="I22" i="75"/>
  <c r="J22" i="75"/>
  <c r="I23" i="75"/>
  <c r="J23" i="75"/>
  <c r="I24" i="75"/>
  <c r="J24" i="75"/>
  <c r="I25" i="75"/>
  <c r="J25" i="75"/>
  <c r="I26" i="75"/>
  <c r="J26" i="75"/>
  <c r="I27" i="75"/>
  <c r="J27" i="75"/>
  <c r="I28" i="75"/>
  <c r="J28" i="75"/>
  <c r="I29" i="75"/>
  <c r="J29" i="75"/>
  <c r="I30" i="75"/>
  <c r="J30" i="75"/>
  <c r="I31" i="75"/>
  <c r="J31" i="75"/>
  <c r="I32" i="75"/>
  <c r="J32" i="75"/>
  <c r="I33" i="75"/>
  <c r="J33" i="75"/>
  <c r="I34" i="75"/>
  <c r="J34" i="75"/>
  <c r="I35" i="75"/>
  <c r="J35" i="75"/>
  <c r="I36" i="75"/>
  <c r="J36" i="75"/>
  <c r="I37" i="75"/>
  <c r="J37" i="75"/>
  <c r="I38" i="75"/>
  <c r="J38" i="75"/>
  <c r="I39" i="75"/>
  <c r="J39" i="75"/>
  <c r="I40" i="75"/>
  <c r="J40" i="75"/>
  <c r="I41" i="75"/>
  <c r="J41" i="75"/>
  <c r="I42" i="75"/>
  <c r="J42" i="75"/>
  <c r="I43" i="75"/>
  <c r="J43" i="75"/>
  <c r="I44" i="75"/>
  <c r="J44" i="75"/>
  <c r="I45" i="75"/>
  <c r="J45" i="75"/>
  <c r="I46" i="75"/>
  <c r="J46" i="75"/>
  <c r="I47" i="75"/>
  <c r="J47" i="75"/>
  <c r="I48" i="75"/>
  <c r="J48" i="75"/>
  <c r="I49" i="75"/>
  <c r="J49" i="75"/>
  <c r="I50" i="75"/>
  <c r="J50" i="75"/>
  <c r="I51" i="75"/>
  <c r="J51" i="75"/>
  <c r="I52" i="75"/>
  <c r="J52" i="75"/>
  <c r="I53" i="75"/>
  <c r="J53" i="75"/>
  <c r="I54" i="75"/>
  <c r="J54" i="75"/>
  <c r="I55" i="75"/>
  <c r="J55" i="75"/>
  <c r="I56" i="75"/>
  <c r="J56" i="75"/>
  <c r="I57" i="75"/>
  <c r="J57" i="75"/>
  <c r="I58" i="75"/>
  <c r="J58" i="75"/>
  <c r="I59" i="75"/>
  <c r="J59" i="75"/>
  <c r="I60" i="75"/>
  <c r="J60" i="75"/>
  <c r="I61" i="75"/>
  <c r="J61" i="75"/>
  <c r="I62" i="75"/>
  <c r="I63" i="75"/>
  <c r="I64" i="75"/>
  <c r="I65" i="75"/>
  <c r="I66" i="75"/>
  <c r="I67" i="75"/>
  <c r="I68" i="75"/>
  <c r="I69" i="75"/>
  <c r="I70" i="75"/>
  <c r="I71" i="75"/>
  <c r="I72" i="75"/>
  <c r="I73" i="75"/>
  <c r="I74" i="75"/>
  <c r="I75" i="75"/>
  <c r="I76" i="75"/>
  <c r="I77" i="75"/>
  <c r="I78" i="75"/>
  <c r="I79" i="75"/>
  <c r="I80" i="75"/>
  <c r="I81" i="75"/>
  <c r="I82" i="75"/>
  <c r="I83" i="75"/>
  <c r="I84" i="75"/>
  <c r="I85" i="75"/>
  <c r="I86" i="75"/>
  <c r="I87" i="75"/>
  <c r="I88" i="75"/>
  <c r="I89" i="75"/>
  <c r="I90" i="75"/>
  <c r="I91" i="75"/>
  <c r="I92" i="75"/>
  <c r="I93" i="75"/>
  <c r="I94" i="75"/>
  <c r="I95" i="75"/>
  <c r="I96" i="75"/>
  <c r="I97" i="75"/>
  <c r="I98" i="75"/>
  <c r="I99" i="75"/>
  <c r="I100" i="75"/>
  <c r="I101" i="75"/>
  <c r="I102" i="75"/>
  <c r="I103" i="75"/>
  <c r="I104" i="75"/>
  <c r="I105" i="75"/>
  <c r="I106" i="75"/>
  <c r="I107" i="75"/>
  <c r="I108" i="75"/>
  <c r="I109" i="75"/>
  <c r="I110" i="75"/>
  <c r="I111" i="75"/>
  <c r="I112" i="75"/>
  <c r="I113" i="75"/>
  <c r="I114" i="75"/>
  <c r="I115" i="75"/>
  <c r="I116" i="75"/>
  <c r="I117" i="75"/>
  <c r="I118" i="75"/>
  <c r="I119" i="75"/>
  <c r="I120" i="75"/>
  <c r="I121" i="75"/>
  <c r="H1" i="75"/>
  <c r="G1" i="75"/>
  <c r="I2" i="75"/>
  <c r="J2" i="75"/>
  <c r="M1" i="75"/>
  <c r="K1" i="75" s="1"/>
  <c r="N1" i="75"/>
  <c r="J1" i="75"/>
  <c r="I1" i="75"/>
  <c r="G4" i="38"/>
  <c r="H4" i="38"/>
  <c r="G5" i="38"/>
  <c r="H5" i="38"/>
  <c r="G6" i="38"/>
  <c r="H6" i="38"/>
  <c r="G7" i="38"/>
  <c r="H7" i="38"/>
  <c r="G8" i="38"/>
  <c r="H8" i="38"/>
  <c r="G9" i="38"/>
  <c r="H9" i="38"/>
  <c r="G10" i="38"/>
  <c r="H10" i="38"/>
  <c r="G11" i="38"/>
  <c r="H11" i="38"/>
  <c r="G12" i="38"/>
  <c r="H12" i="38"/>
  <c r="G13" i="38"/>
  <c r="H13" i="38"/>
  <c r="G14" i="38"/>
  <c r="H14" i="38"/>
  <c r="G15" i="38"/>
  <c r="H15" i="38"/>
  <c r="G16" i="38"/>
  <c r="H16" i="38"/>
  <c r="G17" i="38"/>
  <c r="H17" i="38"/>
  <c r="G18" i="38"/>
  <c r="H18" i="38"/>
  <c r="G19" i="38"/>
  <c r="H19" i="38"/>
  <c r="G20" i="38"/>
  <c r="H20" i="38"/>
  <c r="G21" i="38"/>
  <c r="H21" i="38"/>
  <c r="G22" i="38"/>
  <c r="H22" i="38"/>
  <c r="G23" i="38"/>
  <c r="H23" i="38"/>
  <c r="G24" i="38"/>
  <c r="H24" i="38"/>
  <c r="G25" i="38"/>
  <c r="H25" i="38"/>
  <c r="G26" i="38"/>
  <c r="H26" i="38"/>
  <c r="G27" i="38"/>
  <c r="H27" i="38"/>
  <c r="G28" i="38"/>
  <c r="H28" i="38"/>
  <c r="G29" i="38"/>
  <c r="H29" i="38"/>
  <c r="G30" i="38"/>
  <c r="H30" i="38"/>
  <c r="G31" i="38"/>
  <c r="H31" i="38"/>
  <c r="G32" i="38"/>
  <c r="H32" i="38"/>
  <c r="G33" i="38"/>
  <c r="H33" i="38"/>
  <c r="G34" i="38"/>
  <c r="H34" i="38"/>
  <c r="G35" i="38"/>
  <c r="H35" i="38"/>
  <c r="G36" i="38"/>
  <c r="H36" i="38"/>
  <c r="G37" i="38"/>
  <c r="H37" i="38"/>
  <c r="G38" i="38"/>
  <c r="H38" i="38"/>
  <c r="G39" i="38"/>
  <c r="H39" i="38"/>
  <c r="G40" i="38"/>
  <c r="H40" i="38"/>
  <c r="G41" i="38"/>
  <c r="H41" i="38"/>
  <c r="G42" i="38"/>
  <c r="H42" i="38"/>
  <c r="G43" i="38"/>
  <c r="H43" i="38"/>
  <c r="G44" i="38"/>
  <c r="H44" i="38"/>
  <c r="G45" i="38"/>
  <c r="H45" i="38"/>
  <c r="G46" i="38"/>
  <c r="H46" i="38"/>
  <c r="G47" i="38"/>
  <c r="H47" i="38"/>
  <c r="G48" i="38"/>
  <c r="H48" i="38"/>
  <c r="G49" i="38"/>
  <c r="H49" i="38"/>
  <c r="G50" i="38"/>
  <c r="H50" i="38"/>
  <c r="G51" i="38"/>
  <c r="H51" i="38"/>
  <c r="G52" i="38"/>
  <c r="H52" i="38"/>
  <c r="G53" i="38"/>
  <c r="H53" i="38"/>
  <c r="G54" i="38"/>
  <c r="H54" i="38"/>
  <c r="G55" i="38"/>
  <c r="H55" i="38"/>
  <c r="G56" i="38"/>
  <c r="H56" i="38"/>
  <c r="G57" i="38"/>
  <c r="H57" i="38"/>
  <c r="G58" i="38"/>
  <c r="H58" i="38"/>
  <c r="G59" i="38"/>
  <c r="H59" i="38"/>
  <c r="G60" i="38"/>
  <c r="H60" i="38"/>
  <c r="G61" i="38"/>
  <c r="H61" i="38"/>
  <c r="G62" i="38"/>
  <c r="G63" i="38"/>
  <c r="G64" i="38"/>
  <c r="G65" i="38"/>
  <c r="G66" i="38"/>
  <c r="G67" i="38"/>
  <c r="G68" i="38"/>
  <c r="G69" i="38"/>
  <c r="G70" i="38"/>
  <c r="G71" i="38"/>
  <c r="G72" i="38"/>
  <c r="G73" i="38"/>
  <c r="G74" i="38"/>
  <c r="G75" i="38"/>
  <c r="G76" i="38"/>
  <c r="G77" i="38"/>
  <c r="G78" i="38"/>
  <c r="G79" i="38"/>
  <c r="G80" i="38"/>
  <c r="G81" i="38"/>
  <c r="G82" i="38"/>
  <c r="G83" i="38"/>
  <c r="G84" i="38"/>
  <c r="G85" i="38"/>
  <c r="G86" i="38"/>
  <c r="G87" i="38"/>
  <c r="G88" i="38"/>
  <c r="G89" i="38"/>
  <c r="G90" i="38"/>
  <c r="G91" i="38"/>
  <c r="G92" i="38"/>
  <c r="G93" i="38"/>
  <c r="G94" i="38"/>
  <c r="G95" i="38"/>
  <c r="G96" i="38"/>
  <c r="G97" i="38"/>
  <c r="G98" i="38"/>
  <c r="G99" i="38"/>
  <c r="G100" i="38"/>
  <c r="G101" i="38"/>
  <c r="G102" i="38"/>
  <c r="G103" i="38"/>
  <c r="G104" i="38"/>
  <c r="G105" i="38"/>
  <c r="G106" i="38"/>
  <c r="G107" i="38"/>
  <c r="G108" i="38"/>
  <c r="G109" i="38"/>
  <c r="G110" i="38"/>
  <c r="G111" i="38"/>
  <c r="G112" i="38"/>
  <c r="G113" i="38"/>
  <c r="G114" i="38"/>
  <c r="G115" i="38"/>
  <c r="G116" i="38"/>
  <c r="G117" i="38"/>
  <c r="G118" i="38"/>
  <c r="G119" i="38"/>
  <c r="G120" i="38"/>
  <c r="G121" i="38"/>
  <c r="G2" i="38"/>
  <c r="H2" i="38"/>
  <c r="G3" i="38"/>
  <c r="H3" i="38"/>
  <c r="J1" i="38"/>
  <c r="R1" i="38" s="1"/>
  <c r="I1" i="38"/>
  <c r="H1" i="38"/>
  <c r="G1" i="38"/>
  <c r="F1" i="38"/>
  <c r="E1" i="38"/>
  <c r="D1" i="38"/>
  <c r="L3" i="28"/>
  <c r="L4" i="28"/>
  <c r="L5" i="28"/>
  <c r="L6" i="28"/>
  <c r="L7" i="28"/>
  <c r="L8" i="28"/>
  <c r="L9" i="28"/>
  <c r="L10" i="28"/>
  <c r="L11" i="28"/>
  <c r="L12" i="28"/>
  <c r="L13" i="28"/>
  <c r="L14" i="28"/>
  <c r="L15" i="28"/>
  <c r="L16" i="28"/>
  <c r="L17" i="28"/>
  <c r="L18" i="28"/>
  <c r="L19" i="28"/>
  <c r="L20" i="28"/>
  <c r="L21" i="28"/>
  <c r="L22" i="28"/>
  <c r="L23" i="28"/>
  <c r="L24" i="28"/>
  <c r="L25" i="28"/>
  <c r="L26" i="28"/>
  <c r="L27" i="28"/>
  <c r="L28" i="28"/>
  <c r="L29" i="28"/>
  <c r="L30" i="28"/>
  <c r="L31" i="28"/>
  <c r="L32" i="28"/>
  <c r="L33" i="28"/>
  <c r="L34" i="28"/>
  <c r="L35" i="28"/>
  <c r="L36" i="28"/>
  <c r="L37" i="28"/>
  <c r="L38" i="28"/>
  <c r="L39" i="28"/>
  <c r="L40" i="28"/>
  <c r="L41" i="28"/>
  <c r="L42" i="28"/>
  <c r="L43" i="28"/>
  <c r="L44" i="28"/>
  <c r="L45" i="28"/>
  <c r="L46" i="28"/>
  <c r="L47" i="28"/>
  <c r="L48" i="28"/>
  <c r="L49" i="28"/>
  <c r="L50" i="28"/>
  <c r="L51" i="28"/>
  <c r="L52" i="28"/>
  <c r="L53" i="28"/>
  <c r="L54" i="28"/>
  <c r="L55" i="28"/>
  <c r="L56" i="28"/>
  <c r="L57" i="28"/>
  <c r="L58" i="28"/>
  <c r="L59" i="28"/>
  <c r="L60" i="28"/>
  <c r="L61" i="28"/>
  <c r="L62" i="28"/>
  <c r="L63" i="28"/>
  <c r="L64" i="28"/>
  <c r="L65" i="28"/>
  <c r="L66" i="28"/>
  <c r="L67" i="28"/>
  <c r="L68" i="28"/>
  <c r="L69" i="28"/>
  <c r="L70" i="28"/>
  <c r="L71" i="28"/>
  <c r="L72" i="28"/>
  <c r="L73" i="28"/>
  <c r="L74" i="28"/>
  <c r="L75" i="28"/>
  <c r="L76" i="28"/>
  <c r="L77" i="28"/>
  <c r="L78" i="28"/>
  <c r="L79" i="28"/>
  <c r="L80" i="28"/>
  <c r="L81" i="28"/>
  <c r="L82" i="28"/>
  <c r="L83" i="28"/>
  <c r="L84" i="28"/>
  <c r="L85" i="28"/>
  <c r="L86" i="28"/>
  <c r="L87" i="28"/>
  <c r="L88" i="28"/>
  <c r="L89" i="28"/>
  <c r="L90" i="28"/>
  <c r="L91" i="28"/>
  <c r="L92" i="28"/>
  <c r="L93" i="28"/>
  <c r="L94" i="28"/>
  <c r="L95" i="28"/>
  <c r="L96" i="28"/>
  <c r="L97" i="28"/>
  <c r="L98" i="28"/>
  <c r="L99" i="28"/>
  <c r="L100" i="28"/>
  <c r="L101" i="28"/>
  <c r="L102" i="28"/>
  <c r="L103" i="28"/>
  <c r="L104" i="28"/>
  <c r="L105" i="28"/>
  <c r="L106" i="28"/>
  <c r="L107" i="28"/>
  <c r="L108" i="28"/>
  <c r="L109" i="28"/>
  <c r="L110" i="28"/>
  <c r="L111" i="28"/>
  <c r="L112" i="28"/>
  <c r="L113" i="28"/>
  <c r="L114" i="28"/>
  <c r="L115" i="28"/>
  <c r="L116" i="28"/>
  <c r="L117" i="28"/>
  <c r="L118" i="28"/>
  <c r="L119" i="28"/>
  <c r="L120" i="28"/>
  <c r="L121" i="28"/>
  <c r="J1" i="28"/>
  <c r="R1" i="28" s="1"/>
  <c r="I1" i="28"/>
  <c r="H3" i="28"/>
  <c r="P3" i="28" s="1"/>
  <c r="H4" i="28"/>
  <c r="P4" i="28" s="1"/>
  <c r="H5" i="28"/>
  <c r="P5" i="28" s="1"/>
  <c r="H6" i="28"/>
  <c r="P6" i="28" s="1"/>
  <c r="H7" i="28"/>
  <c r="P7" i="28" s="1"/>
  <c r="H8" i="28"/>
  <c r="P8" i="28" s="1"/>
  <c r="H9" i="28"/>
  <c r="P9" i="28" s="1"/>
  <c r="H10" i="28"/>
  <c r="P10" i="28" s="1"/>
  <c r="H11" i="28"/>
  <c r="P11" i="28" s="1"/>
  <c r="H12" i="28"/>
  <c r="P12" i="28" s="1"/>
  <c r="H13" i="28"/>
  <c r="P13" i="28" s="1"/>
  <c r="H14" i="28"/>
  <c r="P14" i="28" s="1"/>
  <c r="H15" i="28"/>
  <c r="P15" i="28" s="1"/>
  <c r="H16" i="28"/>
  <c r="P16" i="28" s="1"/>
  <c r="H17" i="28"/>
  <c r="P17" i="28" s="1"/>
  <c r="H18" i="28"/>
  <c r="P18" i="28" s="1"/>
  <c r="H19" i="28"/>
  <c r="P19" i="28" s="1"/>
  <c r="H20" i="28"/>
  <c r="P20" i="28" s="1"/>
  <c r="H21" i="28"/>
  <c r="P21" i="28" s="1"/>
  <c r="H22" i="28"/>
  <c r="P22" i="28" s="1"/>
  <c r="H23" i="28"/>
  <c r="P23" i="28" s="1"/>
  <c r="H24" i="28"/>
  <c r="P24" i="28" s="1"/>
  <c r="H25" i="28"/>
  <c r="P25" i="28" s="1"/>
  <c r="H26" i="28"/>
  <c r="P26" i="28" s="1"/>
  <c r="H27" i="28"/>
  <c r="P27" i="28" s="1"/>
  <c r="H28" i="28"/>
  <c r="P28" i="28" s="1"/>
  <c r="H29" i="28"/>
  <c r="P29" i="28" s="1"/>
  <c r="H30" i="28"/>
  <c r="P30" i="28" s="1"/>
  <c r="H31" i="28"/>
  <c r="P31" i="28" s="1"/>
  <c r="H32" i="28"/>
  <c r="P32" i="28" s="1"/>
  <c r="H33" i="28"/>
  <c r="P33" i="28" s="1"/>
  <c r="H34" i="28"/>
  <c r="P34" i="28" s="1"/>
  <c r="H35" i="28"/>
  <c r="P35" i="28" s="1"/>
  <c r="H36" i="28"/>
  <c r="P36" i="28" s="1"/>
  <c r="H37" i="28"/>
  <c r="P37" i="28" s="1"/>
  <c r="H38" i="28"/>
  <c r="P38" i="28" s="1"/>
  <c r="H39" i="28"/>
  <c r="P39" i="28" s="1"/>
  <c r="H40" i="28"/>
  <c r="P40" i="28" s="1"/>
  <c r="H41" i="28"/>
  <c r="P41" i="28" s="1"/>
  <c r="H42" i="28"/>
  <c r="P42" i="28" s="1"/>
  <c r="H43" i="28"/>
  <c r="P43" i="28" s="1"/>
  <c r="H44" i="28"/>
  <c r="P44" i="28" s="1"/>
  <c r="H45" i="28"/>
  <c r="P45" i="28" s="1"/>
  <c r="H46" i="28"/>
  <c r="P46" i="28" s="1"/>
  <c r="H47" i="28"/>
  <c r="P47" i="28" s="1"/>
  <c r="H48" i="28"/>
  <c r="P48" i="28" s="1"/>
  <c r="H49" i="28"/>
  <c r="P49" i="28" s="1"/>
  <c r="H50" i="28"/>
  <c r="P50" i="28" s="1"/>
  <c r="H51" i="28"/>
  <c r="P51" i="28" s="1"/>
  <c r="H52" i="28"/>
  <c r="P52" i="28" s="1"/>
  <c r="H53" i="28"/>
  <c r="P53" i="28" s="1"/>
  <c r="H54" i="28"/>
  <c r="P54" i="28" s="1"/>
  <c r="H55" i="28"/>
  <c r="P55" i="28" s="1"/>
  <c r="H56" i="28"/>
  <c r="P56" i="28" s="1"/>
  <c r="H57" i="28"/>
  <c r="P57" i="28" s="1"/>
  <c r="H58" i="28"/>
  <c r="P58" i="28" s="1"/>
  <c r="H59" i="28"/>
  <c r="P59" i="28" s="1"/>
  <c r="H60" i="28"/>
  <c r="P60" i="28" s="1"/>
  <c r="H61" i="28"/>
  <c r="P61" i="28" s="1"/>
  <c r="H2" i="28"/>
  <c r="H1" i="28"/>
  <c r="G3" i="28"/>
  <c r="O3" i="28" s="1"/>
  <c r="G4" i="28"/>
  <c r="O4" i="28" s="1"/>
  <c r="G5" i="28"/>
  <c r="O5" i="28" s="1"/>
  <c r="G6" i="28"/>
  <c r="O6" i="28" s="1"/>
  <c r="G7" i="28"/>
  <c r="O7" i="28" s="1"/>
  <c r="G8" i="28"/>
  <c r="O8" i="28" s="1"/>
  <c r="G9" i="28"/>
  <c r="O9" i="28" s="1"/>
  <c r="G10" i="28"/>
  <c r="O10" i="28" s="1"/>
  <c r="G11" i="28"/>
  <c r="O11" i="28" s="1"/>
  <c r="G12" i="28"/>
  <c r="O12" i="28" s="1"/>
  <c r="G13" i="28"/>
  <c r="O13" i="28" s="1"/>
  <c r="G14" i="28"/>
  <c r="O14" i="28" s="1"/>
  <c r="G15" i="28"/>
  <c r="O15" i="28" s="1"/>
  <c r="G16" i="28"/>
  <c r="O16" i="28" s="1"/>
  <c r="G17" i="28"/>
  <c r="O17" i="28" s="1"/>
  <c r="G18" i="28"/>
  <c r="O18" i="28" s="1"/>
  <c r="G19" i="28"/>
  <c r="O19" i="28" s="1"/>
  <c r="G20" i="28"/>
  <c r="O20" i="28" s="1"/>
  <c r="G21" i="28"/>
  <c r="O21" i="28" s="1"/>
  <c r="G22" i="28"/>
  <c r="O22" i="28" s="1"/>
  <c r="G23" i="28"/>
  <c r="O23" i="28" s="1"/>
  <c r="G24" i="28"/>
  <c r="O24" i="28" s="1"/>
  <c r="G25" i="28"/>
  <c r="O25" i="28" s="1"/>
  <c r="G26" i="28"/>
  <c r="O26" i="28" s="1"/>
  <c r="G27" i="28"/>
  <c r="O27" i="28" s="1"/>
  <c r="G28" i="28"/>
  <c r="O28" i="28" s="1"/>
  <c r="G29" i="28"/>
  <c r="O29" i="28" s="1"/>
  <c r="G30" i="28"/>
  <c r="O30" i="28" s="1"/>
  <c r="G31" i="28"/>
  <c r="O31" i="28" s="1"/>
  <c r="G32" i="28"/>
  <c r="O32" i="28" s="1"/>
  <c r="G33" i="28"/>
  <c r="O33" i="28" s="1"/>
  <c r="G34" i="28"/>
  <c r="O34" i="28" s="1"/>
  <c r="G35" i="28"/>
  <c r="O35" i="28" s="1"/>
  <c r="G36" i="28"/>
  <c r="O36" i="28" s="1"/>
  <c r="G37" i="28"/>
  <c r="O37" i="28" s="1"/>
  <c r="G38" i="28"/>
  <c r="O38" i="28" s="1"/>
  <c r="G39" i="28"/>
  <c r="O39" i="28" s="1"/>
  <c r="G40" i="28"/>
  <c r="O40" i="28" s="1"/>
  <c r="G41" i="28"/>
  <c r="O41" i="28" s="1"/>
  <c r="G42" i="28"/>
  <c r="O42" i="28" s="1"/>
  <c r="G43" i="28"/>
  <c r="O43" i="28" s="1"/>
  <c r="G44" i="28"/>
  <c r="O44" i="28" s="1"/>
  <c r="G45" i="28"/>
  <c r="O45" i="28" s="1"/>
  <c r="G46" i="28"/>
  <c r="O46" i="28" s="1"/>
  <c r="G47" i="28"/>
  <c r="O47" i="28" s="1"/>
  <c r="G48" i="28"/>
  <c r="O48" i="28" s="1"/>
  <c r="G49" i="28"/>
  <c r="O49" i="28" s="1"/>
  <c r="G50" i="28"/>
  <c r="O50" i="28" s="1"/>
  <c r="G51" i="28"/>
  <c r="O51" i="28" s="1"/>
  <c r="G52" i="28"/>
  <c r="O52" i="28" s="1"/>
  <c r="G53" i="28"/>
  <c r="O53" i="28" s="1"/>
  <c r="G54" i="28"/>
  <c r="O54" i="28" s="1"/>
  <c r="G55" i="28"/>
  <c r="O55" i="28" s="1"/>
  <c r="G56" i="28"/>
  <c r="O56" i="28" s="1"/>
  <c r="G57" i="28"/>
  <c r="O57" i="28" s="1"/>
  <c r="G58" i="28"/>
  <c r="O58" i="28" s="1"/>
  <c r="G59" i="28"/>
  <c r="O59" i="28" s="1"/>
  <c r="G60" i="28"/>
  <c r="O60" i="28" s="1"/>
  <c r="G61" i="28"/>
  <c r="O61" i="28" s="1"/>
  <c r="G62" i="28"/>
  <c r="O62" i="28" s="1"/>
  <c r="G63" i="28"/>
  <c r="O63" i="28" s="1"/>
  <c r="G64" i="28"/>
  <c r="O64" i="28" s="1"/>
  <c r="G65" i="28"/>
  <c r="O65" i="28" s="1"/>
  <c r="G66" i="28"/>
  <c r="O66" i="28" s="1"/>
  <c r="G67" i="28"/>
  <c r="O67" i="28" s="1"/>
  <c r="G68" i="28"/>
  <c r="O68" i="28" s="1"/>
  <c r="G69" i="28"/>
  <c r="O69" i="28" s="1"/>
  <c r="G70" i="28"/>
  <c r="O70" i="28" s="1"/>
  <c r="G71" i="28"/>
  <c r="O71" i="28" s="1"/>
  <c r="G72" i="28"/>
  <c r="O72" i="28" s="1"/>
  <c r="G73" i="28"/>
  <c r="O73" i="28" s="1"/>
  <c r="G74" i="28"/>
  <c r="O74" i="28" s="1"/>
  <c r="G75" i="28"/>
  <c r="O75" i="28" s="1"/>
  <c r="G76" i="28"/>
  <c r="O76" i="28" s="1"/>
  <c r="G77" i="28"/>
  <c r="O77" i="28" s="1"/>
  <c r="G78" i="28"/>
  <c r="O78" i="28" s="1"/>
  <c r="G79" i="28"/>
  <c r="O79" i="28" s="1"/>
  <c r="G80" i="28"/>
  <c r="O80" i="28" s="1"/>
  <c r="G81" i="28"/>
  <c r="O81" i="28" s="1"/>
  <c r="G82" i="28"/>
  <c r="O82" i="28" s="1"/>
  <c r="G83" i="28"/>
  <c r="O83" i="28" s="1"/>
  <c r="G84" i="28"/>
  <c r="O84" i="28" s="1"/>
  <c r="G85" i="28"/>
  <c r="O85" i="28" s="1"/>
  <c r="G86" i="28"/>
  <c r="O86" i="28" s="1"/>
  <c r="G87" i="28"/>
  <c r="O87" i="28" s="1"/>
  <c r="G88" i="28"/>
  <c r="O88" i="28" s="1"/>
  <c r="G89" i="28"/>
  <c r="O89" i="28" s="1"/>
  <c r="G90" i="28"/>
  <c r="O90" i="28" s="1"/>
  <c r="G91" i="28"/>
  <c r="O91" i="28" s="1"/>
  <c r="G92" i="28"/>
  <c r="O92" i="28" s="1"/>
  <c r="G93" i="28"/>
  <c r="O93" i="28" s="1"/>
  <c r="G94" i="28"/>
  <c r="O94" i="28" s="1"/>
  <c r="G95" i="28"/>
  <c r="O95" i="28" s="1"/>
  <c r="G96" i="28"/>
  <c r="O96" i="28" s="1"/>
  <c r="G97" i="28"/>
  <c r="O97" i="28" s="1"/>
  <c r="G98" i="28"/>
  <c r="O98" i="28" s="1"/>
  <c r="G99" i="28"/>
  <c r="O99" i="28" s="1"/>
  <c r="G100" i="28"/>
  <c r="O100" i="28" s="1"/>
  <c r="G101" i="28"/>
  <c r="O101" i="28" s="1"/>
  <c r="G102" i="28"/>
  <c r="O102" i="28" s="1"/>
  <c r="G103" i="28"/>
  <c r="O103" i="28" s="1"/>
  <c r="G104" i="28"/>
  <c r="O104" i="28" s="1"/>
  <c r="G105" i="28"/>
  <c r="O105" i="28" s="1"/>
  <c r="G106" i="28"/>
  <c r="O106" i="28" s="1"/>
  <c r="G107" i="28"/>
  <c r="O107" i="28" s="1"/>
  <c r="G108" i="28"/>
  <c r="O108" i="28" s="1"/>
  <c r="G109" i="28"/>
  <c r="O109" i="28" s="1"/>
  <c r="G110" i="28"/>
  <c r="O110" i="28" s="1"/>
  <c r="G111" i="28"/>
  <c r="O111" i="28" s="1"/>
  <c r="G112" i="28"/>
  <c r="O112" i="28" s="1"/>
  <c r="G113" i="28"/>
  <c r="O113" i="28" s="1"/>
  <c r="G114" i="28"/>
  <c r="O114" i="28" s="1"/>
  <c r="G115" i="28"/>
  <c r="O115" i="28" s="1"/>
  <c r="G116" i="28"/>
  <c r="O116" i="28" s="1"/>
  <c r="G117" i="28"/>
  <c r="O117" i="28" s="1"/>
  <c r="G118" i="28"/>
  <c r="O118" i="28" s="1"/>
  <c r="G119" i="28"/>
  <c r="O119" i="28" s="1"/>
  <c r="G120" i="28"/>
  <c r="O120" i="28" s="1"/>
  <c r="G121" i="28"/>
  <c r="O121" i="28" s="1"/>
  <c r="G2" i="28"/>
  <c r="G1" i="28"/>
  <c r="F1" i="28"/>
  <c r="E1" i="28"/>
  <c r="AC5" i="67"/>
  <c r="AC4" i="67"/>
  <c r="AA121" i="67"/>
  <c r="Y2" i="149"/>
  <c r="Z2" i="149"/>
  <c r="Y3" i="149"/>
  <c r="Z3" i="149"/>
  <c r="Y4" i="149"/>
  <c r="Z4" i="149"/>
  <c r="Y5" i="149"/>
  <c r="Z5" i="149"/>
  <c r="Y6" i="149"/>
  <c r="Z6" i="149"/>
  <c r="Y7" i="149"/>
  <c r="Z7" i="149"/>
  <c r="AC7" i="149"/>
  <c r="Y8" i="149"/>
  <c r="Z8" i="149"/>
  <c r="Y9" i="149"/>
  <c r="Z9" i="149"/>
  <c r="Y10" i="149"/>
  <c r="Z10" i="149"/>
  <c r="Y11" i="149"/>
  <c r="Z11" i="149"/>
  <c r="Y12" i="149"/>
  <c r="Z12" i="149"/>
  <c r="AC12" i="149"/>
  <c r="Y13" i="149"/>
  <c r="Z13" i="149"/>
  <c r="Y14" i="149"/>
  <c r="Z14" i="149"/>
  <c r="Y15" i="149"/>
  <c r="Z15" i="149"/>
  <c r="Y16" i="149"/>
  <c r="Z16" i="149"/>
  <c r="AC16" i="149"/>
  <c r="Y17" i="149"/>
  <c r="Z17" i="149"/>
  <c r="Y18" i="149"/>
  <c r="Z18" i="149"/>
  <c r="Y19" i="149"/>
  <c r="Z19" i="149"/>
  <c r="Y20" i="149"/>
  <c r="Z20" i="149"/>
  <c r="Y21" i="149"/>
  <c r="Z21" i="149"/>
  <c r="Y22" i="149"/>
  <c r="Z22" i="149"/>
  <c r="Y23" i="149"/>
  <c r="Z23" i="149"/>
  <c r="Y24" i="149"/>
  <c r="Z24" i="149"/>
  <c r="AC24" i="149"/>
  <c r="Y25" i="149"/>
  <c r="Z25" i="149"/>
  <c r="Y26" i="149"/>
  <c r="Z26" i="149"/>
  <c r="Y27" i="149"/>
  <c r="Z27" i="149"/>
  <c r="Y28" i="149"/>
  <c r="Z28" i="149"/>
  <c r="Y29" i="149"/>
  <c r="Z29" i="149"/>
  <c r="Y30" i="149"/>
  <c r="Z30" i="149"/>
  <c r="AC30" i="149"/>
  <c r="Y31" i="149"/>
  <c r="Z31" i="149"/>
  <c r="Y32" i="149"/>
  <c r="Z32" i="149"/>
  <c r="Y33" i="149"/>
  <c r="Z33" i="149"/>
  <c r="Y34" i="149"/>
  <c r="Z34" i="149"/>
  <c r="Y35" i="149"/>
  <c r="Z35" i="149"/>
  <c r="Y36" i="149"/>
  <c r="Z36" i="149"/>
  <c r="AA36" i="149"/>
  <c r="Y37" i="149"/>
  <c r="Z37" i="149"/>
  <c r="Y38" i="149"/>
  <c r="Z38" i="149"/>
  <c r="Y39" i="149"/>
  <c r="Z39" i="149"/>
  <c r="Y40" i="149"/>
  <c r="Z40" i="149"/>
  <c r="Y41" i="149"/>
  <c r="Z41" i="149"/>
  <c r="Y42" i="149"/>
  <c r="Z42" i="149"/>
  <c r="Y43" i="149"/>
  <c r="Z43" i="149"/>
  <c r="Y44" i="149"/>
  <c r="Z44" i="149"/>
  <c r="Y45" i="149"/>
  <c r="Z45" i="149"/>
  <c r="Y46" i="149"/>
  <c r="Z46" i="149"/>
  <c r="Y47" i="149"/>
  <c r="Z47" i="149"/>
  <c r="Y48" i="149"/>
  <c r="Z48" i="149"/>
  <c r="Y49" i="149"/>
  <c r="Z49" i="149"/>
  <c r="Y50" i="149"/>
  <c r="Z50" i="149"/>
  <c r="Y51" i="149"/>
  <c r="Z51" i="149"/>
  <c r="Y52" i="149"/>
  <c r="Z52" i="149"/>
  <c r="Y53" i="149"/>
  <c r="Z53" i="149"/>
  <c r="Y54" i="149"/>
  <c r="Z54" i="149"/>
  <c r="Y55" i="149"/>
  <c r="Z55" i="149"/>
  <c r="Y56" i="149"/>
  <c r="Z56" i="149"/>
  <c r="Y57" i="149"/>
  <c r="Z57" i="149"/>
  <c r="Y58" i="149"/>
  <c r="Z58" i="149"/>
  <c r="AC58" i="149"/>
  <c r="Y59" i="149"/>
  <c r="Z59" i="149"/>
  <c r="Y60" i="149"/>
  <c r="Z60" i="149"/>
  <c r="Y61" i="149"/>
  <c r="Z61" i="149"/>
  <c r="Y62" i="149"/>
  <c r="Z62" i="149"/>
  <c r="Y63" i="149"/>
  <c r="Z63" i="149"/>
  <c r="Y64" i="149"/>
  <c r="Z64" i="149"/>
  <c r="Y65" i="149"/>
  <c r="Z65" i="149"/>
  <c r="Y66" i="149"/>
  <c r="Z66" i="149"/>
  <c r="Y67" i="149"/>
  <c r="Z67" i="149"/>
  <c r="Y68" i="149"/>
  <c r="Z68" i="149"/>
  <c r="Y69" i="149"/>
  <c r="Z69" i="149"/>
  <c r="Y70" i="149"/>
  <c r="Z70" i="149"/>
  <c r="Y71" i="149"/>
  <c r="Z71" i="149"/>
  <c r="Y72" i="149"/>
  <c r="Z72" i="149"/>
  <c r="AC72" i="149"/>
  <c r="Y73" i="149"/>
  <c r="Z73" i="149"/>
  <c r="AA73" i="149"/>
  <c r="AC3" i="67"/>
  <c r="AC6" i="67"/>
  <c r="AC7" i="67"/>
  <c r="AC8" i="67"/>
  <c r="AC9" i="67"/>
  <c r="AC10" i="67"/>
  <c r="AC11" i="67"/>
  <c r="AC12" i="67"/>
  <c r="AC13" i="67"/>
  <c r="AC14" i="67"/>
  <c r="AC15" i="67"/>
  <c r="AC16" i="67"/>
  <c r="AC17" i="67"/>
  <c r="AC18" i="67"/>
  <c r="AC19" i="67"/>
  <c r="AC20" i="67"/>
  <c r="AC21" i="67"/>
  <c r="AC22" i="67"/>
  <c r="AC23" i="67"/>
  <c r="AC24" i="67"/>
  <c r="AC25" i="67"/>
  <c r="AC26" i="67"/>
  <c r="AC27" i="67"/>
  <c r="AC28" i="67"/>
  <c r="AC29" i="67"/>
  <c r="AC30" i="67"/>
  <c r="AC31" i="67"/>
  <c r="AC32" i="67"/>
  <c r="AC33" i="67"/>
  <c r="AC34" i="67"/>
  <c r="AC35" i="67"/>
  <c r="AC36" i="67"/>
  <c r="AC37" i="67"/>
  <c r="AC38" i="67"/>
  <c r="AC39" i="67"/>
  <c r="AC40" i="67"/>
  <c r="AC41" i="67"/>
  <c r="AC42" i="67"/>
  <c r="AC43" i="67"/>
  <c r="AC44" i="67"/>
  <c r="AC45" i="67"/>
  <c r="AC46" i="67"/>
  <c r="AC47" i="67"/>
  <c r="AC48" i="67"/>
  <c r="AC49" i="67"/>
  <c r="AC50" i="67"/>
  <c r="AC2" i="149" s="1"/>
  <c r="AC51" i="67"/>
  <c r="AC3" i="149" s="1"/>
  <c r="AC52" i="67"/>
  <c r="AC4" i="149" s="1"/>
  <c r="AC54" i="67"/>
  <c r="AC6" i="149" s="1"/>
  <c r="AC55" i="67"/>
  <c r="AC56" i="67"/>
  <c r="AC8" i="149" s="1"/>
  <c r="AC57" i="67"/>
  <c r="AC9" i="149" s="1"/>
  <c r="AC58" i="67"/>
  <c r="AC10" i="149" s="1"/>
  <c r="AC59" i="67"/>
  <c r="AC11" i="149" s="1"/>
  <c r="AC60" i="67"/>
  <c r="AC61" i="67"/>
  <c r="AC13" i="149" s="1"/>
  <c r="AC62" i="67"/>
  <c r="AC14" i="149" s="1"/>
  <c r="AC63" i="67"/>
  <c r="AC15" i="149" s="1"/>
  <c r="AC65" i="67"/>
  <c r="AC17" i="149" s="1"/>
  <c r="AC66" i="67"/>
  <c r="AC18" i="149" s="1"/>
  <c r="AC67" i="67"/>
  <c r="AC19" i="149" s="1"/>
  <c r="AC68" i="67"/>
  <c r="AC20" i="149" s="1"/>
  <c r="AC69" i="67"/>
  <c r="AC21" i="149" s="1"/>
  <c r="AC70" i="67"/>
  <c r="AC22" i="149" s="1"/>
  <c r="AC71" i="67"/>
  <c r="AC23" i="149" s="1"/>
  <c r="AC72" i="67"/>
  <c r="AC73" i="67"/>
  <c r="AC25" i="149" s="1"/>
  <c r="AC74" i="67"/>
  <c r="AC26" i="149" s="1"/>
  <c r="AC75" i="67"/>
  <c r="AC27" i="149" s="1"/>
  <c r="AC76" i="67"/>
  <c r="AC28" i="149" s="1"/>
  <c r="AC77" i="67"/>
  <c r="AC29" i="149" s="1"/>
  <c r="AC78" i="67"/>
  <c r="AC81" i="67"/>
  <c r="AC33" i="149" s="1"/>
  <c r="AC82" i="67"/>
  <c r="AC34" i="149" s="1"/>
  <c r="AC83" i="67"/>
  <c r="AC35" i="149" s="1"/>
  <c r="AC84" i="67"/>
  <c r="AC36" i="149" s="1"/>
  <c r="AC85" i="67"/>
  <c r="AC37" i="149" s="1"/>
  <c r="AC86" i="67"/>
  <c r="AC38" i="149" s="1"/>
  <c r="AC87" i="67"/>
  <c r="AC39" i="149" s="1"/>
  <c r="AC88" i="67"/>
  <c r="AC40" i="149" s="1"/>
  <c r="AC89" i="67"/>
  <c r="AC41" i="149" s="1"/>
  <c r="AC90" i="67"/>
  <c r="AC42" i="149" s="1"/>
  <c r="AC91" i="67"/>
  <c r="AC43" i="149" s="1"/>
  <c r="AC92" i="67"/>
  <c r="AC44" i="149" s="1"/>
  <c r="AC93" i="67"/>
  <c r="AC45" i="149" s="1"/>
  <c r="AC94" i="67"/>
  <c r="AC46" i="149" s="1"/>
  <c r="AC95" i="67"/>
  <c r="AC47" i="149" s="1"/>
  <c r="AC96" i="67"/>
  <c r="AC48" i="149" s="1"/>
  <c r="AC97" i="67"/>
  <c r="AC49" i="149" s="1"/>
  <c r="AC98" i="67"/>
  <c r="AC50" i="149" s="1"/>
  <c r="AC99" i="67"/>
  <c r="AC51" i="149" s="1"/>
  <c r="AC100" i="67"/>
  <c r="AC52" i="149" s="1"/>
  <c r="AC101" i="67"/>
  <c r="AC53" i="149" s="1"/>
  <c r="AC102" i="67"/>
  <c r="AC54" i="149" s="1"/>
  <c r="AC103" i="67"/>
  <c r="AC55" i="149" s="1"/>
  <c r="AC104" i="67"/>
  <c r="AC56" i="149" s="1"/>
  <c r="AC105" i="67"/>
  <c r="AC57" i="149" s="1"/>
  <c r="AC106" i="67"/>
  <c r="AC107" i="67"/>
  <c r="AC59" i="149" s="1"/>
  <c r="AC108" i="67"/>
  <c r="AC60" i="149" s="1"/>
  <c r="AC109" i="67"/>
  <c r="AC61" i="149" s="1"/>
  <c r="AC110" i="67"/>
  <c r="AC62" i="149" s="1"/>
  <c r="AC111" i="67"/>
  <c r="AC63" i="149" s="1"/>
  <c r="AC112" i="67"/>
  <c r="AC64" i="149" s="1"/>
  <c r="AC113" i="67"/>
  <c r="AC65" i="149" s="1"/>
  <c r="AC114" i="67"/>
  <c r="AC66" i="149" s="1"/>
  <c r="AC115" i="67"/>
  <c r="AC67" i="149" s="1"/>
  <c r="AC116" i="67"/>
  <c r="AC68" i="149" s="1"/>
  <c r="AC117" i="67"/>
  <c r="AC69" i="149" s="1"/>
  <c r="AC118" i="67"/>
  <c r="AC70" i="149" s="1"/>
  <c r="AC119" i="67"/>
  <c r="AC71" i="149" s="1"/>
  <c r="AC120" i="67"/>
  <c r="AC121" i="67"/>
  <c r="AC73" i="149" s="1"/>
  <c r="AC2" i="67"/>
  <c r="AA3" i="67"/>
  <c r="AA4" i="67"/>
  <c r="AA5" i="67"/>
  <c r="AA6" i="67"/>
  <c r="AA7" i="67"/>
  <c r="AA8" i="67"/>
  <c r="AA9" i="67"/>
  <c r="AA10" i="67"/>
  <c r="AA11" i="67"/>
  <c r="AA12" i="67"/>
  <c r="AA13" i="67"/>
  <c r="AA14" i="67"/>
  <c r="AA15" i="67"/>
  <c r="AA16" i="67"/>
  <c r="AA17" i="67"/>
  <c r="AA18" i="67"/>
  <c r="AA19" i="67"/>
  <c r="AA20" i="67"/>
  <c r="AA21" i="67"/>
  <c r="AA22" i="67"/>
  <c r="AA23" i="67"/>
  <c r="AA24" i="67"/>
  <c r="AA25" i="67"/>
  <c r="AA26" i="67"/>
  <c r="AA27" i="67"/>
  <c r="AA28" i="67"/>
  <c r="AA29" i="67"/>
  <c r="AA30" i="67"/>
  <c r="AA31" i="67"/>
  <c r="AA32" i="67"/>
  <c r="AA33" i="67"/>
  <c r="AA34" i="67"/>
  <c r="AA35" i="67"/>
  <c r="AA36" i="67"/>
  <c r="AA37" i="67"/>
  <c r="AA38" i="67"/>
  <c r="AA39" i="67"/>
  <c r="AA40" i="67"/>
  <c r="AA41" i="67"/>
  <c r="AA42" i="67"/>
  <c r="AA43" i="67"/>
  <c r="AA44" i="67"/>
  <c r="AA45" i="67"/>
  <c r="AA46" i="67"/>
  <c r="AA47" i="67"/>
  <c r="AA48" i="67"/>
  <c r="AA49" i="67"/>
  <c r="AA50" i="67"/>
  <c r="AA2" i="149" s="1"/>
  <c r="AA51" i="67"/>
  <c r="AA3" i="149" s="1"/>
  <c r="AA52" i="67"/>
  <c r="AA4" i="149" s="1"/>
  <c r="AA53" i="67"/>
  <c r="AA5" i="149" s="1"/>
  <c r="AA54" i="67"/>
  <c r="AA6" i="149" s="1"/>
  <c r="AA55" i="67"/>
  <c r="AA7" i="149" s="1"/>
  <c r="AA56" i="67"/>
  <c r="AA8" i="149" s="1"/>
  <c r="AA57" i="67"/>
  <c r="AA9" i="149" s="1"/>
  <c r="AA58" i="67"/>
  <c r="AA10" i="149" s="1"/>
  <c r="AA59" i="67"/>
  <c r="AA11" i="149" s="1"/>
  <c r="AA60" i="67"/>
  <c r="AA12" i="149" s="1"/>
  <c r="AA61" i="67"/>
  <c r="AA13" i="149" s="1"/>
  <c r="AA62" i="67"/>
  <c r="AA14" i="149" s="1"/>
  <c r="AA63" i="67"/>
  <c r="AA15" i="149" s="1"/>
  <c r="AA64" i="67"/>
  <c r="AA16" i="149" s="1"/>
  <c r="AA65" i="67"/>
  <c r="AA17" i="149" s="1"/>
  <c r="AA66" i="67"/>
  <c r="AA18" i="149" s="1"/>
  <c r="AA67" i="67"/>
  <c r="AA19" i="149" s="1"/>
  <c r="AA68" i="67"/>
  <c r="AA20" i="149" s="1"/>
  <c r="AA69" i="67"/>
  <c r="AA21" i="149" s="1"/>
  <c r="AA70" i="67"/>
  <c r="AA22" i="149" s="1"/>
  <c r="AA71" i="67"/>
  <c r="AA23" i="149" s="1"/>
  <c r="AA72" i="67"/>
  <c r="AA24" i="149" s="1"/>
  <c r="AA73" i="67"/>
  <c r="AA25" i="149" s="1"/>
  <c r="AA74" i="67"/>
  <c r="AA26" i="149" s="1"/>
  <c r="AA75" i="67"/>
  <c r="AA27" i="149" s="1"/>
  <c r="AA76" i="67"/>
  <c r="AA28" i="149" s="1"/>
  <c r="AA77" i="67"/>
  <c r="AA29" i="149" s="1"/>
  <c r="AA78" i="67"/>
  <c r="AA30" i="149" s="1"/>
  <c r="AA79" i="67"/>
  <c r="AA31" i="149" s="1"/>
  <c r="AA80" i="67"/>
  <c r="AA32" i="149" s="1"/>
  <c r="AA81" i="67"/>
  <c r="AA33" i="149" s="1"/>
  <c r="AA82" i="67"/>
  <c r="AA34" i="149" s="1"/>
  <c r="AA83" i="67"/>
  <c r="AA35" i="149" s="1"/>
  <c r="AA84" i="67"/>
  <c r="AA85" i="67"/>
  <c r="AA37" i="149" s="1"/>
  <c r="AA86" i="67"/>
  <c r="AA38" i="149" s="1"/>
  <c r="AA87" i="67"/>
  <c r="AA39" i="149" s="1"/>
  <c r="AA88" i="67"/>
  <c r="AA40" i="149" s="1"/>
  <c r="AA89" i="67"/>
  <c r="AA41" i="149" s="1"/>
  <c r="AA90" i="67"/>
  <c r="AA42" i="149" s="1"/>
  <c r="AA91" i="67"/>
  <c r="AA43" i="149" s="1"/>
  <c r="AA92" i="67"/>
  <c r="AA44" i="149" s="1"/>
  <c r="AA93" i="67"/>
  <c r="AA45" i="149" s="1"/>
  <c r="AA94" i="67"/>
  <c r="AA46" i="149" s="1"/>
  <c r="AA95" i="67"/>
  <c r="AA47" i="149" s="1"/>
  <c r="AA96" i="67"/>
  <c r="AA48" i="149" s="1"/>
  <c r="AA97" i="67"/>
  <c r="AA49" i="149" s="1"/>
  <c r="AA98" i="67"/>
  <c r="AA50" i="149" s="1"/>
  <c r="AA99" i="67"/>
  <c r="AA51" i="149" s="1"/>
  <c r="AA100" i="67"/>
  <c r="AA52" i="149" s="1"/>
  <c r="AA101" i="67"/>
  <c r="AA53" i="149" s="1"/>
  <c r="AA102" i="67"/>
  <c r="AA54" i="149" s="1"/>
  <c r="AA103" i="67"/>
  <c r="AA55" i="149" s="1"/>
  <c r="AA104" i="67"/>
  <c r="AA56" i="149" s="1"/>
  <c r="AA105" i="67"/>
  <c r="AA57" i="149" s="1"/>
  <c r="AA106" i="67"/>
  <c r="AA58" i="149" s="1"/>
  <c r="AA107" i="67"/>
  <c r="AA59" i="149" s="1"/>
  <c r="AA108" i="67"/>
  <c r="AA60" i="149" s="1"/>
  <c r="AA109" i="67"/>
  <c r="AA61" i="149" s="1"/>
  <c r="AA110" i="67"/>
  <c r="AA62" i="149" s="1"/>
  <c r="AA111" i="67"/>
  <c r="AA63" i="149" s="1"/>
  <c r="AA112" i="67"/>
  <c r="AA64" i="149" s="1"/>
  <c r="AA113" i="67"/>
  <c r="AA65" i="149" s="1"/>
  <c r="AA114" i="67"/>
  <c r="AA66" i="149" s="1"/>
  <c r="AA115" i="67"/>
  <c r="AA67" i="149" s="1"/>
  <c r="AA116" i="67"/>
  <c r="AA68" i="149" s="1"/>
  <c r="AA117" i="67"/>
  <c r="AA69" i="149" s="1"/>
  <c r="AA118" i="67"/>
  <c r="AA70" i="149" s="1"/>
  <c r="AA119" i="67"/>
  <c r="AA71" i="149" s="1"/>
  <c r="AA120" i="67"/>
  <c r="AA72" i="149" s="1"/>
  <c r="AA2" i="67"/>
  <c r="I50" i="148"/>
  <c r="I40" i="148"/>
  <c r="I29" i="148"/>
  <c r="I17" i="148"/>
  <c r="AA158" i="36" l="1"/>
  <c r="L1" i="75"/>
  <c r="V1" i="75"/>
  <c r="T11" i="15"/>
  <c r="B2" i="154"/>
  <c r="AA159" i="36" l="1"/>
  <c r="T12" i="15"/>
  <c r="B42" i="152"/>
  <c r="B52" i="152" s="1"/>
  <c r="B41" i="152"/>
  <c r="B51" i="152" s="1"/>
  <c r="B40" i="152"/>
  <c r="B50" i="152" s="1"/>
  <c r="B39" i="152"/>
  <c r="B49" i="152" s="1"/>
  <c r="B38" i="152"/>
  <c r="B48" i="152" s="1"/>
  <c r="B37" i="152"/>
  <c r="B47" i="152" s="1"/>
  <c r="B32" i="152"/>
  <c r="B31" i="152"/>
  <c r="B30" i="152"/>
  <c r="P23" i="152"/>
  <c r="B18" i="152"/>
  <c r="B17" i="152"/>
  <c r="B16" i="152"/>
  <c r="B15" i="152"/>
  <c r="B14" i="152"/>
  <c r="B13" i="152"/>
  <c r="P9" i="152"/>
  <c r="P22" i="152" s="1"/>
  <c r="P8" i="152"/>
  <c r="P21" i="152" s="1"/>
  <c r="P7" i="152"/>
  <c r="P20" i="152" s="1"/>
  <c r="P6" i="152"/>
  <c r="P19" i="152" s="1"/>
  <c r="P5" i="152"/>
  <c r="P18" i="152" s="1"/>
  <c r="P4" i="152"/>
  <c r="P17" i="152" s="1"/>
  <c r="U2" i="152"/>
  <c r="T2" i="152"/>
  <c r="S2" i="152"/>
  <c r="R2" i="152"/>
  <c r="Q2" i="152"/>
  <c r="X2" i="25"/>
  <c r="W2" i="25"/>
  <c r="B41" i="25"/>
  <c r="B51" i="25" s="1"/>
  <c r="B32" i="25"/>
  <c r="B17" i="25"/>
  <c r="M122" i="76"/>
  <c r="M123" i="76"/>
  <c r="M124" i="76"/>
  <c r="M125" i="76"/>
  <c r="M126" i="76"/>
  <c r="M127" i="76"/>
  <c r="M128" i="76"/>
  <c r="M129" i="76"/>
  <c r="M130" i="76"/>
  <c r="M131" i="76"/>
  <c r="M132" i="76"/>
  <c r="M133" i="76"/>
  <c r="R7" i="24"/>
  <c r="R8" i="24" s="1"/>
  <c r="R6" i="24"/>
  <c r="Q8" i="25"/>
  <c r="Q14" i="25" s="1"/>
  <c r="AA160" i="36" l="1"/>
  <c r="T13" i="15"/>
  <c r="Q21" i="25"/>
  <c r="P13" i="152"/>
  <c r="P14" i="152"/>
  <c r="P12" i="152"/>
  <c r="R9" i="24"/>
  <c r="S25" i="23"/>
  <c r="S26" i="23"/>
  <c r="S27" i="23"/>
  <c r="S28" i="23"/>
  <c r="S29" i="23"/>
  <c r="S30" i="23"/>
  <c r="T30" i="23" s="1"/>
  <c r="S31" i="23"/>
  <c r="S32" i="23"/>
  <c r="S33" i="23"/>
  <c r="S34" i="23"/>
  <c r="S35" i="23"/>
  <c r="S24" i="23"/>
  <c r="V19" i="23"/>
  <c r="V18" i="23"/>
  <c r="R19" i="23"/>
  <c r="R18" i="23"/>
  <c r="N19" i="23"/>
  <c r="N18" i="23"/>
  <c r="J19" i="23"/>
  <c r="J18" i="23"/>
  <c r="F19" i="23"/>
  <c r="V4" i="23"/>
  <c r="R4" i="23"/>
  <c r="R5" i="23" s="1"/>
  <c r="R6" i="23" s="1"/>
  <c r="R7" i="23" s="1"/>
  <c r="R8" i="23" s="1"/>
  <c r="R9" i="23" s="1"/>
  <c r="R10" i="23" s="1"/>
  <c r="R11" i="23" s="1"/>
  <c r="R12" i="23" s="1"/>
  <c r="R13" i="23" s="1"/>
  <c r="R14" i="23" s="1"/>
  <c r="N4" i="23"/>
  <c r="J4" i="23"/>
  <c r="F4" i="23"/>
  <c r="AM6" i="17"/>
  <c r="AM7" i="17" s="1"/>
  <c r="N27" i="148"/>
  <c r="O27" i="148"/>
  <c r="P27" i="148"/>
  <c r="L4" i="148"/>
  <c r="M4" i="148"/>
  <c r="N4" i="148"/>
  <c r="O4" i="148"/>
  <c r="P4" i="148"/>
  <c r="K4" i="148"/>
  <c r="J5" i="57"/>
  <c r="Q5" i="57" s="1"/>
  <c r="B20" i="57"/>
  <c r="B21" i="57"/>
  <c r="B22" i="57" s="1"/>
  <c r="B23" i="57" s="1"/>
  <c r="B24" i="57" s="1"/>
  <c r="B25" i="57" s="1"/>
  <c r="B26" i="57" s="1"/>
  <c r="B27" i="57" s="1"/>
  <c r="B28" i="57" s="1"/>
  <c r="B29" i="57" s="1"/>
  <c r="B19" i="57"/>
  <c r="P122" i="75"/>
  <c r="P123" i="75"/>
  <c r="P124" i="75"/>
  <c r="P125" i="75"/>
  <c r="P126" i="75"/>
  <c r="P127" i="75"/>
  <c r="P128" i="75"/>
  <c r="P129" i="75"/>
  <c r="P130" i="75"/>
  <c r="P131" i="75"/>
  <c r="P132" i="75"/>
  <c r="P133" i="75"/>
  <c r="G170" i="34"/>
  <c r="G171" i="34"/>
  <c r="G172" i="34"/>
  <c r="G173" i="34"/>
  <c r="G174" i="34"/>
  <c r="G175" i="34"/>
  <c r="G176" i="34"/>
  <c r="G177" i="34"/>
  <c r="G178" i="34"/>
  <c r="N5" i="15"/>
  <c r="H5" i="15"/>
  <c r="H6" i="15" s="1"/>
  <c r="H7" i="15" s="1"/>
  <c r="H8" i="15" s="1"/>
  <c r="H9" i="15" s="1"/>
  <c r="H10" i="15" s="1"/>
  <c r="H11" i="15" s="1"/>
  <c r="H12" i="15" s="1"/>
  <c r="H13" i="15" s="1"/>
  <c r="B5" i="15"/>
  <c r="B6" i="15" s="1"/>
  <c r="B7" i="15" s="1"/>
  <c r="B8" i="15" s="1"/>
  <c r="B9" i="15" s="1"/>
  <c r="B10" i="15" s="1"/>
  <c r="B11" i="15" s="1"/>
  <c r="B12" i="15" s="1"/>
  <c r="B13" i="15" s="1"/>
  <c r="I21" i="70"/>
  <c r="T35" i="23" l="1"/>
  <c r="T27" i="23"/>
  <c r="T29" i="23"/>
  <c r="T31" i="23"/>
  <c r="N6" i="15"/>
  <c r="T26" i="23"/>
  <c r="T32" i="23"/>
  <c r="T34" i="23"/>
  <c r="T33" i="23"/>
  <c r="T28" i="23"/>
  <c r="Q6" i="57"/>
  <c r="R10" i="24"/>
  <c r="R15" i="23"/>
  <c r="T25" i="23"/>
  <c r="AM8" i="17"/>
  <c r="N7" i="15" l="1"/>
  <c r="Q7" i="57"/>
  <c r="R11" i="24"/>
  <c r="AM9" i="17"/>
  <c r="N8" i="15" l="1"/>
  <c r="Q8" i="57"/>
  <c r="R12" i="24"/>
  <c r="AM10" i="17"/>
  <c r="N9" i="15" l="1"/>
  <c r="Q9" i="57"/>
  <c r="R13" i="24"/>
  <c r="AM11" i="17"/>
  <c r="N10" i="15" l="1"/>
  <c r="Q10" i="57"/>
  <c r="R14" i="24"/>
  <c r="AM12" i="17"/>
  <c r="N11" i="15" l="1"/>
  <c r="Q11" i="57"/>
  <c r="AM13" i="17"/>
  <c r="N12" i="15" l="1"/>
  <c r="Q12" i="57"/>
  <c r="AM14" i="17"/>
  <c r="N13" i="15" l="1"/>
  <c r="Q13" i="57"/>
  <c r="AM15" i="17"/>
  <c r="AM16" i="17" s="1"/>
  <c r="Q14" i="57" l="1"/>
  <c r="E19" i="150" l="1"/>
  <c r="E88" i="150" s="1"/>
  <c r="E20" i="150"/>
  <c r="G90" i="150"/>
  <c r="J75" i="151"/>
  <c r="E21" i="150"/>
  <c r="E93" i="150" s="1"/>
  <c r="K93" i="150"/>
  <c r="E22" i="150"/>
  <c r="O95" i="150"/>
  <c r="E23" i="150"/>
  <c r="E24" i="150"/>
  <c r="G103" i="150"/>
  <c r="K75" i="151"/>
  <c r="E25" i="150"/>
  <c r="K106" i="150"/>
  <c r="E26" i="150"/>
  <c r="E109" i="150" s="1"/>
  <c r="O108" i="150"/>
  <c r="E27" i="150"/>
  <c r="E28" i="150"/>
  <c r="G113" i="150"/>
  <c r="L75" i="151"/>
  <c r="E29" i="150"/>
  <c r="J117" i="150"/>
  <c r="K118" i="150"/>
  <c r="E30" i="150"/>
  <c r="N119" i="150"/>
  <c r="O121" i="150"/>
  <c r="E31" i="150"/>
  <c r="F126" i="150"/>
  <c r="G126" i="150"/>
  <c r="M75" i="151"/>
  <c r="N75" i="151" s="1"/>
  <c r="O75" i="151" s="1"/>
  <c r="E33" i="150"/>
  <c r="J128" i="150"/>
  <c r="K128" i="150"/>
  <c r="E34" i="150"/>
  <c r="N131" i="150"/>
  <c r="O133" i="150"/>
  <c r="E35" i="150"/>
  <c r="F139" i="150"/>
  <c r="G138" i="150"/>
  <c r="E37" i="150"/>
  <c r="J140" i="150"/>
  <c r="K141" i="150"/>
  <c r="D143" i="150"/>
  <c r="E38" i="150"/>
  <c r="H145" i="150"/>
  <c r="N145" i="150"/>
  <c r="O143" i="150"/>
  <c r="E39" i="150"/>
  <c r="H148" i="150"/>
  <c r="L148" i="150"/>
  <c r="E40" i="150"/>
  <c r="I47" i="150"/>
  <c r="E6" i="150"/>
  <c r="E7" i="150"/>
  <c r="M51" i="150"/>
  <c r="E8" i="150"/>
  <c r="E53" i="150" s="1"/>
  <c r="E9" i="150"/>
  <c r="E56" i="150" s="1"/>
  <c r="E10" i="150"/>
  <c r="I61" i="150"/>
  <c r="E11" i="150"/>
  <c r="E62" i="150" s="1"/>
  <c r="M62" i="150"/>
  <c r="E12" i="150"/>
  <c r="E66" i="150" s="1"/>
  <c r="E13" i="150"/>
  <c r="E69" i="150" s="1"/>
  <c r="E14" i="150"/>
  <c r="E71" i="150" s="1"/>
  <c r="I73" i="150"/>
  <c r="E15" i="150"/>
  <c r="M75" i="150"/>
  <c r="E16" i="150"/>
  <c r="E79" i="150" s="1"/>
  <c r="E17" i="150"/>
  <c r="E81" i="150" s="1"/>
  <c r="E18" i="150"/>
  <c r="I83" i="150"/>
  <c r="AR109" i="150"/>
  <c r="AP54" i="150"/>
  <c r="AY40" i="150"/>
  <c r="AX40" i="150"/>
  <c r="AW40" i="150"/>
  <c r="AV40" i="150"/>
  <c r="AU40" i="150"/>
  <c r="AT40" i="150"/>
  <c r="AS40" i="150"/>
  <c r="AR40" i="150"/>
  <c r="AQ40" i="150"/>
  <c r="AP40" i="150"/>
  <c r="AY39" i="150"/>
  <c r="AX39" i="150"/>
  <c r="AW39" i="150"/>
  <c r="AV39" i="150"/>
  <c r="AU39" i="150"/>
  <c r="AT39" i="150"/>
  <c r="AS39" i="150"/>
  <c r="AR39" i="150"/>
  <c r="AQ39" i="150"/>
  <c r="AP39" i="150"/>
  <c r="AY38" i="150"/>
  <c r="AX38" i="150"/>
  <c r="AW38" i="150"/>
  <c r="AV38" i="150"/>
  <c r="AU38" i="150"/>
  <c r="AT38" i="150"/>
  <c r="AS38" i="150"/>
  <c r="AR38" i="150"/>
  <c r="AQ38" i="150"/>
  <c r="AP38" i="150"/>
  <c r="AY37" i="150"/>
  <c r="AX37" i="150"/>
  <c r="AW37" i="150"/>
  <c r="AV37" i="150"/>
  <c r="AU37" i="150"/>
  <c r="AT37" i="150"/>
  <c r="AS37" i="150"/>
  <c r="AR37" i="150"/>
  <c r="AQ37" i="150"/>
  <c r="AP37" i="150"/>
  <c r="AY36" i="150"/>
  <c r="AX36" i="150"/>
  <c r="AW36" i="150"/>
  <c r="AV36" i="150"/>
  <c r="AU36" i="150"/>
  <c r="AT36" i="150"/>
  <c r="AS36" i="150"/>
  <c r="AR36" i="150"/>
  <c r="AQ36" i="150"/>
  <c r="AP36" i="150"/>
  <c r="AY35" i="150"/>
  <c r="AX35" i="150"/>
  <c r="AW35" i="150"/>
  <c r="AV35" i="150"/>
  <c r="AU35" i="150"/>
  <c r="AT35" i="150"/>
  <c r="AS35" i="150"/>
  <c r="AR35" i="150"/>
  <c r="AQ35" i="150"/>
  <c r="AP35" i="150"/>
  <c r="AY34" i="150"/>
  <c r="AX34" i="150"/>
  <c r="AW34" i="150"/>
  <c r="AV34" i="150"/>
  <c r="AU34" i="150"/>
  <c r="AT34" i="150"/>
  <c r="AS34" i="150"/>
  <c r="AR34" i="150"/>
  <c r="AQ34" i="150"/>
  <c r="AP34" i="150"/>
  <c r="AY33" i="150"/>
  <c r="AX33" i="150"/>
  <c r="AW33" i="150"/>
  <c r="AV33" i="150"/>
  <c r="AU33" i="150"/>
  <c r="AT33" i="150"/>
  <c r="AS33" i="150"/>
  <c r="AR33" i="150"/>
  <c r="AQ33" i="150"/>
  <c r="AP33" i="150"/>
  <c r="AY32" i="150"/>
  <c r="AX32" i="150"/>
  <c r="AW32" i="150"/>
  <c r="AV32" i="150"/>
  <c r="AU32" i="150"/>
  <c r="AT32" i="150"/>
  <c r="AS32" i="150"/>
  <c r="AR32" i="150"/>
  <c r="AQ32" i="150"/>
  <c r="AP32" i="150"/>
  <c r="AY31" i="150"/>
  <c r="AX31" i="150"/>
  <c r="AW31" i="150"/>
  <c r="AV31" i="150"/>
  <c r="AU31" i="150"/>
  <c r="AT31" i="150"/>
  <c r="AS31" i="150"/>
  <c r="AR31" i="150"/>
  <c r="AQ31" i="150"/>
  <c r="AP31" i="150"/>
  <c r="AY30" i="150"/>
  <c r="AX30" i="150"/>
  <c r="AW30" i="150"/>
  <c r="AV30" i="150"/>
  <c r="AU30" i="150"/>
  <c r="AT30" i="150"/>
  <c r="AS30" i="150"/>
  <c r="AR30" i="150"/>
  <c r="AQ30" i="150"/>
  <c r="AP30" i="150"/>
  <c r="AY29" i="150"/>
  <c r="AX29" i="150"/>
  <c r="AW29" i="150"/>
  <c r="AV29" i="150"/>
  <c r="AU29" i="150"/>
  <c r="AT29" i="150"/>
  <c r="AS29" i="150"/>
  <c r="AR29" i="150"/>
  <c r="AQ29" i="150"/>
  <c r="AP29" i="150"/>
  <c r="AY28" i="150"/>
  <c r="AX28" i="150"/>
  <c r="AW28" i="150"/>
  <c r="AV28" i="150"/>
  <c r="AU28" i="150"/>
  <c r="AT28" i="150"/>
  <c r="AS28" i="150"/>
  <c r="AR28" i="150"/>
  <c r="AQ28" i="150"/>
  <c r="AP28" i="150"/>
  <c r="AY27" i="150"/>
  <c r="AX27" i="150"/>
  <c r="AW27" i="150"/>
  <c r="AV27" i="150"/>
  <c r="AU27" i="150"/>
  <c r="AT27" i="150"/>
  <c r="AS27" i="150"/>
  <c r="AR27" i="150"/>
  <c r="AQ27" i="150"/>
  <c r="AP27" i="150"/>
  <c r="AY26" i="150"/>
  <c r="AX26" i="150"/>
  <c r="AW26" i="150"/>
  <c r="AV26" i="150"/>
  <c r="AU26" i="150"/>
  <c r="AT26" i="150"/>
  <c r="AS26" i="150"/>
  <c r="AR26" i="150"/>
  <c r="AQ26" i="150"/>
  <c r="AP26" i="150"/>
  <c r="AY25" i="150"/>
  <c r="AX25" i="150"/>
  <c r="AW25" i="150"/>
  <c r="AV25" i="150"/>
  <c r="AU25" i="150"/>
  <c r="AT25" i="150"/>
  <c r="AS25" i="150"/>
  <c r="AR25" i="150"/>
  <c r="AQ25" i="150"/>
  <c r="AP25" i="150"/>
  <c r="AY24" i="150"/>
  <c r="AX24" i="150"/>
  <c r="AW24" i="150"/>
  <c r="AV24" i="150"/>
  <c r="AU24" i="150"/>
  <c r="AT24" i="150"/>
  <c r="AS24" i="150"/>
  <c r="AR24" i="150"/>
  <c r="AQ24" i="150"/>
  <c r="AP24" i="150"/>
  <c r="AY23" i="150"/>
  <c r="AX23" i="150"/>
  <c r="AW23" i="150"/>
  <c r="AV23" i="150"/>
  <c r="AU23" i="150"/>
  <c r="AT23" i="150"/>
  <c r="AS23" i="150"/>
  <c r="AR23" i="150"/>
  <c r="AQ23" i="150"/>
  <c r="AP23" i="150"/>
  <c r="AY22" i="150"/>
  <c r="AX22" i="150"/>
  <c r="AW22" i="150"/>
  <c r="AV22" i="150"/>
  <c r="AU22" i="150"/>
  <c r="AT22" i="150"/>
  <c r="AS22" i="150"/>
  <c r="AR22" i="150"/>
  <c r="AQ22" i="150"/>
  <c r="AP22" i="150"/>
  <c r="AY21" i="150"/>
  <c r="AX21" i="150"/>
  <c r="AW21" i="150"/>
  <c r="AV21" i="150"/>
  <c r="AU21" i="150"/>
  <c r="AT21" i="150"/>
  <c r="AS21" i="150"/>
  <c r="AR21" i="150"/>
  <c r="AQ21" i="150"/>
  <c r="AP21" i="150"/>
  <c r="AY20" i="150"/>
  <c r="AX20" i="150"/>
  <c r="AW20" i="150"/>
  <c r="AV20" i="150"/>
  <c r="AU20" i="150"/>
  <c r="AT20" i="150"/>
  <c r="AS20" i="150"/>
  <c r="AR20" i="150"/>
  <c r="AQ20" i="150"/>
  <c r="AP20" i="150"/>
  <c r="AY19" i="150"/>
  <c r="AX19" i="150"/>
  <c r="AW19" i="150"/>
  <c r="AV19" i="150"/>
  <c r="AU19" i="150"/>
  <c r="AT19" i="150"/>
  <c r="AS19" i="150"/>
  <c r="AR19" i="150"/>
  <c r="AQ19" i="150"/>
  <c r="AP19" i="150"/>
  <c r="AY18" i="150"/>
  <c r="AX18" i="150"/>
  <c r="AW18" i="150"/>
  <c r="AV18" i="150"/>
  <c r="AU18" i="150"/>
  <c r="AT18" i="150"/>
  <c r="AS18" i="150"/>
  <c r="AR18" i="150"/>
  <c r="AQ18" i="150"/>
  <c r="AP18" i="150"/>
  <c r="AY17" i="150"/>
  <c r="AX17" i="150"/>
  <c r="AW17" i="150"/>
  <c r="AV17" i="150"/>
  <c r="AU17" i="150"/>
  <c r="AT17" i="150"/>
  <c r="AS17" i="150"/>
  <c r="AR17" i="150"/>
  <c r="AQ17" i="150"/>
  <c r="AP17" i="150"/>
  <c r="AY16" i="150"/>
  <c r="AX16" i="150"/>
  <c r="AW16" i="150"/>
  <c r="AV16" i="150"/>
  <c r="AU16" i="150"/>
  <c r="AT16" i="150"/>
  <c r="AS16" i="150"/>
  <c r="AR16" i="150"/>
  <c r="AQ16" i="150"/>
  <c r="AP16" i="150"/>
  <c r="AY15" i="150"/>
  <c r="AX15" i="150"/>
  <c r="AW15" i="150"/>
  <c r="AV15" i="150"/>
  <c r="AU15" i="150"/>
  <c r="AT15" i="150"/>
  <c r="AS15" i="150"/>
  <c r="AR15" i="150"/>
  <c r="AQ15" i="150"/>
  <c r="AP15" i="150"/>
  <c r="AY14" i="150"/>
  <c r="AX14" i="150"/>
  <c r="AW14" i="150"/>
  <c r="AV14" i="150"/>
  <c r="AU14" i="150"/>
  <c r="AT14" i="150"/>
  <c r="AS14" i="150"/>
  <c r="AR14" i="150"/>
  <c r="AQ14" i="150"/>
  <c r="AP14" i="150"/>
  <c r="AY13" i="150"/>
  <c r="AX13" i="150"/>
  <c r="AW13" i="150"/>
  <c r="AV13" i="150"/>
  <c r="AU13" i="150"/>
  <c r="AT13" i="150"/>
  <c r="AS13" i="150"/>
  <c r="AR13" i="150"/>
  <c r="AQ13" i="150"/>
  <c r="AP13" i="150"/>
  <c r="AY12" i="150"/>
  <c r="AX12" i="150"/>
  <c r="AW12" i="150"/>
  <c r="AV12" i="150"/>
  <c r="AU12" i="150"/>
  <c r="AT12" i="150"/>
  <c r="AS12" i="150"/>
  <c r="AR12" i="150"/>
  <c r="AQ12" i="150"/>
  <c r="AP12" i="150"/>
  <c r="AY11" i="150"/>
  <c r="AX11" i="150"/>
  <c r="AW11" i="150"/>
  <c r="AV11" i="150"/>
  <c r="AU11" i="150"/>
  <c r="AT11" i="150"/>
  <c r="AS11" i="150"/>
  <c r="AR11" i="150"/>
  <c r="AQ11" i="150"/>
  <c r="AP11" i="150"/>
  <c r="AY10" i="150"/>
  <c r="AX10" i="150"/>
  <c r="AW10" i="150"/>
  <c r="AV10" i="150"/>
  <c r="AU10" i="150"/>
  <c r="AT10" i="150"/>
  <c r="AS10" i="150"/>
  <c r="AR10" i="150"/>
  <c r="AQ10" i="150"/>
  <c r="AP10" i="150"/>
  <c r="AY9" i="150"/>
  <c r="AX9" i="150"/>
  <c r="AW9" i="150"/>
  <c r="AV9" i="150"/>
  <c r="AU9" i="150"/>
  <c r="AT9" i="150"/>
  <c r="AS9" i="150"/>
  <c r="AR9" i="150"/>
  <c r="AQ9" i="150"/>
  <c r="AP9" i="150"/>
  <c r="AY8" i="150"/>
  <c r="AX8" i="150"/>
  <c r="AW8" i="150"/>
  <c r="AV8" i="150"/>
  <c r="AU8" i="150"/>
  <c r="AT8" i="150"/>
  <c r="AS8" i="150"/>
  <c r="AR8" i="150"/>
  <c r="AQ8" i="150"/>
  <c r="AP8" i="150"/>
  <c r="AY7" i="150"/>
  <c r="AX7" i="150"/>
  <c r="AW7" i="150"/>
  <c r="AV7" i="150"/>
  <c r="AU7" i="150"/>
  <c r="AT7" i="150"/>
  <c r="AS7" i="150"/>
  <c r="AR7" i="150"/>
  <c r="AQ7" i="150"/>
  <c r="AP7" i="150"/>
  <c r="AY6" i="150"/>
  <c r="AX6" i="150"/>
  <c r="AW6" i="150"/>
  <c r="AV6" i="150"/>
  <c r="AU6" i="150"/>
  <c r="AT6" i="150"/>
  <c r="AS6" i="150"/>
  <c r="AR6" i="150"/>
  <c r="AQ6" i="150"/>
  <c r="AP6" i="150"/>
  <c r="AY5" i="150"/>
  <c r="AX5" i="150"/>
  <c r="AW5" i="150"/>
  <c r="AV5" i="150"/>
  <c r="AU5" i="150"/>
  <c r="AT5" i="150"/>
  <c r="AS5" i="150"/>
  <c r="AR5" i="150"/>
  <c r="AQ5" i="150"/>
  <c r="AP5" i="150"/>
  <c r="Q22" i="150"/>
  <c r="AO22" i="150" s="1"/>
  <c r="AC22" i="150"/>
  <c r="AI96" i="150"/>
  <c r="AJ96" i="150"/>
  <c r="AL97" i="150"/>
  <c r="Q23" i="150"/>
  <c r="Q100" i="150" s="1"/>
  <c r="AC23" i="150"/>
  <c r="AF98" i="150"/>
  <c r="AI99" i="150"/>
  <c r="Q24" i="150"/>
  <c r="AO24" i="150" s="1"/>
  <c r="AC24" i="150"/>
  <c r="AM102" i="150"/>
  <c r="Q25" i="150"/>
  <c r="AO25" i="150" s="1"/>
  <c r="AG104" i="150"/>
  <c r="AH105" i="150"/>
  <c r="AC25" i="150"/>
  <c r="AJ105" i="150"/>
  <c r="AM105" i="150"/>
  <c r="Q26" i="150"/>
  <c r="AD107" i="150"/>
  <c r="AG109" i="150"/>
  <c r="Q27" i="150"/>
  <c r="Q112" i="150" s="1"/>
  <c r="AC27" i="150"/>
  <c r="AK111" i="150"/>
  <c r="AL110" i="150"/>
  <c r="Q28" i="150"/>
  <c r="AO28" i="150" s="1"/>
  <c r="AC28" i="150"/>
  <c r="AE114" i="150"/>
  <c r="AF115" i="150"/>
  <c r="AH115" i="150"/>
  <c r="AK113" i="150"/>
  <c r="Q29" i="150"/>
  <c r="AC29" i="150"/>
  <c r="AE117" i="150"/>
  <c r="Q30" i="150"/>
  <c r="Q119" i="150" s="1"/>
  <c r="AC30" i="150"/>
  <c r="AI119" i="150"/>
  <c r="AJ121" i="150"/>
  <c r="AL121" i="150"/>
  <c r="Q31" i="150"/>
  <c r="AO31" i="150" s="1"/>
  <c r="AC31" i="150"/>
  <c r="AC124" i="150" s="1"/>
  <c r="AF124" i="150"/>
  <c r="AI124" i="150"/>
  <c r="Q32" i="150"/>
  <c r="AO32" i="150" s="1"/>
  <c r="AC32" i="150"/>
  <c r="AM126" i="150"/>
  <c r="Q33" i="150"/>
  <c r="AO33" i="150" s="1"/>
  <c r="AG130" i="150"/>
  <c r="AH128" i="150"/>
  <c r="AC33" i="150"/>
  <c r="AC130" i="150" s="1"/>
  <c r="AJ130" i="150"/>
  <c r="AM130" i="150"/>
  <c r="Q34" i="150"/>
  <c r="AC34" i="150"/>
  <c r="AC133" i="150" s="1"/>
  <c r="AG133" i="150"/>
  <c r="Q35" i="150"/>
  <c r="AC35" i="150"/>
  <c r="AC134" i="150" s="1"/>
  <c r="AK136" i="150"/>
  <c r="AL134" i="150"/>
  <c r="AM135" i="150"/>
  <c r="Q36" i="150"/>
  <c r="AC36" i="150"/>
  <c r="AC137" i="150" s="1"/>
  <c r="AE138" i="150"/>
  <c r="AF139" i="150"/>
  <c r="AG139" i="150"/>
  <c r="AH139" i="150"/>
  <c r="AI137" i="150"/>
  <c r="AJ137" i="150"/>
  <c r="AK139" i="150"/>
  <c r="Q37" i="150"/>
  <c r="AO37" i="150" s="1"/>
  <c r="AC37" i="150"/>
  <c r="AD142" i="150"/>
  <c r="AE142" i="150"/>
  <c r="Q38" i="150"/>
  <c r="AO38" i="150" s="1"/>
  <c r="AC38" i="150"/>
  <c r="AC143" i="150" s="1"/>
  <c r="AI144" i="150"/>
  <c r="AJ145" i="150"/>
  <c r="AK145" i="150"/>
  <c r="AL145" i="150"/>
  <c r="AM143" i="150"/>
  <c r="Q39" i="150"/>
  <c r="AO39" i="150" s="1"/>
  <c r="AD146" i="150"/>
  <c r="AE147" i="150"/>
  <c r="AF148" i="150"/>
  <c r="AG147" i="150"/>
  <c r="AH148" i="150"/>
  <c r="AC39" i="150"/>
  <c r="AC146" i="150" s="1"/>
  <c r="Q40" i="150"/>
  <c r="AC40" i="150"/>
  <c r="Q6" i="150"/>
  <c r="Q47" i="150" s="1"/>
  <c r="AC6" i="150"/>
  <c r="AG49" i="150"/>
  <c r="Q7" i="150"/>
  <c r="Z52" i="150"/>
  <c r="AC7" i="150"/>
  <c r="T53" i="150"/>
  <c r="Q8" i="150"/>
  <c r="AC8" i="150"/>
  <c r="AK55" i="150"/>
  <c r="Q9" i="150"/>
  <c r="AC9" i="150"/>
  <c r="AE57" i="150"/>
  <c r="Q10" i="150"/>
  <c r="X61" i="150"/>
  <c r="AC10" i="150"/>
  <c r="AO10" i="150" s="1"/>
  <c r="R62" i="150"/>
  <c r="AC11" i="150"/>
  <c r="AI63" i="150"/>
  <c r="Q12" i="150"/>
  <c r="AC12" i="150"/>
  <c r="AC65" i="150" s="1"/>
  <c r="Q13" i="150"/>
  <c r="Q69" i="150" s="1"/>
  <c r="AC13" i="150"/>
  <c r="AM70" i="150"/>
  <c r="Q14" i="150"/>
  <c r="Q72" i="150" s="1"/>
  <c r="AG72" i="150"/>
  <c r="AC14" i="150"/>
  <c r="Q15" i="150"/>
  <c r="AO15" i="150" s="1"/>
  <c r="Z76" i="150"/>
  <c r="AC15" i="150"/>
  <c r="AC74" i="150" s="1"/>
  <c r="T77" i="150"/>
  <c r="AR77" i="150" s="1"/>
  <c r="Q16" i="150"/>
  <c r="AO16" i="150" s="1"/>
  <c r="AC16" i="150"/>
  <c r="AC79" i="150" s="1"/>
  <c r="AK78" i="150"/>
  <c r="Q17" i="150"/>
  <c r="AO17" i="150" s="1"/>
  <c r="AC17" i="150"/>
  <c r="AC82" i="150" s="1"/>
  <c r="AE82" i="150"/>
  <c r="Q18" i="150"/>
  <c r="Q84" i="150" s="1"/>
  <c r="X83" i="150"/>
  <c r="AC18" i="150"/>
  <c r="R87" i="150"/>
  <c r="AP87" i="150" s="1"/>
  <c r="AC19" i="150"/>
  <c r="AC86" i="150" s="1"/>
  <c r="AI88" i="150"/>
  <c r="Q20" i="150"/>
  <c r="AC20" i="150"/>
  <c r="AC89" i="150" s="1"/>
  <c r="Q21" i="150"/>
  <c r="V93" i="150"/>
  <c r="AC21" i="150"/>
  <c r="AM92" i="150"/>
  <c r="AI150" i="150"/>
  <c r="AD149" i="150"/>
  <c r="AM148" i="150"/>
  <c r="AL148" i="150"/>
  <c r="AK148" i="150"/>
  <c r="AJ148" i="150"/>
  <c r="AE148" i="150"/>
  <c r="AD148" i="150"/>
  <c r="AM147" i="150"/>
  <c r="AL147" i="150"/>
  <c r="AK147" i="150"/>
  <c r="AJ147" i="150"/>
  <c r="AI147" i="150"/>
  <c r="AH147" i="150"/>
  <c r="AM146" i="150"/>
  <c r="AL146" i="150"/>
  <c r="AK146" i="150"/>
  <c r="AJ146" i="150"/>
  <c r="AI146" i="150"/>
  <c r="AH146" i="150"/>
  <c r="AG146" i="150"/>
  <c r="AF146" i="150"/>
  <c r="AE146" i="150"/>
  <c r="AM145" i="150"/>
  <c r="AH145" i="150"/>
  <c r="AG145" i="150"/>
  <c r="AF145" i="150"/>
  <c r="AE145" i="150"/>
  <c r="AD145" i="150"/>
  <c r="AM144" i="150"/>
  <c r="AL144" i="150"/>
  <c r="AK144" i="150"/>
  <c r="AJ144" i="150"/>
  <c r="AH144" i="150"/>
  <c r="AG144" i="150"/>
  <c r="AF144" i="150"/>
  <c r="AE144" i="150"/>
  <c r="AD144" i="150"/>
  <c r="AH143" i="150"/>
  <c r="AG143" i="150"/>
  <c r="AF143" i="150"/>
  <c r="AE143" i="150"/>
  <c r="AD143" i="150"/>
  <c r="AM142" i="150"/>
  <c r="AL142" i="150"/>
  <c r="AK142" i="150"/>
  <c r="AJ142" i="150"/>
  <c r="AI142" i="150"/>
  <c r="AH142" i="150"/>
  <c r="AG142" i="150"/>
  <c r="AF142" i="150"/>
  <c r="AM141" i="150"/>
  <c r="AL141" i="150"/>
  <c r="AK141" i="150"/>
  <c r="AJ141" i="150"/>
  <c r="AI141" i="150"/>
  <c r="AH141" i="150"/>
  <c r="AG141" i="150"/>
  <c r="AF141" i="150"/>
  <c r="AE141" i="150"/>
  <c r="AD141" i="150"/>
  <c r="AM140" i="150"/>
  <c r="AL140" i="150"/>
  <c r="AK140" i="150"/>
  <c r="AJ140" i="150"/>
  <c r="AI140" i="150"/>
  <c r="AH140" i="150"/>
  <c r="AG140" i="150"/>
  <c r="AF140" i="150"/>
  <c r="AE140" i="150"/>
  <c r="AD140" i="150"/>
  <c r="AM139" i="150"/>
  <c r="AL139" i="150"/>
  <c r="AJ139" i="150"/>
  <c r="AI139" i="150"/>
  <c r="AD139" i="150"/>
  <c r="AM138" i="150"/>
  <c r="AL138" i="150"/>
  <c r="AJ138" i="150"/>
  <c r="AI138" i="150"/>
  <c r="AH138" i="150"/>
  <c r="AG138" i="150"/>
  <c r="AF138" i="150"/>
  <c r="AD138" i="150"/>
  <c r="AM137" i="150"/>
  <c r="AL137" i="150"/>
  <c r="AD137" i="150"/>
  <c r="AM136" i="150"/>
  <c r="AL136" i="150"/>
  <c r="AJ136" i="150"/>
  <c r="AI136" i="150"/>
  <c r="AH136" i="150"/>
  <c r="AG136" i="150"/>
  <c r="AF136" i="150"/>
  <c r="AE136" i="150"/>
  <c r="AD136" i="150"/>
  <c r="AJ135" i="150"/>
  <c r="AI135" i="150"/>
  <c r="AH135" i="150"/>
  <c r="AG135" i="150"/>
  <c r="AF135" i="150"/>
  <c r="AE135" i="150"/>
  <c r="AD135" i="150"/>
  <c r="AM134" i="150"/>
  <c r="AK134" i="150"/>
  <c r="AJ134" i="150"/>
  <c r="AI134" i="150"/>
  <c r="AH134" i="150"/>
  <c r="AG134" i="150"/>
  <c r="AF134" i="150"/>
  <c r="AE134" i="150"/>
  <c r="AD134" i="150"/>
  <c r="AM133" i="150"/>
  <c r="AL133" i="150"/>
  <c r="AK133" i="150"/>
  <c r="AJ133" i="150"/>
  <c r="AI133" i="150"/>
  <c r="AH133" i="150"/>
  <c r="AF133" i="150"/>
  <c r="AE133" i="150"/>
  <c r="AM132" i="150"/>
  <c r="AL132" i="150"/>
  <c r="AK132" i="150"/>
  <c r="AJ132" i="150"/>
  <c r="AI132" i="150"/>
  <c r="AH132" i="150"/>
  <c r="AF132" i="150"/>
  <c r="AE132" i="150"/>
  <c r="AD132" i="150"/>
  <c r="AM131" i="150"/>
  <c r="AL131" i="150"/>
  <c r="AK131" i="150"/>
  <c r="AJ131" i="150"/>
  <c r="AI131" i="150"/>
  <c r="AH131" i="150"/>
  <c r="AF131" i="150"/>
  <c r="AE131" i="150"/>
  <c r="AL130" i="150"/>
  <c r="AK130" i="150"/>
  <c r="AI130" i="150"/>
  <c r="AH130" i="150"/>
  <c r="AF130" i="150"/>
  <c r="AE130" i="150"/>
  <c r="AD130" i="150"/>
  <c r="AM129" i="150"/>
  <c r="AL129" i="150"/>
  <c r="AK129" i="150"/>
  <c r="AI129" i="150"/>
  <c r="AF129" i="150"/>
  <c r="AE129" i="150"/>
  <c r="AD129" i="150"/>
  <c r="AM128" i="150"/>
  <c r="AL128" i="150"/>
  <c r="AK128" i="150"/>
  <c r="AJ128" i="150"/>
  <c r="AI128" i="150"/>
  <c r="AG128" i="150"/>
  <c r="AF128" i="150"/>
  <c r="AE128" i="150"/>
  <c r="AD128" i="150"/>
  <c r="AL127" i="150"/>
  <c r="AK127" i="150"/>
  <c r="AJ127" i="150"/>
  <c r="AI127" i="150"/>
  <c r="AH127" i="150"/>
  <c r="AG127" i="150"/>
  <c r="AF127" i="150"/>
  <c r="AE127" i="150"/>
  <c r="AD127" i="150"/>
  <c r="AL126" i="150"/>
  <c r="AK126" i="150"/>
  <c r="AJ126" i="150"/>
  <c r="AI126" i="150"/>
  <c r="AH126" i="150"/>
  <c r="AG126" i="150"/>
  <c r="AF126" i="150"/>
  <c r="AE126" i="150"/>
  <c r="AD126" i="150"/>
  <c r="AL125" i="150"/>
  <c r="AK125" i="150"/>
  <c r="AJ125" i="150"/>
  <c r="AI125" i="150"/>
  <c r="AH125" i="150"/>
  <c r="AG125" i="150"/>
  <c r="AF125" i="150"/>
  <c r="AE125" i="150"/>
  <c r="AD125" i="150"/>
  <c r="AM124" i="150"/>
  <c r="AL124" i="150"/>
  <c r="AK124" i="150"/>
  <c r="AJ124" i="150"/>
  <c r="AH124" i="150"/>
  <c r="AG124" i="150"/>
  <c r="AE124" i="150"/>
  <c r="AD124" i="150"/>
  <c r="AM123" i="150"/>
  <c r="AL123" i="150"/>
  <c r="AK123" i="150"/>
  <c r="AJ123" i="150"/>
  <c r="AI123" i="150"/>
  <c r="AH123" i="150"/>
  <c r="AG123" i="150"/>
  <c r="AE123" i="150"/>
  <c r="AM122" i="150"/>
  <c r="AL122" i="150"/>
  <c r="AK122" i="150"/>
  <c r="AJ122" i="150"/>
  <c r="AI122" i="150"/>
  <c r="AH122" i="150"/>
  <c r="AG122" i="150"/>
  <c r="AF122" i="150"/>
  <c r="AE122" i="150"/>
  <c r="AM121" i="150"/>
  <c r="AK121" i="150"/>
  <c r="AH121" i="150"/>
  <c r="AG121" i="150"/>
  <c r="AF121" i="150"/>
  <c r="AE121" i="150"/>
  <c r="AD121" i="150"/>
  <c r="AM120" i="150"/>
  <c r="AL120" i="150"/>
  <c r="AK120" i="150"/>
  <c r="AJ120" i="150"/>
  <c r="AH120" i="150"/>
  <c r="AG120" i="150"/>
  <c r="AF120" i="150"/>
  <c r="AE120" i="150"/>
  <c r="AD120" i="150"/>
  <c r="AM119" i="150"/>
  <c r="AK119" i="150"/>
  <c r="AH119" i="150"/>
  <c r="AG119" i="150"/>
  <c r="AF119" i="150"/>
  <c r="AE119" i="150"/>
  <c r="AD119" i="150"/>
  <c r="AM118" i="150"/>
  <c r="AL118" i="150"/>
  <c r="AK118" i="150"/>
  <c r="AJ118" i="150"/>
  <c r="AI118" i="150"/>
  <c r="AH118" i="150"/>
  <c r="AG118" i="150"/>
  <c r="AF118" i="150"/>
  <c r="AD118" i="150"/>
  <c r="AC118" i="150"/>
  <c r="AM117" i="150"/>
  <c r="AL117" i="150"/>
  <c r="AK117" i="150"/>
  <c r="AJ117" i="150"/>
  <c r="AI117" i="150"/>
  <c r="AH117" i="150"/>
  <c r="AG117" i="150"/>
  <c r="AF117" i="150"/>
  <c r="AD117" i="150"/>
  <c r="AM116" i="150"/>
  <c r="AL116" i="150"/>
  <c r="AK116" i="150"/>
  <c r="AJ116" i="150"/>
  <c r="AI116" i="150"/>
  <c r="AH116" i="150"/>
  <c r="AG116" i="150"/>
  <c r="AF116" i="150"/>
  <c r="AE116" i="150"/>
  <c r="AD116" i="150"/>
  <c r="AM115" i="150"/>
  <c r="AL115" i="150"/>
  <c r="AK115" i="150"/>
  <c r="AJ115" i="150"/>
  <c r="AI115" i="150"/>
  <c r="AG115" i="150"/>
  <c r="AD115" i="150"/>
  <c r="AM114" i="150"/>
  <c r="AL114" i="150"/>
  <c r="AK114" i="150"/>
  <c r="AJ114" i="150"/>
  <c r="AI114" i="150"/>
  <c r="AH114" i="150"/>
  <c r="AG114" i="150"/>
  <c r="AF114" i="150"/>
  <c r="AD114" i="150"/>
  <c r="AM113" i="150"/>
  <c r="AL113" i="150"/>
  <c r="AJ113" i="150"/>
  <c r="AI113" i="150"/>
  <c r="AG113" i="150"/>
  <c r="AF113" i="150"/>
  <c r="AE113" i="150"/>
  <c r="AD113" i="150"/>
  <c r="AM112" i="150"/>
  <c r="AL112" i="150"/>
  <c r="AK112" i="150"/>
  <c r="AJ112" i="150"/>
  <c r="AI112" i="150"/>
  <c r="AH112" i="150"/>
  <c r="AG112" i="150"/>
  <c r="AF112" i="150"/>
  <c r="AE112" i="150"/>
  <c r="AD112" i="150"/>
  <c r="AM111" i="150"/>
  <c r="AJ111" i="150"/>
  <c r="AI111" i="150"/>
  <c r="AH111" i="150"/>
  <c r="AG111" i="150"/>
  <c r="AF111" i="150"/>
  <c r="AE111" i="150"/>
  <c r="AD111" i="150"/>
  <c r="AM110" i="150"/>
  <c r="AJ110" i="150"/>
  <c r="AI110" i="150"/>
  <c r="AH110" i="150"/>
  <c r="AG110" i="150"/>
  <c r="AF110" i="150"/>
  <c r="AE110" i="150"/>
  <c r="AD110" i="150"/>
  <c r="AM109" i="150"/>
  <c r="AL109" i="150"/>
  <c r="AK109" i="150"/>
  <c r="AJ109" i="150"/>
  <c r="AI109" i="150"/>
  <c r="AH109" i="150"/>
  <c r="AF109" i="150"/>
  <c r="AE109" i="150"/>
  <c r="AD109" i="150"/>
  <c r="AM108" i="150"/>
  <c r="AL108" i="150"/>
  <c r="AK108" i="150"/>
  <c r="AJ108" i="150"/>
  <c r="AI108" i="150"/>
  <c r="AH108" i="150"/>
  <c r="AG108" i="150"/>
  <c r="AF108" i="150"/>
  <c r="AE108" i="150"/>
  <c r="AD108" i="150"/>
  <c r="AM107" i="150"/>
  <c r="AL107" i="150"/>
  <c r="AK107" i="150"/>
  <c r="AJ107" i="150"/>
  <c r="AI107" i="150"/>
  <c r="AH107" i="150"/>
  <c r="AF107" i="150"/>
  <c r="AE107" i="150"/>
  <c r="AM106" i="150"/>
  <c r="AL106" i="150"/>
  <c r="AK106" i="150"/>
  <c r="AJ106" i="150"/>
  <c r="AI106" i="150"/>
  <c r="AH106" i="150"/>
  <c r="AG106" i="150"/>
  <c r="AF106" i="150"/>
  <c r="AE106" i="150"/>
  <c r="AD106" i="150"/>
  <c r="AL105" i="150"/>
  <c r="AK105" i="150"/>
  <c r="AI105" i="150"/>
  <c r="AG105" i="150"/>
  <c r="AF105" i="150"/>
  <c r="AE105" i="150"/>
  <c r="AD105" i="150"/>
  <c r="AM104" i="150"/>
  <c r="AL104" i="150"/>
  <c r="AK104" i="150"/>
  <c r="AJ104" i="150"/>
  <c r="AI104" i="150"/>
  <c r="AF104" i="150"/>
  <c r="AE104" i="150"/>
  <c r="AD104" i="150"/>
  <c r="AM103" i="150"/>
  <c r="AL103" i="150"/>
  <c r="AK103" i="150"/>
  <c r="AJ103" i="150"/>
  <c r="AI103" i="150"/>
  <c r="AH103" i="150"/>
  <c r="AG103" i="150"/>
  <c r="AF103" i="150"/>
  <c r="AE103" i="150"/>
  <c r="AD103" i="150"/>
  <c r="AL102" i="150"/>
  <c r="AK102" i="150"/>
  <c r="AJ102" i="150"/>
  <c r="AI102" i="150"/>
  <c r="AH102" i="150"/>
  <c r="AG102" i="150"/>
  <c r="AF102" i="150"/>
  <c r="AE102" i="150"/>
  <c r="AD102" i="150"/>
  <c r="AC102" i="150"/>
  <c r="AM101" i="150"/>
  <c r="AL101" i="150"/>
  <c r="AK101" i="150"/>
  <c r="AJ101" i="150"/>
  <c r="AI101" i="150"/>
  <c r="AH101" i="150"/>
  <c r="AG101" i="150"/>
  <c r="AF101" i="150"/>
  <c r="AE101" i="150"/>
  <c r="AD101" i="150"/>
  <c r="AM100" i="150"/>
  <c r="AL100" i="150"/>
  <c r="AK100" i="150"/>
  <c r="AJ100" i="150"/>
  <c r="AI100" i="150"/>
  <c r="AH100" i="150"/>
  <c r="AG100" i="150"/>
  <c r="AF100" i="150"/>
  <c r="AE100" i="150"/>
  <c r="AD100" i="150"/>
  <c r="AM99" i="150"/>
  <c r="AL99" i="150"/>
  <c r="AK99" i="150"/>
  <c r="AJ99" i="150"/>
  <c r="AH99" i="150"/>
  <c r="AG99" i="150"/>
  <c r="AF99" i="150"/>
  <c r="AE99" i="150"/>
  <c r="AD99" i="150"/>
  <c r="AM98" i="150"/>
  <c r="AL98" i="150"/>
  <c r="AK98" i="150"/>
  <c r="AJ98" i="150"/>
  <c r="AI98" i="150"/>
  <c r="AH98" i="150"/>
  <c r="AG98" i="150"/>
  <c r="AE98" i="150"/>
  <c r="AD98" i="150"/>
  <c r="AM97" i="150"/>
  <c r="AK97" i="150"/>
  <c r="AJ97" i="150"/>
  <c r="AI97" i="150"/>
  <c r="AH97" i="150"/>
  <c r="AG97" i="150"/>
  <c r="AF97" i="150"/>
  <c r="AE97" i="150"/>
  <c r="AD97" i="150"/>
  <c r="AM96" i="150"/>
  <c r="AL96" i="150"/>
  <c r="AK96" i="150"/>
  <c r="AH96" i="150"/>
  <c r="AG96" i="150"/>
  <c r="AF96" i="150"/>
  <c r="AE96" i="150"/>
  <c r="AD96" i="150"/>
  <c r="AM95" i="150"/>
  <c r="AL95" i="150"/>
  <c r="AK95" i="150"/>
  <c r="AJ95" i="150"/>
  <c r="AI95" i="150"/>
  <c r="AH95" i="150"/>
  <c r="AG95" i="150"/>
  <c r="AF95" i="150"/>
  <c r="AE95" i="150"/>
  <c r="AD95" i="150"/>
  <c r="AM94" i="150"/>
  <c r="AL94" i="150"/>
  <c r="AK94" i="150"/>
  <c r="AJ94" i="150"/>
  <c r="AI94" i="150"/>
  <c r="AH94" i="150"/>
  <c r="AG94" i="150"/>
  <c r="AF94" i="150"/>
  <c r="AE94" i="150"/>
  <c r="AD94" i="150"/>
  <c r="AL93" i="150"/>
  <c r="AK93" i="150"/>
  <c r="AJ93" i="150"/>
  <c r="AI93" i="150"/>
  <c r="AH93" i="150"/>
  <c r="AG93" i="150"/>
  <c r="AF93" i="150"/>
  <c r="AE93" i="150"/>
  <c r="AD93" i="150"/>
  <c r="AL92" i="150"/>
  <c r="AK92" i="150"/>
  <c r="AJ92" i="150"/>
  <c r="AI92" i="150"/>
  <c r="AH92" i="150"/>
  <c r="AG92" i="150"/>
  <c r="AF92" i="150"/>
  <c r="AE92" i="150"/>
  <c r="AD92" i="150"/>
  <c r="AM91" i="150"/>
  <c r="AL91" i="150"/>
  <c r="AK91" i="150"/>
  <c r="AJ91" i="150"/>
  <c r="AI91" i="150"/>
  <c r="AH91" i="150"/>
  <c r="AG91" i="150"/>
  <c r="AF91" i="150"/>
  <c r="AE91" i="150"/>
  <c r="AD91" i="150"/>
  <c r="AM90" i="150"/>
  <c r="AL90" i="150"/>
  <c r="AK90" i="150"/>
  <c r="AJ90" i="150"/>
  <c r="AI90" i="150"/>
  <c r="AH90" i="150"/>
  <c r="AG90" i="150"/>
  <c r="AF90" i="150"/>
  <c r="AE90" i="150"/>
  <c r="AD90" i="150"/>
  <c r="AM89" i="150"/>
  <c r="AL89" i="150"/>
  <c r="AK89" i="150"/>
  <c r="AJ89" i="150"/>
  <c r="AI89" i="150"/>
  <c r="AH89" i="150"/>
  <c r="AG89" i="150"/>
  <c r="AF89" i="150"/>
  <c r="AE89" i="150"/>
  <c r="AD89" i="150"/>
  <c r="AM88" i="150"/>
  <c r="AL88" i="150"/>
  <c r="AK88" i="150"/>
  <c r="AJ88" i="150"/>
  <c r="AH88" i="150"/>
  <c r="AG88" i="150"/>
  <c r="AF88" i="150"/>
  <c r="AE88" i="150"/>
  <c r="AD88" i="150"/>
  <c r="AM87" i="150"/>
  <c r="AL87" i="150"/>
  <c r="AK87" i="150"/>
  <c r="AJ87" i="150"/>
  <c r="AH87" i="150"/>
  <c r="AG87" i="150"/>
  <c r="AF87" i="150"/>
  <c r="AE87" i="150"/>
  <c r="AD87" i="150"/>
  <c r="AM86" i="150"/>
  <c r="AL86" i="150"/>
  <c r="AK86" i="150"/>
  <c r="AJ86" i="150"/>
  <c r="AH86" i="150"/>
  <c r="AG86" i="150"/>
  <c r="AF86" i="150"/>
  <c r="AE86" i="150"/>
  <c r="AD86" i="150"/>
  <c r="AM85" i="150"/>
  <c r="AL85" i="150"/>
  <c r="AK85" i="150"/>
  <c r="AJ85" i="150"/>
  <c r="AI85" i="150"/>
  <c r="AH85" i="150"/>
  <c r="AG85" i="150"/>
  <c r="AF85" i="150"/>
  <c r="AE85" i="150"/>
  <c r="AD85" i="150"/>
  <c r="AM84" i="150"/>
  <c r="AL84" i="150"/>
  <c r="AK84" i="150"/>
  <c r="AJ84" i="150"/>
  <c r="AI84" i="150"/>
  <c r="AH84" i="150"/>
  <c r="AG84" i="150"/>
  <c r="AF84" i="150"/>
  <c r="AE84" i="150"/>
  <c r="AD84" i="150"/>
  <c r="AM83" i="150"/>
  <c r="AL83" i="150"/>
  <c r="AK83" i="150"/>
  <c r="AJ83" i="150"/>
  <c r="AI83" i="150"/>
  <c r="AH83" i="150"/>
  <c r="AG83" i="150"/>
  <c r="AF83" i="150"/>
  <c r="AE83" i="150"/>
  <c r="AD83" i="150"/>
  <c r="AM82" i="150"/>
  <c r="AL82" i="150"/>
  <c r="AK82" i="150"/>
  <c r="AJ82" i="150"/>
  <c r="AI82" i="150"/>
  <c r="AH82" i="150"/>
  <c r="AG82" i="150"/>
  <c r="AF82" i="150"/>
  <c r="AD82" i="150"/>
  <c r="AM81" i="150"/>
  <c r="AL81" i="150"/>
  <c r="AK81" i="150"/>
  <c r="AJ81" i="150"/>
  <c r="AI81" i="150"/>
  <c r="AH81" i="150"/>
  <c r="AG81" i="150"/>
  <c r="AF81" i="150"/>
  <c r="AD81" i="150"/>
  <c r="AM80" i="150"/>
  <c r="AL80" i="150"/>
  <c r="AK80" i="150"/>
  <c r="AJ80" i="150"/>
  <c r="AI80" i="150"/>
  <c r="AH80" i="150"/>
  <c r="AG80" i="150"/>
  <c r="AF80" i="150"/>
  <c r="AD80" i="150"/>
  <c r="AM79" i="150"/>
  <c r="AL79" i="150"/>
  <c r="AJ79" i="150"/>
  <c r="AI79" i="150"/>
  <c r="AH79" i="150"/>
  <c r="AG79" i="150"/>
  <c r="AF79" i="150"/>
  <c r="AE79" i="150"/>
  <c r="AD79" i="150"/>
  <c r="AM78" i="150"/>
  <c r="AL78" i="150"/>
  <c r="AJ78" i="150"/>
  <c r="AI78" i="150"/>
  <c r="AH78" i="150"/>
  <c r="AG78" i="150"/>
  <c r="AF78" i="150"/>
  <c r="AE78" i="150"/>
  <c r="AD78" i="150"/>
  <c r="AM77" i="150"/>
  <c r="AL77" i="150"/>
  <c r="AJ77" i="150"/>
  <c r="AI77" i="150"/>
  <c r="AH77" i="150"/>
  <c r="AG77" i="150"/>
  <c r="AF77" i="150"/>
  <c r="AE77" i="150"/>
  <c r="AD77" i="150"/>
  <c r="AM76" i="150"/>
  <c r="AL76" i="150"/>
  <c r="AK76" i="150"/>
  <c r="AJ76" i="150"/>
  <c r="AI76" i="150"/>
  <c r="AH76" i="150"/>
  <c r="AG76" i="150"/>
  <c r="AF76" i="150"/>
  <c r="AE76" i="150"/>
  <c r="AD76" i="150"/>
  <c r="AC76" i="150"/>
  <c r="AM75" i="150"/>
  <c r="AL75" i="150"/>
  <c r="AK75" i="150"/>
  <c r="AJ75" i="150"/>
  <c r="AI75" i="150"/>
  <c r="AH75" i="150"/>
  <c r="AG75" i="150"/>
  <c r="AF75" i="150"/>
  <c r="AE75" i="150"/>
  <c r="AD75" i="150"/>
  <c r="AM74" i="150"/>
  <c r="AL74" i="150"/>
  <c r="AK74" i="150"/>
  <c r="AJ74" i="150"/>
  <c r="AI74" i="150"/>
  <c r="AH74" i="150"/>
  <c r="AG74" i="150"/>
  <c r="AF74" i="150"/>
  <c r="AE74" i="150"/>
  <c r="AD74" i="150"/>
  <c r="AM73" i="150"/>
  <c r="AL73" i="150"/>
  <c r="AK73" i="150"/>
  <c r="AJ73" i="150"/>
  <c r="AI73" i="150"/>
  <c r="AH73" i="150"/>
  <c r="AF73" i="150"/>
  <c r="AE73" i="150"/>
  <c r="AD73" i="150"/>
  <c r="AM72" i="150"/>
  <c r="AL72" i="150"/>
  <c r="AK72" i="150"/>
  <c r="AJ72" i="150"/>
  <c r="AI72" i="150"/>
  <c r="AH72" i="150"/>
  <c r="AF72" i="150"/>
  <c r="AE72" i="150"/>
  <c r="AD72" i="150"/>
  <c r="AM71" i="150"/>
  <c r="AL71" i="150"/>
  <c r="AK71" i="150"/>
  <c r="AJ71" i="150"/>
  <c r="AI71" i="150"/>
  <c r="AH71" i="150"/>
  <c r="AG71" i="150"/>
  <c r="AF71" i="150"/>
  <c r="AE71" i="150"/>
  <c r="AD71" i="150"/>
  <c r="AL70" i="150"/>
  <c r="AK70" i="150"/>
  <c r="AJ70" i="150"/>
  <c r="AI70" i="150"/>
  <c r="AH70" i="150"/>
  <c r="AG70" i="150"/>
  <c r="AF70" i="150"/>
  <c r="AE70" i="150"/>
  <c r="AD70" i="150"/>
  <c r="AL69" i="150"/>
  <c r="AK69" i="150"/>
  <c r="AJ69" i="150"/>
  <c r="AI69" i="150"/>
  <c r="AH69" i="150"/>
  <c r="AG69" i="150"/>
  <c r="AF69" i="150"/>
  <c r="AE69" i="150"/>
  <c r="AD69" i="150"/>
  <c r="AL68" i="150"/>
  <c r="AK68" i="150"/>
  <c r="AJ68" i="150"/>
  <c r="AI68" i="150"/>
  <c r="AH68" i="150"/>
  <c r="AG68" i="150"/>
  <c r="AF68" i="150"/>
  <c r="AE68" i="150"/>
  <c r="AD68" i="150"/>
  <c r="AM67" i="150"/>
  <c r="AL67" i="150"/>
  <c r="AK67" i="150"/>
  <c r="AJ67" i="150"/>
  <c r="AI67" i="150"/>
  <c r="AH67" i="150"/>
  <c r="AG67" i="150"/>
  <c r="AF67" i="150"/>
  <c r="AE67" i="150"/>
  <c r="AD67" i="150"/>
  <c r="AM66" i="150"/>
  <c r="AL66" i="150"/>
  <c r="AK66" i="150"/>
  <c r="AJ66" i="150"/>
  <c r="AI66" i="150"/>
  <c r="AH66" i="150"/>
  <c r="AG66" i="150"/>
  <c r="AF66" i="150"/>
  <c r="AE66" i="150"/>
  <c r="AD66" i="150"/>
  <c r="AM65" i="150"/>
  <c r="AL65" i="150"/>
  <c r="AK65" i="150"/>
  <c r="AJ65" i="150"/>
  <c r="AI65" i="150"/>
  <c r="AH65" i="150"/>
  <c r="AG65" i="150"/>
  <c r="AF65" i="150"/>
  <c r="AE65" i="150"/>
  <c r="AD65" i="150"/>
  <c r="AM64" i="150"/>
  <c r="AL64" i="150"/>
  <c r="AK64" i="150"/>
  <c r="AJ64" i="150"/>
  <c r="AH64" i="150"/>
  <c r="AG64" i="150"/>
  <c r="AF64" i="150"/>
  <c r="AE64" i="150"/>
  <c r="AD64" i="150"/>
  <c r="AM63" i="150"/>
  <c r="AL63" i="150"/>
  <c r="AK63" i="150"/>
  <c r="AJ63" i="150"/>
  <c r="AH63" i="150"/>
  <c r="AG63" i="150"/>
  <c r="AF63" i="150"/>
  <c r="AE63" i="150"/>
  <c r="AD63" i="150"/>
  <c r="AM62" i="150"/>
  <c r="AL62" i="150"/>
  <c r="AK62" i="150"/>
  <c r="AJ62" i="150"/>
  <c r="AH62" i="150"/>
  <c r="AG62" i="150"/>
  <c r="AF62" i="150"/>
  <c r="AE62" i="150"/>
  <c r="AD62" i="150"/>
  <c r="AM61" i="150"/>
  <c r="AL61" i="150"/>
  <c r="AK61" i="150"/>
  <c r="AJ61" i="150"/>
  <c r="AI61" i="150"/>
  <c r="AH61" i="150"/>
  <c r="AG61" i="150"/>
  <c r="AF61" i="150"/>
  <c r="AE61" i="150"/>
  <c r="AD61" i="150"/>
  <c r="AM60" i="150"/>
  <c r="AL60" i="150"/>
  <c r="AK60" i="150"/>
  <c r="AJ60" i="150"/>
  <c r="AI60" i="150"/>
  <c r="AH60" i="150"/>
  <c r="AG60" i="150"/>
  <c r="AF60" i="150"/>
  <c r="AE60" i="150"/>
  <c r="AD60" i="150"/>
  <c r="AC60" i="150"/>
  <c r="AM59" i="150"/>
  <c r="AL59" i="150"/>
  <c r="AK59" i="150"/>
  <c r="AJ59" i="150"/>
  <c r="AI59" i="150"/>
  <c r="AH59" i="150"/>
  <c r="AG59" i="150"/>
  <c r="AF59" i="150"/>
  <c r="AE59" i="150"/>
  <c r="AD59" i="150"/>
  <c r="AM58" i="150"/>
  <c r="AL58" i="150"/>
  <c r="AK58" i="150"/>
  <c r="AJ58" i="150"/>
  <c r="AI58" i="150"/>
  <c r="AH58" i="150"/>
  <c r="AG58" i="150"/>
  <c r="AF58" i="150"/>
  <c r="AD58" i="150"/>
  <c r="AM57" i="150"/>
  <c r="AL57" i="150"/>
  <c r="AK57" i="150"/>
  <c r="AJ57" i="150"/>
  <c r="AI57" i="150"/>
  <c r="AH57" i="150"/>
  <c r="AG57" i="150"/>
  <c r="AF57" i="150"/>
  <c r="AD57" i="150"/>
  <c r="AM56" i="150"/>
  <c r="AL56" i="150"/>
  <c r="AK56" i="150"/>
  <c r="AJ56" i="150"/>
  <c r="AI56" i="150"/>
  <c r="AH56" i="150"/>
  <c r="AG56" i="150"/>
  <c r="AF56" i="150"/>
  <c r="AD56" i="150"/>
  <c r="AM55" i="150"/>
  <c r="AL55" i="150"/>
  <c r="AJ55" i="150"/>
  <c r="AI55" i="150"/>
  <c r="AH55" i="150"/>
  <c r="AG55" i="150"/>
  <c r="AF55" i="150"/>
  <c r="AE55" i="150"/>
  <c r="AD55" i="150"/>
  <c r="AM54" i="150"/>
  <c r="AL54" i="150"/>
  <c r="AJ54" i="150"/>
  <c r="AI54" i="150"/>
  <c r="AH54" i="150"/>
  <c r="AG54" i="150"/>
  <c r="AF54" i="150"/>
  <c r="AE54" i="150"/>
  <c r="AD54" i="150"/>
  <c r="AM53" i="150"/>
  <c r="AL53" i="150"/>
  <c r="AJ53" i="150"/>
  <c r="AI53" i="150"/>
  <c r="AH53" i="150"/>
  <c r="AG53" i="150"/>
  <c r="AF53" i="150"/>
  <c r="AE53" i="150"/>
  <c r="AD53" i="150"/>
  <c r="AM52" i="150"/>
  <c r="AL52" i="150"/>
  <c r="AK52" i="150"/>
  <c r="AJ52" i="150"/>
  <c r="AI52" i="150"/>
  <c r="AH52" i="150"/>
  <c r="AG52" i="150"/>
  <c r="AF52" i="150"/>
  <c r="AE52" i="150"/>
  <c r="AD52" i="150"/>
  <c r="AM51" i="150"/>
  <c r="AL51" i="150"/>
  <c r="AK51" i="150"/>
  <c r="AJ51" i="150"/>
  <c r="AI51" i="150"/>
  <c r="AH51" i="150"/>
  <c r="AG51" i="150"/>
  <c r="AF51" i="150"/>
  <c r="AE51" i="150"/>
  <c r="AD51" i="150"/>
  <c r="AC51" i="150"/>
  <c r="AM50" i="150"/>
  <c r="AL50" i="150"/>
  <c r="AK50" i="150"/>
  <c r="AJ50" i="150"/>
  <c r="AI50" i="150"/>
  <c r="AH50" i="150"/>
  <c r="AG50" i="150"/>
  <c r="AF50" i="150"/>
  <c r="AE50" i="150"/>
  <c r="AD50" i="150"/>
  <c r="AM49" i="150"/>
  <c r="AL49" i="150"/>
  <c r="AK49" i="150"/>
  <c r="AJ49" i="150"/>
  <c r="AI49" i="150"/>
  <c r="AH49" i="150"/>
  <c r="AF49" i="150"/>
  <c r="AE49" i="150"/>
  <c r="AD49" i="150"/>
  <c r="AM48" i="150"/>
  <c r="AL48" i="150"/>
  <c r="AK48" i="150"/>
  <c r="AJ48" i="150"/>
  <c r="AI48" i="150"/>
  <c r="AH48" i="150"/>
  <c r="AF48" i="150"/>
  <c r="AE48" i="150"/>
  <c r="AD48" i="150"/>
  <c r="AM47" i="150"/>
  <c r="AL47" i="150"/>
  <c r="AK47" i="150"/>
  <c r="AJ47" i="150"/>
  <c r="AI47" i="150"/>
  <c r="AH47" i="150"/>
  <c r="AF47" i="150"/>
  <c r="AE47" i="150"/>
  <c r="AD47" i="150"/>
  <c r="AM46" i="150"/>
  <c r="AJ46" i="150"/>
  <c r="AD46" i="150"/>
  <c r="AL45" i="150"/>
  <c r="AF45" i="150"/>
  <c r="AE45" i="150"/>
  <c r="AD45" i="150"/>
  <c r="AJ44" i="150"/>
  <c r="AG44" i="150"/>
  <c r="AD44" i="150"/>
  <c r="AM151" i="150"/>
  <c r="AL151" i="150"/>
  <c r="AK151" i="150"/>
  <c r="AJ151" i="150"/>
  <c r="AI151" i="150"/>
  <c r="AH150" i="150"/>
  <c r="AG150" i="150"/>
  <c r="AF150" i="150"/>
  <c r="AE150" i="150"/>
  <c r="AD150" i="150"/>
  <c r="AC140" i="150"/>
  <c r="AC127" i="150"/>
  <c r="AC117" i="150"/>
  <c r="AC101" i="150"/>
  <c r="AC98" i="150"/>
  <c r="AC61" i="150"/>
  <c r="AC50" i="150"/>
  <c r="AM44" i="150"/>
  <c r="AL46" i="150"/>
  <c r="AK45" i="150"/>
  <c r="AJ45" i="150"/>
  <c r="AI45" i="150"/>
  <c r="AH45" i="150"/>
  <c r="AG45" i="150"/>
  <c r="AF44" i="150"/>
  <c r="AE44" i="150"/>
  <c r="AC5" i="150"/>
  <c r="Z46" i="150"/>
  <c r="T46" i="150"/>
  <c r="U46" i="150"/>
  <c r="N44" i="150"/>
  <c r="N155" i="150" s="1"/>
  <c r="O44" i="150"/>
  <c r="O155" i="150" s="1"/>
  <c r="I45" i="150"/>
  <c r="J46" i="150"/>
  <c r="D122" i="151"/>
  <c r="D127" i="151" s="1"/>
  <c r="D121" i="151"/>
  <c r="D126" i="151" s="1"/>
  <c r="G111" i="151"/>
  <c r="H111" i="151" s="1"/>
  <c r="I111" i="151" s="1"/>
  <c r="J111" i="151" s="1"/>
  <c r="K111" i="151" s="1"/>
  <c r="L111" i="151" s="1"/>
  <c r="M111" i="151" s="1"/>
  <c r="N111" i="151" s="1"/>
  <c r="O111" i="151" s="1"/>
  <c r="P111" i="151" s="1"/>
  <c r="Z107" i="151"/>
  <c r="Y107" i="151"/>
  <c r="X107" i="151"/>
  <c r="Z106" i="151"/>
  <c r="Y106" i="151"/>
  <c r="X106" i="151"/>
  <c r="W106" i="151"/>
  <c r="Z105" i="151"/>
  <c r="Y105" i="151"/>
  <c r="X105" i="151"/>
  <c r="W105" i="151"/>
  <c r="B104" i="151"/>
  <c r="D102" i="151"/>
  <c r="D118" i="151" s="1"/>
  <c r="D123" i="151" s="1"/>
  <c r="D128" i="151" s="1"/>
  <c r="D131" i="151" s="1"/>
  <c r="D134" i="151" s="1"/>
  <c r="G101" i="151"/>
  <c r="H101" i="151" s="1"/>
  <c r="I101" i="151" s="1"/>
  <c r="J101" i="151" s="1"/>
  <c r="K101" i="151" s="1"/>
  <c r="L101" i="151" s="1"/>
  <c r="M101" i="151" s="1"/>
  <c r="N101" i="151" s="1"/>
  <c r="O101" i="151" s="1"/>
  <c r="P101" i="151" s="1"/>
  <c r="Z98" i="151"/>
  <c r="Y98" i="151"/>
  <c r="X98" i="151"/>
  <c r="W97" i="151"/>
  <c r="W96" i="151"/>
  <c r="W95" i="151"/>
  <c r="P94" i="151"/>
  <c r="P115" i="151" s="1"/>
  <c r="O94" i="151"/>
  <c r="O115" i="151" s="1"/>
  <c r="N94" i="151"/>
  <c r="N115" i="151" s="1"/>
  <c r="M94" i="151"/>
  <c r="M115" i="151" s="1"/>
  <c r="L94" i="151"/>
  <c r="L115" i="151" s="1"/>
  <c r="K94" i="151"/>
  <c r="K115" i="151" s="1"/>
  <c r="K120" i="151" s="1"/>
  <c r="J94" i="151"/>
  <c r="J115" i="151" s="1"/>
  <c r="I94" i="151"/>
  <c r="I115" i="151" s="1"/>
  <c r="I125" i="151" s="1"/>
  <c r="I130" i="151" s="1"/>
  <c r="I133" i="151" s="1"/>
  <c r="H94" i="151"/>
  <c r="H115" i="151" s="1"/>
  <c r="H125" i="151" s="1"/>
  <c r="H130" i="151" s="1"/>
  <c r="H133" i="151" s="1"/>
  <c r="G94" i="151"/>
  <c r="G115" i="151" s="1"/>
  <c r="F94" i="151"/>
  <c r="F115" i="151" s="1"/>
  <c r="B94" i="151"/>
  <c r="I75" i="151"/>
  <c r="H75" i="151"/>
  <c r="G75" i="151"/>
  <c r="E6" i="151"/>
  <c r="F53" i="151"/>
  <c r="G53" i="151" s="1"/>
  <c r="H53" i="151" s="1"/>
  <c r="I53" i="151" s="1"/>
  <c r="J53" i="151" s="1"/>
  <c r="K53" i="151" s="1"/>
  <c r="L53" i="151" s="1"/>
  <c r="M53" i="151" s="1"/>
  <c r="N53" i="151" s="1"/>
  <c r="O53" i="151" s="1"/>
  <c r="P53" i="151" s="1"/>
  <c r="Q53" i="151" s="1"/>
  <c r="R53" i="151" s="1"/>
  <c r="S53" i="151" s="1"/>
  <c r="T53" i="151" s="1"/>
  <c r="U53" i="151" s="1"/>
  <c r="V53" i="151" s="1"/>
  <c r="W53" i="151" s="1"/>
  <c r="X53" i="151" s="1"/>
  <c r="C4" i="151"/>
  <c r="E4" i="151" s="1"/>
  <c r="AA148" i="150"/>
  <c r="AY148" i="150" s="1"/>
  <c r="Z148" i="150"/>
  <c r="AX148" i="150" s="1"/>
  <c r="Y148" i="150"/>
  <c r="AW148" i="150" s="1"/>
  <c r="X148" i="150"/>
  <c r="AV148" i="150" s="1"/>
  <c r="W148" i="150"/>
  <c r="V148" i="150"/>
  <c r="AT148" i="150" s="1"/>
  <c r="U148" i="150"/>
  <c r="T148" i="150"/>
  <c r="AR148" i="150" s="1"/>
  <c r="S148" i="150"/>
  <c r="AQ148" i="150" s="1"/>
  <c r="R148" i="150"/>
  <c r="O148" i="150"/>
  <c r="N148" i="150"/>
  <c r="M148" i="150"/>
  <c r="K148" i="150"/>
  <c r="J148" i="150"/>
  <c r="I148" i="150"/>
  <c r="G148" i="150"/>
  <c r="F148" i="150"/>
  <c r="D148" i="150"/>
  <c r="AA147" i="150"/>
  <c r="AY147" i="150" s="1"/>
  <c r="Z147" i="150"/>
  <c r="AX147" i="150" s="1"/>
  <c r="Y147" i="150"/>
  <c r="X147" i="150"/>
  <c r="AV147" i="150" s="1"/>
  <c r="W147" i="150"/>
  <c r="AU147" i="150" s="1"/>
  <c r="V147" i="150"/>
  <c r="AT147" i="150" s="1"/>
  <c r="U147" i="150"/>
  <c r="T147" i="150"/>
  <c r="S147" i="150"/>
  <c r="AQ147" i="150" s="1"/>
  <c r="R147" i="150"/>
  <c r="O147" i="150"/>
  <c r="N147" i="150"/>
  <c r="M147" i="150"/>
  <c r="L147" i="150"/>
  <c r="K147" i="150"/>
  <c r="J147" i="150"/>
  <c r="I147" i="150"/>
  <c r="H147" i="150"/>
  <c r="G147" i="150"/>
  <c r="F147" i="150"/>
  <c r="D147" i="150"/>
  <c r="AA146" i="150"/>
  <c r="AY146" i="150" s="1"/>
  <c r="Z146" i="150"/>
  <c r="Y146" i="150"/>
  <c r="AW146" i="150" s="1"/>
  <c r="X146" i="150"/>
  <c r="AV146" i="150" s="1"/>
  <c r="W146" i="150"/>
  <c r="AU146" i="150" s="1"/>
  <c r="V146" i="150"/>
  <c r="AT146" i="150" s="1"/>
  <c r="U146" i="150"/>
  <c r="AS146" i="150" s="1"/>
  <c r="T146" i="150"/>
  <c r="AR146" i="150" s="1"/>
  <c r="S146" i="150"/>
  <c r="AQ146" i="150" s="1"/>
  <c r="R146" i="150"/>
  <c r="O146" i="150"/>
  <c r="N146" i="150"/>
  <c r="M146" i="150"/>
  <c r="L146" i="150"/>
  <c r="K146" i="150"/>
  <c r="J146" i="150"/>
  <c r="I146" i="150"/>
  <c r="G146" i="150"/>
  <c r="F146" i="150"/>
  <c r="D146" i="150"/>
  <c r="AA145" i="150"/>
  <c r="Z145" i="150"/>
  <c r="AX145" i="150" s="1"/>
  <c r="Y145" i="150"/>
  <c r="AW145" i="150" s="1"/>
  <c r="X145" i="150"/>
  <c r="AV145" i="150" s="1"/>
  <c r="W145" i="150"/>
  <c r="V145" i="150"/>
  <c r="AT145" i="150" s="1"/>
  <c r="U145" i="150"/>
  <c r="AS145" i="150" s="1"/>
  <c r="T145" i="150"/>
  <c r="S145" i="150"/>
  <c r="AQ145" i="150" s="1"/>
  <c r="R145" i="150"/>
  <c r="AP145" i="150" s="1"/>
  <c r="M145" i="150"/>
  <c r="L145" i="150"/>
  <c r="K145" i="150"/>
  <c r="J145" i="150"/>
  <c r="I145" i="150"/>
  <c r="G145" i="150"/>
  <c r="F145" i="150"/>
  <c r="D145" i="150"/>
  <c r="AA144" i="150"/>
  <c r="AY144" i="150" s="1"/>
  <c r="Z144" i="150"/>
  <c r="AX144" i="150" s="1"/>
  <c r="Y144" i="150"/>
  <c r="AW144" i="150" s="1"/>
  <c r="X144" i="150"/>
  <c r="AV144" i="150" s="1"/>
  <c r="W144" i="150"/>
  <c r="AU144" i="150" s="1"/>
  <c r="V144" i="150"/>
  <c r="AT144" i="150" s="1"/>
  <c r="U144" i="150"/>
  <c r="AS144" i="150" s="1"/>
  <c r="T144" i="150"/>
  <c r="AR144" i="150" s="1"/>
  <c r="S144" i="150"/>
  <c r="AQ144" i="150" s="1"/>
  <c r="R144" i="150"/>
  <c r="AP144" i="150" s="1"/>
  <c r="N144" i="150"/>
  <c r="M144" i="150"/>
  <c r="L144" i="150"/>
  <c r="K144" i="150"/>
  <c r="J144" i="150"/>
  <c r="I144" i="150"/>
  <c r="H144" i="150"/>
  <c r="G144" i="150"/>
  <c r="F144" i="150"/>
  <c r="D144" i="150"/>
  <c r="AA143" i="150"/>
  <c r="AY143" i="150" s="1"/>
  <c r="Z143" i="150"/>
  <c r="Y143" i="150"/>
  <c r="X143" i="150"/>
  <c r="W143" i="150"/>
  <c r="V143" i="150"/>
  <c r="AT143" i="150" s="1"/>
  <c r="U143" i="150"/>
  <c r="T143" i="150"/>
  <c r="AR143" i="150" s="1"/>
  <c r="S143" i="150"/>
  <c r="AQ143" i="150" s="1"/>
  <c r="R143" i="150"/>
  <c r="N143" i="150"/>
  <c r="M143" i="150"/>
  <c r="L143" i="150"/>
  <c r="K143" i="150"/>
  <c r="J143" i="150"/>
  <c r="I143" i="150"/>
  <c r="G143" i="150"/>
  <c r="F143" i="150"/>
  <c r="AA142" i="150"/>
  <c r="AY142" i="150" s="1"/>
  <c r="Z142" i="150"/>
  <c r="AX142" i="150" s="1"/>
  <c r="Y142" i="150"/>
  <c r="AW142" i="150" s="1"/>
  <c r="X142" i="150"/>
  <c r="AV142" i="150" s="1"/>
  <c r="W142" i="150"/>
  <c r="AU142" i="150" s="1"/>
  <c r="V142" i="150"/>
  <c r="AT142" i="150" s="1"/>
  <c r="U142" i="150"/>
  <c r="AS142" i="150" s="1"/>
  <c r="T142" i="150"/>
  <c r="AR142" i="150" s="1"/>
  <c r="S142" i="150"/>
  <c r="AQ142" i="150" s="1"/>
  <c r="R142" i="150"/>
  <c r="AP142" i="150" s="1"/>
  <c r="O142" i="150"/>
  <c r="N142" i="150"/>
  <c r="M142" i="150"/>
  <c r="L142" i="150"/>
  <c r="I142" i="150"/>
  <c r="H142" i="150"/>
  <c r="G142" i="150"/>
  <c r="F142" i="150"/>
  <c r="D142" i="150"/>
  <c r="AA141" i="150"/>
  <c r="AY141" i="150" s="1"/>
  <c r="Z141" i="150"/>
  <c r="AX141" i="150" s="1"/>
  <c r="Y141" i="150"/>
  <c r="AW141" i="150" s="1"/>
  <c r="X141" i="150"/>
  <c r="AV141" i="150" s="1"/>
  <c r="W141" i="150"/>
  <c r="V141" i="150"/>
  <c r="AT141" i="150" s="1"/>
  <c r="U141" i="150"/>
  <c r="AS141" i="150" s="1"/>
  <c r="T141" i="150"/>
  <c r="AR141" i="150" s="1"/>
  <c r="S141" i="150"/>
  <c r="AQ141" i="150" s="1"/>
  <c r="R141" i="150"/>
  <c r="AP141" i="150" s="1"/>
  <c r="O141" i="150"/>
  <c r="N141" i="150"/>
  <c r="M141" i="150"/>
  <c r="L141" i="150"/>
  <c r="J141" i="150"/>
  <c r="I141" i="150"/>
  <c r="H141" i="150"/>
  <c r="G141" i="150"/>
  <c r="F141" i="150"/>
  <c r="D141" i="150"/>
  <c r="AA140" i="150"/>
  <c r="AY140" i="150" s="1"/>
  <c r="Z140" i="150"/>
  <c r="AX140" i="150" s="1"/>
  <c r="Y140" i="150"/>
  <c r="X140" i="150"/>
  <c r="AV140" i="150" s="1"/>
  <c r="W140" i="150"/>
  <c r="AU140" i="150" s="1"/>
  <c r="V140" i="150"/>
  <c r="AT140" i="150" s="1"/>
  <c r="U140" i="150"/>
  <c r="AS140" i="150" s="1"/>
  <c r="T140" i="150"/>
  <c r="AR140" i="150" s="1"/>
  <c r="S140" i="150"/>
  <c r="AQ140" i="150" s="1"/>
  <c r="R140" i="150"/>
  <c r="AP140" i="150" s="1"/>
  <c r="O140" i="150"/>
  <c r="N140" i="150"/>
  <c r="M140" i="150"/>
  <c r="L140" i="150"/>
  <c r="I140" i="150"/>
  <c r="H140" i="150"/>
  <c r="G140" i="150"/>
  <c r="F140" i="150"/>
  <c r="D140" i="150"/>
  <c r="AA139" i="150"/>
  <c r="Z139" i="150"/>
  <c r="AX139" i="150" s="1"/>
  <c r="Y139" i="150"/>
  <c r="X139" i="150"/>
  <c r="AV139" i="150" s="1"/>
  <c r="W139" i="150"/>
  <c r="V139" i="150"/>
  <c r="U139" i="150"/>
  <c r="AS139" i="150" s="1"/>
  <c r="T139" i="150"/>
  <c r="AR139" i="150" s="1"/>
  <c r="S139" i="150"/>
  <c r="R139" i="150"/>
  <c r="AP139" i="150" s="1"/>
  <c r="O139" i="150"/>
  <c r="N139" i="150"/>
  <c r="M139" i="150"/>
  <c r="L139" i="150"/>
  <c r="K139" i="150"/>
  <c r="J139" i="150"/>
  <c r="I139" i="150"/>
  <c r="H139" i="150"/>
  <c r="G139" i="150"/>
  <c r="D139" i="150"/>
  <c r="AA138" i="150"/>
  <c r="AY138" i="150" s="1"/>
  <c r="Z138" i="150"/>
  <c r="AX138" i="150" s="1"/>
  <c r="Y138" i="150"/>
  <c r="X138" i="150"/>
  <c r="AV138" i="150" s="1"/>
  <c r="W138" i="150"/>
  <c r="V138" i="150"/>
  <c r="AT138" i="150" s="1"/>
  <c r="U138" i="150"/>
  <c r="AS138" i="150" s="1"/>
  <c r="T138" i="150"/>
  <c r="AR138" i="150" s="1"/>
  <c r="S138" i="150"/>
  <c r="AQ138" i="150" s="1"/>
  <c r="R138" i="150"/>
  <c r="AP138" i="150" s="1"/>
  <c r="O138" i="150"/>
  <c r="N138" i="150"/>
  <c r="M138" i="150"/>
  <c r="L138" i="150"/>
  <c r="K138" i="150"/>
  <c r="J138" i="150"/>
  <c r="I138" i="150"/>
  <c r="H138" i="150"/>
  <c r="D138" i="150"/>
  <c r="AA137" i="150"/>
  <c r="AY137" i="150" s="1"/>
  <c r="Z137" i="150"/>
  <c r="AX137" i="150" s="1"/>
  <c r="Y137" i="150"/>
  <c r="X137" i="150"/>
  <c r="AV137" i="150" s="1"/>
  <c r="W137" i="150"/>
  <c r="AU137" i="150" s="1"/>
  <c r="V137" i="150"/>
  <c r="U137" i="150"/>
  <c r="T137" i="150"/>
  <c r="S137" i="150"/>
  <c r="R137" i="150"/>
  <c r="AP137" i="150" s="1"/>
  <c r="O137" i="150"/>
  <c r="N137" i="150"/>
  <c r="M137" i="150"/>
  <c r="L137" i="150"/>
  <c r="K137" i="150"/>
  <c r="J137" i="150"/>
  <c r="I137" i="150"/>
  <c r="H137" i="150"/>
  <c r="D137" i="150"/>
  <c r="AA136" i="150"/>
  <c r="Z136" i="150"/>
  <c r="AX136" i="150" s="1"/>
  <c r="Y136" i="150"/>
  <c r="AW136" i="150" s="1"/>
  <c r="X136" i="150"/>
  <c r="AV136" i="150" s="1"/>
  <c r="W136" i="150"/>
  <c r="AU136" i="150" s="1"/>
  <c r="V136" i="150"/>
  <c r="AT136" i="150" s="1"/>
  <c r="U136" i="150"/>
  <c r="AS136" i="150" s="1"/>
  <c r="T136" i="150"/>
  <c r="AR136" i="150" s="1"/>
  <c r="S136" i="150"/>
  <c r="AQ136" i="150" s="1"/>
  <c r="R136" i="150"/>
  <c r="O136" i="150"/>
  <c r="N136" i="150"/>
  <c r="M136" i="150"/>
  <c r="L136" i="150"/>
  <c r="K136" i="150"/>
  <c r="J136" i="150"/>
  <c r="I136" i="150"/>
  <c r="H136" i="150"/>
  <c r="G136" i="150"/>
  <c r="F136" i="150"/>
  <c r="D136" i="150"/>
  <c r="AA135" i="150"/>
  <c r="AY135" i="150" s="1"/>
  <c r="Z135" i="150"/>
  <c r="Y135" i="150"/>
  <c r="X135" i="150"/>
  <c r="AV135" i="150" s="1"/>
  <c r="W135" i="150"/>
  <c r="AU135" i="150" s="1"/>
  <c r="V135" i="150"/>
  <c r="AT135" i="150" s="1"/>
  <c r="U135" i="150"/>
  <c r="AS135" i="150" s="1"/>
  <c r="T135" i="150"/>
  <c r="AR135" i="150" s="1"/>
  <c r="S135" i="150"/>
  <c r="AQ135" i="150" s="1"/>
  <c r="R135" i="150"/>
  <c r="AP135" i="150" s="1"/>
  <c r="O135" i="150"/>
  <c r="N135" i="150"/>
  <c r="M135" i="150"/>
  <c r="L135" i="150"/>
  <c r="K135" i="150"/>
  <c r="J135" i="150"/>
  <c r="I135" i="150"/>
  <c r="H135" i="150"/>
  <c r="G135" i="150"/>
  <c r="F135" i="150"/>
  <c r="D135" i="150"/>
  <c r="AA134" i="150"/>
  <c r="Z134" i="150"/>
  <c r="AX134" i="150" s="1"/>
  <c r="Y134" i="150"/>
  <c r="AW134" i="150" s="1"/>
  <c r="X134" i="150"/>
  <c r="AV134" i="150" s="1"/>
  <c r="W134" i="150"/>
  <c r="V134" i="150"/>
  <c r="AT134" i="150" s="1"/>
  <c r="U134" i="150"/>
  <c r="AS134" i="150" s="1"/>
  <c r="T134" i="150"/>
  <c r="AR134" i="150" s="1"/>
  <c r="S134" i="150"/>
  <c r="AQ134" i="150" s="1"/>
  <c r="R134" i="150"/>
  <c r="AP134" i="150" s="1"/>
  <c r="O134" i="150"/>
  <c r="N134" i="150"/>
  <c r="M134" i="150"/>
  <c r="L134" i="150"/>
  <c r="K134" i="150"/>
  <c r="J134" i="150"/>
  <c r="I134" i="150"/>
  <c r="H134" i="150"/>
  <c r="G134" i="150"/>
  <c r="F134" i="150"/>
  <c r="D134" i="150"/>
  <c r="AA133" i="150"/>
  <c r="AY133" i="150" s="1"/>
  <c r="Z133" i="150"/>
  <c r="AX133" i="150" s="1"/>
  <c r="Y133" i="150"/>
  <c r="AW133" i="150" s="1"/>
  <c r="X133" i="150"/>
  <c r="AV133" i="150" s="1"/>
  <c r="W133" i="150"/>
  <c r="AU133" i="150" s="1"/>
  <c r="V133" i="150"/>
  <c r="AT133" i="150" s="1"/>
  <c r="U133" i="150"/>
  <c r="AS133" i="150" s="1"/>
  <c r="T133" i="150"/>
  <c r="AR133" i="150" s="1"/>
  <c r="S133" i="150"/>
  <c r="R133" i="150"/>
  <c r="N133" i="150"/>
  <c r="M133" i="150"/>
  <c r="L133" i="150"/>
  <c r="K133" i="150"/>
  <c r="J133" i="150"/>
  <c r="I133" i="150"/>
  <c r="H133" i="150"/>
  <c r="G133" i="150"/>
  <c r="F133" i="150"/>
  <c r="D133" i="150"/>
  <c r="AA132" i="150"/>
  <c r="AY132" i="150" s="1"/>
  <c r="Z132" i="150"/>
  <c r="AX132" i="150" s="1"/>
  <c r="Y132" i="150"/>
  <c r="X132" i="150"/>
  <c r="AV132" i="150" s="1"/>
  <c r="W132" i="150"/>
  <c r="AU132" i="150" s="1"/>
  <c r="V132" i="150"/>
  <c r="AT132" i="150" s="1"/>
  <c r="U132" i="150"/>
  <c r="T132" i="150"/>
  <c r="AR132" i="150" s="1"/>
  <c r="S132" i="150"/>
  <c r="AQ132" i="150" s="1"/>
  <c r="R132" i="150"/>
  <c r="AP132" i="150" s="1"/>
  <c r="M132" i="150"/>
  <c r="L132" i="150"/>
  <c r="K132" i="150"/>
  <c r="J132" i="150"/>
  <c r="I132" i="150"/>
  <c r="H132" i="150"/>
  <c r="G132" i="150"/>
  <c r="F132" i="150"/>
  <c r="D132" i="150"/>
  <c r="AA131" i="150"/>
  <c r="AY131" i="150" s="1"/>
  <c r="Z131" i="150"/>
  <c r="AX131" i="150" s="1"/>
  <c r="Y131" i="150"/>
  <c r="AW131" i="150" s="1"/>
  <c r="X131" i="150"/>
  <c r="AV131" i="150" s="1"/>
  <c r="W131" i="150"/>
  <c r="AU131" i="150" s="1"/>
  <c r="V131" i="150"/>
  <c r="AT131" i="150" s="1"/>
  <c r="U131" i="150"/>
  <c r="T131" i="150"/>
  <c r="S131" i="150"/>
  <c r="AQ131" i="150" s="1"/>
  <c r="R131" i="150"/>
  <c r="O131" i="150"/>
  <c r="M131" i="150"/>
  <c r="L131" i="150"/>
  <c r="K131" i="150"/>
  <c r="J131" i="150"/>
  <c r="I131" i="150"/>
  <c r="H131" i="150"/>
  <c r="G131" i="150"/>
  <c r="F131" i="150"/>
  <c r="D131" i="150"/>
  <c r="AA130" i="150"/>
  <c r="AY130" i="150" s="1"/>
  <c r="Z130" i="150"/>
  <c r="AX130" i="150" s="1"/>
  <c r="Y130" i="150"/>
  <c r="AW130" i="150" s="1"/>
  <c r="X130" i="150"/>
  <c r="AV130" i="150" s="1"/>
  <c r="W130" i="150"/>
  <c r="AU130" i="150" s="1"/>
  <c r="V130" i="150"/>
  <c r="AT130" i="150" s="1"/>
  <c r="U130" i="150"/>
  <c r="AS130" i="150" s="1"/>
  <c r="T130" i="150"/>
  <c r="AR130" i="150" s="1"/>
  <c r="S130" i="150"/>
  <c r="AQ130" i="150" s="1"/>
  <c r="R130" i="150"/>
  <c r="O130" i="150"/>
  <c r="N130" i="150"/>
  <c r="M130" i="150"/>
  <c r="L130" i="150"/>
  <c r="I130" i="150"/>
  <c r="H130" i="150"/>
  <c r="G130" i="150"/>
  <c r="F130" i="150"/>
  <c r="D130" i="150"/>
  <c r="AA129" i="150"/>
  <c r="AY129" i="150" s="1"/>
  <c r="Z129" i="150"/>
  <c r="AX129" i="150" s="1"/>
  <c r="Y129" i="150"/>
  <c r="AW129" i="150" s="1"/>
  <c r="X129" i="150"/>
  <c r="W129" i="150"/>
  <c r="AU129" i="150" s="1"/>
  <c r="V129" i="150"/>
  <c r="U129" i="150"/>
  <c r="T129" i="150"/>
  <c r="AR129" i="150" s="1"/>
  <c r="S129" i="150"/>
  <c r="AQ129" i="150" s="1"/>
  <c r="R129" i="150"/>
  <c r="AP129" i="150" s="1"/>
  <c r="O129" i="150"/>
  <c r="N129" i="150"/>
  <c r="M129" i="150"/>
  <c r="L129" i="150"/>
  <c r="J129" i="150"/>
  <c r="I129" i="150"/>
  <c r="H129" i="150"/>
  <c r="G129" i="150"/>
  <c r="F129" i="150"/>
  <c r="D129" i="150"/>
  <c r="AA128" i="150"/>
  <c r="AY128" i="150" s="1"/>
  <c r="Z128" i="150"/>
  <c r="AX128" i="150" s="1"/>
  <c r="Y128" i="150"/>
  <c r="AW128" i="150" s="1"/>
  <c r="X128" i="150"/>
  <c r="W128" i="150"/>
  <c r="AU128" i="150" s="1"/>
  <c r="V128" i="150"/>
  <c r="AT128" i="150" s="1"/>
  <c r="U128" i="150"/>
  <c r="AS128" i="150" s="1"/>
  <c r="T128" i="150"/>
  <c r="AR128" i="150" s="1"/>
  <c r="S128" i="150"/>
  <c r="AQ128" i="150" s="1"/>
  <c r="R128" i="150"/>
  <c r="O128" i="150"/>
  <c r="N128" i="150"/>
  <c r="M128" i="150"/>
  <c r="L128" i="150"/>
  <c r="I128" i="150"/>
  <c r="H128" i="150"/>
  <c r="G128" i="150"/>
  <c r="F128" i="150"/>
  <c r="D128" i="150"/>
  <c r="AA127" i="150"/>
  <c r="Z127" i="150"/>
  <c r="AX127" i="150" s="1"/>
  <c r="Y127" i="150"/>
  <c r="AW127" i="150" s="1"/>
  <c r="X127" i="150"/>
  <c r="AV127" i="150" s="1"/>
  <c r="W127" i="150"/>
  <c r="AU127" i="150" s="1"/>
  <c r="V127" i="150"/>
  <c r="AT127" i="150" s="1"/>
  <c r="U127" i="150"/>
  <c r="AS127" i="150" s="1"/>
  <c r="T127" i="150"/>
  <c r="AR127" i="150" s="1"/>
  <c r="S127" i="150"/>
  <c r="R127" i="150"/>
  <c r="AP127" i="150" s="1"/>
  <c r="O127" i="150"/>
  <c r="N127" i="150"/>
  <c r="M127" i="150"/>
  <c r="L127" i="150"/>
  <c r="K127" i="150"/>
  <c r="J127" i="150"/>
  <c r="I127" i="150"/>
  <c r="H127" i="150"/>
  <c r="D127" i="150"/>
  <c r="AA126" i="150"/>
  <c r="AY126" i="150" s="1"/>
  <c r="Z126" i="150"/>
  <c r="AX126" i="150" s="1"/>
  <c r="Y126" i="150"/>
  <c r="AW126" i="150" s="1"/>
  <c r="X126" i="150"/>
  <c r="AV126" i="150" s="1"/>
  <c r="W126" i="150"/>
  <c r="AU126" i="150" s="1"/>
  <c r="V126" i="150"/>
  <c r="AT126" i="150" s="1"/>
  <c r="U126" i="150"/>
  <c r="AS126" i="150" s="1"/>
  <c r="T126" i="150"/>
  <c r="AR126" i="150" s="1"/>
  <c r="S126" i="150"/>
  <c r="AQ126" i="150" s="1"/>
  <c r="R126" i="150"/>
  <c r="AP126" i="150" s="1"/>
  <c r="O126" i="150"/>
  <c r="N126" i="150"/>
  <c r="M126" i="150"/>
  <c r="L126" i="150"/>
  <c r="K126" i="150"/>
  <c r="J126" i="150"/>
  <c r="I126" i="150"/>
  <c r="H126" i="150"/>
  <c r="D126" i="150"/>
  <c r="AA125" i="150"/>
  <c r="Z125" i="150"/>
  <c r="AX125" i="150" s="1"/>
  <c r="Y125" i="150"/>
  <c r="AW125" i="150" s="1"/>
  <c r="X125" i="150"/>
  <c r="AV125" i="150" s="1"/>
  <c r="W125" i="150"/>
  <c r="AU125" i="150" s="1"/>
  <c r="V125" i="150"/>
  <c r="AT125" i="150" s="1"/>
  <c r="U125" i="150"/>
  <c r="T125" i="150"/>
  <c r="AR125" i="150" s="1"/>
  <c r="S125" i="150"/>
  <c r="AQ125" i="150" s="1"/>
  <c r="R125" i="150"/>
  <c r="AP125" i="150" s="1"/>
  <c r="O125" i="150"/>
  <c r="N125" i="150"/>
  <c r="M125" i="150"/>
  <c r="L125" i="150"/>
  <c r="K125" i="150"/>
  <c r="J125" i="150"/>
  <c r="I125" i="150"/>
  <c r="H125" i="150"/>
  <c r="F125" i="150"/>
  <c r="D125" i="150"/>
  <c r="AA124" i="150"/>
  <c r="AY124" i="150" s="1"/>
  <c r="Z124" i="150"/>
  <c r="AX124" i="150" s="1"/>
  <c r="Y124" i="150"/>
  <c r="AW124" i="150" s="1"/>
  <c r="X124" i="150"/>
  <c r="AV124" i="150" s="1"/>
  <c r="W124" i="150"/>
  <c r="AU124" i="150" s="1"/>
  <c r="V124" i="150"/>
  <c r="U124" i="150"/>
  <c r="AS124" i="150" s="1"/>
  <c r="T124" i="150"/>
  <c r="S124" i="150"/>
  <c r="AQ124" i="150" s="1"/>
  <c r="R124" i="150"/>
  <c r="AP124" i="150" s="1"/>
  <c r="O124" i="150"/>
  <c r="N124" i="150"/>
  <c r="M124" i="150"/>
  <c r="L124" i="150"/>
  <c r="K124" i="150"/>
  <c r="J124" i="150"/>
  <c r="I124" i="150"/>
  <c r="H124" i="150"/>
  <c r="G124" i="150"/>
  <c r="F124" i="150"/>
  <c r="D124" i="150"/>
  <c r="AA123" i="150"/>
  <c r="AY123" i="150" s="1"/>
  <c r="Z123" i="150"/>
  <c r="AX123" i="150" s="1"/>
  <c r="Y123" i="150"/>
  <c r="AW123" i="150" s="1"/>
  <c r="X123" i="150"/>
  <c r="AV123" i="150" s="1"/>
  <c r="W123" i="150"/>
  <c r="V123" i="150"/>
  <c r="AT123" i="150" s="1"/>
  <c r="U123" i="150"/>
  <c r="AS123" i="150" s="1"/>
  <c r="T123" i="150"/>
  <c r="S123" i="150"/>
  <c r="AQ123" i="150" s="1"/>
  <c r="R123" i="150"/>
  <c r="O123" i="150"/>
  <c r="N123" i="150"/>
  <c r="M123" i="150"/>
  <c r="L123" i="150"/>
  <c r="K123" i="150"/>
  <c r="J123" i="150"/>
  <c r="I123" i="150"/>
  <c r="H123" i="150"/>
  <c r="G123" i="150"/>
  <c r="F123" i="150"/>
  <c r="D123" i="150"/>
  <c r="AA122" i="150"/>
  <c r="AY122" i="150" s="1"/>
  <c r="Z122" i="150"/>
  <c r="AX122" i="150" s="1"/>
  <c r="Y122" i="150"/>
  <c r="AW122" i="150" s="1"/>
  <c r="X122" i="150"/>
  <c r="AV122" i="150" s="1"/>
  <c r="W122" i="150"/>
  <c r="V122" i="150"/>
  <c r="AT122" i="150" s="1"/>
  <c r="U122" i="150"/>
  <c r="AS122" i="150" s="1"/>
  <c r="T122" i="150"/>
  <c r="AR122" i="150" s="1"/>
  <c r="S122" i="150"/>
  <c r="AQ122" i="150" s="1"/>
  <c r="R122" i="150"/>
  <c r="O122" i="150"/>
  <c r="N122" i="150"/>
  <c r="M122" i="150"/>
  <c r="L122" i="150"/>
  <c r="K122" i="150"/>
  <c r="J122" i="150"/>
  <c r="I122" i="150"/>
  <c r="H122" i="150"/>
  <c r="G122" i="150"/>
  <c r="F122" i="150"/>
  <c r="D122" i="150"/>
  <c r="AA121" i="150"/>
  <c r="AY121" i="150" s="1"/>
  <c r="Z121" i="150"/>
  <c r="AX121" i="150" s="1"/>
  <c r="Y121" i="150"/>
  <c r="AW121" i="150" s="1"/>
  <c r="X121" i="150"/>
  <c r="AV121" i="150" s="1"/>
  <c r="W121" i="150"/>
  <c r="V121" i="150"/>
  <c r="AT121" i="150" s="1"/>
  <c r="U121" i="150"/>
  <c r="T121" i="150"/>
  <c r="AR121" i="150" s="1"/>
  <c r="S121" i="150"/>
  <c r="AQ121" i="150" s="1"/>
  <c r="R121" i="150"/>
  <c r="N121" i="150"/>
  <c r="M121" i="150"/>
  <c r="L121" i="150"/>
  <c r="K121" i="150"/>
  <c r="J121" i="150"/>
  <c r="I121" i="150"/>
  <c r="H121" i="150"/>
  <c r="G121" i="150"/>
  <c r="F121" i="150"/>
  <c r="D121" i="150"/>
  <c r="AA120" i="150"/>
  <c r="AY120" i="150" s="1"/>
  <c r="Z120" i="150"/>
  <c r="AX120" i="150" s="1"/>
  <c r="Y120" i="150"/>
  <c r="AW120" i="150" s="1"/>
  <c r="X120" i="150"/>
  <c r="AV120" i="150" s="1"/>
  <c r="W120" i="150"/>
  <c r="V120" i="150"/>
  <c r="AT120" i="150" s="1"/>
  <c r="U120" i="150"/>
  <c r="AS120" i="150" s="1"/>
  <c r="T120" i="150"/>
  <c r="AR120" i="150" s="1"/>
  <c r="S120" i="150"/>
  <c r="AQ120" i="150" s="1"/>
  <c r="R120" i="150"/>
  <c r="AP120" i="150" s="1"/>
  <c r="N120" i="150"/>
  <c r="M120" i="150"/>
  <c r="L120" i="150"/>
  <c r="K120" i="150"/>
  <c r="J120" i="150"/>
  <c r="I120" i="150"/>
  <c r="H120" i="150"/>
  <c r="G120" i="150"/>
  <c r="F120" i="150"/>
  <c r="D120" i="150"/>
  <c r="AA119" i="150"/>
  <c r="AY119" i="150" s="1"/>
  <c r="Z119" i="150"/>
  <c r="Y119" i="150"/>
  <c r="AW119" i="150" s="1"/>
  <c r="X119" i="150"/>
  <c r="W119" i="150"/>
  <c r="AU119" i="150" s="1"/>
  <c r="V119" i="150"/>
  <c r="AT119" i="150" s="1"/>
  <c r="U119" i="150"/>
  <c r="T119" i="150"/>
  <c r="AR119" i="150" s="1"/>
  <c r="S119" i="150"/>
  <c r="AQ119" i="150" s="1"/>
  <c r="R119" i="150"/>
  <c r="AP119" i="150" s="1"/>
  <c r="M119" i="150"/>
  <c r="L119" i="150"/>
  <c r="K119" i="150"/>
  <c r="J119" i="150"/>
  <c r="I119" i="150"/>
  <c r="H119" i="150"/>
  <c r="G119" i="150"/>
  <c r="F119" i="150"/>
  <c r="D119" i="150"/>
  <c r="AA118" i="150"/>
  <c r="AY118" i="150" s="1"/>
  <c r="Z118" i="150"/>
  <c r="AX118" i="150" s="1"/>
  <c r="Y118" i="150"/>
  <c r="AW118" i="150" s="1"/>
  <c r="X118" i="150"/>
  <c r="AV118" i="150" s="1"/>
  <c r="W118" i="150"/>
  <c r="V118" i="150"/>
  <c r="AT118" i="150" s="1"/>
  <c r="U118" i="150"/>
  <c r="AS118" i="150" s="1"/>
  <c r="T118" i="150"/>
  <c r="AR118" i="150" s="1"/>
  <c r="S118" i="150"/>
  <c r="R118" i="150"/>
  <c r="AP118" i="150" s="1"/>
  <c r="O118" i="150"/>
  <c r="N118" i="150"/>
  <c r="M118" i="150"/>
  <c r="L118" i="150"/>
  <c r="J118" i="150"/>
  <c r="I118" i="150"/>
  <c r="H118" i="150"/>
  <c r="G118" i="150"/>
  <c r="F118" i="150"/>
  <c r="D118" i="150"/>
  <c r="AA117" i="150"/>
  <c r="AY117" i="150" s="1"/>
  <c r="Z117" i="150"/>
  <c r="AX117" i="150" s="1"/>
  <c r="Y117" i="150"/>
  <c r="X117" i="150"/>
  <c r="AV117" i="150" s="1"/>
  <c r="W117" i="150"/>
  <c r="AU117" i="150" s="1"/>
  <c r="V117" i="150"/>
  <c r="U117" i="150"/>
  <c r="AS117" i="150" s="1"/>
  <c r="T117" i="150"/>
  <c r="AR117" i="150" s="1"/>
  <c r="S117" i="150"/>
  <c r="R117" i="150"/>
  <c r="AP117" i="150" s="1"/>
  <c r="O117" i="150"/>
  <c r="N117" i="150"/>
  <c r="M117" i="150"/>
  <c r="L117" i="150"/>
  <c r="I117" i="150"/>
  <c r="H117" i="150"/>
  <c r="G117" i="150"/>
  <c r="F117" i="150"/>
  <c r="D117" i="150"/>
  <c r="AA116" i="150"/>
  <c r="AY116" i="150" s="1"/>
  <c r="Z116" i="150"/>
  <c r="Y116" i="150"/>
  <c r="AW116" i="150" s="1"/>
  <c r="X116" i="150"/>
  <c r="AV116" i="150" s="1"/>
  <c r="W116" i="150"/>
  <c r="AU116" i="150" s="1"/>
  <c r="V116" i="150"/>
  <c r="AT116" i="150" s="1"/>
  <c r="U116" i="150"/>
  <c r="AS116" i="150" s="1"/>
  <c r="T116" i="150"/>
  <c r="AR116" i="150" s="1"/>
  <c r="S116" i="150"/>
  <c r="AQ116" i="150" s="1"/>
  <c r="R116" i="150"/>
  <c r="O116" i="150"/>
  <c r="N116" i="150"/>
  <c r="M116" i="150"/>
  <c r="L116" i="150"/>
  <c r="J116" i="150"/>
  <c r="I116" i="150"/>
  <c r="H116" i="150"/>
  <c r="G116" i="150"/>
  <c r="F116" i="150"/>
  <c r="D116" i="150"/>
  <c r="AA115" i="150"/>
  <c r="AY115" i="150" s="1"/>
  <c r="Z115" i="150"/>
  <c r="AX115" i="150" s="1"/>
  <c r="Y115" i="150"/>
  <c r="X115" i="150"/>
  <c r="AV115" i="150" s="1"/>
  <c r="W115" i="150"/>
  <c r="AU115" i="150" s="1"/>
  <c r="V115" i="150"/>
  <c r="AT115" i="150" s="1"/>
  <c r="U115" i="150"/>
  <c r="AS115" i="150" s="1"/>
  <c r="T115" i="150"/>
  <c r="AR115" i="150" s="1"/>
  <c r="S115" i="150"/>
  <c r="R115" i="150"/>
  <c r="AP115" i="150" s="1"/>
  <c r="O115" i="150"/>
  <c r="N115" i="150"/>
  <c r="M115" i="150"/>
  <c r="L115" i="150"/>
  <c r="K115" i="150"/>
  <c r="J115" i="150"/>
  <c r="I115" i="150"/>
  <c r="H115" i="150"/>
  <c r="F115" i="150"/>
  <c r="D115" i="150"/>
  <c r="AA114" i="150"/>
  <c r="AY114" i="150" s="1"/>
  <c r="Z114" i="150"/>
  <c r="AX114" i="150" s="1"/>
  <c r="Y114" i="150"/>
  <c r="AW114" i="150" s="1"/>
  <c r="X114" i="150"/>
  <c r="AV114" i="150" s="1"/>
  <c r="W114" i="150"/>
  <c r="AU114" i="150" s="1"/>
  <c r="V114" i="150"/>
  <c r="AT114" i="150" s="1"/>
  <c r="U114" i="150"/>
  <c r="AS114" i="150" s="1"/>
  <c r="T114" i="150"/>
  <c r="AR114" i="150" s="1"/>
  <c r="S114" i="150"/>
  <c r="AQ114" i="150" s="1"/>
  <c r="R114" i="150"/>
  <c r="O114" i="150"/>
  <c r="N114" i="150"/>
  <c r="M114" i="150"/>
  <c r="L114" i="150"/>
  <c r="K114" i="150"/>
  <c r="J114" i="150"/>
  <c r="I114" i="150"/>
  <c r="H114" i="150"/>
  <c r="F114" i="150"/>
  <c r="D114" i="150"/>
  <c r="AA113" i="150"/>
  <c r="AY113" i="150" s="1"/>
  <c r="Z113" i="150"/>
  <c r="AX113" i="150" s="1"/>
  <c r="Y113" i="150"/>
  <c r="AW113" i="150" s="1"/>
  <c r="X113" i="150"/>
  <c r="AV113" i="150" s="1"/>
  <c r="W113" i="150"/>
  <c r="AU113" i="150" s="1"/>
  <c r="V113" i="150"/>
  <c r="U113" i="150"/>
  <c r="AS113" i="150" s="1"/>
  <c r="T113" i="150"/>
  <c r="AR113" i="150" s="1"/>
  <c r="S113" i="150"/>
  <c r="AQ113" i="150" s="1"/>
  <c r="R113" i="150"/>
  <c r="O113" i="150"/>
  <c r="N113" i="150"/>
  <c r="M113" i="150"/>
  <c r="L113" i="150"/>
  <c r="K113" i="150"/>
  <c r="J113" i="150"/>
  <c r="I113" i="150"/>
  <c r="H113" i="150"/>
  <c r="F113" i="150"/>
  <c r="D113" i="150"/>
  <c r="AA112" i="150"/>
  <c r="AY112" i="150" s="1"/>
  <c r="Z112" i="150"/>
  <c r="AX112" i="150" s="1"/>
  <c r="Y112" i="150"/>
  <c r="AW112" i="150" s="1"/>
  <c r="X112" i="150"/>
  <c r="AV112" i="150" s="1"/>
  <c r="W112" i="150"/>
  <c r="AU112" i="150" s="1"/>
  <c r="V112" i="150"/>
  <c r="AT112" i="150" s="1"/>
  <c r="U112" i="150"/>
  <c r="AS112" i="150" s="1"/>
  <c r="T112" i="150"/>
  <c r="S112" i="150"/>
  <c r="AQ112" i="150" s="1"/>
  <c r="R112" i="150"/>
  <c r="AP112" i="150" s="1"/>
  <c r="O112" i="150"/>
  <c r="N112" i="150"/>
  <c r="M112" i="150"/>
  <c r="L112" i="150"/>
  <c r="K112" i="150"/>
  <c r="J112" i="150"/>
  <c r="I112" i="150"/>
  <c r="H112" i="150"/>
  <c r="G112" i="150"/>
  <c r="F112" i="150"/>
  <c r="D112" i="150"/>
  <c r="AA111" i="150"/>
  <c r="Z111" i="150"/>
  <c r="Y111" i="150"/>
  <c r="AW111" i="150" s="1"/>
  <c r="X111" i="150"/>
  <c r="AV111" i="150" s="1"/>
  <c r="W111" i="150"/>
  <c r="AU111" i="150" s="1"/>
  <c r="V111" i="150"/>
  <c r="AT111" i="150" s="1"/>
  <c r="U111" i="150"/>
  <c r="AS111" i="150" s="1"/>
  <c r="T111" i="150"/>
  <c r="S111" i="150"/>
  <c r="AQ111" i="150" s="1"/>
  <c r="R111" i="150"/>
  <c r="AP111" i="150" s="1"/>
  <c r="O111" i="150"/>
  <c r="N111" i="150"/>
  <c r="M111" i="150"/>
  <c r="L111" i="150"/>
  <c r="K111" i="150"/>
  <c r="J111" i="150"/>
  <c r="I111" i="150"/>
  <c r="H111" i="150"/>
  <c r="G111" i="150"/>
  <c r="F111" i="150"/>
  <c r="D111" i="150"/>
  <c r="AA110" i="150"/>
  <c r="AY110" i="150" s="1"/>
  <c r="Z110" i="150"/>
  <c r="AX110" i="150" s="1"/>
  <c r="Y110" i="150"/>
  <c r="X110" i="150"/>
  <c r="AV110" i="150" s="1"/>
  <c r="W110" i="150"/>
  <c r="AU110" i="150" s="1"/>
  <c r="V110" i="150"/>
  <c r="AT110" i="150" s="1"/>
  <c r="U110" i="150"/>
  <c r="AS110" i="150" s="1"/>
  <c r="T110" i="150"/>
  <c r="S110" i="150"/>
  <c r="AQ110" i="150" s="1"/>
  <c r="R110" i="150"/>
  <c r="AP110" i="150" s="1"/>
  <c r="O110" i="150"/>
  <c r="N110" i="150"/>
  <c r="M110" i="150"/>
  <c r="L110" i="150"/>
  <c r="K110" i="150"/>
  <c r="J110" i="150"/>
  <c r="I110" i="150"/>
  <c r="H110" i="150"/>
  <c r="G110" i="150"/>
  <c r="F110" i="150"/>
  <c r="D110" i="150"/>
  <c r="AA109" i="150"/>
  <c r="Z109" i="150"/>
  <c r="AX109" i="150" s="1"/>
  <c r="Y109" i="150"/>
  <c r="AW109" i="150" s="1"/>
  <c r="X109" i="150"/>
  <c r="AV109" i="150" s="1"/>
  <c r="W109" i="150"/>
  <c r="AU109" i="150" s="1"/>
  <c r="V109" i="150"/>
  <c r="U109" i="150"/>
  <c r="AS109" i="150" s="1"/>
  <c r="T109" i="150"/>
  <c r="S109" i="150"/>
  <c r="AQ109" i="150" s="1"/>
  <c r="R109" i="150"/>
  <c r="AP109" i="150" s="1"/>
  <c r="N109" i="150"/>
  <c r="M109" i="150"/>
  <c r="L109" i="150"/>
  <c r="K109" i="150"/>
  <c r="J109" i="150"/>
  <c r="I109" i="150"/>
  <c r="H109" i="150"/>
  <c r="G109" i="150"/>
  <c r="F109" i="150"/>
  <c r="D109" i="150"/>
  <c r="AA108" i="150"/>
  <c r="AY108" i="150" s="1"/>
  <c r="Z108" i="150"/>
  <c r="AX108" i="150" s="1"/>
  <c r="Y108" i="150"/>
  <c r="AW108" i="150" s="1"/>
  <c r="X108" i="150"/>
  <c r="AV108" i="150" s="1"/>
  <c r="W108" i="150"/>
  <c r="V108" i="150"/>
  <c r="AT108" i="150" s="1"/>
  <c r="U108" i="150"/>
  <c r="AS108" i="150" s="1"/>
  <c r="T108" i="150"/>
  <c r="S108" i="150"/>
  <c r="AQ108" i="150" s="1"/>
  <c r="R108" i="150"/>
  <c r="AP108" i="150" s="1"/>
  <c r="N108" i="150"/>
  <c r="M108" i="150"/>
  <c r="L108" i="150"/>
  <c r="K108" i="150"/>
  <c r="J108" i="150"/>
  <c r="I108" i="150"/>
  <c r="H108" i="150"/>
  <c r="G108" i="150"/>
  <c r="F108" i="150"/>
  <c r="D108" i="150"/>
  <c r="AA107" i="150"/>
  <c r="AY107" i="150" s="1"/>
  <c r="Z107" i="150"/>
  <c r="AX107" i="150" s="1"/>
  <c r="Y107" i="150"/>
  <c r="X107" i="150"/>
  <c r="AV107" i="150" s="1"/>
  <c r="W107" i="150"/>
  <c r="AU107" i="150" s="1"/>
  <c r="V107" i="150"/>
  <c r="AT107" i="150" s="1"/>
  <c r="U107" i="150"/>
  <c r="T107" i="150"/>
  <c r="AR107" i="150" s="1"/>
  <c r="S107" i="150"/>
  <c r="AQ107" i="150" s="1"/>
  <c r="R107" i="150"/>
  <c r="AP107" i="150" s="1"/>
  <c r="N107" i="150"/>
  <c r="M107" i="150"/>
  <c r="L107" i="150"/>
  <c r="K107" i="150"/>
  <c r="J107" i="150"/>
  <c r="I107" i="150"/>
  <c r="H107" i="150"/>
  <c r="G107" i="150"/>
  <c r="F107" i="150"/>
  <c r="D107" i="150"/>
  <c r="AA106" i="150"/>
  <c r="AY106" i="150" s="1"/>
  <c r="Z106" i="150"/>
  <c r="AX106" i="150" s="1"/>
  <c r="Y106" i="150"/>
  <c r="X106" i="150"/>
  <c r="AV106" i="150" s="1"/>
  <c r="W106" i="150"/>
  <c r="AU106" i="150" s="1"/>
  <c r="V106" i="150"/>
  <c r="AT106" i="150" s="1"/>
  <c r="U106" i="150"/>
  <c r="AS106" i="150" s="1"/>
  <c r="T106" i="150"/>
  <c r="AR106" i="150" s="1"/>
  <c r="S106" i="150"/>
  <c r="AQ106" i="150" s="1"/>
  <c r="R106" i="150"/>
  <c r="AP106" i="150" s="1"/>
  <c r="O106" i="150"/>
  <c r="N106" i="150"/>
  <c r="M106" i="150"/>
  <c r="L106" i="150"/>
  <c r="J106" i="150"/>
  <c r="I106" i="150"/>
  <c r="H106" i="150"/>
  <c r="G106" i="150"/>
  <c r="F106" i="150"/>
  <c r="D106" i="150"/>
  <c r="AA105" i="150"/>
  <c r="Z105" i="150"/>
  <c r="Y105" i="150"/>
  <c r="AW105" i="150" s="1"/>
  <c r="X105" i="150"/>
  <c r="AV105" i="150" s="1"/>
  <c r="W105" i="150"/>
  <c r="AU105" i="150" s="1"/>
  <c r="V105" i="150"/>
  <c r="AT105" i="150" s="1"/>
  <c r="U105" i="150"/>
  <c r="AS105" i="150" s="1"/>
  <c r="T105" i="150"/>
  <c r="AR105" i="150" s="1"/>
  <c r="S105" i="150"/>
  <c r="AQ105" i="150" s="1"/>
  <c r="R105" i="150"/>
  <c r="AP105" i="150" s="1"/>
  <c r="O105" i="150"/>
  <c r="N105" i="150"/>
  <c r="M105" i="150"/>
  <c r="L105" i="150"/>
  <c r="J105" i="150"/>
  <c r="I105" i="150"/>
  <c r="H105" i="150"/>
  <c r="G105" i="150"/>
  <c r="F105" i="150"/>
  <c r="D105" i="150"/>
  <c r="AA104" i="150"/>
  <c r="AY104" i="150" s="1"/>
  <c r="Z104" i="150"/>
  <c r="Y104" i="150"/>
  <c r="AW104" i="150" s="1"/>
  <c r="X104" i="150"/>
  <c r="AV104" i="150" s="1"/>
  <c r="W104" i="150"/>
  <c r="AU104" i="150" s="1"/>
  <c r="V104" i="150"/>
  <c r="U104" i="150"/>
  <c r="AS104" i="150" s="1"/>
  <c r="T104" i="150"/>
  <c r="AR104" i="150" s="1"/>
  <c r="S104" i="150"/>
  <c r="AQ104" i="150" s="1"/>
  <c r="R104" i="150"/>
  <c r="AP104" i="150" s="1"/>
  <c r="O104" i="150"/>
  <c r="N104" i="150"/>
  <c r="M104" i="150"/>
  <c r="L104" i="150"/>
  <c r="J104" i="150"/>
  <c r="I104" i="150"/>
  <c r="H104" i="150"/>
  <c r="G104" i="150"/>
  <c r="F104" i="150"/>
  <c r="D104" i="150"/>
  <c r="AA103" i="150"/>
  <c r="AY103" i="150" s="1"/>
  <c r="Z103" i="150"/>
  <c r="AX103" i="150" s="1"/>
  <c r="Y103" i="150"/>
  <c r="AW103" i="150" s="1"/>
  <c r="X103" i="150"/>
  <c r="AV103" i="150" s="1"/>
  <c r="W103" i="150"/>
  <c r="AU103" i="150" s="1"/>
  <c r="V103" i="150"/>
  <c r="AT103" i="150" s="1"/>
  <c r="U103" i="150"/>
  <c r="AS103" i="150" s="1"/>
  <c r="T103" i="150"/>
  <c r="AR103" i="150" s="1"/>
  <c r="S103" i="150"/>
  <c r="AQ103" i="150" s="1"/>
  <c r="R103" i="150"/>
  <c r="AP103" i="150" s="1"/>
  <c r="O103" i="150"/>
  <c r="N103" i="150"/>
  <c r="M103" i="150"/>
  <c r="L103" i="150"/>
  <c r="K103" i="150"/>
  <c r="J103" i="150"/>
  <c r="I103" i="150"/>
  <c r="H103" i="150"/>
  <c r="F103" i="150"/>
  <c r="D103" i="150"/>
  <c r="AA102" i="150"/>
  <c r="AY102" i="150" s="1"/>
  <c r="Z102" i="150"/>
  <c r="AX102" i="150" s="1"/>
  <c r="Y102" i="150"/>
  <c r="AW102" i="150" s="1"/>
  <c r="X102" i="150"/>
  <c r="W102" i="150"/>
  <c r="AU102" i="150" s="1"/>
  <c r="V102" i="150"/>
  <c r="AT102" i="150" s="1"/>
  <c r="U102" i="150"/>
  <c r="AS102" i="150" s="1"/>
  <c r="T102" i="150"/>
  <c r="AR102" i="150" s="1"/>
  <c r="S102" i="150"/>
  <c r="R102" i="150"/>
  <c r="AP102" i="150" s="1"/>
  <c r="O102" i="150"/>
  <c r="N102" i="150"/>
  <c r="M102" i="150"/>
  <c r="L102" i="150"/>
  <c r="K102" i="150"/>
  <c r="J102" i="150"/>
  <c r="I102" i="150"/>
  <c r="H102" i="150"/>
  <c r="F102" i="150"/>
  <c r="D102" i="150"/>
  <c r="AA101" i="150"/>
  <c r="AY101" i="150" s="1"/>
  <c r="Z101" i="150"/>
  <c r="AX101" i="150" s="1"/>
  <c r="Y101" i="150"/>
  <c r="AW101" i="150" s="1"/>
  <c r="X101" i="150"/>
  <c r="AV101" i="150" s="1"/>
  <c r="W101" i="150"/>
  <c r="AU101" i="150" s="1"/>
  <c r="V101" i="150"/>
  <c r="U101" i="150"/>
  <c r="AS101" i="150" s="1"/>
  <c r="T101" i="150"/>
  <c r="AR101" i="150" s="1"/>
  <c r="S101" i="150"/>
  <c r="R101" i="150"/>
  <c r="AP101" i="150" s="1"/>
  <c r="O101" i="150"/>
  <c r="N101" i="150"/>
  <c r="M101" i="150"/>
  <c r="L101" i="150"/>
  <c r="K101" i="150"/>
  <c r="J101" i="150"/>
  <c r="I101" i="150"/>
  <c r="H101" i="150"/>
  <c r="F101" i="150"/>
  <c r="D101" i="150"/>
  <c r="AA100" i="150"/>
  <c r="AY100" i="150" s="1"/>
  <c r="Z100" i="150"/>
  <c r="AX100" i="150" s="1"/>
  <c r="Y100" i="150"/>
  <c r="AW100" i="150" s="1"/>
  <c r="X100" i="150"/>
  <c r="AV100" i="150" s="1"/>
  <c r="W100" i="150"/>
  <c r="AU100" i="150" s="1"/>
  <c r="V100" i="150"/>
  <c r="AT100" i="150" s="1"/>
  <c r="U100" i="150"/>
  <c r="AS100" i="150" s="1"/>
  <c r="T100" i="150"/>
  <c r="AR100" i="150" s="1"/>
  <c r="S100" i="150"/>
  <c r="AQ100" i="150" s="1"/>
  <c r="R100" i="150"/>
  <c r="AP100" i="150" s="1"/>
  <c r="O100" i="150"/>
  <c r="N100" i="150"/>
  <c r="M100" i="150"/>
  <c r="L100" i="150"/>
  <c r="K100" i="150"/>
  <c r="J100" i="150"/>
  <c r="I100" i="150"/>
  <c r="H100" i="150"/>
  <c r="G100" i="150"/>
  <c r="F100" i="150"/>
  <c r="D100" i="150"/>
  <c r="AA99" i="150"/>
  <c r="AY99" i="150" s="1"/>
  <c r="Z99" i="150"/>
  <c r="Y99" i="150"/>
  <c r="AW99" i="150" s="1"/>
  <c r="X99" i="150"/>
  <c r="AV99" i="150" s="1"/>
  <c r="W99" i="150"/>
  <c r="AU99" i="150" s="1"/>
  <c r="V99" i="150"/>
  <c r="U99" i="150"/>
  <c r="AS99" i="150" s="1"/>
  <c r="T99" i="150"/>
  <c r="AR99" i="150" s="1"/>
  <c r="S99" i="150"/>
  <c r="AQ99" i="150" s="1"/>
  <c r="R99" i="150"/>
  <c r="AP99" i="150" s="1"/>
  <c r="O99" i="150"/>
  <c r="N99" i="150"/>
  <c r="M99" i="150"/>
  <c r="L99" i="150"/>
  <c r="K99" i="150"/>
  <c r="J99" i="150"/>
  <c r="I99" i="150"/>
  <c r="H99" i="150"/>
  <c r="G99" i="150"/>
  <c r="F99" i="150"/>
  <c r="D99" i="150"/>
  <c r="AA98" i="150"/>
  <c r="AY98" i="150" s="1"/>
  <c r="Z98" i="150"/>
  <c r="AX98" i="150" s="1"/>
  <c r="Y98" i="150"/>
  <c r="AW98" i="150" s="1"/>
  <c r="X98" i="150"/>
  <c r="AV98" i="150" s="1"/>
  <c r="W98" i="150"/>
  <c r="AU98" i="150" s="1"/>
  <c r="V98" i="150"/>
  <c r="AT98" i="150" s="1"/>
  <c r="U98" i="150"/>
  <c r="AS98" i="150" s="1"/>
  <c r="T98" i="150"/>
  <c r="AR98" i="150" s="1"/>
  <c r="S98" i="150"/>
  <c r="AQ98" i="150" s="1"/>
  <c r="R98" i="150"/>
  <c r="O98" i="150"/>
  <c r="N98" i="150"/>
  <c r="M98" i="150"/>
  <c r="L98" i="150"/>
  <c r="K98" i="150"/>
  <c r="J98" i="150"/>
  <c r="I98" i="150"/>
  <c r="H98" i="150"/>
  <c r="G98" i="150"/>
  <c r="F98" i="150"/>
  <c r="D98" i="150"/>
  <c r="AA97" i="150"/>
  <c r="AY97" i="150" s="1"/>
  <c r="Z97" i="150"/>
  <c r="AX97" i="150" s="1"/>
  <c r="Y97" i="150"/>
  <c r="AW97" i="150" s="1"/>
  <c r="X97" i="150"/>
  <c r="W97" i="150"/>
  <c r="AU97" i="150" s="1"/>
  <c r="V97" i="150"/>
  <c r="AT97" i="150" s="1"/>
  <c r="U97" i="150"/>
  <c r="AS97" i="150" s="1"/>
  <c r="T97" i="150"/>
  <c r="AR97" i="150" s="1"/>
  <c r="S97" i="150"/>
  <c r="AQ97" i="150" s="1"/>
  <c r="R97" i="150"/>
  <c r="AP97" i="150" s="1"/>
  <c r="N97" i="150"/>
  <c r="M97" i="150"/>
  <c r="L97" i="150"/>
  <c r="K97" i="150"/>
  <c r="J97" i="150"/>
  <c r="I97" i="150"/>
  <c r="H97" i="150"/>
  <c r="G97" i="150"/>
  <c r="F97" i="150"/>
  <c r="D97" i="150"/>
  <c r="AA96" i="150"/>
  <c r="AY96" i="150" s="1"/>
  <c r="Z96" i="150"/>
  <c r="AX96" i="150" s="1"/>
  <c r="Y96" i="150"/>
  <c r="AW96" i="150" s="1"/>
  <c r="X96" i="150"/>
  <c r="AV96" i="150" s="1"/>
  <c r="W96" i="150"/>
  <c r="AU96" i="150" s="1"/>
  <c r="V96" i="150"/>
  <c r="AT96" i="150" s="1"/>
  <c r="U96" i="150"/>
  <c r="AS96" i="150" s="1"/>
  <c r="T96" i="150"/>
  <c r="AR96" i="150" s="1"/>
  <c r="S96" i="150"/>
  <c r="R96" i="150"/>
  <c r="AP96" i="150" s="1"/>
  <c r="N96" i="150"/>
  <c r="M96" i="150"/>
  <c r="L96" i="150"/>
  <c r="K96" i="150"/>
  <c r="J96" i="150"/>
  <c r="I96" i="150"/>
  <c r="H96" i="150"/>
  <c r="G96" i="150"/>
  <c r="F96" i="150"/>
  <c r="D96" i="150"/>
  <c r="AA95" i="150"/>
  <c r="AY95" i="150" s="1"/>
  <c r="Z95" i="150"/>
  <c r="AX95" i="150" s="1"/>
  <c r="Y95" i="150"/>
  <c r="AW95" i="150" s="1"/>
  <c r="X95" i="150"/>
  <c r="AV95" i="150" s="1"/>
  <c r="W95" i="150"/>
  <c r="AU95" i="150" s="1"/>
  <c r="V95" i="150"/>
  <c r="AT95" i="150" s="1"/>
  <c r="U95" i="150"/>
  <c r="T95" i="150"/>
  <c r="AR95" i="150" s="1"/>
  <c r="S95" i="150"/>
  <c r="AQ95" i="150" s="1"/>
  <c r="R95" i="150"/>
  <c r="AP95" i="150" s="1"/>
  <c r="N95" i="150"/>
  <c r="M95" i="150"/>
  <c r="L95" i="150"/>
  <c r="K95" i="150"/>
  <c r="J95" i="150"/>
  <c r="I95" i="150"/>
  <c r="H95" i="150"/>
  <c r="G95" i="150"/>
  <c r="F95" i="150"/>
  <c r="D95" i="150"/>
  <c r="AA94" i="150"/>
  <c r="AY94" i="150" s="1"/>
  <c r="Z94" i="150"/>
  <c r="AX94" i="150" s="1"/>
  <c r="Y94" i="150"/>
  <c r="AW94" i="150" s="1"/>
  <c r="X94" i="150"/>
  <c r="AV94" i="150" s="1"/>
  <c r="W94" i="150"/>
  <c r="V94" i="150"/>
  <c r="AT94" i="150" s="1"/>
  <c r="U94" i="150"/>
  <c r="AS94" i="150" s="1"/>
  <c r="T94" i="150"/>
  <c r="AR94" i="150" s="1"/>
  <c r="S94" i="150"/>
  <c r="AQ94" i="150" s="1"/>
  <c r="R94" i="150"/>
  <c r="AP94" i="150" s="1"/>
  <c r="O94" i="150"/>
  <c r="N94" i="150"/>
  <c r="M94" i="150"/>
  <c r="L94" i="150"/>
  <c r="J94" i="150"/>
  <c r="I94" i="150"/>
  <c r="H94" i="150"/>
  <c r="G94" i="150"/>
  <c r="F94" i="150"/>
  <c r="D94" i="150"/>
  <c r="AA93" i="150"/>
  <c r="Z93" i="150"/>
  <c r="AX93" i="150" s="1"/>
  <c r="Y93" i="150"/>
  <c r="AW93" i="150" s="1"/>
  <c r="X93" i="150"/>
  <c r="W93" i="150"/>
  <c r="AU93" i="150" s="1"/>
  <c r="U93" i="150"/>
  <c r="AS93" i="150" s="1"/>
  <c r="T93" i="150"/>
  <c r="AR93" i="150" s="1"/>
  <c r="S93" i="150"/>
  <c r="AQ93" i="150" s="1"/>
  <c r="R93" i="150"/>
  <c r="AP93" i="150" s="1"/>
  <c r="O93" i="150"/>
  <c r="N93" i="150"/>
  <c r="M93" i="150"/>
  <c r="L93" i="150"/>
  <c r="J93" i="150"/>
  <c r="I93" i="150"/>
  <c r="H93" i="150"/>
  <c r="G93" i="150"/>
  <c r="F93" i="150"/>
  <c r="D93" i="150"/>
  <c r="AA92" i="150"/>
  <c r="AY92" i="150" s="1"/>
  <c r="Z92" i="150"/>
  <c r="AX92" i="150" s="1"/>
  <c r="Y92" i="150"/>
  <c r="X92" i="150"/>
  <c r="AV92" i="150" s="1"/>
  <c r="W92" i="150"/>
  <c r="AU92" i="150" s="1"/>
  <c r="V92" i="150"/>
  <c r="U92" i="150"/>
  <c r="AS92" i="150" s="1"/>
  <c r="T92" i="150"/>
  <c r="AR92" i="150" s="1"/>
  <c r="S92" i="150"/>
  <c r="AQ92" i="150" s="1"/>
  <c r="R92" i="150"/>
  <c r="AP92" i="150" s="1"/>
  <c r="O92" i="150"/>
  <c r="N92" i="150"/>
  <c r="M92" i="150"/>
  <c r="L92" i="150"/>
  <c r="J92" i="150"/>
  <c r="I92" i="150"/>
  <c r="H92" i="150"/>
  <c r="G92" i="150"/>
  <c r="F92" i="150"/>
  <c r="D92" i="150"/>
  <c r="AA91" i="150"/>
  <c r="AY91" i="150" s="1"/>
  <c r="Z91" i="150"/>
  <c r="AX91" i="150" s="1"/>
  <c r="Y91" i="150"/>
  <c r="AW91" i="150" s="1"/>
  <c r="X91" i="150"/>
  <c r="AV91" i="150" s="1"/>
  <c r="W91" i="150"/>
  <c r="AU91" i="150" s="1"/>
  <c r="V91" i="150"/>
  <c r="AT91" i="150" s="1"/>
  <c r="U91" i="150"/>
  <c r="AS91" i="150" s="1"/>
  <c r="T91" i="150"/>
  <c r="AR91" i="150" s="1"/>
  <c r="S91" i="150"/>
  <c r="R91" i="150"/>
  <c r="AP91" i="150" s="1"/>
  <c r="O91" i="150"/>
  <c r="N91" i="150"/>
  <c r="M91" i="150"/>
  <c r="L91" i="150"/>
  <c r="K91" i="150"/>
  <c r="J91" i="150"/>
  <c r="I91" i="150"/>
  <c r="H91" i="150"/>
  <c r="F91" i="150"/>
  <c r="D91" i="150"/>
  <c r="AA90" i="150"/>
  <c r="AY90" i="150" s="1"/>
  <c r="Z90" i="150"/>
  <c r="Y90" i="150"/>
  <c r="AW90" i="150" s="1"/>
  <c r="X90" i="150"/>
  <c r="AV90" i="150" s="1"/>
  <c r="W90" i="150"/>
  <c r="AU90" i="150" s="1"/>
  <c r="V90" i="150"/>
  <c r="AT90" i="150" s="1"/>
  <c r="U90" i="150"/>
  <c r="AS90" i="150" s="1"/>
  <c r="T90" i="150"/>
  <c r="AR90" i="150" s="1"/>
  <c r="S90" i="150"/>
  <c r="AQ90" i="150" s="1"/>
  <c r="R90" i="150"/>
  <c r="AP90" i="150" s="1"/>
  <c r="O90" i="150"/>
  <c r="N90" i="150"/>
  <c r="M90" i="150"/>
  <c r="L90" i="150"/>
  <c r="K90" i="150"/>
  <c r="J90" i="150"/>
  <c r="I90" i="150"/>
  <c r="H90" i="150"/>
  <c r="F90" i="150"/>
  <c r="D90" i="150"/>
  <c r="AA89" i="150"/>
  <c r="AY89" i="150" s="1"/>
  <c r="Z89" i="150"/>
  <c r="AX89" i="150" s="1"/>
  <c r="Y89" i="150"/>
  <c r="AW89" i="150" s="1"/>
  <c r="X89" i="150"/>
  <c r="AV89" i="150" s="1"/>
  <c r="W89" i="150"/>
  <c r="V89" i="150"/>
  <c r="AT89" i="150" s="1"/>
  <c r="U89" i="150"/>
  <c r="AS89" i="150" s="1"/>
  <c r="T89" i="150"/>
  <c r="AR89" i="150" s="1"/>
  <c r="S89" i="150"/>
  <c r="AQ89" i="150" s="1"/>
  <c r="R89" i="150"/>
  <c r="AP89" i="150" s="1"/>
  <c r="O89" i="150"/>
  <c r="N89" i="150"/>
  <c r="M89" i="150"/>
  <c r="L89" i="150"/>
  <c r="K89" i="150"/>
  <c r="J89" i="150"/>
  <c r="I89" i="150"/>
  <c r="H89" i="150"/>
  <c r="F89" i="150"/>
  <c r="D89" i="150"/>
  <c r="AA88" i="150"/>
  <c r="AY88" i="150" s="1"/>
  <c r="Z88" i="150"/>
  <c r="AX88" i="150" s="1"/>
  <c r="Y88" i="150"/>
  <c r="AW88" i="150" s="1"/>
  <c r="X88" i="150"/>
  <c r="AV88" i="150" s="1"/>
  <c r="W88" i="150"/>
  <c r="AU88" i="150" s="1"/>
  <c r="V88" i="150"/>
  <c r="AT88" i="150" s="1"/>
  <c r="U88" i="150"/>
  <c r="AS88" i="150" s="1"/>
  <c r="T88" i="150"/>
  <c r="AR88" i="150" s="1"/>
  <c r="S88" i="150"/>
  <c r="AQ88" i="150" s="1"/>
  <c r="R88" i="150"/>
  <c r="AP88" i="150" s="1"/>
  <c r="O88" i="150"/>
  <c r="N88" i="150"/>
  <c r="M88" i="150"/>
  <c r="L88" i="150"/>
  <c r="K88" i="150"/>
  <c r="J88" i="150"/>
  <c r="I88" i="150"/>
  <c r="H88" i="150"/>
  <c r="G88" i="150"/>
  <c r="F88" i="150"/>
  <c r="D88" i="150"/>
  <c r="AA87" i="150"/>
  <c r="AY87" i="150" s="1"/>
  <c r="Z87" i="150"/>
  <c r="Y87" i="150"/>
  <c r="AW87" i="150" s="1"/>
  <c r="X87" i="150"/>
  <c r="AV87" i="150" s="1"/>
  <c r="W87" i="150"/>
  <c r="V87" i="150"/>
  <c r="AT87" i="150" s="1"/>
  <c r="U87" i="150"/>
  <c r="AS87" i="150" s="1"/>
  <c r="T87" i="150"/>
  <c r="AR87" i="150" s="1"/>
  <c r="S87" i="150"/>
  <c r="AQ87" i="150" s="1"/>
  <c r="O87" i="150"/>
  <c r="N87" i="150"/>
  <c r="M87" i="150"/>
  <c r="L87" i="150"/>
  <c r="K87" i="150"/>
  <c r="J87" i="150"/>
  <c r="I87" i="150"/>
  <c r="H87" i="150"/>
  <c r="G87" i="150"/>
  <c r="F87" i="150"/>
  <c r="D87" i="150"/>
  <c r="AA86" i="150"/>
  <c r="Z86" i="150"/>
  <c r="AX86" i="150" s="1"/>
  <c r="Y86" i="150"/>
  <c r="AW86" i="150" s="1"/>
  <c r="X86" i="150"/>
  <c r="AV86" i="150" s="1"/>
  <c r="W86" i="150"/>
  <c r="V86" i="150"/>
  <c r="AT86" i="150" s="1"/>
  <c r="U86" i="150"/>
  <c r="AS86" i="150" s="1"/>
  <c r="T86" i="150"/>
  <c r="AR86" i="150" s="1"/>
  <c r="S86" i="150"/>
  <c r="AQ86" i="150" s="1"/>
  <c r="O86" i="150"/>
  <c r="N86" i="150"/>
  <c r="M86" i="150"/>
  <c r="L86" i="150"/>
  <c r="K86" i="150"/>
  <c r="J86" i="150"/>
  <c r="I86" i="150"/>
  <c r="H86" i="150"/>
  <c r="G86" i="150"/>
  <c r="F86" i="150"/>
  <c r="D86" i="150"/>
  <c r="AA85" i="150"/>
  <c r="AY85" i="150" s="1"/>
  <c r="Z85" i="150"/>
  <c r="AX85" i="150" s="1"/>
  <c r="Y85" i="150"/>
  <c r="X85" i="150"/>
  <c r="AV85" i="150" s="1"/>
  <c r="W85" i="150"/>
  <c r="AU85" i="150" s="1"/>
  <c r="V85" i="150"/>
  <c r="AT85" i="150" s="1"/>
  <c r="U85" i="150"/>
  <c r="AS85" i="150" s="1"/>
  <c r="T85" i="150"/>
  <c r="AR85" i="150" s="1"/>
  <c r="S85" i="150"/>
  <c r="AQ85" i="150" s="1"/>
  <c r="R85" i="150"/>
  <c r="AP85" i="150" s="1"/>
  <c r="O85" i="150"/>
  <c r="N85" i="150"/>
  <c r="M85" i="150"/>
  <c r="L85" i="150"/>
  <c r="K85" i="150"/>
  <c r="J85" i="150"/>
  <c r="H85" i="150"/>
  <c r="G85" i="150"/>
  <c r="F85" i="150"/>
  <c r="D85" i="150"/>
  <c r="AA84" i="150"/>
  <c r="AY84" i="150" s="1"/>
  <c r="Z84" i="150"/>
  <c r="AX84" i="150" s="1"/>
  <c r="Y84" i="150"/>
  <c r="AW84" i="150" s="1"/>
  <c r="X84" i="150"/>
  <c r="AV84" i="150" s="1"/>
  <c r="W84" i="150"/>
  <c r="AU84" i="150" s="1"/>
  <c r="V84" i="150"/>
  <c r="U84" i="150"/>
  <c r="AS84" i="150" s="1"/>
  <c r="T84" i="150"/>
  <c r="AR84" i="150" s="1"/>
  <c r="S84" i="150"/>
  <c r="AQ84" i="150" s="1"/>
  <c r="R84" i="150"/>
  <c r="AP84" i="150" s="1"/>
  <c r="O84" i="150"/>
  <c r="N84" i="150"/>
  <c r="M84" i="150"/>
  <c r="L84" i="150"/>
  <c r="K84" i="150"/>
  <c r="J84" i="150"/>
  <c r="H84" i="150"/>
  <c r="G84" i="150"/>
  <c r="F84" i="150"/>
  <c r="D84" i="150"/>
  <c r="AA83" i="150"/>
  <c r="AY83" i="150" s="1"/>
  <c r="Z83" i="150"/>
  <c r="AX83" i="150" s="1"/>
  <c r="Y83" i="150"/>
  <c r="AW83" i="150" s="1"/>
  <c r="W83" i="150"/>
  <c r="AU83" i="150" s="1"/>
  <c r="V83" i="150"/>
  <c r="AT83" i="150" s="1"/>
  <c r="U83" i="150"/>
  <c r="AS83" i="150" s="1"/>
  <c r="T83" i="150"/>
  <c r="AR83" i="150" s="1"/>
  <c r="S83" i="150"/>
  <c r="AQ83" i="150" s="1"/>
  <c r="R83" i="150"/>
  <c r="AP83" i="150" s="1"/>
  <c r="O83" i="150"/>
  <c r="N83" i="150"/>
  <c r="M83" i="150"/>
  <c r="L83" i="150"/>
  <c r="K83" i="150"/>
  <c r="J83" i="150"/>
  <c r="H83" i="150"/>
  <c r="G83" i="150"/>
  <c r="F83" i="150"/>
  <c r="E83" i="150"/>
  <c r="D83" i="150"/>
  <c r="AA82" i="150"/>
  <c r="AY82" i="150" s="1"/>
  <c r="Z82" i="150"/>
  <c r="Y82" i="150"/>
  <c r="AW82" i="150" s="1"/>
  <c r="X82" i="150"/>
  <c r="AV82" i="150" s="1"/>
  <c r="W82" i="150"/>
  <c r="V82" i="150"/>
  <c r="AT82" i="150" s="1"/>
  <c r="U82" i="150"/>
  <c r="AS82" i="150" s="1"/>
  <c r="T82" i="150"/>
  <c r="AR82" i="150" s="1"/>
  <c r="S82" i="150"/>
  <c r="AQ82" i="150" s="1"/>
  <c r="R82" i="150"/>
  <c r="AP82" i="150" s="1"/>
  <c r="O82" i="150"/>
  <c r="N82" i="150"/>
  <c r="M82" i="150"/>
  <c r="L82" i="150"/>
  <c r="K82" i="150"/>
  <c r="J82" i="150"/>
  <c r="I82" i="150"/>
  <c r="H82" i="150"/>
  <c r="G82" i="150"/>
  <c r="F82" i="150"/>
  <c r="D82" i="150"/>
  <c r="AA81" i="150"/>
  <c r="AY81" i="150" s="1"/>
  <c r="Z81" i="150"/>
  <c r="AX81" i="150" s="1"/>
  <c r="Y81" i="150"/>
  <c r="AW81" i="150" s="1"/>
  <c r="X81" i="150"/>
  <c r="AV81" i="150" s="1"/>
  <c r="W81" i="150"/>
  <c r="AU81" i="150" s="1"/>
  <c r="V81" i="150"/>
  <c r="AT81" i="150" s="1"/>
  <c r="U81" i="150"/>
  <c r="AS81" i="150" s="1"/>
  <c r="T81" i="150"/>
  <c r="AR81" i="150" s="1"/>
  <c r="S81" i="150"/>
  <c r="R81" i="150"/>
  <c r="O81" i="150"/>
  <c r="N81" i="150"/>
  <c r="M81" i="150"/>
  <c r="L81" i="150"/>
  <c r="K81" i="150"/>
  <c r="J81" i="150"/>
  <c r="I81" i="150"/>
  <c r="H81" i="150"/>
  <c r="G81" i="150"/>
  <c r="F81" i="150"/>
  <c r="D81" i="150"/>
  <c r="AA80" i="150"/>
  <c r="AY80" i="150" s="1"/>
  <c r="Z80" i="150"/>
  <c r="AX80" i="150" s="1"/>
  <c r="Y80" i="150"/>
  <c r="X80" i="150"/>
  <c r="AV80" i="150" s="1"/>
  <c r="W80" i="150"/>
  <c r="AU80" i="150" s="1"/>
  <c r="V80" i="150"/>
  <c r="AT80" i="150" s="1"/>
  <c r="U80" i="150"/>
  <c r="AS80" i="150" s="1"/>
  <c r="T80" i="150"/>
  <c r="AR80" i="150" s="1"/>
  <c r="S80" i="150"/>
  <c r="R80" i="150"/>
  <c r="AP80" i="150" s="1"/>
  <c r="O80" i="150"/>
  <c r="N80" i="150"/>
  <c r="M80" i="150"/>
  <c r="L80" i="150"/>
  <c r="K80" i="150"/>
  <c r="J80" i="150"/>
  <c r="I80" i="150"/>
  <c r="H80" i="150"/>
  <c r="G80" i="150"/>
  <c r="F80" i="150"/>
  <c r="D80" i="150"/>
  <c r="AA79" i="150"/>
  <c r="AY79" i="150" s="1"/>
  <c r="Z79" i="150"/>
  <c r="AX79" i="150" s="1"/>
  <c r="Y79" i="150"/>
  <c r="X79" i="150"/>
  <c r="AV79" i="150" s="1"/>
  <c r="W79" i="150"/>
  <c r="AU79" i="150" s="1"/>
  <c r="V79" i="150"/>
  <c r="AT79" i="150" s="1"/>
  <c r="U79" i="150"/>
  <c r="AS79" i="150" s="1"/>
  <c r="T79" i="150"/>
  <c r="S79" i="150"/>
  <c r="AQ79" i="150" s="1"/>
  <c r="R79" i="150"/>
  <c r="AP79" i="150" s="1"/>
  <c r="O79" i="150"/>
  <c r="N79" i="150"/>
  <c r="M79" i="150"/>
  <c r="L79" i="150"/>
  <c r="K79" i="150"/>
  <c r="J79" i="150"/>
  <c r="I79" i="150"/>
  <c r="H79" i="150"/>
  <c r="G79" i="150"/>
  <c r="F79" i="150"/>
  <c r="D79" i="150"/>
  <c r="AA78" i="150"/>
  <c r="Z78" i="150"/>
  <c r="AX78" i="150" s="1"/>
  <c r="Y78" i="150"/>
  <c r="AW78" i="150" s="1"/>
  <c r="X78" i="150"/>
  <c r="AV78" i="150" s="1"/>
  <c r="W78" i="150"/>
  <c r="AU78" i="150" s="1"/>
  <c r="V78" i="150"/>
  <c r="AT78" i="150" s="1"/>
  <c r="U78" i="150"/>
  <c r="AS78" i="150" s="1"/>
  <c r="T78" i="150"/>
  <c r="AR78" i="150" s="1"/>
  <c r="S78" i="150"/>
  <c r="AQ78" i="150" s="1"/>
  <c r="R78" i="150"/>
  <c r="AP78" i="150" s="1"/>
  <c r="O78" i="150"/>
  <c r="N78" i="150"/>
  <c r="M78" i="150"/>
  <c r="L78" i="150"/>
  <c r="K78" i="150"/>
  <c r="J78" i="150"/>
  <c r="I78" i="150"/>
  <c r="H78" i="150"/>
  <c r="G78" i="150"/>
  <c r="F78" i="150"/>
  <c r="D78" i="150"/>
  <c r="AA77" i="150"/>
  <c r="AY77" i="150" s="1"/>
  <c r="Z77" i="150"/>
  <c r="AX77" i="150" s="1"/>
  <c r="Y77" i="150"/>
  <c r="X77" i="150"/>
  <c r="AV77" i="150" s="1"/>
  <c r="W77" i="150"/>
  <c r="AU77" i="150" s="1"/>
  <c r="V77" i="150"/>
  <c r="U77" i="150"/>
  <c r="AS77" i="150" s="1"/>
  <c r="S77" i="150"/>
  <c r="R77" i="150"/>
  <c r="AP77" i="150" s="1"/>
  <c r="O77" i="150"/>
  <c r="N77" i="150"/>
  <c r="M77" i="150"/>
  <c r="L77" i="150"/>
  <c r="K77" i="150"/>
  <c r="J77" i="150"/>
  <c r="I77" i="150"/>
  <c r="H77" i="150"/>
  <c r="G77" i="150"/>
  <c r="F77" i="150"/>
  <c r="D77" i="150"/>
  <c r="AA76" i="150"/>
  <c r="AY76" i="150" s="1"/>
  <c r="Y76" i="150"/>
  <c r="AW76" i="150" s="1"/>
  <c r="X76" i="150"/>
  <c r="AV76" i="150" s="1"/>
  <c r="W76" i="150"/>
  <c r="AU76" i="150" s="1"/>
  <c r="V76" i="150"/>
  <c r="AT76" i="150" s="1"/>
  <c r="U76" i="150"/>
  <c r="AS76" i="150" s="1"/>
  <c r="T76" i="150"/>
  <c r="AR76" i="150" s="1"/>
  <c r="S76" i="150"/>
  <c r="AQ76" i="150" s="1"/>
  <c r="R76" i="150"/>
  <c r="AP76" i="150" s="1"/>
  <c r="O76" i="150"/>
  <c r="N76" i="150"/>
  <c r="L76" i="150"/>
  <c r="K76" i="150"/>
  <c r="J76" i="150"/>
  <c r="I76" i="150"/>
  <c r="H76" i="150"/>
  <c r="G76" i="150"/>
  <c r="F76" i="150"/>
  <c r="D76" i="150"/>
  <c r="AA75" i="150"/>
  <c r="Y75" i="150"/>
  <c r="AW75" i="150" s="1"/>
  <c r="X75" i="150"/>
  <c r="AV75" i="150" s="1"/>
  <c r="W75" i="150"/>
  <c r="AU75" i="150" s="1"/>
  <c r="V75" i="150"/>
  <c r="AT75" i="150" s="1"/>
  <c r="U75" i="150"/>
  <c r="AS75" i="150" s="1"/>
  <c r="T75" i="150"/>
  <c r="AR75" i="150" s="1"/>
  <c r="S75" i="150"/>
  <c r="AQ75" i="150" s="1"/>
  <c r="R75" i="150"/>
  <c r="AP75" i="150" s="1"/>
  <c r="O75" i="150"/>
  <c r="N75" i="150"/>
  <c r="L75" i="150"/>
  <c r="K75" i="150"/>
  <c r="J75" i="150"/>
  <c r="I75" i="150"/>
  <c r="H75" i="150"/>
  <c r="G75" i="150"/>
  <c r="F75" i="150"/>
  <c r="D75" i="150"/>
  <c r="AA74" i="150"/>
  <c r="AY74" i="150" s="1"/>
  <c r="Z74" i="150"/>
  <c r="AX74" i="150" s="1"/>
  <c r="Y74" i="150"/>
  <c r="AW74" i="150" s="1"/>
  <c r="X74" i="150"/>
  <c r="AV74" i="150" s="1"/>
  <c r="W74" i="150"/>
  <c r="AU74" i="150" s="1"/>
  <c r="V74" i="150"/>
  <c r="AT74" i="150" s="1"/>
  <c r="U74" i="150"/>
  <c r="AS74" i="150" s="1"/>
  <c r="T74" i="150"/>
  <c r="AR74" i="150" s="1"/>
  <c r="S74" i="150"/>
  <c r="AQ74" i="150" s="1"/>
  <c r="R74" i="150"/>
  <c r="O74" i="150"/>
  <c r="N74" i="150"/>
  <c r="L74" i="150"/>
  <c r="K74" i="150"/>
  <c r="J74" i="150"/>
  <c r="I74" i="150"/>
  <c r="H74" i="150"/>
  <c r="G74" i="150"/>
  <c r="F74" i="150"/>
  <c r="D74" i="150"/>
  <c r="AA73" i="150"/>
  <c r="AY73" i="150" s="1"/>
  <c r="Z73" i="150"/>
  <c r="AX73" i="150" s="1"/>
  <c r="Y73" i="150"/>
  <c r="AW73" i="150" s="1"/>
  <c r="X73" i="150"/>
  <c r="AV73" i="150" s="1"/>
  <c r="W73" i="150"/>
  <c r="V73" i="150"/>
  <c r="AT73" i="150" s="1"/>
  <c r="U73" i="150"/>
  <c r="T73" i="150"/>
  <c r="AR73" i="150" s="1"/>
  <c r="S73" i="150"/>
  <c r="AQ73" i="150" s="1"/>
  <c r="R73" i="150"/>
  <c r="AP73" i="150" s="1"/>
  <c r="O73" i="150"/>
  <c r="N73" i="150"/>
  <c r="M73" i="150"/>
  <c r="L73" i="150"/>
  <c r="K73" i="150"/>
  <c r="J73" i="150"/>
  <c r="H73" i="150"/>
  <c r="G73" i="150"/>
  <c r="F73" i="150"/>
  <c r="D73" i="150"/>
  <c r="AA72" i="150"/>
  <c r="AY72" i="150" s="1"/>
  <c r="Z72" i="150"/>
  <c r="AX72" i="150" s="1"/>
  <c r="Y72" i="150"/>
  <c r="AW72" i="150" s="1"/>
  <c r="X72" i="150"/>
  <c r="W72" i="150"/>
  <c r="AU72" i="150" s="1"/>
  <c r="V72" i="150"/>
  <c r="AT72" i="150" s="1"/>
  <c r="U72" i="150"/>
  <c r="AS72" i="150" s="1"/>
  <c r="T72" i="150"/>
  <c r="AR72" i="150" s="1"/>
  <c r="S72" i="150"/>
  <c r="AQ72" i="150" s="1"/>
  <c r="R72" i="150"/>
  <c r="AP72" i="150" s="1"/>
  <c r="O72" i="150"/>
  <c r="N72" i="150"/>
  <c r="M72" i="150"/>
  <c r="L72" i="150"/>
  <c r="K72" i="150"/>
  <c r="J72" i="150"/>
  <c r="H72" i="150"/>
  <c r="G72" i="150"/>
  <c r="F72" i="150"/>
  <c r="D72" i="150"/>
  <c r="AA71" i="150"/>
  <c r="AY71" i="150" s="1"/>
  <c r="Z71" i="150"/>
  <c r="AX71" i="150" s="1"/>
  <c r="Y71" i="150"/>
  <c r="AW71" i="150" s="1"/>
  <c r="X71" i="150"/>
  <c r="AV71" i="150" s="1"/>
  <c r="W71" i="150"/>
  <c r="AU71" i="150" s="1"/>
  <c r="V71" i="150"/>
  <c r="AT71" i="150" s="1"/>
  <c r="U71" i="150"/>
  <c r="AS71" i="150" s="1"/>
  <c r="T71" i="150"/>
  <c r="AR71" i="150" s="1"/>
  <c r="S71" i="150"/>
  <c r="AQ71" i="150" s="1"/>
  <c r="R71" i="150"/>
  <c r="AP71" i="150" s="1"/>
  <c r="O71" i="150"/>
  <c r="N71" i="150"/>
  <c r="M71" i="150"/>
  <c r="L71" i="150"/>
  <c r="K71" i="150"/>
  <c r="J71" i="150"/>
  <c r="H71" i="150"/>
  <c r="G71" i="150"/>
  <c r="F71" i="150"/>
  <c r="D71" i="150"/>
  <c r="AA70" i="150"/>
  <c r="AY70" i="150" s="1"/>
  <c r="Z70" i="150"/>
  <c r="Y70" i="150"/>
  <c r="AW70" i="150" s="1"/>
  <c r="X70" i="150"/>
  <c r="AV70" i="150" s="1"/>
  <c r="W70" i="150"/>
  <c r="V70" i="150"/>
  <c r="AT70" i="150" s="1"/>
  <c r="U70" i="150"/>
  <c r="AS70" i="150" s="1"/>
  <c r="T70" i="150"/>
  <c r="AR70" i="150" s="1"/>
  <c r="S70" i="150"/>
  <c r="AQ70" i="150" s="1"/>
  <c r="R70" i="150"/>
  <c r="AP70" i="150" s="1"/>
  <c r="O70" i="150"/>
  <c r="N70" i="150"/>
  <c r="M70" i="150"/>
  <c r="L70" i="150"/>
  <c r="K70" i="150"/>
  <c r="J70" i="150"/>
  <c r="I70" i="150"/>
  <c r="H70" i="150"/>
  <c r="G70" i="150"/>
  <c r="F70" i="150"/>
  <c r="D70" i="150"/>
  <c r="AA69" i="150"/>
  <c r="Z69" i="150"/>
  <c r="AX69" i="150" s="1"/>
  <c r="Y69" i="150"/>
  <c r="AW69" i="150" s="1"/>
  <c r="X69" i="150"/>
  <c r="AV69" i="150" s="1"/>
  <c r="W69" i="150"/>
  <c r="AU69" i="150" s="1"/>
  <c r="V69" i="150"/>
  <c r="AT69" i="150" s="1"/>
  <c r="U69" i="150"/>
  <c r="AS69" i="150" s="1"/>
  <c r="T69" i="150"/>
  <c r="AR69" i="150" s="1"/>
  <c r="S69" i="150"/>
  <c r="AQ69" i="150" s="1"/>
  <c r="R69" i="150"/>
  <c r="AP69" i="150" s="1"/>
  <c r="O69" i="150"/>
  <c r="N69" i="150"/>
  <c r="M69" i="150"/>
  <c r="L69" i="150"/>
  <c r="K69" i="150"/>
  <c r="J69" i="150"/>
  <c r="I69" i="150"/>
  <c r="H69" i="150"/>
  <c r="G69" i="150"/>
  <c r="F69" i="150"/>
  <c r="D69" i="150"/>
  <c r="AA68" i="150"/>
  <c r="Z68" i="150"/>
  <c r="AX68" i="150" s="1"/>
  <c r="Y68" i="150"/>
  <c r="X68" i="150"/>
  <c r="AV68" i="150" s="1"/>
  <c r="W68" i="150"/>
  <c r="AU68" i="150" s="1"/>
  <c r="V68" i="150"/>
  <c r="AT68" i="150" s="1"/>
  <c r="U68" i="150"/>
  <c r="AS68" i="150" s="1"/>
  <c r="T68" i="150"/>
  <c r="S68" i="150"/>
  <c r="AQ68" i="150" s="1"/>
  <c r="R68" i="150"/>
  <c r="AP68" i="150" s="1"/>
  <c r="O68" i="150"/>
  <c r="N68" i="150"/>
  <c r="M68" i="150"/>
  <c r="L68" i="150"/>
  <c r="K68" i="150"/>
  <c r="J68" i="150"/>
  <c r="I68" i="150"/>
  <c r="H68" i="150"/>
  <c r="G68" i="150"/>
  <c r="F68" i="150"/>
  <c r="D68" i="150"/>
  <c r="AA67" i="150"/>
  <c r="AY67" i="150" s="1"/>
  <c r="Z67" i="150"/>
  <c r="AX67" i="150" s="1"/>
  <c r="Y67" i="150"/>
  <c r="AW67" i="150" s="1"/>
  <c r="X67" i="150"/>
  <c r="AV67" i="150" s="1"/>
  <c r="W67" i="150"/>
  <c r="AU67" i="150" s="1"/>
  <c r="V67" i="150"/>
  <c r="U67" i="150"/>
  <c r="AS67" i="150" s="1"/>
  <c r="T67" i="150"/>
  <c r="AR67" i="150" s="1"/>
  <c r="S67" i="150"/>
  <c r="AQ67" i="150" s="1"/>
  <c r="R67" i="150"/>
  <c r="AP67" i="150" s="1"/>
  <c r="O67" i="150"/>
  <c r="N67" i="150"/>
  <c r="M67" i="150"/>
  <c r="L67" i="150"/>
  <c r="K67" i="150"/>
  <c r="J67" i="150"/>
  <c r="I67" i="150"/>
  <c r="H67" i="150"/>
  <c r="G67" i="150"/>
  <c r="F67" i="150"/>
  <c r="D67" i="150"/>
  <c r="AA66" i="150"/>
  <c r="AY66" i="150" s="1"/>
  <c r="Z66" i="150"/>
  <c r="AX66" i="150" s="1"/>
  <c r="Y66" i="150"/>
  <c r="AW66" i="150" s="1"/>
  <c r="X66" i="150"/>
  <c r="AV66" i="150" s="1"/>
  <c r="W66" i="150"/>
  <c r="AU66" i="150" s="1"/>
  <c r="V66" i="150"/>
  <c r="AT66" i="150" s="1"/>
  <c r="U66" i="150"/>
  <c r="AS66" i="150" s="1"/>
  <c r="T66" i="150"/>
  <c r="AR66" i="150" s="1"/>
  <c r="S66" i="150"/>
  <c r="AQ66" i="150" s="1"/>
  <c r="R66" i="150"/>
  <c r="AP66" i="150" s="1"/>
  <c r="O66" i="150"/>
  <c r="N66" i="150"/>
  <c r="M66" i="150"/>
  <c r="L66" i="150"/>
  <c r="K66" i="150"/>
  <c r="J66" i="150"/>
  <c r="I66" i="150"/>
  <c r="H66" i="150"/>
  <c r="G66" i="150"/>
  <c r="F66" i="150"/>
  <c r="D66" i="150"/>
  <c r="AA65" i="150"/>
  <c r="AY65" i="150" s="1"/>
  <c r="Z65" i="150"/>
  <c r="Y65" i="150"/>
  <c r="AW65" i="150" s="1"/>
  <c r="X65" i="150"/>
  <c r="AV65" i="150" s="1"/>
  <c r="W65" i="150"/>
  <c r="V65" i="150"/>
  <c r="AT65" i="150" s="1"/>
  <c r="U65" i="150"/>
  <c r="AS65" i="150" s="1"/>
  <c r="T65" i="150"/>
  <c r="AR65" i="150" s="1"/>
  <c r="S65" i="150"/>
  <c r="AQ65" i="150" s="1"/>
  <c r="R65" i="150"/>
  <c r="O65" i="150"/>
  <c r="N65" i="150"/>
  <c r="M65" i="150"/>
  <c r="L65" i="150"/>
  <c r="K65" i="150"/>
  <c r="J65" i="150"/>
  <c r="I65" i="150"/>
  <c r="H65" i="150"/>
  <c r="G65" i="150"/>
  <c r="F65" i="150"/>
  <c r="D65" i="150"/>
  <c r="AA64" i="150"/>
  <c r="AY64" i="150" s="1"/>
  <c r="Z64" i="150"/>
  <c r="AX64" i="150" s="1"/>
  <c r="Y64" i="150"/>
  <c r="AW64" i="150" s="1"/>
  <c r="X64" i="150"/>
  <c r="AV64" i="150" s="1"/>
  <c r="W64" i="150"/>
  <c r="V64" i="150"/>
  <c r="AT64" i="150" s="1"/>
  <c r="U64" i="150"/>
  <c r="AS64" i="150" s="1"/>
  <c r="T64" i="150"/>
  <c r="AR64" i="150" s="1"/>
  <c r="S64" i="150"/>
  <c r="R64" i="150"/>
  <c r="AP64" i="150" s="1"/>
  <c r="O64" i="150"/>
  <c r="N64" i="150"/>
  <c r="L64" i="150"/>
  <c r="K64" i="150"/>
  <c r="J64" i="150"/>
  <c r="I64" i="150"/>
  <c r="H64" i="150"/>
  <c r="G64" i="150"/>
  <c r="F64" i="150"/>
  <c r="D64" i="150"/>
  <c r="AA63" i="150"/>
  <c r="AY63" i="150" s="1"/>
  <c r="Z63" i="150"/>
  <c r="Y63" i="150"/>
  <c r="AW63" i="150" s="1"/>
  <c r="X63" i="150"/>
  <c r="AV63" i="150" s="1"/>
  <c r="W63" i="150"/>
  <c r="AU63" i="150" s="1"/>
  <c r="V63" i="150"/>
  <c r="AT63" i="150" s="1"/>
  <c r="U63" i="150"/>
  <c r="AS63" i="150" s="1"/>
  <c r="T63" i="150"/>
  <c r="S63" i="150"/>
  <c r="AQ63" i="150" s="1"/>
  <c r="R63" i="150"/>
  <c r="AP63" i="150" s="1"/>
  <c r="O63" i="150"/>
  <c r="N63" i="150"/>
  <c r="L63" i="150"/>
  <c r="K63" i="150"/>
  <c r="J63" i="150"/>
  <c r="I63" i="150"/>
  <c r="H63" i="150"/>
  <c r="G63" i="150"/>
  <c r="F63" i="150"/>
  <c r="D63" i="150"/>
  <c r="AA62" i="150"/>
  <c r="AY62" i="150" s="1"/>
  <c r="Z62" i="150"/>
  <c r="AX62" i="150" s="1"/>
  <c r="Y62" i="150"/>
  <c r="AW62" i="150" s="1"/>
  <c r="X62" i="150"/>
  <c r="AV62" i="150" s="1"/>
  <c r="W62" i="150"/>
  <c r="V62" i="150"/>
  <c r="AT62" i="150" s="1"/>
  <c r="U62" i="150"/>
  <c r="T62" i="150"/>
  <c r="AR62" i="150" s="1"/>
  <c r="S62" i="150"/>
  <c r="AQ62" i="150" s="1"/>
  <c r="O62" i="150"/>
  <c r="N62" i="150"/>
  <c r="L62" i="150"/>
  <c r="K62" i="150"/>
  <c r="J62" i="150"/>
  <c r="I62" i="150"/>
  <c r="H62" i="150"/>
  <c r="G62" i="150"/>
  <c r="F62" i="150"/>
  <c r="D62" i="150"/>
  <c r="AA61" i="150"/>
  <c r="AY61" i="150" s="1"/>
  <c r="Z61" i="150"/>
  <c r="AX61" i="150" s="1"/>
  <c r="Y61" i="150"/>
  <c r="AW61" i="150" s="1"/>
  <c r="W61" i="150"/>
  <c r="AU61" i="150" s="1"/>
  <c r="V61" i="150"/>
  <c r="AT61" i="150" s="1"/>
  <c r="U61" i="150"/>
  <c r="AS61" i="150" s="1"/>
  <c r="T61" i="150"/>
  <c r="AR61" i="150" s="1"/>
  <c r="S61" i="150"/>
  <c r="AQ61" i="150" s="1"/>
  <c r="R61" i="150"/>
  <c r="AP61" i="150" s="1"/>
  <c r="O61" i="150"/>
  <c r="N61" i="150"/>
  <c r="M61" i="150"/>
  <c r="L61" i="150"/>
  <c r="K61" i="150"/>
  <c r="J61" i="150"/>
  <c r="H61" i="150"/>
  <c r="G61" i="150"/>
  <c r="F61" i="150"/>
  <c r="E61" i="150"/>
  <c r="D61" i="150"/>
  <c r="AA60" i="150"/>
  <c r="AY60" i="150" s="1"/>
  <c r="Z60" i="150"/>
  <c r="AX60" i="150" s="1"/>
  <c r="Y60" i="150"/>
  <c r="AW60" i="150" s="1"/>
  <c r="W60" i="150"/>
  <c r="AU60" i="150" s="1"/>
  <c r="V60" i="150"/>
  <c r="AT60" i="150" s="1"/>
  <c r="U60" i="150"/>
  <c r="AS60" i="150" s="1"/>
  <c r="T60" i="150"/>
  <c r="AR60" i="150" s="1"/>
  <c r="S60" i="150"/>
  <c r="AQ60" i="150" s="1"/>
  <c r="R60" i="150"/>
  <c r="AP60" i="150" s="1"/>
  <c r="O60" i="150"/>
  <c r="N60" i="150"/>
  <c r="M60" i="150"/>
  <c r="L60" i="150"/>
  <c r="K60" i="150"/>
  <c r="J60" i="150"/>
  <c r="H60" i="150"/>
  <c r="G60" i="150"/>
  <c r="F60" i="150"/>
  <c r="D60" i="150"/>
  <c r="AA59" i="150"/>
  <c r="AY59" i="150" s="1"/>
  <c r="Z59" i="150"/>
  <c r="AX59" i="150" s="1"/>
  <c r="Y59" i="150"/>
  <c r="AW59" i="150" s="1"/>
  <c r="X59" i="150"/>
  <c r="AV59" i="150" s="1"/>
  <c r="W59" i="150"/>
  <c r="AU59" i="150" s="1"/>
  <c r="V59" i="150"/>
  <c r="AT59" i="150" s="1"/>
  <c r="U59" i="150"/>
  <c r="AS59" i="150" s="1"/>
  <c r="T59" i="150"/>
  <c r="S59" i="150"/>
  <c r="AQ59" i="150" s="1"/>
  <c r="R59" i="150"/>
  <c r="AP59" i="150" s="1"/>
  <c r="O59" i="150"/>
  <c r="N59" i="150"/>
  <c r="M59" i="150"/>
  <c r="L59" i="150"/>
  <c r="K59" i="150"/>
  <c r="J59" i="150"/>
  <c r="I59" i="150"/>
  <c r="H59" i="150"/>
  <c r="G59" i="150"/>
  <c r="F59" i="150"/>
  <c r="D59" i="150"/>
  <c r="AA58" i="150"/>
  <c r="AY58" i="150" s="1"/>
  <c r="Z58" i="150"/>
  <c r="AX58" i="150" s="1"/>
  <c r="Y58" i="150"/>
  <c r="AW58" i="150" s="1"/>
  <c r="X58" i="150"/>
  <c r="AV58" i="150" s="1"/>
  <c r="W58" i="150"/>
  <c r="AU58" i="150" s="1"/>
  <c r="V58" i="150"/>
  <c r="AT58" i="150" s="1"/>
  <c r="U58" i="150"/>
  <c r="AS58" i="150" s="1"/>
  <c r="T58" i="150"/>
  <c r="AR58" i="150" s="1"/>
  <c r="S58" i="150"/>
  <c r="R58" i="150"/>
  <c r="AP58" i="150" s="1"/>
  <c r="O58" i="150"/>
  <c r="N58" i="150"/>
  <c r="M58" i="150"/>
  <c r="L58" i="150"/>
  <c r="K58" i="150"/>
  <c r="J58" i="150"/>
  <c r="I58" i="150"/>
  <c r="H58" i="150"/>
  <c r="G58" i="150"/>
  <c r="F58" i="150"/>
  <c r="D58" i="150"/>
  <c r="AA57" i="150"/>
  <c r="AY57" i="150" s="1"/>
  <c r="Z57" i="150"/>
  <c r="AX57" i="150" s="1"/>
  <c r="Y57" i="150"/>
  <c r="AW57" i="150" s="1"/>
  <c r="X57" i="150"/>
  <c r="AV57" i="150" s="1"/>
  <c r="W57" i="150"/>
  <c r="V57" i="150"/>
  <c r="AT57" i="150" s="1"/>
  <c r="U57" i="150"/>
  <c r="AS57" i="150" s="1"/>
  <c r="T57" i="150"/>
  <c r="AR57" i="150" s="1"/>
  <c r="S57" i="150"/>
  <c r="AQ57" i="150" s="1"/>
  <c r="R57" i="150"/>
  <c r="AP57" i="150" s="1"/>
  <c r="O57" i="150"/>
  <c r="N57" i="150"/>
  <c r="M57" i="150"/>
  <c r="L57" i="150"/>
  <c r="K57" i="150"/>
  <c r="J57" i="150"/>
  <c r="I57" i="150"/>
  <c r="H57" i="150"/>
  <c r="G57" i="150"/>
  <c r="F57" i="150"/>
  <c r="D57" i="150"/>
  <c r="AA56" i="150"/>
  <c r="AY56" i="150" s="1"/>
  <c r="Z56" i="150"/>
  <c r="AX56" i="150" s="1"/>
  <c r="Y56" i="150"/>
  <c r="AW56" i="150" s="1"/>
  <c r="X56" i="150"/>
  <c r="AV56" i="150" s="1"/>
  <c r="W56" i="150"/>
  <c r="AU56" i="150" s="1"/>
  <c r="V56" i="150"/>
  <c r="AT56" i="150" s="1"/>
  <c r="U56" i="150"/>
  <c r="AS56" i="150" s="1"/>
  <c r="T56" i="150"/>
  <c r="AR56" i="150" s="1"/>
  <c r="S56" i="150"/>
  <c r="R56" i="150"/>
  <c r="AP56" i="150" s="1"/>
  <c r="O56" i="150"/>
  <c r="N56" i="150"/>
  <c r="M56" i="150"/>
  <c r="L56" i="150"/>
  <c r="K56" i="150"/>
  <c r="J56" i="150"/>
  <c r="I56" i="150"/>
  <c r="H56" i="150"/>
  <c r="G56" i="150"/>
  <c r="F56" i="150"/>
  <c r="D56" i="150"/>
  <c r="AA55" i="150"/>
  <c r="AY55" i="150" s="1"/>
  <c r="Z55" i="150"/>
  <c r="AX55" i="150" s="1"/>
  <c r="Y55" i="150"/>
  <c r="AW55" i="150" s="1"/>
  <c r="X55" i="150"/>
  <c r="W55" i="150"/>
  <c r="AU55" i="150" s="1"/>
  <c r="V55" i="150"/>
  <c r="AT55" i="150" s="1"/>
  <c r="U55" i="150"/>
  <c r="AS55" i="150" s="1"/>
  <c r="S55" i="150"/>
  <c r="AQ55" i="150" s="1"/>
  <c r="R55" i="150"/>
  <c r="AP55" i="150" s="1"/>
  <c r="O55" i="150"/>
  <c r="N55" i="150"/>
  <c r="M55" i="150"/>
  <c r="L55" i="150"/>
  <c r="K55" i="150"/>
  <c r="J55" i="150"/>
  <c r="I55" i="150"/>
  <c r="H55" i="150"/>
  <c r="G55" i="150"/>
  <c r="F55" i="150"/>
  <c r="D55" i="150"/>
  <c r="AA54" i="150"/>
  <c r="AY54" i="150" s="1"/>
  <c r="Z54" i="150"/>
  <c r="AX54" i="150" s="1"/>
  <c r="Y54" i="150"/>
  <c r="X54" i="150"/>
  <c r="AV54" i="150" s="1"/>
  <c r="W54" i="150"/>
  <c r="AU54" i="150" s="1"/>
  <c r="V54" i="150"/>
  <c r="AT54" i="150" s="1"/>
  <c r="U54" i="150"/>
  <c r="AS54" i="150" s="1"/>
  <c r="T54" i="150"/>
  <c r="AR54" i="150" s="1"/>
  <c r="S54" i="150"/>
  <c r="AQ54" i="150" s="1"/>
  <c r="R54" i="150"/>
  <c r="O54" i="150"/>
  <c r="N54" i="150"/>
  <c r="M54" i="150"/>
  <c r="L54" i="150"/>
  <c r="K54" i="150"/>
  <c r="J54" i="150"/>
  <c r="I54" i="150"/>
  <c r="H54" i="150"/>
  <c r="G54" i="150"/>
  <c r="F54" i="150"/>
  <c r="D54" i="150"/>
  <c r="AA53" i="150"/>
  <c r="Z53" i="150"/>
  <c r="AX53" i="150" s="1"/>
  <c r="Y53" i="150"/>
  <c r="X53" i="150"/>
  <c r="AV53" i="150" s="1"/>
  <c r="W53" i="150"/>
  <c r="AU53" i="150" s="1"/>
  <c r="V53" i="150"/>
  <c r="AT53" i="150" s="1"/>
  <c r="U53" i="150"/>
  <c r="AS53" i="150" s="1"/>
  <c r="S53" i="150"/>
  <c r="AQ53" i="150" s="1"/>
  <c r="R53" i="150"/>
  <c r="AP53" i="150" s="1"/>
  <c r="O53" i="150"/>
  <c r="N53" i="150"/>
  <c r="M53" i="150"/>
  <c r="L53" i="150"/>
  <c r="K53" i="150"/>
  <c r="J53" i="150"/>
  <c r="I53" i="150"/>
  <c r="H53" i="150"/>
  <c r="G53" i="150"/>
  <c r="F53" i="150"/>
  <c r="D53" i="150"/>
  <c r="AA52" i="150"/>
  <c r="AY52" i="150" s="1"/>
  <c r="Y52" i="150"/>
  <c r="AW52" i="150" s="1"/>
  <c r="X52" i="150"/>
  <c r="AV52" i="150" s="1"/>
  <c r="W52" i="150"/>
  <c r="AU52" i="150" s="1"/>
  <c r="V52" i="150"/>
  <c r="AT52" i="150" s="1"/>
  <c r="U52" i="150"/>
  <c r="AS52" i="150" s="1"/>
  <c r="T52" i="150"/>
  <c r="S52" i="150"/>
  <c r="AQ52" i="150" s="1"/>
  <c r="R52" i="150"/>
  <c r="AP52" i="150" s="1"/>
  <c r="O52" i="150"/>
  <c r="N52" i="150"/>
  <c r="L52" i="150"/>
  <c r="K52" i="150"/>
  <c r="J52" i="150"/>
  <c r="I52" i="150"/>
  <c r="H52" i="150"/>
  <c r="G52" i="150"/>
  <c r="F52" i="150"/>
  <c r="D52" i="150"/>
  <c r="AA51" i="150"/>
  <c r="AY51" i="150" s="1"/>
  <c r="Z51" i="150"/>
  <c r="AX51" i="150" s="1"/>
  <c r="Y51" i="150"/>
  <c r="AW51" i="150" s="1"/>
  <c r="X51" i="150"/>
  <c r="AV51" i="150" s="1"/>
  <c r="W51" i="150"/>
  <c r="AU51" i="150" s="1"/>
  <c r="V51" i="150"/>
  <c r="AT51" i="150" s="1"/>
  <c r="U51" i="150"/>
  <c r="AS51" i="150" s="1"/>
  <c r="T51" i="150"/>
  <c r="AR51" i="150" s="1"/>
  <c r="S51" i="150"/>
  <c r="AQ51" i="150" s="1"/>
  <c r="R51" i="150"/>
  <c r="AP51" i="150" s="1"/>
  <c r="O51" i="150"/>
  <c r="N51" i="150"/>
  <c r="L51" i="150"/>
  <c r="K51" i="150"/>
  <c r="J51" i="150"/>
  <c r="I51" i="150"/>
  <c r="H51" i="150"/>
  <c r="G51" i="150"/>
  <c r="F51" i="150"/>
  <c r="D51" i="150"/>
  <c r="AA50" i="150"/>
  <c r="AY50" i="150" s="1"/>
  <c r="Z50" i="150"/>
  <c r="AX50" i="150" s="1"/>
  <c r="Y50" i="150"/>
  <c r="X50" i="150"/>
  <c r="AV50" i="150" s="1"/>
  <c r="W50" i="150"/>
  <c r="AU50" i="150" s="1"/>
  <c r="V50" i="150"/>
  <c r="AT50" i="150" s="1"/>
  <c r="U50" i="150"/>
  <c r="AS50" i="150" s="1"/>
  <c r="T50" i="150"/>
  <c r="AR50" i="150" s="1"/>
  <c r="S50" i="150"/>
  <c r="AQ50" i="150" s="1"/>
  <c r="R50" i="150"/>
  <c r="AP50" i="150" s="1"/>
  <c r="O50" i="150"/>
  <c r="N50" i="150"/>
  <c r="L50" i="150"/>
  <c r="K50" i="150"/>
  <c r="J50" i="150"/>
  <c r="I50" i="150"/>
  <c r="H50" i="150"/>
  <c r="G50" i="150"/>
  <c r="F50" i="150"/>
  <c r="D50" i="150"/>
  <c r="AA49" i="150"/>
  <c r="AY49" i="150" s="1"/>
  <c r="Z49" i="150"/>
  <c r="AX49" i="150" s="1"/>
  <c r="Y49" i="150"/>
  <c r="AW49" i="150" s="1"/>
  <c r="X49" i="150"/>
  <c r="AV49" i="150" s="1"/>
  <c r="W49" i="150"/>
  <c r="AU49" i="150" s="1"/>
  <c r="V49" i="150"/>
  <c r="AT49" i="150" s="1"/>
  <c r="U49" i="150"/>
  <c r="AS49" i="150" s="1"/>
  <c r="T49" i="150"/>
  <c r="AR49" i="150" s="1"/>
  <c r="S49" i="150"/>
  <c r="AQ49" i="150" s="1"/>
  <c r="R49" i="150"/>
  <c r="O49" i="150"/>
  <c r="N49" i="150"/>
  <c r="M49" i="150"/>
  <c r="L49" i="150"/>
  <c r="K49" i="150"/>
  <c r="J49" i="150"/>
  <c r="H49" i="150"/>
  <c r="G49" i="150"/>
  <c r="F49" i="150"/>
  <c r="D49" i="150"/>
  <c r="AA48" i="150"/>
  <c r="AY48" i="150" s="1"/>
  <c r="Z48" i="150"/>
  <c r="AX48" i="150" s="1"/>
  <c r="Y48" i="150"/>
  <c r="AW48" i="150" s="1"/>
  <c r="X48" i="150"/>
  <c r="AV48" i="150" s="1"/>
  <c r="W48" i="150"/>
  <c r="AU48" i="150" s="1"/>
  <c r="V48" i="150"/>
  <c r="AT48" i="150" s="1"/>
  <c r="U48" i="150"/>
  <c r="T48" i="150"/>
  <c r="AR48" i="150" s="1"/>
  <c r="S48" i="150"/>
  <c r="AQ48" i="150" s="1"/>
  <c r="R48" i="150"/>
  <c r="AP48" i="150" s="1"/>
  <c r="O48" i="150"/>
  <c r="N48" i="150"/>
  <c r="M48" i="150"/>
  <c r="L48" i="150"/>
  <c r="K48" i="150"/>
  <c r="J48" i="150"/>
  <c r="H48" i="150"/>
  <c r="G48" i="150"/>
  <c r="F48" i="150"/>
  <c r="D48" i="150"/>
  <c r="AA47" i="150"/>
  <c r="AY47" i="150" s="1"/>
  <c r="Z47" i="150"/>
  <c r="AX47" i="150" s="1"/>
  <c r="Y47" i="150"/>
  <c r="AW47" i="150" s="1"/>
  <c r="X47" i="150"/>
  <c r="AV47" i="150" s="1"/>
  <c r="W47" i="150"/>
  <c r="AU47" i="150" s="1"/>
  <c r="V47" i="150"/>
  <c r="AT47" i="150" s="1"/>
  <c r="U47" i="150"/>
  <c r="T47" i="150"/>
  <c r="S47" i="150"/>
  <c r="AQ47" i="150" s="1"/>
  <c r="R47" i="150"/>
  <c r="AP47" i="150" s="1"/>
  <c r="O47" i="150"/>
  <c r="N47" i="150"/>
  <c r="M47" i="150"/>
  <c r="L47" i="150"/>
  <c r="K47" i="150"/>
  <c r="J47" i="150"/>
  <c r="H47" i="150"/>
  <c r="G47" i="150"/>
  <c r="F47" i="150"/>
  <c r="D47" i="150"/>
  <c r="AA46" i="150"/>
  <c r="AY46" i="150" s="1"/>
  <c r="Y46" i="150"/>
  <c r="X46" i="150"/>
  <c r="AV46" i="150" s="1"/>
  <c r="W46" i="150"/>
  <c r="V46" i="150"/>
  <c r="S46" i="150"/>
  <c r="R46" i="150"/>
  <c r="AP46" i="150" s="1"/>
  <c r="O46" i="150"/>
  <c r="M46" i="150"/>
  <c r="L46" i="150"/>
  <c r="K46" i="150"/>
  <c r="H46" i="150"/>
  <c r="G46" i="150"/>
  <c r="F46" i="150"/>
  <c r="D46" i="150"/>
  <c r="AA45" i="150"/>
  <c r="Y45" i="150"/>
  <c r="X45" i="150"/>
  <c r="AV45" i="150" s="1"/>
  <c r="W45" i="150"/>
  <c r="AU45" i="150" s="1"/>
  <c r="V45" i="150"/>
  <c r="AT45" i="150" s="1"/>
  <c r="T45" i="150"/>
  <c r="AR45" i="150" s="1"/>
  <c r="S45" i="150"/>
  <c r="AQ45" i="150" s="1"/>
  <c r="R45" i="150"/>
  <c r="AP45" i="150" s="1"/>
  <c r="M45" i="150"/>
  <c r="L45" i="150"/>
  <c r="K45" i="150"/>
  <c r="H45" i="150"/>
  <c r="G45" i="150"/>
  <c r="F45" i="150"/>
  <c r="D45" i="150"/>
  <c r="AA44" i="150"/>
  <c r="AY44" i="150" s="1"/>
  <c r="Y44" i="150"/>
  <c r="X44" i="150"/>
  <c r="AV44" i="150" s="1"/>
  <c r="W44" i="150"/>
  <c r="V44" i="150"/>
  <c r="U44" i="150"/>
  <c r="S44" i="150"/>
  <c r="AQ44" i="150" s="1"/>
  <c r="R44" i="150"/>
  <c r="AP44" i="150" s="1"/>
  <c r="M44" i="150"/>
  <c r="M155" i="150" s="1"/>
  <c r="L44" i="150"/>
  <c r="L155" i="150" s="1"/>
  <c r="K44" i="150"/>
  <c r="J44" i="150"/>
  <c r="J155" i="150" s="1"/>
  <c r="I44" i="150"/>
  <c r="I155" i="150" s="1"/>
  <c r="H44" i="150"/>
  <c r="H155" i="150" s="1"/>
  <c r="G44" i="150"/>
  <c r="G155" i="150" s="1"/>
  <c r="F44" i="150"/>
  <c r="D44" i="150"/>
  <c r="D155" i="150" s="1"/>
  <c r="E84" i="150"/>
  <c r="Q80" i="150"/>
  <c r="Q65" i="150"/>
  <c r="AO65" i="150" s="1"/>
  <c r="E60" i="150"/>
  <c r="Q56" i="150"/>
  <c r="Q51" i="150"/>
  <c r="AO51" i="150" s="1"/>
  <c r="Q5" i="150"/>
  <c r="Q44" i="150" s="1"/>
  <c r="E5" i="150"/>
  <c r="E44" i="150" s="1"/>
  <c r="E155" i="150" s="1"/>
  <c r="P75" i="151" l="1"/>
  <c r="O150" i="151"/>
  <c r="O168" i="151" s="1"/>
  <c r="AU57" i="150"/>
  <c r="AX82" i="150"/>
  <c r="AY105" i="150"/>
  <c r="AW117" i="150"/>
  <c r="AO8" i="150"/>
  <c r="AY53" i="150"/>
  <c r="AY75" i="150"/>
  <c r="AQ96" i="150"/>
  <c r="AR131" i="150"/>
  <c r="AR53" i="150"/>
  <c r="AO29" i="150"/>
  <c r="AS62" i="150"/>
  <c r="I19" i="151"/>
  <c r="I143" i="151" s="1"/>
  <c r="AW106" i="150"/>
  <c r="AQ127" i="150"/>
  <c r="AR47" i="150"/>
  <c r="AV72" i="150"/>
  <c r="AT77" i="150"/>
  <c r="H19" i="151" s="1"/>
  <c r="H22" i="151" s="1"/>
  <c r="AP81" i="150"/>
  <c r="AS119" i="150"/>
  <c r="AT139" i="150"/>
  <c r="AX52" i="150"/>
  <c r="AX65" i="150"/>
  <c r="AT84" i="150"/>
  <c r="AX87" i="150"/>
  <c r="AY134" i="150"/>
  <c r="AO12" i="150"/>
  <c r="AO7" i="150"/>
  <c r="AO36" i="150"/>
  <c r="AW50" i="150"/>
  <c r="AP146" i="150"/>
  <c r="AW45" i="150"/>
  <c r="AX99" i="150"/>
  <c r="J46" i="151" s="1"/>
  <c r="J161" i="151" s="1"/>
  <c r="AP116" i="150"/>
  <c r="AR52" i="150"/>
  <c r="AV55" i="150"/>
  <c r="AR59" i="150"/>
  <c r="AU123" i="150"/>
  <c r="AQ133" i="150"/>
  <c r="AX46" i="150"/>
  <c r="AP62" i="150"/>
  <c r="AQ64" i="150"/>
  <c r="AW92" i="150"/>
  <c r="K43" i="151"/>
  <c r="K64" i="151" s="1"/>
  <c r="AU108" i="150"/>
  <c r="AR112" i="150"/>
  <c r="AY139" i="150"/>
  <c r="AP49" i="150"/>
  <c r="F11" i="151" s="1"/>
  <c r="AP98" i="150"/>
  <c r="J11" i="151" s="1"/>
  <c r="AO40" i="150"/>
  <c r="AO35" i="150"/>
  <c r="G19" i="151"/>
  <c r="G22" i="151" s="1"/>
  <c r="AT67" i="150"/>
  <c r="AU89" i="150"/>
  <c r="AQ117" i="150"/>
  <c r="AY145" i="150"/>
  <c r="AO21" i="150"/>
  <c r="AO23" i="150"/>
  <c r="AR79" i="150"/>
  <c r="AT101" i="150"/>
  <c r="AX104" i="150"/>
  <c r="AS121" i="150"/>
  <c r="AU141" i="150"/>
  <c r="AX76" i="150"/>
  <c r="AX63" i="150"/>
  <c r="AV97" i="150"/>
  <c r="AO20" i="150"/>
  <c r="AO34" i="150"/>
  <c r="AX70" i="150"/>
  <c r="AU94" i="150"/>
  <c r="J43" i="151" s="1"/>
  <c r="J64" i="151" s="1"/>
  <c r="AP148" i="150"/>
  <c r="AO9" i="150"/>
  <c r="AQ91" i="150"/>
  <c r="AR110" i="150"/>
  <c r="AP114" i="150"/>
  <c r="AS125" i="150"/>
  <c r="AY136" i="150"/>
  <c r="AS143" i="150"/>
  <c r="G51" i="151"/>
  <c r="G54" i="151" s="1"/>
  <c r="AW137" i="150"/>
  <c r="AW79" i="150"/>
  <c r="I24" i="151"/>
  <c r="I144" i="151" s="1"/>
  <c r="M51" i="151"/>
  <c r="J24" i="151"/>
  <c r="I51" i="151"/>
  <c r="G56" i="151"/>
  <c r="G59" i="151" s="1"/>
  <c r="AT113" i="150"/>
  <c r="AO6" i="150"/>
  <c r="AR68" i="150"/>
  <c r="AY78" i="150"/>
  <c r="AU82" i="150"/>
  <c r="L56" i="151"/>
  <c r="L163" i="151" s="1"/>
  <c r="AT117" i="150"/>
  <c r="L19" i="151" s="1"/>
  <c r="L143" i="151" s="1"/>
  <c r="AX146" i="150"/>
  <c r="AS147" i="150"/>
  <c r="AX116" i="150"/>
  <c r="AP65" i="150"/>
  <c r="G11" i="151" s="1"/>
  <c r="AS95" i="150"/>
  <c r="AX105" i="150"/>
  <c r="H11" i="151"/>
  <c r="AY109" i="150"/>
  <c r="K51" i="151" s="1"/>
  <c r="AU134" i="150"/>
  <c r="AU138" i="150"/>
  <c r="AO18" i="150"/>
  <c r="AU65" i="150"/>
  <c r="AQ77" i="150"/>
  <c r="AY86" i="150"/>
  <c r="AX90" i="150"/>
  <c r="AV102" i="150"/>
  <c r="AW147" i="150"/>
  <c r="AV83" i="150"/>
  <c r="AO5" i="150"/>
  <c r="AS44" i="150"/>
  <c r="AQ102" i="150"/>
  <c r="J14" i="151" s="1"/>
  <c r="J142" i="151" s="1"/>
  <c r="AW68" i="150"/>
  <c r="AT99" i="150"/>
  <c r="AU118" i="150"/>
  <c r="AU122" i="150"/>
  <c r="K11" i="151"/>
  <c r="AR111" i="150"/>
  <c r="AR145" i="150"/>
  <c r="AO27" i="150"/>
  <c r="AY125" i="150"/>
  <c r="AP128" i="150"/>
  <c r="AU139" i="150"/>
  <c r="M43" i="151" s="1"/>
  <c r="M64" i="151" s="1"/>
  <c r="AO14" i="150"/>
  <c r="AO30" i="150"/>
  <c r="AR63" i="150"/>
  <c r="G24" i="151" s="1"/>
  <c r="G27" i="151" s="1"/>
  <c r="AP74" i="150"/>
  <c r="AW80" i="150"/>
  <c r="AT92" i="150"/>
  <c r="AR108" i="150"/>
  <c r="AP136" i="150"/>
  <c r="AU73" i="150"/>
  <c r="AW107" i="150"/>
  <c r="AW139" i="150"/>
  <c r="J56" i="151"/>
  <c r="J163" i="151" s="1"/>
  <c r="AQ101" i="150"/>
  <c r="AP121" i="150"/>
  <c r="AW115" i="150"/>
  <c r="AR124" i="150"/>
  <c r="AW132" i="150"/>
  <c r="AW140" i="150"/>
  <c r="AT93" i="150"/>
  <c r="AV61" i="150"/>
  <c r="AO13" i="150"/>
  <c r="AU70" i="150"/>
  <c r="H43" i="151" s="1"/>
  <c r="H64" i="151" s="1"/>
  <c r="AV93" i="150"/>
  <c r="AY111" i="150"/>
  <c r="AP113" i="150"/>
  <c r="AY127" i="150"/>
  <c r="AV128" i="150"/>
  <c r="AW85" i="150"/>
  <c r="AT109" i="150"/>
  <c r="AT124" i="150"/>
  <c r="AP130" i="150"/>
  <c r="AS137" i="150"/>
  <c r="AP143" i="150"/>
  <c r="X108" i="151"/>
  <c r="K125" i="151"/>
  <c r="K130" i="151" s="1"/>
  <c r="K133" i="151" s="1"/>
  <c r="Y108" i="151"/>
  <c r="Z108" i="151"/>
  <c r="K21" i="151"/>
  <c r="L21" i="151" s="1"/>
  <c r="M21" i="151" s="1"/>
  <c r="N21" i="151" s="1"/>
  <c r="O21" i="151" s="1"/>
  <c r="P21" i="151" s="1"/>
  <c r="Q21" i="151" s="1"/>
  <c r="R21" i="151" s="1"/>
  <c r="S21" i="151" s="1"/>
  <c r="T21" i="151" s="1"/>
  <c r="U21" i="151" s="1"/>
  <c r="V21" i="151" s="1"/>
  <c r="W21" i="151" s="1"/>
  <c r="X21" i="151" s="1"/>
  <c r="D107" i="151"/>
  <c r="D112" i="151" s="1"/>
  <c r="O96" i="150"/>
  <c r="K116" i="150"/>
  <c r="O144" i="150"/>
  <c r="G101" i="150"/>
  <c r="O109" i="150"/>
  <c r="K129" i="150"/>
  <c r="M65" i="151" s="1"/>
  <c r="M159" i="151" s="1"/>
  <c r="J142" i="150"/>
  <c r="E36" i="150"/>
  <c r="E137" i="150" s="1"/>
  <c r="E32" i="150"/>
  <c r="E126" i="150" s="1"/>
  <c r="K94" i="150"/>
  <c r="G114" i="150"/>
  <c r="F127" i="150"/>
  <c r="K142" i="150"/>
  <c r="O119" i="150"/>
  <c r="G127" i="150"/>
  <c r="N132" i="150"/>
  <c r="H146" i="150"/>
  <c r="K104" i="150"/>
  <c r="O132" i="150"/>
  <c r="F137" i="150"/>
  <c r="H143" i="150"/>
  <c r="G91" i="150"/>
  <c r="O97" i="150"/>
  <c r="K117" i="150"/>
  <c r="J130" i="150"/>
  <c r="G137" i="150"/>
  <c r="O145" i="150"/>
  <c r="G89" i="150"/>
  <c r="G102" i="150"/>
  <c r="K130" i="150"/>
  <c r="O107" i="150"/>
  <c r="G115" i="150"/>
  <c r="O120" i="150"/>
  <c r="K140" i="150"/>
  <c r="K92" i="150"/>
  <c r="J65" i="151" s="1"/>
  <c r="J159" i="151" s="1"/>
  <c r="K105" i="150"/>
  <c r="G125" i="150"/>
  <c r="F138" i="150"/>
  <c r="E50" i="150"/>
  <c r="E51" i="150"/>
  <c r="E48" i="150"/>
  <c r="E49" i="150"/>
  <c r="M52" i="150"/>
  <c r="M50" i="150"/>
  <c r="E58" i="150"/>
  <c r="M63" i="150"/>
  <c r="I84" i="150"/>
  <c r="I60" i="150"/>
  <c r="M76" i="150"/>
  <c r="I48" i="150"/>
  <c r="I71" i="150"/>
  <c r="M64" i="150"/>
  <c r="E57" i="150"/>
  <c r="M74" i="150"/>
  <c r="I85" i="150"/>
  <c r="I49" i="150"/>
  <c r="I72" i="150"/>
  <c r="AC105" i="150"/>
  <c r="AC104" i="150"/>
  <c r="AC96" i="150"/>
  <c r="AC95" i="150"/>
  <c r="AC114" i="150"/>
  <c r="AC115" i="150"/>
  <c r="AC112" i="150"/>
  <c r="AO112" i="150" s="1"/>
  <c r="AC111" i="150"/>
  <c r="AC121" i="150"/>
  <c r="AC120" i="150"/>
  <c r="AL111" i="150"/>
  <c r="AX111" i="150" s="1"/>
  <c r="AH113" i="150"/>
  <c r="AJ119" i="150"/>
  <c r="AV119" i="150" s="1"/>
  <c r="AM125" i="150"/>
  <c r="AG132" i="150"/>
  <c r="AS132" i="150" s="1"/>
  <c r="AE137" i="150"/>
  <c r="AQ137" i="150" s="1"/>
  <c r="AK138" i="150"/>
  <c r="AW138" i="150" s="1"/>
  <c r="AI143" i="150"/>
  <c r="AU143" i="150" s="1"/>
  <c r="AG148" i="150"/>
  <c r="AS148" i="150" s="1"/>
  <c r="AE118" i="150"/>
  <c r="AQ118" i="150" s="1"/>
  <c r="AF137" i="150"/>
  <c r="AR137" i="150" s="1"/>
  <c r="M24" i="151" s="1"/>
  <c r="M144" i="151" s="1"/>
  <c r="AJ143" i="150"/>
  <c r="AV143" i="150" s="1"/>
  <c r="AG107" i="150"/>
  <c r="AS107" i="150" s="1"/>
  <c r="AE115" i="150"/>
  <c r="AQ115" i="150" s="1"/>
  <c r="K14" i="151" s="1"/>
  <c r="K142" i="151" s="1"/>
  <c r="AL119" i="150"/>
  <c r="AX119" i="150" s="1"/>
  <c r="AG129" i="150"/>
  <c r="AS129" i="150" s="1"/>
  <c r="AK135" i="150"/>
  <c r="AW135" i="150" s="1"/>
  <c r="AG137" i="150"/>
  <c r="AK143" i="150"/>
  <c r="AW143" i="150" s="1"/>
  <c r="AI148" i="150"/>
  <c r="AU148" i="150" s="1"/>
  <c r="AD123" i="150"/>
  <c r="AP123" i="150" s="1"/>
  <c r="AH129" i="150"/>
  <c r="AT129" i="150" s="1"/>
  <c r="M19" i="151" s="1"/>
  <c r="M143" i="151" s="1"/>
  <c r="AD131" i="150"/>
  <c r="AP131" i="150" s="1"/>
  <c r="AL135" i="150"/>
  <c r="AX135" i="150" s="1"/>
  <c r="AH137" i="150"/>
  <c r="AT137" i="150" s="1"/>
  <c r="AL143" i="150"/>
  <c r="AX143" i="150" s="1"/>
  <c r="AD147" i="150"/>
  <c r="AP147" i="150" s="1"/>
  <c r="AK110" i="150"/>
  <c r="AW110" i="150" s="1"/>
  <c r="K56" i="151" s="1"/>
  <c r="K163" i="151" s="1"/>
  <c r="AI121" i="150"/>
  <c r="AU121" i="150" s="1"/>
  <c r="AM127" i="150"/>
  <c r="AE139" i="150"/>
  <c r="AQ139" i="150" s="1"/>
  <c r="AI145" i="150"/>
  <c r="AU145" i="150" s="1"/>
  <c r="AJ156" i="150"/>
  <c r="AJ157" i="150" s="1"/>
  <c r="AJ158" i="150" s="1"/>
  <c r="AJ159" i="150" s="1"/>
  <c r="AJ160" i="150" s="1"/>
  <c r="AJ161" i="150" s="1"/>
  <c r="AJ162" i="150" s="1"/>
  <c r="AJ163" i="150" s="1"/>
  <c r="AJ164" i="150" s="1"/>
  <c r="AJ165" i="150" s="1"/>
  <c r="AJ166" i="150" s="1"/>
  <c r="AJ167" i="150" s="1"/>
  <c r="AJ168" i="150" s="1"/>
  <c r="AJ169" i="150" s="1"/>
  <c r="AJ170" i="150" s="1"/>
  <c r="AJ171" i="150" s="1"/>
  <c r="AJ172" i="150" s="1"/>
  <c r="AJ173" i="150" s="1"/>
  <c r="AJ174" i="150" s="1"/>
  <c r="AJ175" i="150" s="1"/>
  <c r="AJ176" i="150" s="1"/>
  <c r="AJ177" i="150" s="1"/>
  <c r="AJ178" i="150" s="1"/>
  <c r="AJ179" i="150" s="1"/>
  <c r="AJ180" i="150" s="1"/>
  <c r="AJ181" i="150" s="1"/>
  <c r="AJ182" i="150" s="1"/>
  <c r="AJ183" i="150" s="1"/>
  <c r="AJ184" i="150" s="1"/>
  <c r="AJ185" i="150" s="1"/>
  <c r="AJ186" i="150" s="1"/>
  <c r="AJ187" i="150" s="1"/>
  <c r="AJ188" i="150" s="1"/>
  <c r="AJ189" i="150" s="1"/>
  <c r="AJ190" i="150" s="1"/>
  <c r="AJ191" i="150" s="1"/>
  <c r="AJ192" i="150" s="1"/>
  <c r="AJ193" i="150" s="1"/>
  <c r="AJ194" i="150" s="1"/>
  <c r="AJ195" i="150" s="1"/>
  <c r="AJ196" i="150" s="1"/>
  <c r="AJ197" i="150" s="1"/>
  <c r="AJ198" i="150" s="1"/>
  <c r="AJ199" i="150" s="1"/>
  <c r="AJ200" i="150" s="1"/>
  <c r="AJ201" i="150" s="1"/>
  <c r="AJ202" i="150" s="1"/>
  <c r="AJ203" i="150" s="1"/>
  <c r="AJ204" i="150" s="1"/>
  <c r="AJ205" i="150" s="1"/>
  <c r="AJ206" i="150" s="1"/>
  <c r="AJ207" i="150" s="1"/>
  <c r="AJ208" i="150" s="1"/>
  <c r="AJ209" i="150" s="1"/>
  <c r="AJ210" i="150" s="1"/>
  <c r="AJ211" i="150" s="1"/>
  <c r="AJ212" i="150" s="1"/>
  <c r="AJ213" i="150" s="1"/>
  <c r="AJ214" i="150" s="1"/>
  <c r="AJ215" i="150" s="1"/>
  <c r="AJ216" i="150" s="1"/>
  <c r="AJ217" i="150" s="1"/>
  <c r="AJ218" i="150" s="1"/>
  <c r="AJ219" i="150" s="1"/>
  <c r="AJ220" i="150" s="1"/>
  <c r="AJ221" i="150" s="1"/>
  <c r="AJ222" i="150" s="1"/>
  <c r="AJ223" i="150" s="1"/>
  <c r="AJ224" i="150" s="1"/>
  <c r="AJ225" i="150" s="1"/>
  <c r="AJ226" i="150" s="1"/>
  <c r="AJ227" i="150" s="1"/>
  <c r="AJ228" i="150" s="1"/>
  <c r="AJ229" i="150" s="1"/>
  <c r="AH104" i="150"/>
  <c r="AT104" i="150" s="1"/>
  <c r="AF123" i="150"/>
  <c r="AR123" i="150" s="1"/>
  <c r="L24" i="151" s="1"/>
  <c r="L144" i="151" s="1"/>
  <c r="AJ129" i="150"/>
  <c r="AV129" i="150" s="1"/>
  <c r="AF147" i="150"/>
  <c r="AR147" i="150" s="1"/>
  <c r="AG131" i="150"/>
  <c r="AS131" i="150" s="1"/>
  <c r="AK137" i="150"/>
  <c r="AD133" i="150"/>
  <c r="AP133" i="150" s="1"/>
  <c r="AD122" i="150"/>
  <c r="AP122" i="150" s="1"/>
  <c r="AI120" i="150"/>
  <c r="AU120" i="150" s="1"/>
  <c r="L43" i="151" s="1"/>
  <c r="L64" i="151" s="1"/>
  <c r="AC26" i="150"/>
  <c r="AC107" i="150" s="1"/>
  <c r="Q54" i="150"/>
  <c r="Q53" i="150"/>
  <c r="AC69" i="150"/>
  <c r="AO69" i="150" s="1"/>
  <c r="AC70" i="150"/>
  <c r="AC48" i="150"/>
  <c r="AC49" i="150"/>
  <c r="AC47" i="150"/>
  <c r="AO47" i="150" s="1"/>
  <c r="AC57" i="150"/>
  <c r="AC56" i="150"/>
  <c r="AO56" i="150" s="1"/>
  <c r="Q60" i="150"/>
  <c r="AO60" i="150" s="1"/>
  <c r="Q59" i="150"/>
  <c r="Q61" i="150"/>
  <c r="AO61" i="150" s="1"/>
  <c r="AC72" i="150"/>
  <c r="AO72" i="150" s="1"/>
  <c r="AC73" i="150"/>
  <c r="AC53" i="150"/>
  <c r="AC54" i="150"/>
  <c r="AC63" i="150"/>
  <c r="AC64" i="150"/>
  <c r="AC93" i="150"/>
  <c r="AC92" i="150"/>
  <c r="AC85" i="150"/>
  <c r="AC83" i="150"/>
  <c r="AG48" i="150"/>
  <c r="AS48" i="150" s="1"/>
  <c r="AM69" i="150"/>
  <c r="AY69" i="150" s="1"/>
  <c r="Q19" i="150"/>
  <c r="Q11" i="150"/>
  <c r="AO11" i="150" s="1"/>
  <c r="T55" i="150"/>
  <c r="AR55" i="150" s="1"/>
  <c r="X60" i="150"/>
  <c r="AV60" i="150" s="1"/>
  <c r="G46" i="151" s="1"/>
  <c r="Z75" i="150"/>
  <c r="AX75" i="150" s="1"/>
  <c r="H46" i="151" s="1"/>
  <c r="R86" i="150"/>
  <c r="AP86" i="150" s="1"/>
  <c r="AC66" i="150"/>
  <c r="AK77" i="150"/>
  <c r="AW77" i="150" s="1"/>
  <c r="AE56" i="150"/>
  <c r="AQ56" i="150" s="1"/>
  <c r="AC67" i="150"/>
  <c r="AK54" i="150"/>
  <c r="AW54" i="150" s="1"/>
  <c r="AI62" i="150"/>
  <c r="AU62" i="150" s="1"/>
  <c r="AE81" i="150"/>
  <c r="AQ81" i="150" s="1"/>
  <c r="AG73" i="150"/>
  <c r="AS73" i="150" s="1"/>
  <c r="H14" i="151" s="1"/>
  <c r="AI87" i="150"/>
  <c r="AU87" i="150" s="1"/>
  <c r="AG47" i="150"/>
  <c r="AS47" i="150" s="1"/>
  <c r="AK79" i="150"/>
  <c r="AM93" i="150"/>
  <c r="AY93" i="150" s="1"/>
  <c r="J51" i="151" s="1"/>
  <c r="AE58" i="150"/>
  <c r="AQ58" i="150" s="1"/>
  <c r="AM68" i="150"/>
  <c r="AY68" i="150" s="1"/>
  <c r="AK53" i="150"/>
  <c r="AW53" i="150" s="1"/>
  <c r="AI64" i="150"/>
  <c r="AU64" i="150" s="1"/>
  <c r="AE80" i="150"/>
  <c r="AQ80" i="150" s="1"/>
  <c r="AI86" i="150"/>
  <c r="AU86" i="150" s="1"/>
  <c r="AE156" i="150"/>
  <c r="AF156" i="150"/>
  <c r="AG156" i="150"/>
  <c r="AD156" i="150"/>
  <c r="AD157" i="150" s="1"/>
  <c r="AD158" i="150" s="1"/>
  <c r="AD159" i="150" s="1"/>
  <c r="AD160" i="150" s="1"/>
  <c r="AD161" i="150" s="1"/>
  <c r="AD162" i="150" s="1"/>
  <c r="AD163" i="150" s="1"/>
  <c r="AD164" i="150" s="1"/>
  <c r="AD165" i="150" s="1"/>
  <c r="AD166" i="150" s="1"/>
  <c r="AD167" i="150" s="1"/>
  <c r="AD168" i="150" s="1"/>
  <c r="AD169" i="150" s="1"/>
  <c r="AD170" i="150" s="1"/>
  <c r="AD171" i="150" s="1"/>
  <c r="AD172" i="150" s="1"/>
  <c r="AD173" i="150" s="1"/>
  <c r="AD174" i="150" s="1"/>
  <c r="AD175" i="150" s="1"/>
  <c r="AD176" i="150" s="1"/>
  <c r="AD177" i="150" s="1"/>
  <c r="AD178" i="150" s="1"/>
  <c r="AD179" i="150" s="1"/>
  <c r="AD180" i="150" s="1"/>
  <c r="AD181" i="150" s="1"/>
  <c r="AD182" i="150" s="1"/>
  <c r="AD183" i="150" s="1"/>
  <c r="AD184" i="150" s="1"/>
  <c r="AD185" i="150" s="1"/>
  <c r="AD186" i="150" s="1"/>
  <c r="AD187" i="150" s="1"/>
  <c r="AD188" i="150" s="1"/>
  <c r="AD189" i="150" s="1"/>
  <c r="AD190" i="150" s="1"/>
  <c r="AD191" i="150" s="1"/>
  <c r="AD192" i="150" s="1"/>
  <c r="AD193" i="150" s="1"/>
  <c r="AD194" i="150" s="1"/>
  <c r="AD195" i="150" s="1"/>
  <c r="AD196" i="150" s="1"/>
  <c r="AD197" i="150" s="1"/>
  <c r="AD198" i="150" s="1"/>
  <c r="AD199" i="150" s="1"/>
  <c r="AD200" i="150" s="1"/>
  <c r="AD201" i="150" s="1"/>
  <c r="AD202" i="150" s="1"/>
  <c r="AD203" i="150" s="1"/>
  <c r="AD204" i="150" s="1"/>
  <c r="AD205" i="150" s="1"/>
  <c r="AD206" i="150" s="1"/>
  <c r="AD207" i="150" s="1"/>
  <c r="AD208" i="150" s="1"/>
  <c r="AD209" i="150" s="1"/>
  <c r="AD210" i="150" s="1"/>
  <c r="AD211" i="150" s="1"/>
  <c r="AD212" i="150" s="1"/>
  <c r="AD213" i="150" s="1"/>
  <c r="AD214" i="150" s="1"/>
  <c r="AD215" i="150" s="1"/>
  <c r="AD216" i="150" s="1"/>
  <c r="AD217" i="150" s="1"/>
  <c r="AD218" i="150" s="1"/>
  <c r="AD219" i="150" s="1"/>
  <c r="AD220" i="150" s="1"/>
  <c r="AD221" i="150" s="1"/>
  <c r="AD222" i="150" s="1"/>
  <c r="AD223" i="150" s="1"/>
  <c r="AD224" i="150" s="1"/>
  <c r="AD225" i="150" s="1"/>
  <c r="AD226" i="150" s="1"/>
  <c r="AD227" i="150" s="1"/>
  <c r="AD228" i="150" s="1"/>
  <c r="AD229" i="150" s="1"/>
  <c r="AD230" i="150" s="1"/>
  <c r="AD231" i="150" s="1"/>
  <c r="AD232" i="150" s="1"/>
  <c r="AC44" i="150"/>
  <c r="AC45" i="150"/>
  <c r="AC46" i="150"/>
  <c r="AC136" i="150"/>
  <c r="AH44" i="150"/>
  <c r="AH156" i="150" s="1"/>
  <c r="AM45" i="150"/>
  <c r="AM156" i="150" s="1"/>
  <c r="AM157" i="150" s="1"/>
  <c r="AM158" i="150" s="1"/>
  <c r="AM159" i="150" s="1"/>
  <c r="AM160" i="150" s="1"/>
  <c r="AM161" i="150" s="1"/>
  <c r="AM162" i="150" s="1"/>
  <c r="AM163" i="150" s="1"/>
  <c r="AM164" i="150" s="1"/>
  <c r="AM165" i="150" s="1"/>
  <c r="AM166" i="150" s="1"/>
  <c r="AM167" i="150" s="1"/>
  <c r="AM168" i="150" s="1"/>
  <c r="AM169" i="150" s="1"/>
  <c r="AM170" i="150" s="1"/>
  <c r="AM171" i="150" s="1"/>
  <c r="AM172" i="150" s="1"/>
  <c r="AM173" i="150" s="1"/>
  <c r="AM174" i="150" s="1"/>
  <c r="AM175" i="150" s="1"/>
  <c r="AM176" i="150" s="1"/>
  <c r="AM177" i="150" s="1"/>
  <c r="AM178" i="150" s="1"/>
  <c r="AC59" i="150"/>
  <c r="AC75" i="150"/>
  <c r="AC91" i="150"/>
  <c r="AC123" i="150"/>
  <c r="AC139" i="150"/>
  <c r="AE149" i="150"/>
  <c r="AJ150" i="150"/>
  <c r="AI44" i="150"/>
  <c r="AI156" i="150" s="1"/>
  <c r="AC62" i="150"/>
  <c r="AC78" i="150"/>
  <c r="AC94" i="150"/>
  <c r="AC110" i="150"/>
  <c r="AC126" i="150"/>
  <c r="AC142" i="150"/>
  <c r="AF149" i="150"/>
  <c r="AK150" i="150"/>
  <c r="AC81" i="150"/>
  <c r="AC97" i="150"/>
  <c r="AC113" i="150"/>
  <c r="AC129" i="150"/>
  <c r="AC145" i="150"/>
  <c r="AG149" i="150"/>
  <c r="AL150" i="150"/>
  <c r="AK44" i="150"/>
  <c r="AK156" i="150" s="1"/>
  <c r="AE46" i="150"/>
  <c r="AQ46" i="150" s="1"/>
  <c r="AC52" i="150"/>
  <c r="AC68" i="150"/>
  <c r="AC84" i="150"/>
  <c r="AO84" i="150" s="1"/>
  <c r="AC100" i="150"/>
  <c r="AO100" i="150" s="1"/>
  <c r="AC116" i="150"/>
  <c r="AC132" i="150"/>
  <c r="AC148" i="150"/>
  <c r="AH149" i="150"/>
  <c r="AM150" i="150"/>
  <c r="AL44" i="150"/>
  <c r="AL156" i="150" s="1"/>
  <c r="AL157" i="150" s="1"/>
  <c r="AL158" i="150" s="1"/>
  <c r="AL159" i="150" s="1"/>
  <c r="AL160" i="150" s="1"/>
  <c r="AL161" i="150" s="1"/>
  <c r="AL162" i="150" s="1"/>
  <c r="AL163" i="150" s="1"/>
  <c r="AL164" i="150" s="1"/>
  <c r="AL165" i="150" s="1"/>
  <c r="AL166" i="150" s="1"/>
  <c r="AL167" i="150" s="1"/>
  <c r="AL168" i="150" s="1"/>
  <c r="AL169" i="150" s="1"/>
  <c r="AL170" i="150" s="1"/>
  <c r="AL171" i="150" s="1"/>
  <c r="AL172" i="150" s="1"/>
  <c r="AL173" i="150" s="1"/>
  <c r="AL174" i="150" s="1"/>
  <c r="AL175" i="150" s="1"/>
  <c r="AL176" i="150" s="1"/>
  <c r="AL177" i="150" s="1"/>
  <c r="AL178" i="150" s="1"/>
  <c r="AL179" i="150" s="1"/>
  <c r="AL180" i="150" s="1"/>
  <c r="AL181" i="150" s="1"/>
  <c r="AL182" i="150" s="1"/>
  <c r="AL183" i="150" s="1"/>
  <c r="AL184" i="150" s="1"/>
  <c r="AL185" i="150" s="1"/>
  <c r="AL186" i="150" s="1"/>
  <c r="AL187" i="150" s="1"/>
  <c r="AL188" i="150" s="1"/>
  <c r="AL189" i="150" s="1"/>
  <c r="AL190" i="150" s="1"/>
  <c r="AL191" i="150" s="1"/>
  <c r="AL192" i="150" s="1"/>
  <c r="AL193" i="150" s="1"/>
  <c r="AL194" i="150" s="1"/>
  <c r="AL195" i="150" s="1"/>
  <c r="AL196" i="150" s="1"/>
  <c r="AL197" i="150" s="1"/>
  <c r="AL198" i="150" s="1"/>
  <c r="AL199" i="150" s="1"/>
  <c r="AL200" i="150" s="1"/>
  <c r="AL201" i="150" s="1"/>
  <c r="AL202" i="150" s="1"/>
  <c r="AL203" i="150" s="1"/>
  <c r="AL204" i="150" s="1"/>
  <c r="AL205" i="150" s="1"/>
  <c r="AL206" i="150" s="1"/>
  <c r="AL207" i="150" s="1"/>
  <c r="AL208" i="150" s="1"/>
  <c r="AL209" i="150" s="1"/>
  <c r="AL210" i="150" s="1"/>
  <c r="AL211" i="150" s="1"/>
  <c r="AL212" i="150" s="1"/>
  <c r="AL213" i="150" s="1"/>
  <c r="AL214" i="150" s="1"/>
  <c r="AL215" i="150" s="1"/>
  <c r="AL216" i="150" s="1"/>
  <c r="AL217" i="150" s="1"/>
  <c r="AL218" i="150" s="1"/>
  <c r="AL219" i="150" s="1"/>
  <c r="AL220" i="150" s="1"/>
  <c r="AL221" i="150" s="1"/>
  <c r="AL222" i="150" s="1"/>
  <c r="AL223" i="150" s="1"/>
  <c r="AL224" i="150" s="1"/>
  <c r="AL225" i="150" s="1"/>
  <c r="AL226" i="150" s="1"/>
  <c r="AL227" i="150" s="1"/>
  <c r="AL228" i="150" s="1"/>
  <c r="AL229" i="150" s="1"/>
  <c r="AF46" i="150"/>
  <c r="AR46" i="150" s="1"/>
  <c r="AC55" i="150"/>
  <c r="AC71" i="150"/>
  <c r="AC87" i="150"/>
  <c r="AC103" i="150"/>
  <c r="AC119" i="150"/>
  <c r="AO119" i="150" s="1"/>
  <c r="AC135" i="150"/>
  <c r="AI149" i="150"/>
  <c r="AG46" i="150"/>
  <c r="AS46" i="150" s="1"/>
  <c r="AC58" i="150"/>
  <c r="AC90" i="150"/>
  <c r="AC106" i="150"/>
  <c r="AC122" i="150"/>
  <c r="AC138" i="150"/>
  <c r="AJ149" i="150"/>
  <c r="AD151" i="150"/>
  <c r="AC88" i="150"/>
  <c r="AH46" i="150"/>
  <c r="AT46" i="150" s="1"/>
  <c r="AC77" i="150"/>
  <c r="AC125" i="150"/>
  <c r="AC141" i="150"/>
  <c r="AK149" i="150"/>
  <c r="AE151" i="150"/>
  <c r="AI46" i="150"/>
  <c r="AU46" i="150" s="1"/>
  <c r="AC80" i="150"/>
  <c r="AO80" i="150" s="1"/>
  <c r="AC128" i="150"/>
  <c r="AC144" i="150"/>
  <c r="AL149" i="150"/>
  <c r="AF151" i="150"/>
  <c r="AC99" i="150"/>
  <c r="AC131" i="150"/>
  <c r="AC147" i="150"/>
  <c r="AM149" i="150"/>
  <c r="AG151" i="150"/>
  <c r="AH151" i="150"/>
  <c r="AK46" i="150"/>
  <c r="AK157" i="150" s="1"/>
  <c r="AK158" i="150" s="1"/>
  <c r="AK159" i="150" s="1"/>
  <c r="AK160" i="150" s="1"/>
  <c r="AK161" i="150" s="1"/>
  <c r="AK162" i="150" s="1"/>
  <c r="AK163" i="150" s="1"/>
  <c r="Z44" i="150"/>
  <c r="Z45" i="150"/>
  <c r="AX45" i="150" s="1"/>
  <c r="T44" i="150"/>
  <c r="AR44" i="150" s="1"/>
  <c r="U45" i="150"/>
  <c r="Q45" i="150"/>
  <c r="Q156" i="150" s="1"/>
  <c r="N45" i="150"/>
  <c r="N156" i="150" s="1"/>
  <c r="O45" i="150"/>
  <c r="O156" i="150" s="1"/>
  <c r="O157" i="150" s="1"/>
  <c r="O158" i="150" s="1"/>
  <c r="O159" i="150" s="1"/>
  <c r="O160" i="150" s="1"/>
  <c r="O161" i="150" s="1"/>
  <c r="O162" i="150" s="1"/>
  <c r="O163" i="150" s="1"/>
  <c r="O164" i="150" s="1"/>
  <c r="O165" i="150" s="1"/>
  <c r="O166" i="150" s="1"/>
  <c r="O167" i="150" s="1"/>
  <c r="O168" i="150" s="1"/>
  <c r="O169" i="150" s="1"/>
  <c r="O170" i="150" s="1"/>
  <c r="O171" i="150" s="1"/>
  <c r="O172" i="150" s="1"/>
  <c r="O173" i="150" s="1"/>
  <c r="O174" i="150" s="1"/>
  <c r="O175" i="150" s="1"/>
  <c r="O176" i="150" s="1"/>
  <c r="O177" i="150" s="1"/>
  <c r="O178" i="150" s="1"/>
  <c r="O179" i="150" s="1"/>
  <c r="O180" i="150" s="1"/>
  <c r="O181" i="150" s="1"/>
  <c r="O182" i="150" s="1"/>
  <c r="O183" i="150" s="1"/>
  <c r="O184" i="150" s="1"/>
  <c r="O185" i="150" s="1"/>
  <c r="O186" i="150" s="1"/>
  <c r="O187" i="150" s="1"/>
  <c r="O188" i="150" s="1"/>
  <c r="O189" i="150" s="1"/>
  <c r="O190" i="150" s="1"/>
  <c r="O191" i="150" s="1"/>
  <c r="O192" i="150" s="1"/>
  <c r="O193" i="150" s="1"/>
  <c r="O194" i="150" s="1"/>
  <c r="O195" i="150" s="1"/>
  <c r="O196" i="150" s="1"/>
  <c r="O197" i="150" s="1"/>
  <c r="O198" i="150" s="1"/>
  <c r="O199" i="150" s="1"/>
  <c r="O200" i="150" s="1"/>
  <c r="O201" i="150" s="1"/>
  <c r="O202" i="150" s="1"/>
  <c r="O203" i="150" s="1"/>
  <c r="O204" i="150" s="1"/>
  <c r="O205" i="150" s="1"/>
  <c r="O206" i="150" s="1"/>
  <c r="M156" i="150"/>
  <c r="M157" i="150" s="1"/>
  <c r="M158" i="150" s="1"/>
  <c r="M159" i="150" s="1"/>
  <c r="M160" i="150" s="1"/>
  <c r="N46" i="150"/>
  <c r="J45" i="150"/>
  <c r="J156" i="150" s="1"/>
  <c r="J157" i="150" s="1"/>
  <c r="J158" i="150" s="1"/>
  <c r="J159" i="150" s="1"/>
  <c r="J160" i="150" s="1"/>
  <c r="J161" i="150" s="1"/>
  <c r="J162" i="150" s="1"/>
  <c r="J163" i="150" s="1"/>
  <c r="J164" i="150" s="1"/>
  <c r="J165" i="150" s="1"/>
  <c r="J166" i="150" s="1"/>
  <c r="J167" i="150" s="1"/>
  <c r="J168" i="150" s="1"/>
  <c r="J169" i="150" s="1"/>
  <c r="J170" i="150" s="1"/>
  <c r="J171" i="150" s="1"/>
  <c r="J172" i="150" s="1"/>
  <c r="J173" i="150" s="1"/>
  <c r="J174" i="150" s="1"/>
  <c r="J175" i="150" s="1"/>
  <c r="J176" i="150" s="1"/>
  <c r="J177" i="150" s="1"/>
  <c r="J178" i="150" s="1"/>
  <c r="J179" i="150" s="1"/>
  <c r="J180" i="150" s="1"/>
  <c r="J181" i="150" s="1"/>
  <c r="J182" i="150" s="1"/>
  <c r="J183" i="150" s="1"/>
  <c r="J184" i="150" s="1"/>
  <c r="J185" i="150" s="1"/>
  <c r="J186" i="150" s="1"/>
  <c r="J187" i="150" s="1"/>
  <c r="J188" i="150" s="1"/>
  <c r="J189" i="150" s="1"/>
  <c r="J190" i="150" s="1"/>
  <c r="J191" i="150" s="1"/>
  <c r="J192" i="150" s="1"/>
  <c r="J193" i="150" s="1"/>
  <c r="J194" i="150" s="1"/>
  <c r="J195" i="150" s="1"/>
  <c r="J196" i="150" s="1"/>
  <c r="J197" i="150" s="1"/>
  <c r="J198" i="150" s="1"/>
  <c r="J199" i="150" s="1"/>
  <c r="J200" i="150" s="1"/>
  <c r="J201" i="150" s="1"/>
  <c r="J202" i="150" s="1"/>
  <c r="J203" i="150" s="1"/>
  <c r="J204" i="150" s="1"/>
  <c r="J205" i="150" s="1"/>
  <c r="J206" i="150" s="1"/>
  <c r="J207" i="150" s="1"/>
  <c r="J208" i="150" s="1"/>
  <c r="J209" i="150" s="1"/>
  <c r="J210" i="150" s="1"/>
  <c r="J211" i="150" s="1"/>
  <c r="J212" i="150" s="1"/>
  <c r="J213" i="150" s="1"/>
  <c r="J214" i="150" s="1"/>
  <c r="J215" i="150" s="1"/>
  <c r="J216" i="150" s="1"/>
  <c r="J217" i="150" s="1"/>
  <c r="J218" i="150" s="1"/>
  <c r="J219" i="150" s="1"/>
  <c r="J220" i="150" s="1"/>
  <c r="J221" i="150" s="1"/>
  <c r="J222" i="150" s="1"/>
  <c r="J223" i="150" s="1"/>
  <c r="J224" i="150" s="1"/>
  <c r="J225" i="150" s="1"/>
  <c r="J226" i="150" s="1"/>
  <c r="J227" i="150" s="1"/>
  <c r="J228" i="150" s="1"/>
  <c r="J229" i="150" s="1"/>
  <c r="J230" i="150" s="1"/>
  <c r="J231" i="150" s="1"/>
  <c r="J232" i="150" s="1"/>
  <c r="J233" i="150" s="1"/>
  <c r="J234" i="150" s="1"/>
  <c r="J235" i="150" s="1"/>
  <c r="J236" i="150" s="1"/>
  <c r="J237" i="150" s="1"/>
  <c r="J238" i="150" s="1"/>
  <c r="J239" i="150" s="1"/>
  <c r="J240" i="150" s="1"/>
  <c r="I46" i="150"/>
  <c r="D156" i="150"/>
  <c r="D157" i="150" s="1"/>
  <c r="D158" i="150" s="1"/>
  <c r="D159" i="150" s="1"/>
  <c r="D160" i="150" s="1"/>
  <c r="D161" i="150" s="1"/>
  <c r="D162" i="150" s="1"/>
  <c r="D163" i="150" s="1"/>
  <c r="D164" i="150" s="1"/>
  <c r="D165" i="150" s="1"/>
  <c r="D166" i="150" s="1"/>
  <c r="D167" i="150" s="1"/>
  <c r="D168" i="150" s="1"/>
  <c r="D169" i="150" s="1"/>
  <c r="D170" i="150" s="1"/>
  <c r="D171" i="150" s="1"/>
  <c r="D172" i="150" s="1"/>
  <c r="D173" i="150" s="1"/>
  <c r="D174" i="150" s="1"/>
  <c r="D175" i="150" s="1"/>
  <c r="D176" i="150" s="1"/>
  <c r="D177" i="150" s="1"/>
  <c r="D178" i="150" s="1"/>
  <c r="D179" i="150" s="1"/>
  <c r="D180" i="150" s="1"/>
  <c r="D181" i="150" s="1"/>
  <c r="D182" i="150" s="1"/>
  <c r="D183" i="150" s="1"/>
  <c r="D184" i="150" s="1"/>
  <c r="D185" i="150" s="1"/>
  <c r="D186" i="150" s="1"/>
  <c r="D187" i="150" s="1"/>
  <c r="D188" i="150" s="1"/>
  <c r="D189" i="150" s="1"/>
  <c r="D190" i="150" s="1"/>
  <c r="D191" i="150" s="1"/>
  <c r="D192" i="150" s="1"/>
  <c r="D193" i="150" s="1"/>
  <c r="D194" i="150" s="1"/>
  <c r="D195" i="150" s="1"/>
  <c r="D196" i="150" s="1"/>
  <c r="D197" i="150" s="1"/>
  <c r="D198" i="150" s="1"/>
  <c r="D199" i="150" s="1"/>
  <c r="D200" i="150" s="1"/>
  <c r="D201" i="150" s="1"/>
  <c r="D202" i="150" s="1"/>
  <c r="D203" i="150" s="1"/>
  <c r="D204" i="150" s="1"/>
  <c r="D205" i="150" s="1"/>
  <c r="D206" i="150" s="1"/>
  <c r="D207" i="150" s="1"/>
  <c r="D208" i="150" s="1"/>
  <c r="D209" i="150" s="1"/>
  <c r="D210" i="150" s="1"/>
  <c r="D211" i="150" s="1"/>
  <c r="D212" i="150" s="1"/>
  <c r="D213" i="150" s="1"/>
  <c r="D214" i="150" s="1"/>
  <c r="D215" i="150" s="1"/>
  <c r="D216" i="150" s="1"/>
  <c r="D217" i="150" s="1"/>
  <c r="D218" i="150" s="1"/>
  <c r="D219" i="150" s="1"/>
  <c r="D220" i="150" s="1"/>
  <c r="D221" i="150" s="1"/>
  <c r="D222" i="150" s="1"/>
  <c r="D223" i="150" s="1"/>
  <c r="D224" i="150" s="1"/>
  <c r="D225" i="150" s="1"/>
  <c r="D226" i="150" s="1"/>
  <c r="D227" i="150" s="1"/>
  <c r="D228" i="150" s="1"/>
  <c r="D229" i="150" s="1"/>
  <c r="D230" i="150" s="1"/>
  <c r="D231" i="150" s="1"/>
  <c r="D232" i="150" s="1"/>
  <c r="D233" i="150" s="1"/>
  <c r="D234" i="150" s="1"/>
  <c r="D235" i="150" s="1"/>
  <c r="D236" i="150" s="1"/>
  <c r="D237" i="150" s="1"/>
  <c r="D238" i="150" s="1"/>
  <c r="D239" i="150" s="1"/>
  <c r="D240" i="150" s="1"/>
  <c r="D241" i="150" s="1"/>
  <c r="D242" i="150" s="1"/>
  <c r="D243" i="150" s="1"/>
  <c r="D244" i="150" s="1"/>
  <c r="D245" i="150" s="1"/>
  <c r="D246" i="150" s="1"/>
  <c r="D247" i="150" s="1"/>
  <c r="D248" i="150" s="1"/>
  <c r="D249" i="150" s="1"/>
  <c r="D250" i="150" s="1"/>
  <c r="D251" i="150" s="1"/>
  <c r="D252" i="150" s="1"/>
  <c r="D253" i="150" s="1"/>
  <c r="D254" i="150" s="1"/>
  <c r="D255" i="150" s="1"/>
  <c r="D256" i="150" s="1"/>
  <c r="D257" i="150" s="1"/>
  <c r="D258" i="150" s="1"/>
  <c r="D259" i="150" s="1"/>
  <c r="Q150" i="150"/>
  <c r="Q149" i="150"/>
  <c r="Q151" i="150"/>
  <c r="E149" i="150"/>
  <c r="E151" i="150"/>
  <c r="E150" i="150"/>
  <c r="E67" i="150"/>
  <c r="E77" i="150"/>
  <c r="E117" i="150"/>
  <c r="E116" i="150"/>
  <c r="E118" i="150"/>
  <c r="E72" i="150"/>
  <c r="Q52" i="150"/>
  <c r="AO52" i="150" s="1"/>
  <c r="E65" i="150"/>
  <c r="Q68" i="150"/>
  <c r="AO68" i="150" s="1"/>
  <c r="Q139" i="150"/>
  <c r="AO139" i="150" s="1"/>
  <c r="Q138" i="150"/>
  <c r="Q137" i="150"/>
  <c r="AO137" i="150" s="1"/>
  <c r="Q73" i="150"/>
  <c r="AO73" i="150" s="1"/>
  <c r="E85" i="150"/>
  <c r="Q90" i="150"/>
  <c r="Q89" i="150"/>
  <c r="AO89" i="150" s="1"/>
  <c r="E92" i="150"/>
  <c r="E94" i="150"/>
  <c r="Q117" i="150"/>
  <c r="AO117" i="150" s="1"/>
  <c r="Q116" i="150"/>
  <c r="Q118" i="150"/>
  <c r="AO118" i="150" s="1"/>
  <c r="Q50" i="150"/>
  <c r="AO50" i="150" s="1"/>
  <c r="G33" i="151"/>
  <c r="G35" i="151" s="1"/>
  <c r="E63" i="150"/>
  <c r="Q66" i="150"/>
  <c r="AO66" i="150" s="1"/>
  <c r="E70" i="150"/>
  <c r="Q81" i="150"/>
  <c r="R150" i="150"/>
  <c r="AP150" i="150" s="1"/>
  <c r="R149" i="150"/>
  <c r="AP149" i="150" s="1"/>
  <c r="R151" i="150"/>
  <c r="E54" i="150"/>
  <c r="Q57" i="150"/>
  <c r="Q71" i="150"/>
  <c r="E147" i="150"/>
  <c r="E146" i="150"/>
  <c r="E148" i="150"/>
  <c r="M150" i="150"/>
  <c r="M149" i="150"/>
  <c r="M151" i="150"/>
  <c r="E120" i="150"/>
  <c r="E119" i="150"/>
  <c r="E121" i="150"/>
  <c r="Q120" i="150"/>
  <c r="Q121" i="150"/>
  <c r="F65" i="151"/>
  <c r="K155" i="150"/>
  <c r="K156" i="150" s="1"/>
  <c r="K157" i="150" s="1"/>
  <c r="K158" i="150" s="1"/>
  <c r="K159" i="150" s="1"/>
  <c r="K160" i="150" s="1"/>
  <c r="K161" i="150" s="1"/>
  <c r="K162" i="150" s="1"/>
  <c r="K163" i="150" s="1"/>
  <c r="K164" i="150" s="1"/>
  <c r="K165" i="150" s="1"/>
  <c r="K166" i="150" s="1"/>
  <c r="K167" i="150" s="1"/>
  <c r="K168" i="150" s="1"/>
  <c r="K169" i="150" s="1"/>
  <c r="K170" i="150" s="1"/>
  <c r="K171" i="150" s="1"/>
  <c r="K172" i="150" s="1"/>
  <c r="K173" i="150" s="1"/>
  <c r="K174" i="150" s="1"/>
  <c r="K175" i="150" s="1"/>
  <c r="K176" i="150" s="1"/>
  <c r="K177" i="150" s="1"/>
  <c r="K178" i="150" s="1"/>
  <c r="K179" i="150" s="1"/>
  <c r="K180" i="150" s="1"/>
  <c r="K181" i="150" s="1"/>
  <c r="K182" i="150" s="1"/>
  <c r="K183" i="150" s="1"/>
  <c r="K184" i="150" s="1"/>
  <c r="K185" i="150" s="1"/>
  <c r="K186" i="150" s="1"/>
  <c r="K187" i="150" s="1"/>
  <c r="K188" i="150" s="1"/>
  <c r="K189" i="150" s="1"/>
  <c r="K190" i="150" s="1"/>
  <c r="K191" i="150" s="1"/>
  <c r="K192" i="150" s="1"/>
  <c r="K193" i="150" s="1"/>
  <c r="K194" i="150" s="1"/>
  <c r="K195" i="150" s="1"/>
  <c r="K196" i="150" s="1"/>
  <c r="K197" i="150" s="1"/>
  <c r="K198" i="150" s="1"/>
  <c r="K199" i="150" s="1"/>
  <c r="K200" i="150" s="1"/>
  <c r="K201" i="150" s="1"/>
  <c r="K202" i="150" s="1"/>
  <c r="E45" i="150"/>
  <c r="E156" i="150" s="1"/>
  <c r="E52" i="150"/>
  <c r="Q55" i="150"/>
  <c r="E68" i="150"/>
  <c r="E78" i="150"/>
  <c r="Q95" i="150"/>
  <c r="AO95" i="150" s="1"/>
  <c r="Q97" i="150"/>
  <c r="AO97" i="150" s="1"/>
  <c r="E47" i="150"/>
  <c r="E98" i="150"/>
  <c r="E100" i="150"/>
  <c r="E99" i="150"/>
  <c r="S150" i="150"/>
  <c r="AQ150" i="150" s="1"/>
  <c r="S149" i="150"/>
  <c r="S151" i="150"/>
  <c r="AQ151" i="150" s="1"/>
  <c r="D149" i="150"/>
  <c r="D151" i="150"/>
  <c r="D150" i="150"/>
  <c r="Q79" i="150"/>
  <c r="AO79" i="150" s="1"/>
  <c r="Q78" i="150"/>
  <c r="AO78" i="150" s="1"/>
  <c r="Q101" i="150"/>
  <c r="AO101" i="150" s="1"/>
  <c r="Q103" i="150"/>
  <c r="Q102" i="150"/>
  <c r="AO102" i="150" s="1"/>
  <c r="Q127" i="150"/>
  <c r="AO127" i="150" s="1"/>
  <c r="Q125" i="150"/>
  <c r="Q126" i="150"/>
  <c r="AO126" i="150" s="1"/>
  <c r="V149" i="150"/>
  <c r="V151" i="150"/>
  <c r="AT151" i="150" s="1"/>
  <c r="G156" i="150"/>
  <c r="G157" i="150" s="1"/>
  <c r="G158" i="150" s="1"/>
  <c r="G159" i="150" s="1"/>
  <c r="G160" i="150" s="1"/>
  <c r="G161" i="150" s="1"/>
  <c r="G162" i="150" s="1"/>
  <c r="G163" i="150" s="1"/>
  <c r="G164" i="150" s="1"/>
  <c r="G165" i="150" s="1"/>
  <c r="G166" i="150" s="1"/>
  <c r="G167" i="150" s="1"/>
  <c r="G168" i="150" s="1"/>
  <c r="G169" i="150" s="1"/>
  <c r="G170" i="150" s="1"/>
  <c r="G171" i="150" s="1"/>
  <c r="G172" i="150" s="1"/>
  <c r="G173" i="150" s="1"/>
  <c r="G174" i="150" s="1"/>
  <c r="G175" i="150" s="1"/>
  <c r="G176" i="150" s="1"/>
  <c r="G177" i="150" s="1"/>
  <c r="G178" i="150" s="1"/>
  <c r="G179" i="150" s="1"/>
  <c r="G180" i="150" s="1"/>
  <c r="G181" i="150" s="1"/>
  <c r="G182" i="150" s="1"/>
  <c r="G183" i="150" s="1"/>
  <c r="G184" i="150" s="1"/>
  <c r="G185" i="150" s="1"/>
  <c r="G186" i="150" s="1"/>
  <c r="G187" i="150" s="1"/>
  <c r="G188" i="150" s="1"/>
  <c r="G189" i="150" s="1"/>
  <c r="G190" i="150" s="1"/>
  <c r="G191" i="150" s="1"/>
  <c r="G192" i="150" s="1"/>
  <c r="G193" i="150" s="1"/>
  <c r="G194" i="150" s="1"/>
  <c r="G195" i="150" s="1"/>
  <c r="G196" i="150" s="1"/>
  <c r="G197" i="150" s="1"/>
  <c r="G198" i="150" s="1"/>
  <c r="G199" i="150" s="1"/>
  <c r="G200" i="150" s="1"/>
  <c r="G201" i="150" s="1"/>
  <c r="Q46" i="150"/>
  <c r="AO46" i="150" s="1"/>
  <c r="E59" i="150"/>
  <c r="H33" i="151"/>
  <c r="H35" i="151" s="1"/>
  <c r="E73" i="150"/>
  <c r="I65" i="151"/>
  <c r="I159" i="151" s="1"/>
  <c r="Q143" i="150"/>
  <c r="AO143" i="150" s="1"/>
  <c r="Q145" i="150"/>
  <c r="Q144" i="150"/>
  <c r="H156" i="150"/>
  <c r="H157" i="150" s="1"/>
  <c r="H158" i="150" s="1"/>
  <c r="H159" i="150" s="1"/>
  <c r="H160" i="150" s="1"/>
  <c r="H161" i="150" s="1"/>
  <c r="H162" i="150" s="1"/>
  <c r="H163" i="150" s="1"/>
  <c r="H164" i="150" s="1"/>
  <c r="H165" i="150" s="1"/>
  <c r="H166" i="150" s="1"/>
  <c r="H167" i="150" s="1"/>
  <c r="H168" i="150" s="1"/>
  <c r="H169" i="150" s="1"/>
  <c r="H170" i="150" s="1"/>
  <c r="H171" i="150" s="1"/>
  <c r="H172" i="150" s="1"/>
  <c r="H173" i="150" s="1"/>
  <c r="H174" i="150" s="1"/>
  <c r="H175" i="150" s="1"/>
  <c r="H176" i="150" s="1"/>
  <c r="H177" i="150" s="1"/>
  <c r="H178" i="150" s="1"/>
  <c r="H179" i="150" s="1"/>
  <c r="H180" i="150" s="1"/>
  <c r="H181" i="150" s="1"/>
  <c r="H182" i="150" s="1"/>
  <c r="H183" i="150" s="1"/>
  <c r="H184" i="150" s="1"/>
  <c r="H185" i="150" s="1"/>
  <c r="H186" i="150" s="1"/>
  <c r="H187" i="150" s="1"/>
  <c r="H188" i="150" s="1"/>
  <c r="H189" i="150" s="1"/>
  <c r="H190" i="150" s="1"/>
  <c r="H191" i="150" s="1"/>
  <c r="H192" i="150" s="1"/>
  <c r="H193" i="150" s="1"/>
  <c r="H194" i="150" s="1"/>
  <c r="H195" i="150" s="1"/>
  <c r="H196" i="150" s="1"/>
  <c r="H197" i="150" s="1"/>
  <c r="H198" i="150" s="1"/>
  <c r="H199" i="150" s="1"/>
  <c r="H200" i="150" s="1"/>
  <c r="H201" i="150" s="1"/>
  <c r="H202" i="150" s="1"/>
  <c r="H203" i="150" s="1"/>
  <c r="H204" i="150" s="1"/>
  <c r="H205" i="150" s="1"/>
  <c r="H206" i="150" s="1"/>
  <c r="H207" i="150" s="1"/>
  <c r="H208" i="150" s="1"/>
  <c r="H209" i="150" s="1"/>
  <c r="H210" i="150" s="1"/>
  <c r="H211" i="150" s="1"/>
  <c r="H212" i="150" s="1"/>
  <c r="H213" i="150" s="1"/>
  <c r="H214" i="150" s="1"/>
  <c r="H215" i="150" s="1"/>
  <c r="H216" i="150" s="1"/>
  <c r="H217" i="150" s="1"/>
  <c r="H218" i="150" s="1"/>
  <c r="H219" i="150" s="1"/>
  <c r="H220" i="150" s="1"/>
  <c r="H221" i="150" s="1"/>
  <c r="H222" i="150" s="1"/>
  <c r="H223" i="150" s="1"/>
  <c r="H224" i="150" s="1"/>
  <c r="H225" i="150" s="1"/>
  <c r="H226" i="150" s="1"/>
  <c r="H227" i="150" s="1"/>
  <c r="H228" i="150" s="1"/>
  <c r="H229" i="150" s="1"/>
  <c r="H230" i="150" s="1"/>
  <c r="H231" i="150" s="1"/>
  <c r="H232" i="150" s="1"/>
  <c r="H233" i="150" s="1"/>
  <c r="H234" i="150" s="1"/>
  <c r="H235" i="150" s="1"/>
  <c r="H236" i="150" s="1"/>
  <c r="H237" i="150" s="1"/>
  <c r="H238" i="150" s="1"/>
  <c r="H239" i="150" s="1"/>
  <c r="H240" i="150" s="1"/>
  <c r="H241" i="150" s="1"/>
  <c r="H242" i="150" s="1"/>
  <c r="H243" i="150" s="1"/>
  <c r="H244" i="150" s="1"/>
  <c r="H245" i="150" s="1"/>
  <c r="H246" i="150" s="1"/>
  <c r="H247" i="150" s="1"/>
  <c r="H248" i="150" s="1"/>
  <c r="H249" i="150" s="1"/>
  <c r="H250" i="150" s="1"/>
  <c r="H251" i="150" s="1"/>
  <c r="H252" i="150" s="1"/>
  <c r="H253" i="150" s="1"/>
  <c r="H254" i="150" s="1"/>
  <c r="H255" i="150" s="1"/>
  <c r="H256" i="150" s="1"/>
  <c r="H257" i="150" s="1"/>
  <c r="H258" i="150" s="1"/>
  <c r="H259" i="150" s="1"/>
  <c r="G65" i="151"/>
  <c r="E96" i="150"/>
  <c r="E95" i="150"/>
  <c r="Q123" i="150"/>
  <c r="AO123" i="150" s="1"/>
  <c r="Q122" i="150"/>
  <c r="Q124" i="150"/>
  <c r="AO124" i="150" s="1"/>
  <c r="Q148" i="150"/>
  <c r="Q147" i="150"/>
  <c r="Q146" i="150"/>
  <c r="AO146" i="150" s="1"/>
  <c r="Q48" i="150"/>
  <c r="AO48" i="150" s="1"/>
  <c r="E80" i="150"/>
  <c r="E82" i="150"/>
  <c r="E129" i="150"/>
  <c r="E128" i="150"/>
  <c r="E130" i="150"/>
  <c r="Q104" i="150"/>
  <c r="Q106" i="150"/>
  <c r="Q105" i="150"/>
  <c r="AO105" i="150" s="1"/>
  <c r="Q129" i="150"/>
  <c r="Q128" i="150"/>
  <c r="AO128" i="150" s="1"/>
  <c r="Q130" i="150"/>
  <c r="AO130" i="150" s="1"/>
  <c r="G149" i="150"/>
  <c r="G151" i="150"/>
  <c r="G150" i="150"/>
  <c r="X149" i="150"/>
  <c r="AV149" i="150" s="1"/>
  <c r="X151" i="150"/>
  <c r="AV151" i="150" s="1"/>
  <c r="X150" i="150"/>
  <c r="AV150" i="150" s="1"/>
  <c r="I156" i="150"/>
  <c r="Q82" i="150"/>
  <c r="AO82" i="150" s="1"/>
  <c r="Q96" i="150"/>
  <c r="AO96" i="150" s="1"/>
  <c r="N150" i="150"/>
  <c r="N149" i="150"/>
  <c r="N151" i="150"/>
  <c r="E97" i="150"/>
  <c r="U149" i="150"/>
  <c r="U151" i="150"/>
  <c r="U150" i="150"/>
  <c r="AS150" i="150" s="1"/>
  <c r="E105" i="150"/>
  <c r="E104" i="150"/>
  <c r="E106" i="150"/>
  <c r="F149" i="150"/>
  <c r="F151" i="150"/>
  <c r="F150" i="150"/>
  <c r="E108" i="150"/>
  <c r="E107" i="150"/>
  <c r="E133" i="150"/>
  <c r="E132" i="150"/>
  <c r="E131" i="150"/>
  <c r="H149" i="150"/>
  <c r="H151" i="150"/>
  <c r="H150" i="150"/>
  <c r="Y149" i="150"/>
  <c r="AW149" i="150" s="1"/>
  <c r="Y151" i="150"/>
  <c r="AW151" i="150" s="1"/>
  <c r="Y150" i="150"/>
  <c r="E64" i="150"/>
  <c r="Q67" i="150"/>
  <c r="Q77" i="150"/>
  <c r="AO77" i="150" s="1"/>
  <c r="J33" i="151"/>
  <c r="Q113" i="150"/>
  <c r="AO113" i="150" s="1"/>
  <c r="Q115" i="150"/>
  <c r="AO115" i="150" s="1"/>
  <c r="Q114" i="150"/>
  <c r="E122" i="150"/>
  <c r="E124" i="150"/>
  <c r="E123" i="150"/>
  <c r="E101" i="150"/>
  <c r="E103" i="150"/>
  <c r="E102" i="150"/>
  <c r="W149" i="150"/>
  <c r="W151" i="150"/>
  <c r="AU151" i="150" s="1"/>
  <c r="W150" i="150"/>
  <c r="AU150" i="150" s="1"/>
  <c r="Q83" i="150"/>
  <c r="AO83" i="150" s="1"/>
  <c r="Q85" i="150"/>
  <c r="AO85" i="150" s="1"/>
  <c r="Q108" i="150"/>
  <c r="Q107" i="150"/>
  <c r="Q109" i="150"/>
  <c r="Q132" i="150"/>
  <c r="Q131" i="150"/>
  <c r="AO131" i="150" s="1"/>
  <c r="Q133" i="150"/>
  <c r="AO133" i="150" s="1"/>
  <c r="I149" i="150"/>
  <c r="I151" i="150"/>
  <c r="I150" i="150"/>
  <c r="Z149" i="150"/>
  <c r="AX149" i="150" s="1"/>
  <c r="Z151" i="150"/>
  <c r="AX151" i="150" s="1"/>
  <c r="Z150" i="150"/>
  <c r="AX150" i="150" s="1"/>
  <c r="E55" i="150"/>
  <c r="Q58" i="150"/>
  <c r="AO58" i="150" s="1"/>
  <c r="E140" i="150"/>
  <c r="E142" i="150"/>
  <c r="E141" i="150"/>
  <c r="E87" i="150"/>
  <c r="E86" i="150"/>
  <c r="E110" i="150"/>
  <c r="E112" i="150"/>
  <c r="E111" i="150"/>
  <c r="E136" i="150"/>
  <c r="E135" i="150"/>
  <c r="E134" i="150"/>
  <c r="J149" i="150"/>
  <c r="J151" i="150"/>
  <c r="J150" i="150"/>
  <c r="AA149" i="150"/>
  <c r="AY149" i="150" s="1"/>
  <c r="AA151" i="150"/>
  <c r="AY151" i="150" s="1"/>
  <c r="AA150" i="150"/>
  <c r="AY150" i="150" s="1"/>
  <c r="L156" i="150"/>
  <c r="L157" i="150" s="1"/>
  <c r="L158" i="150" s="1"/>
  <c r="L159" i="150" s="1"/>
  <c r="L160" i="150" s="1"/>
  <c r="L161" i="150" s="1"/>
  <c r="L162" i="150" s="1"/>
  <c r="L163" i="150" s="1"/>
  <c r="L164" i="150" s="1"/>
  <c r="L165" i="150" s="1"/>
  <c r="L166" i="150" s="1"/>
  <c r="L167" i="150" s="1"/>
  <c r="L168" i="150" s="1"/>
  <c r="L169" i="150" s="1"/>
  <c r="L170" i="150" s="1"/>
  <c r="L171" i="150" s="1"/>
  <c r="L172" i="150" s="1"/>
  <c r="L173" i="150" s="1"/>
  <c r="L174" i="150" s="1"/>
  <c r="L175" i="150" s="1"/>
  <c r="L176" i="150" s="1"/>
  <c r="L177" i="150" s="1"/>
  <c r="L178" i="150" s="1"/>
  <c r="L179" i="150" s="1"/>
  <c r="L180" i="150" s="1"/>
  <c r="L181" i="150" s="1"/>
  <c r="L182" i="150" s="1"/>
  <c r="L183" i="150" s="1"/>
  <c r="L184" i="150" s="1"/>
  <c r="L185" i="150" s="1"/>
  <c r="L186" i="150" s="1"/>
  <c r="L187" i="150" s="1"/>
  <c r="L188" i="150" s="1"/>
  <c r="L189" i="150" s="1"/>
  <c r="L190" i="150" s="1"/>
  <c r="L191" i="150" s="1"/>
  <c r="L192" i="150" s="1"/>
  <c r="L193" i="150" s="1"/>
  <c r="L194" i="150" s="1"/>
  <c r="L195" i="150" s="1"/>
  <c r="L196" i="150" s="1"/>
  <c r="L197" i="150" s="1"/>
  <c r="L198" i="150" s="1"/>
  <c r="L199" i="150" s="1"/>
  <c r="L200" i="150" s="1"/>
  <c r="L201" i="150" s="1"/>
  <c r="L202" i="150" s="1"/>
  <c r="L203" i="150" s="1"/>
  <c r="L204" i="150" s="1"/>
  <c r="L205" i="150" s="1"/>
  <c r="L206" i="150" s="1"/>
  <c r="L207" i="150" s="1"/>
  <c r="L208" i="150" s="1"/>
  <c r="L209" i="150" s="1"/>
  <c r="L210" i="150" s="1"/>
  <c r="L211" i="150" s="1"/>
  <c r="L212" i="150" s="1"/>
  <c r="L213" i="150" s="1"/>
  <c r="L214" i="150" s="1"/>
  <c r="L215" i="150" s="1"/>
  <c r="L216" i="150" s="1"/>
  <c r="L217" i="150" s="1"/>
  <c r="L218" i="150" s="1"/>
  <c r="L219" i="150" s="1"/>
  <c r="L220" i="150" s="1"/>
  <c r="L221" i="150" s="1"/>
  <c r="L222" i="150" s="1"/>
  <c r="L223" i="150" s="1"/>
  <c r="L224" i="150" s="1"/>
  <c r="L225" i="150" s="1"/>
  <c r="L226" i="150" s="1"/>
  <c r="L227" i="150" s="1"/>
  <c r="L228" i="150" s="1"/>
  <c r="L229" i="150" s="1"/>
  <c r="L230" i="150" s="1"/>
  <c r="L231" i="150" s="1"/>
  <c r="L232" i="150" s="1"/>
  <c r="L233" i="150" s="1"/>
  <c r="L234" i="150" s="1"/>
  <c r="L235" i="150" s="1"/>
  <c r="L236" i="150" s="1"/>
  <c r="L237" i="150" s="1"/>
  <c r="L238" i="150" s="1"/>
  <c r="L239" i="150" s="1"/>
  <c r="L240" i="150" s="1"/>
  <c r="L241" i="150" s="1"/>
  <c r="L242" i="150" s="1"/>
  <c r="L243" i="150" s="1"/>
  <c r="L244" i="150" s="1"/>
  <c r="L245" i="150" s="1"/>
  <c r="L246" i="150" s="1"/>
  <c r="L247" i="150" s="1"/>
  <c r="L248" i="150" s="1"/>
  <c r="L249" i="150" s="1"/>
  <c r="L250" i="150" s="1"/>
  <c r="L251" i="150" s="1"/>
  <c r="L252" i="150" s="1"/>
  <c r="L253" i="150" s="1"/>
  <c r="L254" i="150" s="1"/>
  <c r="L255" i="150" s="1"/>
  <c r="L256" i="150" s="1"/>
  <c r="L257" i="150" s="1"/>
  <c r="L258" i="150" s="1"/>
  <c r="L259" i="150" s="1"/>
  <c r="E46" i="150"/>
  <c r="Q49" i="150"/>
  <c r="AO49" i="150" s="1"/>
  <c r="H65" i="151"/>
  <c r="F33" i="151"/>
  <c r="F35" i="151" s="1"/>
  <c r="F155" i="150"/>
  <c r="F156" i="150" s="1"/>
  <c r="F157" i="150" s="1"/>
  <c r="F158" i="150" s="1"/>
  <c r="F159" i="150" s="1"/>
  <c r="F160" i="150" s="1"/>
  <c r="F161" i="150" s="1"/>
  <c r="F162" i="150" s="1"/>
  <c r="F163" i="150" s="1"/>
  <c r="F164" i="150" s="1"/>
  <c r="F165" i="150" s="1"/>
  <c r="F166" i="150" s="1"/>
  <c r="F167" i="150" s="1"/>
  <c r="F168" i="150" s="1"/>
  <c r="F169" i="150" s="1"/>
  <c r="F170" i="150" s="1"/>
  <c r="F171" i="150" s="1"/>
  <c r="F172" i="150" s="1"/>
  <c r="F173" i="150" s="1"/>
  <c r="F174" i="150" s="1"/>
  <c r="F175" i="150" s="1"/>
  <c r="F176" i="150" s="1"/>
  <c r="F177" i="150" s="1"/>
  <c r="F178" i="150" s="1"/>
  <c r="F179" i="150" s="1"/>
  <c r="F180" i="150" s="1"/>
  <c r="F181" i="150" s="1"/>
  <c r="F182" i="150" s="1"/>
  <c r="F183" i="150" s="1"/>
  <c r="F184" i="150" s="1"/>
  <c r="F185" i="150" s="1"/>
  <c r="F186" i="150" s="1"/>
  <c r="F187" i="150" s="1"/>
  <c r="F188" i="150" s="1"/>
  <c r="F189" i="150" s="1"/>
  <c r="F190" i="150" s="1"/>
  <c r="F191" i="150" s="1"/>
  <c r="F192" i="150" s="1"/>
  <c r="F193" i="150" s="1"/>
  <c r="F194" i="150" s="1"/>
  <c r="F195" i="150" s="1"/>
  <c r="F196" i="150" s="1"/>
  <c r="F197" i="150" s="1"/>
  <c r="F198" i="150" s="1"/>
  <c r="F199" i="150" s="1"/>
  <c r="F200" i="150" s="1"/>
  <c r="F201" i="150" s="1"/>
  <c r="F202" i="150" s="1"/>
  <c r="F203" i="150" s="1"/>
  <c r="F204" i="150" s="1"/>
  <c r="F205" i="150" s="1"/>
  <c r="F206" i="150" s="1"/>
  <c r="F207" i="150" s="1"/>
  <c r="F208" i="150" s="1"/>
  <c r="F209" i="150" s="1"/>
  <c r="F210" i="150" s="1"/>
  <c r="F211" i="150" s="1"/>
  <c r="F212" i="150" s="1"/>
  <c r="F213" i="150" s="1"/>
  <c r="F214" i="150" s="1"/>
  <c r="F215" i="150" s="1"/>
  <c r="F216" i="150" s="1"/>
  <c r="F217" i="150" s="1"/>
  <c r="F218" i="150" s="1"/>
  <c r="F219" i="150" s="1"/>
  <c r="F220" i="150" s="1"/>
  <c r="F221" i="150" s="1"/>
  <c r="F222" i="150" s="1"/>
  <c r="F223" i="150" s="1"/>
  <c r="F224" i="150" s="1"/>
  <c r="F225" i="150" s="1"/>
  <c r="F226" i="150" s="1"/>
  <c r="F227" i="150" s="1"/>
  <c r="F228" i="150" s="1"/>
  <c r="F229" i="150" s="1"/>
  <c r="F230" i="150" s="1"/>
  <c r="F231" i="150" s="1"/>
  <c r="F232" i="150" s="1"/>
  <c r="F233" i="150" s="1"/>
  <c r="F234" i="150" s="1"/>
  <c r="F235" i="150" s="1"/>
  <c r="F236" i="150" s="1"/>
  <c r="F237" i="150" s="1"/>
  <c r="F238" i="150" s="1"/>
  <c r="F239" i="150" s="1"/>
  <c r="F240" i="150" s="1"/>
  <c r="F241" i="150" s="1"/>
  <c r="F242" i="150" s="1"/>
  <c r="F243" i="150" s="1"/>
  <c r="F244" i="150" s="1"/>
  <c r="F245" i="150" s="1"/>
  <c r="F246" i="150" s="1"/>
  <c r="F247" i="150" s="1"/>
  <c r="F248" i="150" s="1"/>
  <c r="Q92" i="150"/>
  <c r="Q94" i="150"/>
  <c r="AO94" i="150" s="1"/>
  <c r="Q93" i="150"/>
  <c r="AO93" i="150" s="1"/>
  <c r="Q141" i="150"/>
  <c r="AO141" i="150" s="1"/>
  <c r="Q140" i="150"/>
  <c r="AO140" i="150" s="1"/>
  <c r="Q142" i="150"/>
  <c r="O150" i="150"/>
  <c r="O149" i="150"/>
  <c r="O151" i="150"/>
  <c r="E76" i="150"/>
  <c r="E75" i="150"/>
  <c r="Q74" i="150"/>
  <c r="AO74" i="150" s="1"/>
  <c r="Q76" i="150"/>
  <c r="AO76" i="150" s="1"/>
  <c r="Q88" i="150"/>
  <c r="AO88" i="150" s="1"/>
  <c r="Q87" i="150"/>
  <c r="AO87" i="150" s="1"/>
  <c r="K151" i="150"/>
  <c r="K150" i="150"/>
  <c r="K149" i="150"/>
  <c r="V150" i="150"/>
  <c r="AT150" i="150" s="1"/>
  <c r="E145" i="150"/>
  <c r="E144" i="150"/>
  <c r="E143" i="150"/>
  <c r="Q99" i="150"/>
  <c r="Q98" i="150"/>
  <c r="AO98" i="150" s="1"/>
  <c r="T150" i="150"/>
  <c r="AR150" i="150" s="1"/>
  <c r="T149" i="150"/>
  <c r="T151" i="150"/>
  <c r="AR151" i="150" s="1"/>
  <c r="Q111" i="150"/>
  <c r="AO111" i="150" s="1"/>
  <c r="Q110" i="150"/>
  <c r="AO110" i="150" s="1"/>
  <c r="Q134" i="150"/>
  <c r="AO134" i="150" s="1"/>
  <c r="Q136" i="150"/>
  <c r="Q135" i="150"/>
  <c r="AO135" i="150" s="1"/>
  <c r="E89" i="150"/>
  <c r="E91" i="150"/>
  <c r="E114" i="150"/>
  <c r="E113" i="150"/>
  <c r="E115" i="150"/>
  <c r="L151" i="150"/>
  <c r="L150" i="150"/>
  <c r="L149" i="150"/>
  <c r="Q70" i="150"/>
  <c r="E74" i="150"/>
  <c r="Q75" i="150"/>
  <c r="AO75" i="150" s="1"/>
  <c r="E90" i="150"/>
  <c r="Q91" i="150"/>
  <c r="K33" i="151"/>
  <c r="L33" i="151"/>
  <c r="I33" i="151"/>
  <c r="M33" i="151"/>
  <c r="M140" i="151" s="1"/>
  <c r="G125" i="151"/>
  <c r="G130" i="151" s="1"/>
  <c r="G133" i="151" s="1"/>
  <c r="G120" i="151"/>
  <c r="N120" i="151"/>
  <c r="N125" i="151"/>
  <c r="N130" i="151" s="1"/>
  <c r="N133" i="151" s="1"/>
  <c r="E3" i="151"/>
  <c r="L120" i="151"/>
  <c r="L125" i="151"/>
  <c r="L130" i="151" s="1"/>
  <c r="L133" i="151" s="1"/>
  <c r="K26" i="151"/>
  <c r="L26" i="151" s="1"/>
  <c r="M26" i="151" s="1"/>
  <c r="N26" i="151" s="1"/>
  <c r="O26" i="151" s="1"/>
  <c r="P26" i="151" s="1"/>
  <c r="Q26" i="151" s="1"/>
  <c r="R26" i="151" s="1"/>
  <c r="S26" i="151" s="1"/>
  <c r="T26" i="151" s="1"/>
  <c r="U26" i="151" s="1"/>
  <c r="V26" i="151" s="1"/>
  <c r="W26" i="151" s="1"/>
  <c r="X26" i="151" s="1"/>
  <c r="K58" i="151"/>
  <c r="L58" i="151" s="1"/>
  <c r="M58" i="151" s="1"/>
  <c r="N58" i="151" s="1"/>
  <c r="O58" i="151" s="1"/>
  <c r="P58" i="151" s="1"/>
  <c r="Q58" i="151" s="1"/>
  <c r="R58" i="151" s="1"/>
  <c r="S58" i="151" s="1"/>
  <c r="T58" i="151" s="1"/>
  <c r="U58" i="151" s="1"/>
  <c r="V58" i="151" s="1"/>
  <c r="W58" i="151" s="1"/>
  <c r="X58" i="151" s="1"/>
  <c r="M120" i="151"/>
  <c r="M125" i="151"/>
  <c r="M130" i="151" s="1"/>
  <c r="M133" i="151" s="1"/>
  <c r="F125" i="151"/>
  <c r="F130" i="151" s="1"/>
  <c r="F133" i="151" s="1"/>
  <c r="F120" i="151"/>
  <c r="H120" i="151"/>
  <c r="I120" i="151"/>
  <c r="O120" i="151"/>
  <c r="O125" i="151"/>
  <c r="O130" i="151" s="1"/>
  <c r="O133" i="151" s="1"/>
  <c r="J125" i="151"/>
  <c r="J130" i="151" s="1"/>
  <c r="J133" i="151" s="1"/>
  <c r="J120" i="151"/>
  <c r="P120" i="151"/>
  <c r="P125" i="151"/>
  <c r="P130" i="151" s="1"/>
  <c r="P133" i="151" s="1"/>
  <c r="J59" i="151" l="1"/>
  <c r="K158" i="151"/>
  <c r="J35" i="151"/>
  <c r="J140" i="151"/>
  <c r="J54" i="151"/>
  <c r="J162" i="151"/>
  <c r="I35" i="151"/>
  <c r="I140" i="151"/>
  <c r="I22" i="151"/>
  <c r="I27" i="151"/>
  <c r="L158" i="151"/>
  <c r="M158" i="151"/>
  <c r="L35" i="151"/>
  <c r="L140" i="151"/>
  <c r="J158" i="151"/>
  <c r="K54" i="151"/>
  <c r="K162" i="151"/>
  <c r="I54" i="151"/>
  <c r="I162" i="151"/>
  <c r="K35" i="151"/>
  <c r="K140" i="151"/>
  <c r="J27" i="151"/>
  <c r="J144" i="151"/>
  <c r="M54" i="151"/>
  <c r="M162" i="151"/>
  <c r="Q75" i="151"/>
  <c r="R75" i="151" s="1"/>
  <c r="S75" i="151" s="1"/>
  <c r="T75" i="151" s="1"/>
  <c r="U75" i="151" s="1"/>
  <c r="V75" i="151" s="1"/>
  <c r="W75" i="151" s="1"/>
  <c r="X75" i="151" s="1"/>
  <c r="P150" i="151"/>
  <c r="P168" i="151" s="1"/>
  <c r="M74" i="151"/>
  <c r="M82" i="151" s="1"/>
  <c r="AO99" i="150"/>
  <c r="AO55" i="150"/>
  <c r="N157" i="150"/>
  <c r="N158" i="150" s="1"/>
  <c r="N159" i="150" s="1"/>
  <c r="N160" i="150" s="1"/>
  <c r="N161" i="150" s="1"/>
  <c r="N162" i="150" s="1"/>
  <c r="N163" i="150" s="1"/>
  <c r="N164" i="150" s="1"/>
  <c r="N165" i="150" s="1"/>
  <c r="N166" i="150" s="1"/>
  <c r="N167" i="150" s="1"/>
  <c r="N168" i="150" s="1"/>
  <c r="N169" i="150" s="1"/>
  <c r="N170" i="150" s="1"/>
  <c r="N171" i="150" s="1"/>
  <c r="N172" i="150" s="1"/>
  <c r="N173" i="150" s="1"/>
  <c r="N174" i="150" s="1"/>
  <c r="N175" i="150" s="1"/>
  <c r="N176" i="150" s="1"/>
  <c r="N177" i="150" s="1"/>
  <c r="N178" i="150" s="1"/>
  <c r="N179" i="150" s="1"/>
  <c r="N180" i="150" s="1"/>
  <c r="N181" i="150" s="1"/>
  <c r="N182" i="150" s="1"/>
  <c r="N183" i="150" s="1"/>
  <c r="N184" i="150" s="1"/>
  <c r="N185" i="150" s="1"/>
  <c r="N186" i="150" s="1"/>
  <c r="N187" i="150" s="1"/>
  <c r="N188" i="150" s="1"/>
  <c r="N189" i="150" s="1"/>
  <c r="N190" i="150" s="1"/>
  <c r="N191" i="150" s="1"/>
  <c r="N192" i="150" s="1"/>
  <c r="N193" i="150" s="1"/>
  <c r="N194" i="150" s="1"/>
  <c r="N195" i="150" s="1"/>
  <c r="N196" i="150" s="1"/>
  <c r="N197" i="150" s="1"/>
  <c r="N198" i="150" s="1"/>
  <c r="N199" i="150" s="1"/>
  <c r="N200" i="150" s="1"/>
  <c r="N201" i="150" s="1"/>
  <c r="N202" i="150" s="1"/>
  <c r="N203" i="150" s="1"/>
  <c r="N204" i="150" s="1"/>
  <c r="N205" i="150" s="1"/>
  <c r="N206" i="150" s="1"/>
  <c r="N207" i="150" s="1"/>
  <c r="N208" i="150" s="1"/>
  <c r="N209" i="150" s="1"/>
  <c r="N210" i="150" s="1"/>
  <c r="N211" i="150" s="1"/>
  <c r="N212" i="150" s="1"/>
  <c r="N213" i="150" s="1"/>
  <c r="N214" i="150" s="1"/>
  <c r="N215" i="150" s="1"/>
  <c r="N216" i="150" s="1"/>
  <c r="N217" i="150" s="1"/>
  <c r="N218" i="150" s="1"/>
  <c r="N219" i="150" s="1"/>
  <c r="N220" i="150" s="1"/>
  <c r="N221" i="150" s="1"/>
  <c r="N222" i="150" s="1"/>
  <c r="N223" i="150" s="1"/>
  <c r="N224" i="150" s="1"/>
  <c r="N225" i="150" s="1"/>
  <c r="N226" i="150" s="1"/>
  <c r="N227" i="150" s="1"/>
  <c r="N228" i="150" s="1"/>
  <c r="N229" i="150" s="1"/>
  <c r="N230" i="150" s="1"/>
  <c r="N231" i="150" s="1"/>
  <c r="N232" i="150" s="1"/>
  <c r="N233" i="150" s="1"/>
  <c r="N234" i="150" s="1"/>
  <c r="N235" i="150" s="1"/>
  <c r="N236" i="150" s="1"/>
  <c r="N237" i="150" s="1"/>
  <c r="N238" i="150" s="1"/>
  <c r="N239" i="150" s="1"/>
  <c r="N240" i="150" s="1"/>
  <c r="N241" i="150" s="1"/>
  <c r="N242" i="150" s="1"/>
  <c r="K19" i="151"/>
  <c r="AJ230" i="150"/>
  <c r="AJ231" i="150" s="1"/>
  <c r="AJ232" i="150" s="1"/>
  <c r="AJ233" i="150" s="1"/>
  <c r="AJ234" i="150" s="1"/>
  <c r="AJ235" i="150" s="1"/>
  <c r="AJ236" i="150" s="1"/>
  <c r="AJ237" i="150" s="1"/>
  <c r="AJ238" i="150" s="1"/>
  <c r="AJ239" i="150" s="1"/>
  <c r="AJ240" i="150" s="1"/>
  <c r="AJ241" i="150" s="1"/>
  <c r="AJ242" i="150" s="1"/>
  <c r="AJ243" i="150" s="1"/>
  <c r="AJ244" i="150" s="1"/>
  <c r="AJ245" i="150" s="1"/>
  <c r="AJ246" i="150" s="1"/>
  <c r="AJ247" i="150" s="1"/>
  <c r="AJ248" i="150" s="1"/>
  <c r="AJ249" i="150" s="1"/>
  <c r="AJ250" i="150" s="1"/>
  <c r="AJ251" i="150" s="1"/>
  <c r="AJ252" i="150" s="1"/>
  <c r="AJ253" i="150" s="1"/>
  <c r="AJ254" i="150" s="1"/>
  <c r="AJ255" i="150" s="1"/>
  <c r="AJ256" i="150" s="1"/>
  <c r="AJ257" i="150" s="1"/>
  <c r="AJ258" i="150" s="1"/>
  <c r="AJ259" i="150" s="1"/>
  <c r="M56" i="151"/>
  <c r="K46" i="151"/>
  <c r="K161" i="151" s="1"/>
  <c r="L51" i="151"/>
  <c r="N51" i="151"/>
  <c r="AO142" i="150"/>
  <c r="I46" i="151"/>
  <c r="I161" i="151" s="1"/>
  <c r="AO57" i="150"/>
  <c r="AW150" i="150"/>
  <c r="AO148" i="150"/>
  <c r="AO44" i="150"/>
  <c r="AU149" i="150"/>
  <c r="N43" i="151" s="1"/>
  <c r="N64" i="151" s="1"/>
  <c r="AQ149" i="150"/>
  <c r="AO53" i="150"/>
  <c r="AO122" i="150"/>
  <c r="G202" i="150"/>
  <c r="G203" i="150" s="1"/>
  <c r="G204" i="150" s="1"/>
  <c r="G205" i="150" s="1"/>
  <c r="G206" i="150" s="1"/>
  <c r="G207" i="150" s="1"/>
  <c r="G208" i="150" s="1"/>
  <c r="G209" i="150" s="1"/>
  <c r="G210" i="150" s="1"/>
  <c r="G211" i="150" s="1"/>
  <c r="G212" i="150" s="1"/>
  <c r="G213" i="150" s="1"/>
  <c r="G214" i="150" s="1"/>
  <c r="G215" i="150" s="1"/>
  <c r="G216" i="150" s="1"/>
  <c r="G217" i="150" s="1"/>
  <c r="G218" i="150" s="1"/>
  <c r="G219" i="150" s="1"/>
  <c r="G220" i="150" s="1"/>
  <c r="G221" i="150" s="1"/>
  <c r="G222" i="150" s="1"/>
  <c r="G223" i="150" s="1"/>
  <c r="G224" i="150" s="1"/>
  <c r="G225" i="150" s="1"/>
  <c r="AO120" i="150"/>
  <c r="G14" i="151"/>
  <c r="N46" i="151"/>
  <c r="N161" i="151" s="1"/>
  <c r="L46" i="151"/>
  <c r="L161" i="151" s="1"/>
  <c r="AO81" i="150"/>
  <c r="F249" i="150"/>
  <c r="F250" i="150" s="1"/>
  <c r="F251" i="150" s="1"/>
  <c r="F252" i="150" s="1"/>
  <c r="F253" i="150" s="1"/>
  <c r="F254" i="150" s="1"/>
  <c r="F255" i="150" s="1"/>
  <c r="F256" i="150" s="1"/>
  <c r="F257" i="150" s="1"/>
  <c r="F258" i="150" s="1"/>
  <c r="F259" i="150" s="1"/>
  <c r="AT149" i="150"/>
  <c r="N19" i="151" s="1"/>
  <c r="AO138" i="150"/>
  <c r="L14" i="151"/>
  <c r="L142" i="151" s="1"/>
  <c r="K24" i="151"/>
  <c r="AO136" i="150"/>
  <c r="AO91" i="150"/>
  <c r="I11" i="151"/>
  <c r="I32" i="151" s="1"/>
  <c r="I139" i="151" s="1"/>
  <c r="L11" i="151"/>
  <c r="L32" i="151" s="1"/>
  <c r="L77" i="151" s="1"/>
  <c r="L78" i="151" s="1"/>
  <c r="AO104" i="150"/>
  <c r="H24" i="151"/>
  <c r="H27" i="151" s="1"/>
  <c r="AO59" i="150"/>
  <c r="G43" i="151"/>
  <c r="G64" i="151" s="1"/>
  <c r="I43" i="151"/>
  <c r="I64" i="151" s="1"/>
  <c r="M14" i="151"/>
  <c r="M142" i="151" s="1"/>
  <c r="AO129" i="150"/>
  <c r="W156" i="150"/>
  <c r="AO45" i="150"/>
  <c r="Q86" i="150"/>
  <c r="AO86" i="150" s="1"/>
  <c r="AO19" i="150"/>
  <c r="AO70" i="150"/>
  <c r="AO121" i="150"/>
  <c r="AP151" i="150"/>
  <c r="N11" i="151" s="1"/>
  <c r="N32" i="151" s="1"/>
  <c r="U156" i="150"/>
  <c r="AS45" i="150"/>
  <c r="F14" i="151" s="1"/>
  <c r="AY45" i="150"/>
  <c r="F51" i="151" s="1"/>
  <c r="F52" i="151" s="1"/>
  <c r="AT44" i="150"/>
  <c r="F19" i="151" s="1"/>
  <c r="F22" i="151" s="1"/>
  <c r="AA156" i="150"/>
  <c r="R156" i="150"/>
  <c r="AO90" i="150"/>
  <c r="F24" i="151"/>
  <c r="F25" i="151" s="1"/>
  <c r="N56" i="151"/>
  <c r="AW44" i="150"/>
  <c r="V156" i="150"/>
  <c r="AR149" i="150"/>
  <c r="N24" i="151" s="1"/>
  <c r="X156" i="150"/>
  <c r="AO106" i="150"/>
  <c r="T156" i="150"/>
  <c r="AO132" i="150"/>
  <c r="AO114" i="150"/>
  <c r="K65" i="151"/>
  <c r="AO125" i="150"/>
  <c r="AX44" i="150"/>
  <c r="F46" i="151" s="1"/>
  <c r="F47" i="151" s="1"/>
  <c r="M11" i="151"/>
  <c r="M32" i="151" s="1"/>
  <c r="M77" i="151" s="1"/>
  <c r="M78" i="151" s="1"/>
  <c r="E138" i="150"/>
  <c r="AO145" i="150"/>
  <c r="AC109" i="150"/>
  <c r="AO109" i="150" s="1"/>
  <c r="AO144" i="150"/>
  <c r="AO103" i="150"/>
  <c r="AO67" i="150"/>
  <c r="Y156" i="150"/>
  <c r="AO54" i="150"/>
  <c r="M46" i="151"/>
  <c r="M161" i="151" s="1"/>
  <c r="H51" i="151"/>
  <c r="H54" i="151" s="1"/>
  <c r="H56" i="151"/>
  <c r="H59" i="151" s="1"/>
  <c r="AW46" i="150"/>
  <c r="S156" i="150"/>
  <c r="AL230" i="150"/>
  <c r="AL231" i="150" s="1"/>
  <c r="AL232" i="150" s="1"/>
  <c r="AL233" i="150" s="1"/>
  <c r="AL234" i="150" s="1"/>
  <c r="AL235" i="150" s="1"/>
  <c r="AL236" i="150" s="1"/>
  <c r="AL237" i="150" s="1"/>
  <c r="AL238" i="150" s="1"/>
  <c r="AL239" i="150" s="1"/>
  <c r="AL240" i="150" s="1"/>
  <c r="AL241" i="150" s="1"/>
  <c r="AL242" i="150" s="1"/>
  <c r="AL243" i="150" s="1"/>
  <c r="AL244" i="150" s="1"/>
  <c r="AL245" i="150" s="1"/>
  <c r="AL246" i="150" s="1"/>
  <c r="AL247" i="150" s="1"/>
  <c r="AL248" i="150" s="1"/>
  <c r="AL249" i="150" s="1"/>
  <c r="AL250" i="150" s="1"/>
  <c r="AL251" i="150" s="1"/>
  <c r="AL252" i="150" s="1"/>
  <c r="AL253" i="150" s="1"/>
  <c r="AL254" i="150" s="1"/>
  <c r="AL255" i="150" s="1"/>
  <c r="AL256" i="150" s="1"/>
  <c r="AL257" i="150" s="1"/>
  <c r="AL258" i="150" s="1"/>
  <c r="AL259" i="150" s="1"/>
  <c r="AL260" i="150" s="1"/>
  <c r="AL261" i="150" s="1"/>
  <c r="AL262" i="150" s="1"/>
  <c r="I14" i="151"/>
  <c r="I142" i="151" s="1"/>
  <c r="AU44" i="150"/>
  <c r="F43" i="151" s="1"/>
  <c r="AO107" i="150"/>
  <c r="AO147" i="150"/>
  <c r="AO92" i="150"/>
  <c r="AS151" i="150"/>
  <c r="AO116" i="150"/>
  <c r="J19" i="151"/>
  <c r="AF157" i="150"/>
  <c r="AF158" i="150" s="1"/>
  <c r="AF159" i="150" s="1"/>
  <c r="AF160" i="150" s="1"/>
  <c r="AF161" i="150" s="1"/>
  <c r="AF162" i="150" s="1"/>
  <c r="AF163" i="150" s="1"/>
  <c r="AF164" i="150" s="1"/>
  <c r="AF165" i="150" s="1"/>
  <c r="AF166" i="150" s="1"/>
  <c r="AF167" i="150" s="1"/>
  <c r="AF168" i="150" s="1"/>
  <c r="AF169" i="150" s="1"/>
  <c r="AF170" i="150" s="1"/>
  <c r="AF171" i="150" s="1"/>
  <c r="AF172" i="150" s="1"/>
  <c r="AF173" i="150" s="1"/>
  <c r="AF174" i="150" s="1"/>
  <c r="AF175" i="150" s="1"/>
  <c r="AF176" i="150" s="1"/>
  <c r="AF177" i="150" s="1"/>
  <c r="AF178" i="150" s="1"/>
  <c r="AF179" i="150" s="1"/>
  <c r="AF180" i="150" s="1"/>
  <c r="AF181" i="150" s="1"/>
  <c r="AF182" i="150" s="1"/>
  <c r="AF183" i="150" s="1"/>
  <c r="AF184" i="150" s="1"/>
  <c r="AF185" i="150" s="1"/>
  <c r="AF186" i="150" s="1"/>
  <c r="AF187" i="150" s="1"/>
  <c r="AF188" i="150" s="1"/>
  <c r="AF189" i="150" s="1"/>
  <c r="AF190" i="150" s="1"/>
  <c r="AF191" i="150" s="1"/>
  <c r="AF192" i="150" s="1"/>
  <c r="AF193" i="150" s="1"/>
  <c r="AF194" i="150" s="1"/>
  <c r="AF195" i="150" s="1"/>
  <c r="AF196" i="150" s="1"/>
  <c r="AF197" i="150" s="1"/>
  <c r="AF198" i="150" s="1"/>
  <c r="AF199" i="150" s="1"/>
  <c r="AF200" i="150" s="1"/>
  <c r="AF201" i="150" s="1"/>
  <c r="AF202" i="150" s="1"/>
  <c r="AF203" i="150" s="1"/>
  <c r="AF204" i="150" s="1"/>
  <c r="AF205" i="150" s="1"/>
  <c r="AF206" i="150" s="1"/>
  <c r="AF207" i="150" s="1"/>
  <c r="AF208" i="150" s="1"/>
  <c r="AF209" i="150" s="1"/>
  <c r="AF210" i="150" s="1"/>
  <c r="AF211" i="150" s="1"/>
  <c r="AF212" i="150" s="1"/>
  <c r="AF213" i="150" s="1"/>
  <c r="AF214" i="150" s="1"/>
  <c r="AF215" i="150" s="1"/>
  <c r="AF216" i="150" s="1"/>
  <c r="AF217" i="150" s="1"/>
  <c r="AF218" i="150" s="1"/>
  <c r="AF219" i="150" s="1"/>
  <c r="AF220" i="150" s="1"/>
  <c r="AF221" i="150" s="1"/>
  <c r="AF222" i="150" s="1"/>
  <c r="AF223" i="150" s="1"/>
  <c r="AF224" i="150" s="1"/>
  <c r="AF225" i="150" s="1"/>
  <c r="AF226" i="150" s="1"/>
  <c r="AF227" i="150" s="1"/>
  <c r="AF228" i="150" s="1"/>
  <c r="AF229" i="150" s="1"/>
  <c r="AF230" i="150" s="1"/>
  <c r="AF231" i="150" s="1"/>
  <c r="AF232" i="150" s="1"/>
  <c r="AF233" i="150" s="1"/>
  <c r="AF234" i="150" s="1"/>
  <c r="AF235" i="150" s="1"/>
  <c r="AF236" i="150" s="1"/>
  <c r="AF237" i="150" s="1"/>
  <c r="AF238" i="150" s="1"/>
  <c r="AF239" i="150" s="1"/>
  <c r="AF240" i="150" s="1"/>
  <c r="AF241" i="150" s="1"/>
  <c r="AF242" i="150" s="1"/>
  <c r="AF243" i="150" s="1"/>
  <c r="AF244" i="150" s="1"/>
  <c r="AF245" i="150" s="1"/>
  <c r="AF246" i="150" s="1"/>
  <c r="AF247" i="150" s="1"/>
  <c r="AF248" i="150" s="1"/>
  <c r="AF249" i="150" s="1"/>
  <c r="AF250" i="150" s="1"/>
  <c r="AF251" i="150" s="1"/>
  <c r="AF252" i="150" s="1"/>
  <c r="AF253" i="150" s="1"/>
  <c r="AF254" i="150" s="1"/>
  <c r="AF255" i="150" s="1"/>
  <c r="AF256" i="150" s="1"/>
  <c r="AF257" i="150" s="1"/>
  <c r="AF258" i="150" s="1"/>
  <c r="AF259" i="150" s="1"/>
  <c r="AF260" i="150" s="1"/>
  <c r="AF261" i="150" s="1"/>
  <c r="AF262" i="150" s="1"/>
  <c r="AC108" i="150"/>
  <c r="AO108" i="150" s="1"/>
  <c r="AO26" i="150"/>
  <c r="AS149" i="150"/>
  <c r="N14" i="151" s="1"/>
  <c r="N142" i="151" s="1"/>
  <c r="AO71" i="150"/>
  <c r="I56" i="151"/>
  <c r="M27" i="151"/>
  <c r="L27" i="151"/>
  <c r="W107" i="151"/>
  <c r="M22" i="151"/>
  <c r="L22" i="151"/>
  <c r="M161" i="150"/>
  <c r="M162" i="150" s="1"/>
  <c r="M163" i="150" s="1"/>
  <c r="M164" i="150" s="1"/>
  <c r="M165" i="150" s="1"/>
  <c r="M166" i="150" s="1"/>
  <c r="M167" i="150" s="1"/>
  <c r="M168" i="150" s="1"/>
  <c r="M169" i="150" s="1"/>
  <c r="M170" i="150" s="1"/>
  <c r="M171" i="150" s="1"/>
  <c r="M172" i="150" s="1"/>
  <c r="M173" i="150" s="1"/>
  <c r="M174" i="150" s="1"/>
  <c r="M175" i="150" s="1"/>
  <c r="M176" i="150" s="1"/>
  <c r="M177" i="150" s="1"/>
  <c r="M178" i="150" s="1"/>
  <c r="M179" i="150" s="1"/>
  <c r="M180" i="150" s="1"/>
  <c r="M181" i="150" s="1"/>
  <c r="M182" i="150" s="1"/>
  <c r="M183" i="150" s="1"/>
  <c r="M184" i="150" s="1"/>
  <c r="M185" i="150" s="1"/>
  <c r="M186" i="150" s="1"/>
  <c r="M187" i="150" s="1"/>
  <c r="M188" i="150" s="1"/>
  <c r="M189" i="150" s="1"/>
  <c r="M190" i="150" s="1"/>
  <c r="M191" i="150" s="1"/>
  <c r="M192" i="150" s="1"/>
  <c r="M193" i="150" s="1"/>
  <c r="M194" i="150" s="1"/>
  <c r="M195" i="150" s="1"/>
  <c r="M196" i="150" s="1"/>
  <c r="M197" i="150" s="1"/>
  <c r="M198" i="150" s="1"/>
  <c r="M199" i="150" s="1"/>
  <c r="M200" i="150" s="1"/>
  <c r="M201" i="150" s="1"/>
  <c r="M202" i="150" s="1"/>
  <c r="M203" i="150" s="1"/>
  <c r="M204" i="150" s="1"/>
  <c r="M205" i="150" s="1"/>
  <c r="M206" i="150" s="1"/>
  <c r="M207" i="150" s="1"/>
  <c r="M208" i="150" s="1"/>
  <c r="M209" i="150" s="1"/>
  <c r="M210" i="150" s="1"/>
  <c r="M211" i="150" s="1"/>
  <c r="M212" i="150" s="1"/>
  <c r="M213" i="150" s="1"/>
  <c r="M214" i="150" s="1"/>
  <c r="M215" i="150" s="1"/>
  <c r="M216" i="150" s="1"/>
  <c r="M217" i="150" s="1"/>
  <c r="M218" i="150" s="1"/>
  <c r="M219" i="150" s="1"/>
  <c r="M220" i="150" s="1"/>
  <c r="M221" i="150" s="1"/>
  <c r="M222" i="150" s="1"/>
  <c r="M223" i="150" s="1"/>
  <c r="M224" i="150" s="1"/>
  <c r="M225" i="150" s="1"/>
  <c r="M226" i="150" s="1"/>
  <c r="M227" i="150" s="1"/>
  <c r="M228" i="150" s="1"/>
  <c r="M229" i="150" s="1"/>
  <c r="M230" i="150" s="1"/>
  <c r="M231" i="150" s="1"/>
  <c r="M232" i="150" s="1"/>
  <c r="M233" i="150" s="1"/>
  <c r="M234" i="150" s="1"/>
  <c r="M235" i="150" s="1"/>
  <c r="M236" i="150" s="1"/>
  <c r="M237" i="150" s="1"/>
  <c r="M238" i="150" s="1"/>
  <c r="M239" i="150" s="1"/>
  <c r="M240" i="150" s="1"/>
  <c r="M241" i="150" s="1"/>
  <c r="M242" i="150" s="1"/>
  <c r="M243" i="150" s="1"/>
  <c r="M244" i="150" s="1"/>
  <c r="M245" i="150" s="1"/>
  <c r="M246" i="150" s="1"/>
  <c r="M247" i="150" s="1"/>
  <c r="M248" i="150" s="1"/>
  <c r="M249" i="150" s="1"/>
  <c r="M250" i="150" s="1"/>
  <c r="M251" i="150" s="1"/>
  <c r="M252" i="150" s="1"/>
  <c r="M253" i="150" s="1"/>
  <c r="M254" i="150" s="1"/>
  <c r="M255" i="150" s="1"/>
  <c r="M256" i="150" s="1"/>
  <c r="M257" i="150" s="1"/>
  <c r="M258" i="150" s="1"/>
  <c r="M259" i="150" s="1"/>
  <c r="M260" i="150" s="1"/>
  <c r="M261" i="150" s="1"/>
  <c r="M262" i="150" s="1"/>
  <c r="K203" i="150"/>
  <c r="K204" i="150" s="1"/>
  <c r="K205" i="150" s="1"/>
  <c r="K206" i="150" s="1"/>
  <c r="K207" i="150" s="1"/>
  <c r="K208" i="150" s="1"/>
  <c r="K209" i="150" s="1"/>
  <c r="K210" i="150" s="1"/>
  <c r="K211" i="150" s="1"/>
  <c r="K212" i="150" s="1"/>
  <c r="K213" i="150" s="1"/>
  <c r="K214" i="150" s="1"/>
  <c r="K215" i="150" s="1"/>
  <c r="K216" i="150" s="1"/>
  <c r="K217" i="150" s="1"/>
  <c r="K218" i="150" s="1"/>
  <c r="K219" i="150" s="1"/>
  <c r="K220" i="150" s="1"/>
  <c r="K221" i="150" s="1"/>
  <c r="K222" i="150" s="1"/>
  <c r="K223" i="150" s="1"/>
  <c r="K224" i="150" s="1"/>
  <c r="K225" i="150" s="1"/>
  <c r="K226" i="150" s="1"/>
  <c r="K227" i="150" s="1"/>
  <c r="K228" i="150" s="1"/>
  <c r="K229" i="150" s="1"/>
  <c r="K230" i="150" s="1"/>
  <c r="K231" i="150" s="1"/>
  <c r="K232" i="150" s="1"/>
  <c r="K233" i="150" s="1"/>
  <c r="K234" i="150" s="1"/>
  <c r="K235" i="150" s="1"/>
  <c r="K236" i="150" s="1"/>
  <c r="K237" i="150" s="1"/>
  <c r="K238" i="150" s="1"/>
  <c r="K239" i="150" s="1"/>
  <c r="K240" i="150" s="1"/>
  <c r="K241" i="150" s="1"/>
  <c r="K242" i="150" s="1"/>
  <c r="K243" i="150" s="1"/>
  <c r="K244" i="150" s="1"/>
  <c r="K245" i="150" s="1"/>
  <c r="K246" i="150" s="1"/>
  <c r="K247" i="150" s="1"/>
  <c r="K248" i="150" s="1"/>
  <c r="K249" i="150" s="1"/>
  <c r="K250" i="150" s="1"/>
  <c r="K251" i="150" s="1"/>
  <c r="K252" i="150" s="1"/>
  <c r="K253" i="150" s="1"/>
  <c r="K254" i="150" s="1"/>
  <c r="K255" i="150" s="1"/>
  <c r="K256" i="150" s="1"/>
  <c r="K257" i="150" s="1"/>
  <c r="K258" i="150" s="1"/>
  <c r="K259" i="150" s="1"/>
  <c r="K260" i="150" s="1"/>
  <c r="K261" i="150" s="1"/>
  <c r="K262" i="150" s="1"/>
  <c r="O207" i="150"/>
  <c r="O208" i="150" s="1"/>
  <c r="O209" i="150" s="1"/>
  <c r="O210" i="150" s="1"/>
  <c r="O211" i="150" s="1"/>
  <c r="O212" i="150" s="1"/>
  <c r="O213" i="150" s="1"/>
  <c r="O214" i="150" s="1"/>
  <c r="O215" i="150" s="1"/>
  <c r="O216" i="150" s="1"/>
  <c r="O217" i="150" s="1"/>
  <c r="O218" i="150" s="1"/>
  <c r="O219" i="150" s="1"/>
  <c r="O220" i="150" s="1"/>
  <c r="O221" i="150" s="1"/>
  <c r="O222" i="150" s="1"/>
  <c r="O223" i="150" s="1"/>
  <c r="O224" i="150" s="1"/>
  <c r="O225" i="150" s="1"/>
  <c r="O226" i="150" s="1"/>
  <c r="O227" i="150" s="1"/>
  <c r="O228" i="150" s="1"/>
  <c r="O229" i="150" s="1"/>
  <c r="O230" i="150" s="1"/>
  <c r="O231" i="150" s="1"/>
  <c r="O232" i="150" s="1"/>
  <c r="O233" i="150" s="1"/>
  <c r="O234" i="150" s="1"/>
  <c r="O235" i="150" s="1"/>
  <c r="O236" i="150" s="1"/>
  <c r="O237" i="150" s="1"/>
  <c r="O238" i="150" s="1"/>
  <c r="O239" i="150" s="1"/>
  <c r="O240" i="150" s="1"/>
  <c r="O241" i="150" s="1"/>
  <c r="O242" i="150" s="1"/>
  <c r="O243" i="150" s="1"/>
  <c r="O244" i="150" s="1"/>
  <c r="O245" i="150" s="1"/>
  <c r="O246" i="150" s="1"/>
  <c r="O247" i="150" s="1"/>
  <c r="O248" i="150" s="1"/>
  <c r="O249" i="150" s="1"/>
  <c r="O250" i="150" s="1"/>
  <c r="O251" i="150" s="1"/>
  <c r="O252" i="150" s="1"/>
  <c r="O253" i="150" s="1"/>
  <c r="O254" i="150" s="1"/>
  <c r="O255" i="150" s="1"/>
  <c r="O256" i="150" s="1"/>
  <c r="O257" i="150" s="1"/>
  <c r="O258" i="150" s="1"/>
  <c r="O259" i="150" s="1"/>
  <c r="O260" i="150" s="1"/>
  <c r="O261" i="150" s="1"/>
  <c r="O262" i="150" s="1"/>
  <c r="G226" i="150"/>
  <c r="G227" i="150" s="1"/>
  <c r="G228" i="150" s="1"/>
  <c r="G229" i="150" s="1"/>
  <c r="G230" i="150" s="1"/>
  <c r="G231" i="150" s="1"/>
  <c r="G232" i="150" s="1"/>
  <c r="G233" i="150" s="1"/>
  <c r="G234" i="150" s="1"/>
  <c r="G235" i="150" s="1"/>
  <c r="G236" i="150" s="1"/>
  <c r="G237" i="150" s="1"/>
  <c r="G238" i="150" s="1"/>
  <c r="G239" i="150" s="1"/>
  <c r="G240" i="150" s="1"/>
  <c r="G241" i="150" s="1"/>
  <c r="G242" i="150" s="1"/>
  <c r="G243" i="150" s="1"/>
  <c r="G244" i="150" s="1"/>
  <c r="G245" i="150" s="1"/>
  <c r="G246" i="150" s="1"/>
  <c r="G247" i="150" s="1"/>
  <c r="G248" i="150" s="1"/>
  <c r="G249" i="150" s="1"/>
  <c r="G250" i="150" s="1"/>
  <c r="G251" i="150" s="1"/>
  <c r="G252" i="150" s="1"/>
  <c r="G253" i="150" s="1"/>
  <c r="G254" i="150" s="1"/>
  <c r="G255" i="150" s="1"/>
  <c r="G256" i="150" s="1"/>
  <c r="G257" i="150" s="1"/>
  <c r="G258" i="150" s="1"/>
  <c r="G259" i="150" s="1"/>
  <c r="G260" i="150" s="1"/>
  <c r="G261" i="150" s="1"/>
  <c r="G262" i="150" s="1"/>
  <c r="N243" i="150"/>
  <c r="N244" i="150" s="1"/>
  <c r="N245" i="150" s="1"/>
  <c r="N246" i="150" s="1"/>
  <c r="N247" i="150" s="1"/>
  <c r="N248" i="150" s="1"/>
  <c r="N249" i="150" s="1"/>
  <c r="N250" i="150" s="1"/>
  <c r="N251" i="150" s="1"/>
  <c r="N252" i="150" s="1"/>
  <c r="N253" i="150" s="1"/>
  <c r="N254" i="150" s="1"/>
  <c r="N255" i="150" s="1"/>
  <c r="N256" i="150" s="1"/>
  <c r="N257" i="150" s="1"/>
  <c r="N258" i="150" s="1"/>
  <c r="N259" i="150" s="1"/>
  <c r="N260" i="150" s="1"/>
  <c r="N261" i="150" s="1"/>
  <c r="N262" i="150" s="1"/>
  <c r="L65" i="151"/>
  <c r="I157" i="150"/>
  <c r="I158" i="150" s="1"/>
  <c r="I159" i="150" s="1"/>
  <c r="I160" i="150" s="1"/>
  <c r="I161" i="150" s="1"/>
  <c r="I162" i="150" s="1"/>
  <c r="I163" i="150" s="1"/>
  <c r="I164" i="150" s="1"/>
  <c r="I165" i="150" s="1"/>
  <c r="I166" i="150" s="1"/>
  <c r="I167" i="150" s="1"/>
  <c r="I168" i="150" s="1"/>
  <c r="I169" i="150" s="1"/>
  <c r="I170" i="150" s="1"/>
  <c r="I171" i="150" s="1"/>
  <c r="I172" i="150" s="1"/>
  <c r="I173" i="150" s="1"/>
  <c r="I174" i="150" s="1"/>
  <c r="I175" i="150" s="1"/>
  <c r="I176" i="150" s="1"/>
  <c r="I177" i="150" s="1"/>
  <c r="I178" i="150" s="1"/>
  <c r="I179" i="150" s="1"/>
  <c r="I180" i="150" s="1"/>
  <c r="I181" i="150" s="1"/>
  <c r="I182" i="150" s="1"/>
  <c r="I183" i="150" s="1"/>
  <c r="I184" i="150" s="1"/>
  <c r="I185" i="150" s="1"/>
  <c r="I186" i="150" s="1"/>
  <c r="I187" i="150" s="1"/>
  <c r="I188" i="150" s="1"/>
  <c r="I189" i="150" s="1"/>
  <c r="I190" i="150" s="1"/>
  <c r="I191" i="150" s="1"/>
  <c r="I192" i="150" s="1"/>
  <c r="I193" i="150" s="1"/>
  <c r="I194" i="150" s="1"/>
  <c r="I195" i="150" s="1"/>
  <c r="I196" i="150" s="1"/>
  <c r="I197" i="150" s="1"/>
  <c r="I198" i="150" s="1"/>
  <c r="I199" i="150" s="1"/>
  <c r="I200" i="150" s="1"/>
  <c r="I201" i="150" s="1"/>
  <c r="I202" i="150" s="1"/>
  <c r="I203" i="150" s="1"/>
  <c r="I204" i="150" s="1"/>
  <c r="I205" i="150" s="1"/>
  <c r="I206" i="150" s="1"/>
  <c r="I207" i="150" s="1"/>
  <c r="I208" i="150" s="1"/>
  <c r="I209" i="150" s="1"/>
  <c r="I210" i="150" s="1"/>
  <c r="I211" i="150" s="1"/>
  <c r="I212" i="150" s="1"/>
  <c r="I213" i="150" s="1"/>
  <c r="I214" i="150" s="1"/>
  <c r="I215" i="150" s="1"/>
  <c r="I216" i="150" s="1"/>
  <c r="I217" i="150" s="1"/>
  <c r="I218" i="150" s="1"/>
  <c r="I219" i="150" s="1"/>
  <c r="I220" i="150" s="1"/>
  <c r="I221" i="150" s="1"/>
  <c r="I222" i="150" s="1"/>
  <c r="I223" i="150" s="1"/>
  <c r="I224" i="150" s="1"/>
  <c r="I225" i="150" s="1"/>
  <c r="I226" i="150" s="1"/>
  <c r="I227" i="150" s="1"/>
  <c r="I228" i="150" s="1"/>
  <c r="I229" i="150" s="1"/>
  <c r="I230" i="150" s="1"/>
  <c r="I231" i="150" s="1"/>
  <c r="I232" i="150" s="1"/>
  <c r="I233" i="150" s="1"/>
  <c r="I234" i="150" s="1"/>
  <c r="I235" i="150" s="1"/>
  <c r="I236" i="150" s="1"/>
  <c r="I237" i="150" s="1"/>
  <c r="I238" i="150" s="1"/>
  <c r="I239" i="150" s="1"/>
  <c r="I240" i="150" s="1"/>
  <c r="I241" i="150" s="1"/>
  <c r="I242" i="150" s="1"/>
  <c r="I243" i="150" s="1"/>
  <c r="I244" i="150" s="1"/>
  <c r="I245" i="150" s="1"/>
  <c r="I246" i="150" s="1"/>
  <c r="I247" i="150" s="1"/>
  <c r="I248" i="150" s="1"/>
  <c r="I249" i="150" s="1"/>
  <c r="I250" i="150" s="1"/>
  <c r="I251" i="150" s="1"/>
  <c r="I252" i="150" s="1"/>
  <c r="I253" i="150" s="1"/>
  <c r="I254" i="150" s="1"/>
  <c r="I255" i="150" s="1"/>
  <c r="I256" i="150" s="1"/>
  <c r="I257" i="150" s="1"/>
  <c r="I258" i="150" s="1"/>
  <c r="I259" i="150" s="1"/>
  <c r="I260" i="150" s="1"/>
  <c r="I261" i="150" s="1"/>
  <c r="I262" i="150" s="1"/>
  <c r="J241" i="150"/>
  <c r="J242" i="150" s="1"/>
  <c r="J243" i="150" s="1"/>
  <c r="J244" i="150" s="1"/>
  <c r="J245" i="150" s="1"/>
  <c r="J246" i="150" s="1"/>
  <c r="J247" i="150" s="1"/>
  <c r="J248" i="150" s="1"/>
  <c r="J249" i="150" s="1"/>
  <c r="J250" i="150" s="1"/>
  <c r="J251" i="150" s="1"/>
  <c r="J252" i="150" s="1"/>
  <c r="J253" i="150" s="1"/>
  <c r="J254" i="150" s="1"/>
  <c r="J255" i="150" s="1"/>
  <c r="J256" i="150" s="1"/>
  <c r="J257" i="150" s="1"/>
  <c r="J258" i="150" s="1"/>
  <c r="J259" i="150" s="1"/>
  <c r="J260" i="150" s="1"/>
  <c r="J261" i="150" s="1"/>
  <c r="J262" i="150" s="1"/>
  <c r="E139" i="150"/>
  <c r="E125" i="150"/>
  <c r="E127" i="150"/>
  <c r="M62" i="151"/>
  <c r="M160" i="151" s="1"/>
  <c r="N65" i="151"/>
  <c r="AM179" i="150"/>
  <c r="AM180" i="150" s="1"/>
  <c r="AM181" i="150" s="1"/>
  <c r="AM182" i="150" s="1"/>
  <c r="AM183" i="150" s="1"/>
  <c r="AM184" i="150" s="1"/>
  <c r="AM185" i="150" s="1"/>
  <c r="AM186" i="150" s="1"/>
  <c r="AM187" i="150" s="1"/>
  <c r="AM188" i="150" s="1"/>
  <c r="AM189" i="150" s="1"/>
  <c r="AM190" i="150" s="1"/>
  <c r="AM191" i="150" s="1"/>
  <c r="AM192" i="150" s="1"/>
  <c r="AM193" i="150" s="1"/>
  <c r="AM194" i="150" s="1"/>
  <c r="AM195" i="150" s="1"/>
  <c r="AM196" i="150" s="1"/>
  <c r="AM197" i="150" s="1"/>
  <c r="AM198" i="150" s="1"/>
  <c r="AM199" i="150" s="1"/>
  <c r="AM200" i="150" s="1"/>
  <c r="AM201" i="150" s="1"/>
  <c r="AM202" i="150" s="1"/>
  <c r="AM203" i="150" s="1"/>
  <c r="AM204" i="150" s="1"/>
  <c r="AM205" i="150" s="1"/>
  <c r="AM206" i="150" s="1"/>
  <c r="AM207" i="150" s="1"/>
  <c r="AM208" i="150" s="1"/>
  <c r="AM209" i="150" s="1"/>
  <c r="AM210" i="150" s="1"/>
  <c r="AM211" i="150" s="1"/>
  <c r="AM212" i="150" s="1"/>
  <c r="AM213" i="150" s="1"/>
  <c r="AM214" i="150" s="1"/>
  <c r="AM215" i="150" s="1"/>
  <c r="AM216" i="150" s="1"/>
  <c r="AM217" i="150" s="1"/>
  <c r="AM218" i="150" s="1"/>
  <c r="AM219" i="150" s="1"/>
  <c r="AM220" i="150" s="1"/>
  <c r="AM221" i="150" s="1"/>
  <c r="AM222" i="150" s="1"/>
  <c r="AM223" i="150" s="1"/>
  <c r="AM224" i="150" s="1"/>
  <c r="AM225" i="150" s="1"/>
  <c r="AM226" i="150" s="1"/>
  <c r="AM227" i="150" s="1"/>
  <c r="AM228" i="150" s="1"/>
  <c r="AM229" i="150" s="1"/>
  <c r="AM230" i="150" s="1"/>
  <c r="AM231" i="150" s="1"/>
  <c r="AM232" i="150" s="1"/>
  <c r="AM233" i="150" s="1"/>
  <c r="AM234" i="150" s="1"/>
  <c r="AM235" i="150" s="1"/>
  <c r="AM236" i="150" s="1"/>
  <c r="AM237" i="150" s="1"/>
  <c r="AM238" i="150" s="1"/>
  <c r="AM239" i="150" s="1"/>
  <c r="AM240" i="150" s="1"/>
  <c r="AM241" i="150" s="1"/>
  <c r="AM242" i="150" s="1"/>
  <c r="AM243" i="150" s="1"/>
  <c r="AM244" i="150" s="1"/>
  <c r="AM245" i="150" s="1"/>
  <c r="AM246" i="150" s="1"/>
  <c r="AM247" i="150" s="1"/>
  <c r="AM248" i="150" s="1"/>
  <c r="AM249" i="150" s="1"/>
  <c r="AM250" i="150" s="1"/>
  <c r="AM251" i="150" s="1"/>
  <c r="AM252" i="150" s="1"/>
  <c r="AM253" i="150" s="1"/>
  <c r="AM254" i="150" s="1"/>
  <c r="AM255" i="150" s="1"/>
  <c r="AM256" i="150" s="1"/>
  <c r="AM257" i="150" s="1"/>
  <c r="AM258" i="150" s="1"/>
  <c r="AM259" i="150" s="1"/>
  <c r="AM260" i="150" s="1"/>
  <c r="AM261" i="150" s="1"/>
  <c r="AM262" i="150" s="1"/>
  <c r="AE157" i="150"/>
  <c r="AE158" i="150" s="1"/>
  <c r="AE159" i="150" s="1"/>
  <c r="AE160" i="150" s="1"/>
  <c r="AE161" i="150" s="1"/>
  <c r="AE162" i="150" s="1"/>
  <c r="AE163" i="150" s="1"/>
  <c r="AE164" i="150" s="1"/>
  <c r="AE165" i="150" s="1"/>
  <c r="AE166" i="150" s="1"/>
  <c r="AE167" i="150" s="1"/>
  <c r="AE168" i="150" s="1"/>
  <c r="AE169" i="150" s="1"/>
  <c r="AE170" i="150" s="1"/>
  <c r="AE171" i="150" s="1"/>
  <c r="AE172" i="150" s="1"/>
  <c r="AE173" i="150" s="1"/>
  <c r="AE174" i="150" s="1"/>
  <c r="AE175" i="150" s="1"/>
  <c r="AE176" i="150" s="1"/>
  <c r="AE177" i="150" s="1"/>
  <c r="AE178" i="150" s="1"/>
  <c r="AE179" i="150" s="1"/>
  <c r="AE180" i="150" s="1"/>
  <c r="AE181" i="150" s="1"/>
  <c r="AE182" i="150" s="1"/>
  <c r="AE183" i="150" s="1"/>
  <c r="AE184" i="150" s="1"/>
  <c r="AE185" i="150" s="1"/>
  <c r="AE186" i="150" s="1"/>
  <c r="AE187" i="150" s="1"/>
  <c r="AE188" i="150" s="1"/>
  <c r="AE189" i="150" s="1"/>
  <c r="AE190" i="150" s="1"/>
  <c r="AE191" i="150" s="1"/>
  <c r="AE192" i="150" s="1"/>
  <c r="AE193" i="150" s="1"/>
  <c r="AE194" i="150" s="1"/>
  <c r="AE195" i="150" s="1"/>
  <c r="AE196" i="150" s="1"/>
  <c r="AE197" i="150" s="1"/>
  <c r="AE198" i="150" s="1"/>
  <c r="AE199" i="150" s="1"/>
  <c r="AE200" i="150" s="1"/>
  <c r="AE201" i="150" s="1"/>
  <c r="AE202" i="150" s="1"/>
  <c r="AE203" i="150" s="1"/>
  <c r="AE204" i="150" s="1"/>
  <c r="AE205" i="150" s="1"/>
  <c r="AE206" i="150" s="1"/>
  <c r="AE207" i="150" s="1"/>
  <c r="AE208" i="150" s="1"/>
  <c r="AE209" i="150" s="1"/>
  <c r="AE210" i="150" s="1"/>
  <c r="AE211" i="150" s="1"/>
  <c r="AE212" i="150" s="1"/>
  <c r="AE213" i="150" s="1"/>
  <c r="AE214" i="150" s="1"/>
  <c r="AE215" i="150" s="1"/>
  <c r="AE216" i="150" s="1"/>
  <c r="AE217" i="150" s="1"/>
  <c r="AE218" i="150" s="1"/>
  <c r="AE219" i="150" s="1"/>
  <c r="AE220" i="150" s="1"/>
  <c r="AE221" i="150" s="1"/>
  <c r="AE222" i="150" s="1"/>
  <c r="AE223" i="150" s="1"/>
  <c r="AE224" i="150" s="1"/>
  <c r="AE225" i="150" s="1"/>
  <c r="AE226" i="150" s="1"/>
  <c r="AE227" i="150" s="1"/>
  <c r="AE228" i="150" s="1"/>
  <c r="AE229" i="150" s="1"/>
  <c r="AE230" i="150" s="1"/>
  <c r="AE231" i="150" s="1"/>
  <c r="AE232" i="150" s="1"/>
  <c r="AE233" i="150" s="1"/>
  <c r="AE234" i="150" s="1"/>
  <c r="AE235" i="150" s="1"/>
  <c r="AE236" i="150" s="1"/>
  <c r="AE237" i="150" s="1"/>
  <c r="AE238" i="150" s="1"/>
  <c r="AE239" i="150" s="1"/>
  <c r="AE240" i="150" s="1"/>
  <c r="AE241" i="150" s="1"/>
  <c r="AE242" i="150" s="1"/>
  <c r="AE243" i="150" s="1"/>
  <c r="AE244" i="150" s="1"/>
  <c r="AE245" i="150" s="1"/>
  <c r="AE246" i="150" s="1"/>
  <c r="AE247" i="150" s="1"/>
  <c r="AE248" i="150" s="1"/>
  <c r="AE249" i="150" s="1"/>
  <c r="AE250" i="150" s="1"/>
  <c r="AE251" i="150" s="1"/>
  <c r="AE252" i="150" s="1"/>
  <c r="AE253" i="150" s="1"/>
  <c r="AE254" i="150" s="1"/>
  <c r="AE255" i="150" s="1"/>
  <c r="AE256" i="150" s="1"/>
  <c r="AE257" i="150" s="1"/>
  <c r="AE258" i="150" s="1"/>
  <c r="AE259" i="150" s="1"/>
  <c r="AE260" i="150" s="1"/>
  <c r="AE261" i="150" s="1"/>
  <c r="AE262" i="150" s="1"/>
  <c r="AD233" i="150"/>
  <c r="AD234" i="150" s="1"/>
  <c r="AD235" i="150" s="1"/>
  <c r="AD236" i="150" s="1"/>
  <c r="AD237" i="150" s="1"/>
  <c r="AD238" i="150" s="1"/>
  <c r="AD239" i="150" s="1"/>
  <c r="AD240" i="150" s="1"/>
  <c r="AD241" i="150" s="1"/>
  <c r="AD242" i="150" s="1"/>
  <c r="AD243" i="150" s="1"/>
  <c r="AD244" i="150" s="1"/>
  <c r="AD245" i="150" s="1"/>
  <c r="AD246" i="150" s="1"/>
  <c r="AD247" i="150" s="1"/>
  <c r="AD248" i="150" s="1"/>
  <c r="AD249" i="150" s="1"/>
  <c r="AD250" i="150" s="1"/>
  <c r="AD251" i="150" s="1"/>
  <c r="AD252" i="150" s="1"/>
  <c r="AD253" i="150" s="1"/>
  <c r="AD254" i="150" s="1"/>
  <c r="AD255" i="150" s="1"/>
  <c r="AD256" i="150" s="1"/>
  <c r="AD257" i="150" s="1"/>
  <c r="AD258" i="150" s="1"/>
  <c r="AD259" i="150" s="1"/>
  <c r="AD260" i="150" s="1"/>
  <c r="AD261" i="150" s="1"/>
  <c r="AD262" i="150" s="1"/>
  <c r="AK164" i="150"/>
  <c r="AK165" i="150" s="1"/>
  <c r="AK166" i="150" s="1"/>
  <c r="AK167" i="150" s="1"/>
  <c r="AK168" i="150" s="1"/>
  <c r="AK169" i="150" s="1"/>
  <c r="AK170" i="150" s="1"/>
  <c r="AK171" i="150" s="1"/>
  <c r="AK172" i="150" s="1"/>
  <c r="AK173" i="150" s="1"/>
  <c r="AK174" i="150" s="1"/>
  <c r="AK175" i="150" s="1"/>
  <c r="AK176" i="150" s="1"/>
  <c r="AK177" i="150" s="1"/>
  <c r="AK178" i="150" s="1"/>
  <c r="AK179" i="150" s="1"/>
  <c r="AK180" i="150" s="1"/>
  <c r="AK181" i="150" s="1"/>
  <c r="AK182" i="150" s="1"/>
  <c r="AK183" i="150" s="1"/>
  <c r="AK184" i="150" s="1"/>
  <c r="AK185" i="150" s="1"/>
  <c r="AK186" i="150" s="1"/>
  <c r="AK187" i="150" s="1"/>
  <c r="AK188" i="150" s="1"/>
  <c r="AK189" i="150" s="1"/>
  <c r="AK190" i="150" s="1"/>
  <c r="AK191" i="150" s="1"/>
  <c r="AK192" i="150" s="1"/>
  <c r="AK193" i="150" s="1"/>
  <c r="AK194" i="150" s="1"/>
  <c r="AK195" i="150" s="1"/>
  <c r="AK196" i="150" s="1"/>
  <c r="AK197" i="150" s="1"/>
  <c r="AK198" i="150" s="1"/>
  <c r="AK199" i="150" s="1"/>
  <c r="AK200" i="150" s="1"/>
  <c r="AK201" i="150" s="1"/>
  <c r="AK202" i="150" s="1"/>
  <c r="AK203" i="150" s="1"/>
  <c r="AK204" i="150" s="1"/>
  <c r="AK205" i="150" s="1"/>
  <c r="AK206" i="150" s="1"/>
  <c r="AK207" i="150" s="1"/>
  <c r="AK208" i="150" s="1"/>
  <c r="AK209" i="150" s="1"/>
  <c r="AK210" i="150" s="1"/>
  <c r="AK211" i="150" s="1"/>
  <c r="AK212" i="150" s="1"/>
  <c r="AK213" i="150" s="1"/>
  <c r="AK214" i="150" s="1"/>
  <c r="AK215" i="150" s="1"/>
  <c r="AK216" i="150" s="1"/>
  <c r="AK217" i="150" s="1"/>
  <c r="AK218" i="150" s="1"/>
  <c r="AK219" i="150" s="1"/>
  <c r="AK220" i="150" s="1"/>
  <c r="AK221" i="150" s="1"/>
  <c r="AK222" i="150" s="1"/>
  <c r="AK223" i="150" s="1"/>
  <c r="AK224" i="150" s="1"/>
  <c r="AK225" i="150" s="1"/>
  <c r="AK226" i="150" s="1"/>
  <c r="AK227" i="150" s="1"/>
  <c r="AK228" i="150" s="1"/>
  <c r="AK229" i="150" s="1"/>
  <c r="AK230" i="150" s="1"/>
  <c r="AK231" i="150" s="1"/>
  <c r="AK232" i="150" s="1"/>
  <c r="AK233" i="150" s="1"/>
  <c r="AK234" i="150" s="1"/>
  <c r="AK235" i="150" s="1"/>
  <c r="AK236" i="150" s="1"/>
  <c r="AK237" i="150" s="1"/>
  <c r="AK238" i="150" s="1"/>
  <c r="AK239" i="150" s="1"/>
  <c r="AK240" i="150" s="1"/>
  <c r="AK241" i="150" s="1"/>
  <c r="AK242" i="150" s="1"/>
  <c r="AK243" i="150" s="1"/>
  <c r="AK244" i="150" s="1"/>
  <c r="AK245" i="150" s="1"/>
  <c r="AK246" i="150" s="1"/>
  <c r="AK247" i="150" s="1"/>
  <c r="AK248" i="150" s="1"/>
  <c r="AK249" i="150" s="1"/>
  <c r="AK250" i="150" s="1"/>
  <c r="AK251" i="150" s="1"/>
  <c r="AK252" i="150" s="1"/>
  <c r="AK253" i="150" s="1"/>
  <c r="AK254" i="150" s="1"/>
  <c r="AK255" i="150" s="1"/>
  <c r="AK256" i="150" s="1"/>
  <c r="AK257" i="150" s="1"/>
  <c r="AK258" i="150" s="1"/>
  <c r="AK259" i="150" s="1"/>
  <c r="AK260" i="150" s="1"/>
  <c r="AK261" i="150" s="1"/>
  <c r="AK262" i="150" s="1"/>
  <c r="AH157" i="150"/>
  <c r="AH158" i="150" s="1"/>
  <c r="AH159" i="150" s="1"/>
  <c r="AH160" i="150" s="1"/>
  <c r="AH161" i="150" s="1"/>
  <c r="AH162" i="150" s="1"/>
  <c r="AH163" i="150" s="1"/>
  <c r="AH164" i="150" s="1"/>
  <c r="AH165" i="150" s="1"/>
  <c r="AH166" i="150" s="1"/>
  <c r="AH167" i="150" s="1"/>
  <c r="AH168" i="150" s="1"/>
  <c r="AH169" i="150" s="1"/>
  <c r="AH170" i="150" s="1"/>
  <c r="AH171" i="150" s="1"/>
  <c r="AH172" i="150" s="1"/>
  <c r="AH173" i="150" s="1"/>
  <c r="AH174" i="150" s="1"/>
  <c r="AH175" i="150" s="1"/>
  <c r="AH176" i="150" s="1"/>
  <c r="AH177" i="150" s="1"/>
  <c r="AH178" i="150" s="1"/>
  <c r="AH179" i="150" s="1"/>
  <c r="AH180" i="150" s="1"/>
  <c r="AH181" i="150" s="1"/>
  <c r="AH182" i="150" s="1"/>
  <c r="AH183" i="150" s="1"/>
  <c r="AH184" i="150" s="1"/>
  <c r="AH185" i="150" s="1"/>
  <c r="AH186" i="150" s="1"/>
  <c r="AH187" i="150" s="1"/>
  <c r="AH188" i="150" s="1"/>
  <c r="AH189" i="150" s="1"/>
  <c r="AH190" i="150" s="1"/>
  <c r="AH191" i="150" s="1"/>
  <c r="AH192" i="150" s="1"/>
  <c r="AH193" i="150" s="1"/>
  <c r="AH194" i="150" s="1"/>
  <c r="AH195" i="150" s="1"/>
  <c r="AH196" i="150" s="1"/>
  <c r="AH197" i="150" s="1"/>
  <c r="AH198" i="150" s="1"/>
  <c r="AH199" i="150" s="1"/>
  <c r="AH200" i="150" s="1"/>
  <c r="AH201" i="150" s="1"/>
  <c r="AH202" i="150" s="1"/>
  <c r="AH203" i="150" s="1"/>
  <c r="AH204" i="150" s="1"/>
  <c r="AH205" i="150" s="1"/>
  <c r="AH206" i="150" s="1"/>
  <c r="AH207" i="150" s="1"/>
  <c r="AH208" i="150" s="1"/>
  <c r="AH209" i="150" s="1"/>
  <c r="AH210" i="150" s="1"/>
  <c r="AH211" i="150" s="1"/>
  <c r="AH212" i="150" s="1"/>
  <c r="AH213" i="150" s="1"/>
  <c r="AH214" i="150" s="1"/>
  <c r="AH215" i="150" s="1"/>
  <c r="AH216" i="150" s="1"/>
  <c r="AH217" i="150" s="1"/>
  <c r="AH218" i="150" s="1"/>
  <c r="AH219" i="150" s="1"/>
  <c r="AH220" i="150" s="1"/>
  <c r="AH221" i="150" s="1"/>
  <c r="AH222" i="150" s="1"/>
  <c r="AH223" i="150" s="1"/>
  <c r="AH224" i="150" s="1"/>
  <c r="AH225" i="150" s="1"/>
  <c r="AH226" i="150" s="1"/>
  <c r="AH227" i="150" s="1"/>
  <c r="AH228" i="150" s="1"/>
  <c r="AH229" i="150" s="1"/>
  <c r="AH230" i="150" s="1"/>
  <c r="AH231" i="150" s="1"/>
  <c r="AH232" i="150" s="1"/>
  <c r="AH233" i="150" s="1"/>
  <c r="AH234" i="150" s="1"/>
  <c r="AH235" i="150" s="1"/>
  <c r="AH236" i="150" s="1"/>
  <c r="AH237" i="150" s="1"/>
  <c r="AH238" i="150" s="1"/>
  <c r="AH239" i="150" s="1"/>
  <c r="AH240" i="150" s="1"/>
  <c r="AH241" i="150" s="1"/>
  <c r="AH242" i="150" s="1"/>
  <c r="AH243" i="150" s="1"/>
  <c r="AH244" i="150" s="1"/>
  <c r="AH245" i="150" s="1"/>
  <c r="AH246" i="150" s="1"/>
  <c r="AH247" i="150" s="1"/>
  <c r="AH248" i="150" s="1"/>
  <c r="AH249" i="150" s="1"/>
  <c r="AH250" i="150" s="1"/>
  <c r="AH251" i="150" s="1"/>
  <c r="AH252" i="150" s="1"/>
  <c r="AH253" i="150" s="1"/>
  <c r="AH254" i="150" s="1"/>
  <c r="AH255" i="150" s="1"/>
  <c r="AH256" i="150" s="1"/>
  <c r="AH257" i="150" s="1"/>
  <c r="AH258" i="150" s="1"/>
  <c r="AH259" i="150" s="1"/>
  <c r="AH260" i="150" s="1"/>
  <c r="AH261" i="150" s="1"/>
  <c r="AH262" i="150" s="1"/>
  <c r="Q64" i="150"/>
  <c r="AO64" i="150" s="1"/>
  <c r="Q63" i="150"/>
  <c r="AO63" i="150" s="1"/>
  <c r="Q62" i="150"/>
  <c r="AO62" i="150" s="1"/>
  <c r="AI157" i="150"/>
  <c r="AI158" i="150" s="1"/>
  <c r="AI159" i="150" s="1"/>
  <c r="AI160" i="150" s="1"/>
  <c r="AI161" i="150" s="1"/>
  <c r="AI162" i="150" s="1"/>
  <c r="AI163" i="150" s="1"/>
  <c r="AI164" i="150" s="1"/>
  <c r="AI165" i="150" s="1"/>
  <c r="AI166" i="150" s="1"/>
  <c r="AI167" i="150" s="1"/>
  <c r="AI168" i="150" s="1"/>
  <c r="AI169" i="150" s="1"/>
  <c r="AI170" i="150" s="1"/>
  <c r="AI171" i="150" s="1"/>
  <c r="AI172" i="150" s="1"/>
  <c r="AI173" i="150" s="1"/>
  <c r="AI174" i="150" s="1"/>
  <c r="AI175" i="150" s="1"/>
  <c r="AI176" i="150" s="1"/>
  <c r="AI177" i="150" s="1"/>
  <c r="AI178" i="150" s="1"/>
  <c r="AI179" i="150" s="1"/>
  <c r="AI180" i="150" s="1"/>
  <c r="AI181" i="150" s="1"/>
  <c r="AI182" i="150" s="1"/>
  <c r="AI183" i="150" s="1"/>
  <c r="AI184" i="150" s="1"/>
  <c r="AI185" i="150" s="1"/>
  <c r="AI186" i="150" s="1"/>
  <c r="AI187" i="150" s="1"/>
  <c r="AI188" i="150" s="1"/>
  <c r="AI189" i="150" s="1"/>
  <c r="AI190" i="150" s="1"/>
  <c r="AI191" i="150" s="1"/>
  <c r="AI192" i="150" s="1"/>
  <c r="AI193" i="150" s="1"/>
  <c r="AI194" i="150" s="1"/>
  <c r="AI195" i="150" s="1"/>
  <c r="AI196" i="150" s="1"/>
  <c r="AI197" i="150" s="1"/>
  <c r="AI198" i="150" s="1"/>
  <c r="AI199" i="150" s="1"/>
  <c r="AI200" i="150" s="1"/>
  <c r="AI201" i="150" s="1"/>
  <c r="AI202" i="150" s="1"/>
  <c r="AI203" i="150" s="1"/>
  <c r="AI204" i="150" s="1"/>
  <c r="AI205" i="150" s="1"/>
  <c r="AI206" i="150" s="1"/>
  <c r="AI207" i="150" s="1"/>
  <c r="AI208" i="150" s="1"/>
  <c r="AI209" i="150" s="1"/>
  <c r="AI210" i="150" s="1"/>
  <c r="AI211" i="150" s="1"/>
  <c r="AI212" i="150" s="1"/>
  <c r="AI213" i="150" s="1"/>
  <c r="AI214" i="150" s="1"/>
  <c r="AI215" i="150" s="1"/>
  <c r="AI216" i="150" s="1"/>
  <c r="AI217" i="150" s="1"/>
  <c r="AI218" i="150" s="1"/>
  <c r="AI219" i="150" s="1"/>
  <c r="AI220" i="150" s="1"/>
  <c r="AI221" i="150" s="1"/>
  <c r="AI222" i="150" s="1"/>
  <c r="AI223" i="150" s="1"/>
  <c r="AI224" i="150" s="1"/>
  <c r="AI225" i="150" s="1"/>
  <c r="AI226" i="150" s="1"/>
  <c r="AI227" i="150" s="1"/>
  <c r="AI228" i="150" s="1"/>
  <c r="AI229" i="150" s="1"/>
  <c r="AI230" i="150" s="1"/>
  <c r="AI231" i="150" s="1"/>
  <c r="AI232" i="150" s="1"/>
  <c r="AI233" i="150" s="1"/>
  <c r="AI234" i="150" s="1"/>
  <c r="AI235" i="150" s="1"/>
  <c r="AI236" i="150" s="1"/>
  <c r="AI237" i="150" s="1"/>
  <c r="AI238" i="150" s="1"/>
  <c r="AI239" i="150" s="1"/>
  <c r="AI240" i="150" s="1"/>
  <c r="AI241" i="150" s="1"/>
  <c r="AI242" i="150" s="1"/>
  <c r="AI243" i="150" s="1"/>
  <c r="AI244" i="150" s="1"/>
  <c r="AI245" i="150" s="1"/>
  <c r="AI246" i="150" s="1"/>
  <c r="AI247" i="150" s="1"/>
  <c r="AI248" i="150" s="1"/>
  <c r="AI249" i="150" s="1"/>
  <c r="AI250" i="150" s="1"/>
  <c r="AI251" i="150" s="1"/>
  <c r="AI252" i="150" s="1"/>
  <c r="AI253" i="150" s="1"/>
  <c r="AI254" i="150" s="1"/>
  <c r="AI255" i="150" s="1"/>
  <c r="AI256" i="150" s="1"/>
  <c r="AI257" i="150" s="1"/>
  <c r="AI258" i="150" s="1"/>
  <c r="AI259" i="150" s="1"/>
  <c r="AI260" i="150" s="1"/>
  <c r="AI261" i="150" s="1"/>
  <c r="AI262" i="150" s="1"/>
  <c r="AG157" i="150"/>
  <c r="AG158" i="150" s="1"/>
  <c r="AG159" i="150" s="1"/>
  <c r="AG160" i="150" s="1"/>
  <c r="AG161" i="150" s="1"/>
  <c r="AG162" i="150" s="1"/>
  <c r="AG163" i="150" s="1"/>
  <c r="AG164" i="150" s="1"/>
  <c r="AG165" i="150" s="1"/>
  <c r="AG166" i="150" s="1"/>
  <c r="AG167" i="150" s="1"/>
  <c r="AG168" i="150" s="1"/>
  <c r="AG169" i="150" s="1"/>
  <c r="AG170" i="150" s="1"/>
  <c r="AG171" i="150" s="1"/>
  <c r="AG172" i="150" s="1"/>
  <c r="AG173" i="150" s="1"/>
  <c r="AG174" i="150" s="1"/>
  <c r="AG175" i="150" s="1"/>
  <c r="AG176" i="150" s="1"/>
  <c r="AG177" i="150" s="1"/>
  <c r="AG178" i="150" s="1"/>
  <c r="AG179" i="150" s="1"/>
  <c r="AG180" i="150" s="1"/>
  <c r="AG181" i="150" s="1"/>
  <c r="AG182" i="150" s="1"/>
  <c r="AG183" i="150" s="1"/>
  <c r="AG184" i="150" s="1"/>
  <c r="AG185" i="150" s="1"/>
  <c r="AG186" i="150" s="1"/>
  <c r="AG187" i="150" s="1"/>
  <c r="AG188" i="150" s="1"/>
  <c r="AG189" i="150" s="1"/>
  <c r="AG190" i="150" s="1"/>
  <c r="AG191" i="150" s="1"/>
  <c r="AG192" i="150" s="1"/>
  <c r="AG193" i="150" s="1"/>
  <c r="AG194" i="150" s="1"/>
  <c r="AG195" i="150" s="1"/>
  <c r="AG196" i="150" s="1"/>
  <c r="AG197" i="150" s="1"/>
  <c r="AG198" i="150" s="1"/>
  <c r="AG199" i="150" s="1"/>
  <c r="AG200" i="150" s="1"/>
  <c r="AG201" i="150" s="1"/>
  <c r="AG202" i="150" s="1"/>
  <c r="AG203" i="150" s="1"/>
  <c r="AG204" i="150" s="1"/>
  <c r="AG205" i="150" s="1"/>
  <c r="AG206" i="150" s="1"/>
  <c r="AG207" i="150" s="1"/>
  <c r="AG208" i="150" s="1"/>
  <c r="AG209" i="150" s="1"/>
  <c r="AG210" i="150" s="1"/>
  <c r="AG211" i="150" s="1"/>
  <c r="AG212" i="150" s="1"/>
  <c r="AG213" i="150" s="1"/>
  <c r="AG214" i="150" s="1"/>
  <c r="AG215" i="150" s="1"/>
  <c r="AG216" i="150" s="1"/>
  <c r="AG217" i="150" s="1"/>
  <c r="AG218" i="150" s="1"/>
  <c r="AG219" i="150" s="1"/>
  <c r="AG220" i="150" s="1"/>
  <c r="AG221" i="150" s="1"/>
  <c r="AG222" i="150" s="1"/>
  <c r="AG223" i="150" s="1"/>
  <c r="AG224" i="150" s="1"/>
  <c r="AG225" i="150" s="1"/>
  <c r="AG226" i="150" s="1"/>
  <c r="AG227" i="150" s="1"/>
  <c r="AG228" i="150" s="1"/>
  <c r="AG229" i="150" s="1"/>
  <c r="AG230" i="150" s="1"/>
  <c r="AG231" i="150" s="1"/>
  <c r="AG232" i="150" s="1"/>
  <c r="AG233" i="150" s="1"/>
  <c r="AG234" i="150" s="1"/>
  <c r="AG235" i="150" s="1"/>
  <c r="AG236" i="150" s="1"/>
  <c r="AG237" i="150" s="1"/>
  <c r="AG238" i="150" s="1"/>
  <c r="AG239" i="150" s="1"/>
  <c r="AG240" i="150" s="1"/>
  <c r="AG241" i="150" s="1"/>
  <c r="AG242" i="150" s="1"/>
  <c r="AG243" i="150" s="1"/>
  <c r="AG244" i="150" s="1"/>
  <c r="AG245" i="150" s="1"/>
  <c r="AG246" i="150" s="1"/>
  <c r="AG247" i="150" s="1"/>
  <c r="AG248" i="150" s="1"/>
  <c r="AG249" i="150" s="1"/>
  <c r="AG250" i="150" s="1"/>
  <c r="AG251" i="150" s="1"/>
  <c r="AG252" i="150" s="1"/>
  <c r="AG253" i="150" s="1"/>
  <c r="AG254" i="150" s="1"/>
  <c r="AG255" i="150" s="1"/>
  <c r="AG256" i="150" s="1"/>
  <c r="AG257" i="150" s="1"/>
  <c r="AG258" i="150" s="1"/>
  <c r="AG259" i="150" s="1"/>
  <c r="AG260" i="150" s="1"/>
  <c r="AG261" i="150" s="1"/>
  <c r="AG262" i="150" s="1"/>
  <c r="AJ260" i="150"/>
  <c r="AJ261" i="150" s="1"/>
  <c r="AJ262" i="150" s="1"/>
  <c r="AC156" i="150"/>
  <c r="AC157" i="150" s="1"/>
  <c r="AC158" i="150" s="1"/>
  <c r="AC159" i="150" s="1"/>
  <c r="AC160" i="150" s="1"/>
  <c r="AC161" i="150" s="1"/>
  <c r="AC162" i="150" s="1"/>
  <c r="AC163" i="150" s="1"/>
  <c r="AC164" i="150" s="1"/>
  <c r="AC165" i="150" s="1"/>
  <c r="AC166" i="150" s="1"/>
  <c r="AC167" i="150" s="1"/>
  <c r="AC168" i="150" s="1"/>
  <c r="AC169" i="150" s="1"/>
  <c r="AC170" i="150" s="1"/>
  <c r="AC171" i="150" s="1"/>
  <c r="AC172" i="150" s="1"/>
  <c r="AC173" i="150" s="1"/>
  <c r="AC174" i="150" s="1"/>
  <c r="AC175" i="150" s="1"/>
  <c r="AC176" i="150" s="1"/>
  <c r="AC177" i="150" s="1"/>
  <c r="AC178" i="150" s="1"/>
  <c r="AC179" i="150" s="1"/>
  <c r="AC180" i="150" s="1"/>
  <c r="AC181" i="150" s="1"/>
  <c r="AC182" i="150" s="1"/>
  <c r="AC183" i="150" s="1"/>
  <c r="AC184" i="150" s="1"/>
  <c r="AC185" i="150" s="1"/>
  <c r="AC186" i="150" s="1"/>
  <c r="AC187" i="150" s="1"/>
  <c r="AC188" i="150" s="1"/>
  <c r="AC189" i="150" s="1"/>
  <c r="AC190" i="150" s="1"/>
  <c r="AC191" i="150" s="1"/>
  <c r="AC192" i="150" s="1"/>
  <c r="AC193" i="150" s="1"/>
  <c r="AC194" i="150" s="1"/>
  <c r="AC195" i="150" s="1"/>
  <c r="AC196" i="150" s="1"/>
  <c r="AC197" i="150" s="1"/>
  <c r="AC198" i="150" s="1"/>
  <c r="AC199" i="150" s="1"/>
  <c r="AC200" i="150" s="1"/>
  <c r="AC201" i="150" s="1"/>
  <c r="AC202" i="150" s="1"/>
  <c r="AC203" i="150" s="1"/>
  <c r="AC204" i="150" s="1"/>
  <c r="AC205" i="150" s="1"/>
  <c r="AC206" i="150" s="1"/>
  <c r="AC207" i="150" s="1"/>
  <c r="AC208" i="150" s="1"/>
  <c r="AC209" i="150" s="1"/>
  <c r="AC210" i="150" s="1"/>
  <c r="AC211" i="150" s="1"/>
  <c r="AC212" i="150" s="1"/>
  <c r="AC213" i="150" s="1"/>
  <c r="AC214" i="150" s="1"/>
  <c r="AC215" i="150" s="1"/>
  <c r="AC216" i="150" s="1"/>
  <c r="AC217" i="150" s="1"/>
  <c r="AC218" i="150" s="1"/>
  <c r="AC149" i="150"/>
  <c r="AO149" i="150" s="1"/>
  <c r="AC150" i="150"/>
  <c r="AO150" i="150" s="1"/>
  <c r="AC151" i="150"/>
  <c r="AO151" i="150" s="1"/>
  <c r="E157" i="150"/>
  <c r="E158" i="150" s="1"/>
  <c r="E159" i="150" s="1"/>
  <c r="E160" i="150" s="1"/>
  <c r="E161" i="150" s="1"/>
  <c r="E162" i="150" s="1"/>
  <c r="E163" i="150" s="1"/>
  <c r="E164" i="150" s="1"/>
  <c r="E165" i="150" s="1"/>
  <c r="E166" i="150" s="1"/>
  <c r="E167" i="150" s="1"/>
  <c r="E168" i="150" s="1"/>
  <c r="E169" i="150" s="1"/>
  <c r="E170" i="150" s="1"/>
  <c r="E171" i="150" s="1"/>
  <c r="E172" i="150" s="1"/>
  <c r="E173" i="150" s="1"/>
  <c r="E174" i="150" s="1"/>
  <c r="E175" i="150" s="1"/>
  <c r="E176" i="150" s="1"/>
  <c r="E177" i="150" s="1"/>
  <c r="E178" i="150" s="1"/>
  <c r="E179" i="150" s="1"/>
  <c r="E180" i="150" s="1"/>
  <c r="E181" i="150" s="1"/>
  <c r="E182" i="150" s="1"/>
  <c r="E183" i="150" s="1"/>
  <c r="E184" i="150" s="1"/>
  <c r="E185" i="150" s="1"/>
  <c r="E186" i="150" s="1"/>
  <c r="E187" i="150" s="1"/>
  <c r="E188" i="150" s="1"/>
  <c r="E189" i="150" s="1"/>
  <c r="E190" i="150" s="1"/>
  <c r="E191" i="150" s="1"/>
  <c r="E192" i="150" s="1"/>
  <c r="E193" i="150" s="1"/>
  <c r="E194" i="150" s="1"/>
  <c r="E195" i="150" s="1"/>
  <c r="E196" i="150" s="1"/>
  <c r="E197" i="150" s="1"/>
  <c r="E198" i="150" s="1"/>
  <c r="E199" i="150" s="1"/>
  <c r="E200" i="150" s="1"/>
  <c r="E201" i="150" s="1"/>
  <c r="E202" i="150" s="1"/>
  <c r="E203" i="150" s="1"/>
  <c r="E204" i="150" s="1"/>
  <c r="E205" i="150" s="1"/>
  <c r="E206" i="150" s="1"/>
  <c r="E207" i="150" s="1"/>
  <c r="E208" i="150" s="1"/>
  <c r="E209" i="150" s="1"/>
  <c r="E210" i="150" s="1"/>
  <c r="E211" i="150" s="1"/>
  <c r="E212" i="150" s="1"/>
  <c r="E213" i="150" s="1"/>
  <c r="E214" i="150" s="1"/>
  <c r="E215" i="150" s="1"/>
  <c r="E216" i="150" s="1"/>
  <c r="E217" i="150" s="1"/>
  <c r="E218" i="150" s="1"/>
  <c r="E219" i="150" s="1"/>
  <c r="E220" i="150" s="1"/>
  <c r="E221" i="150" s="1"/>
  <c r="E222" i="150" s="1"/>
  <c r="E223" i="150" s="1"/>
  <c r="E224" i="150" s="1"/>
  <c r="E225" i="150" s="1"/>
  <c r="E226" i="150" s="1"/>
  <c r="E227" i="150" s="1"/>
  <c r="E228" i="150" s="1"/>
  <c r="E229" i="150" s="1"/>
  <c r="E230" i="150" s="1"/>
  <c r="E231" i="150" s="1"/>
  <c r="E232" i="150" s="1"/>
  <c r="E233" i="150" s="1"/>
  <c r="E234" i="150" s="1"/>
  <c r="E235" i="150" s="1"/>
  <c r="E236" i="150" s="1"/>
  <c r="E237" i="150" s="1"/>
  <c r="F74" i="151"/>
  <c r="F82" i="151" s="1"/>
  <c r="F67" i="151"/>
  <c r="F16" i="151"/>
  <c r="G16" i="151" s="1"/>
  <c r="H16" i="151" s="1"/>
  <c r="I16" i="151" s="1"/>
  <c r="J16" i="151" s="1"/>
  <c r="K16" i="151" s="1"/>
  <c r="L16" i="151" s="1"/>
  <c r="M16" i="151" s="1"/>
  <c r="N16" i="151" s="1"/>
  <c r="O16" i="151" s="1"/>
  <c r="P16" i="151" s="1"/>
  <c r="Q16" i="151" s="1"/>
  <c r="R16" i="151" s="1"/>
  <c r="S16" i="151" s="1"/>
  <c r="T16" i="151" s="1"/>
  <c r="U16" i="151" s="1"/>
  <c r="V16" i="151" s="1"/>
  <c r="W16" i="151" s="1"/>
  <c r="X16" i="151" s="1"/>
  <c r="F48" i="151"/>
  <c r="G48" i="151" s="1"/>
  <c r="H48" i="151" s="1"/>
  <c r="I48" i="151" s="1"/>
  <c r="J48" i="151" s="1"/>
  <c r="K48" i="151" s="1"/>
  <c r="L48" i="151" s="1"/>
  <c r="M48" i="151" s="1"/>
  <c r="N48" i="151" s="1"/>
  <c r="O48" i="151" s="1"/>
  <c r="P48" i="151" s="1"/>
  <c r="Q48" i="151" s="1"/>
  <c r="R48" i="151" s="1"/>
  <c r="S48" i="151" s="1"/>
  <c r="T48" i="151" s="1"/>
  <c r="U48" i="151" s="1"/>
  <c r="V48" i="151" s="1"/>
  <c r="W48" i="151" s="1"/>
  <c r="X48" i="151" s="1"/>
  <c r="G32" i="151"/>
  <c r="G30" i="151" s="1"/>
  <c r="L59" i="151"/>
  <c r="M67" i="151"/>
  <c r="H74" i="151"/>
  <c r="H82" i="151" s="1"/>
  <c r="H67" i="151"/>
  <c r="N35" i="151"/>
  <c r="M35" i="151"/>
  <c r="J74" i="151"/>
  <c r="J82" i="151" s="1"/>
  <c r="J67" i="151"/>
  <c r="J32" i="151"/>
  <c r="K32" i="151"/>
  <c r="K77" i="151" s="1"/>
  <c r="K78" i="151" s="1"/>
  <c r="I30" i="151"/>
  <c r="I141" i="151" s="1"/>
  <c r="F32" i="151"/>
  <c r="F30" i="151" s="1"/>
  <c r="F12" i="151"/>
  <c r="H260" i="150"/>
  <c r="H261" i="150" s="1"/>
  <c r="H262" i="150" s="1"/>
  <c r="J62" i="151"/>
  <c r="J160" i="151" s="1"/>
  <c r="L260" i="150"/>
  <c r="L261" i="150" s="1"/>
  <c r="L262" i="150" s="1"/>
  <c r="K59" i="151"/>
  <c r="F260" i="150"/>
  <c r="F261" i="150" s="1"/>
  <c r="F262" i="150" s="1"/>
  <c r="H62" i="151"/>
  <c r="Q157" i="150"/>
  <c r="D260" i="150"/>
  <c r="D261" i="150" s="1"/>
  <c r="D262" i="150" s="1"/>
  <c r="H32" i="151"/>
  <c r="H30" i="151" s="1"/>
  <c r="G74" i="151"/>
  <c r="G82" i="151" s="1"/>
  <c r="G67" i="151"/>
  <c r="I67" i="151"/>
  <c r="I74" i="151"/>
  <c r="I82" i="151" s="1"/>
  <c r="G77" i="151" l="1"/>
  <c r="G12" i="151"/>
  <c r="I81" i="151"/>
  <c r="I83" i="151"/>
  <c r="M83" i="151"/>
  <c r="M81" i="151"/>
  <c r="J81" i="151"/>
  <c r="J83" i="151"/>
  <c r="G81" i="151"/>
  <c r="G83" i="151"/>
  <c r="H83" i="151"/>
  <c r="H81" i="151"/>
  <c r="F83" i="151"/>
  <c r="F81" i="151"/>
  <c r="K27" i="151"/>
  <c r="K144" i="151"/>
  <c r="L67" i="151"/>
  <c r="L159" i="151"/>
  <c r="N27" i="151"/>
  <c r="N144" i="151"/>
  <c r="N139" i="151"/>
  <c r="H77" i="151"/>
  <c r="H78" i="151" s="1"/>
  <c r="N158" i="151"/>
  <c r="N77" i="151"/>
  <c r="N78" i="151" s="1"/>
  <c r="J22" i="151"/>
  <c r="J143" i="151"/>
  <c r="N22" i="151"/>
  <c r="N143" i="151"/>
  <c r="N59" i="151"/>
  <c r="N163" i="151"/>
  <c r="N54" i="151"/>
  <c r="N162" i="151"/>
  <c r="L54" i="151"/>
  <c r="L162" i="151"/>
  <c r="I62" i="151"/>
  <c r="I160" i="151" s="1"/>
  <c r="I158" i="151"/>
  <c r="I77" i="151"/>
  <c r="I78" i="151" s="1"/>
  <c r="L30" i="151"/>
  <c r="L141" i="151" s="1"/>
  <c r="L139" i="151"/>
  <c r="G62" i="151"/>
  <c r="G78" i="151"/>
  <c r="M59" i="151"/>
  <c r="M163" i="151"/>
  <c r="M30" i="151"/>
  <c r="M141" i="151" s="1"/>
  <c r="M139" i="151"/>
  <c r="N67" i="151"/>
  <c r="X67" i="151" s="1"/>
  <c r="N159" i="151"/>
  <c r="J30" i="151"/>
  <c r="J141" i="151" s="1"/>
  <c r="J139" i="151"/>
  <c r="K67" i="151"/>
  <c r="K159" i="151"/>
  <c r="J77" i="151"/>
  <c r="J78" i="151" s="1"/>
  <c r="K22" i="151"/>
  <c r="K143" i="151"/>
  <c r="K30" i="151"/>
  <c r="K141" i="151" s="1"/>
  <c r="K139" i="151"/>
  <c r="I59" i="151"/>
  <c r="I163" i="151"/>
  <c r="F64" i="151"/>
  <c r="F77" i="151" s="1"/>
  <c r="F78" i="151" s="1"/>
  <c r="F44" i="151"/>
  <c r="G44" i="151" s="1"/>
  <c r="H44" i="151" s="1"/>
  <c r="I44" i="151" s="1"/>
  <c r="J44" i="151" s="1"/>
  <c r="K44" i="151" s="1"/>
  <c r="L44" i="151" s="1"/>
  <c r="M44" i="151" s="1"/>
  <c r="N44" i="151" s="1"/>
  <c r="F20" i="151"/>
  <c r="G20" i="151" s="1"/>
  <c r="K62" i="151"/>
  <c r="K160" i="151" s="1"/>
  <c r="K74" i="151"/>
  <c r="K82" i="151" s="1"/>
  <c r="F54" i="151"/>
  <c r="AO156" i="150"/>
  <c r="AC219" i="150"/>
  <c r="AC220" i="150" s="1"/>
  <c r="AC221" i="150" s="1"/>
  <c r="AC222" i="150" s="1"/>
  <c r="AC223" i="150" s="1"/>
  <c r="AC224" i="150" s="1"/>
  <c r="AC225" i="150" s="1"/>
  <c r="AC226" i="150" s="1"/>
  <c r="AC227" i="150" s="1"/>
  <c r="AC228" i="150" s="1"/>
  <c r="AC229" i="150" s="1"/>
  <c r="AC230" i="150" s="1"/>
  <c r="AC231" i="150" s="1"/>
  <c r="AC232" i="150" s="1"/>
  <c r="AC233" i="150" s="1"/>
  <c r="AC234" i="150" s="1"/>
  <c r="AC235" i="150" s="1"/>
  <c r="AC236" i="150" s="1"/>
  <c r="AC237" i="150" s="1"/>
  <c r="AC238" i="150" s="1"/>
  <c r="AC239" i="150" s="1"/>
  <c r="AC240" i="150" s="1"/>
  <c r="AC241" i="150" s="1"/>
  <c r="AC242" i="150" s="1"/>
  <c r="AC243" i="150" s="1"/>
  <c r="AC244" i="150" s="1"/>
  <c r="AC245" i="150" s="1"/>
  <c r="AC246" i="150" s="1"/>
  <c r="AC247" i="150" s="1"/>
  <c r="AC248" i="150" s="1"/>
  <c r="AC249" i="150" s="1"/>
  <c r="AC250" i="150" s="1"/>
  <c r="AC251" i="150" s="1"/>
  <c r="AC252" i="150" s="1"/>
  <c r="AC253" i="150" s="1"/>
  <c r="AC254" i="150" s="1"/>
  <c r="AC255" i="150" s="1"/>
  <c r="AC256" i="150" s="1"/>
  <c r="AC257" i="150" s="1"/>
  <c r="AC258" i="150" s="1"/>
  <c r="AC259" i="150" s="1"/>
  <c r="S157" i="150"/>
  <c r="AQ156" i="150"/>
  <c r="V157" i="150"/>
  <c r="AT156" i="150"/>
  <c r="F27" i="151"/>
  <c r="F56" i="151"/>
  <c r="W157" i="150"/>
  <c r="AU156" i="150"/>
  <c r="Z156" i="150"/>
  <c r="AA157" i="150"/>
  <c r="AY156" i="150"/>
  <c r="Q158" i="150"/>
  <c r="AO157" i="150"/>
  <c r="T157" i="150"/>
  <c r="AR156" i="150"/>
  <c r="F15" i="151"/>
  <c r="F37" i="151" s="1"/>
  <c r="AW156" i="150"/>
  <c r="Y157" i="150"/>
  <c r="R157" i="150"/>
  <c r="AP156" i="150"/>
  <c r="X157" i="150"/>
  <c r="AV156" i="150"/>
  <c r="AS156" i="150"/>
  <c r="U157" i="150"/>
  <c r="N49" i="151"/>
  <c r="M17" i="151"/>
  <c r="J49" i="151"/>
  <c r="F49" i="151"/>
  <c r="K49" i="151"/>
  <c r="H49" i="151"/>
  <c r="N17" i="151"/>
  <c r="J17" i="151"/>
  <c r="I49" i="151"/>
  <c r="L74" i="151"/>
  <c r="L82" i="151" s="1"/>
  <c r="L62" i="151"/>
  <c r="L160" i="151" s="1"/>
  <c r="N62" i="151"/>
  <c r="N160" i="151" s="1"/>
  <c r="E238" i="150"/>
  <c r="E239" i="150" s="1"/>
  <c r="E240" i="150" s="1"/>
  <c r="E241" i="150" s="1"/>
  <c r="E242" i="150" s="1"/>
  <c r="E243" i="150" s="1"/>
  <c r="E244" i="150" s="1"/>
  <c r="E245" i="150" s="1"/>
  <c r="E246" i="150" s="1"/>
  <c r="E247" i="150" s="1"/>
  <c r="E248" i="150" s="1"/>
  <c r="E249" i="150" s="1"/>
  <c r="E250" i="150" s="1"/>
  <c r="E251" i="150" s="1"/>
  <c r="E252" i="150" s="1"/>
  <c r="E253" i="150" s="1"/>
  <c r="E254" i="150" s="1"/>
  <c r="E255" i="150" s="1"/>
  <c r="E256" i="150" s="1"/>
  <c r="E257" i="150" s="1"/>
  <c r="E258" i="150" s="1"/>
  <c r="E259" i="150" s="1"/>
  <c r="E260" i="150" s="1"/>
  <c r="E261" i="150" s="1"/>
  <c r="E262" i="150" s="1"/>
  <c r="AC260" i="150"/>
  <c r="AC261" i="150" s="1"/>
  <c r="AC262" i="150" s="1"/>
  <c r="F50" i="151"/>
  <c r="G47" i="151"/>
  <c r="M49" i="151"/>
  <c r="F55" i="151"/>
  <c r="G52" i="151"/>
  <c r="I17" i="151"/>
  <c r="L49" i="151"/>
  <c r="L17" i="151"/>
  <c r="F39" i="151"/>
  <c r="F28" i="151"/>
  <c r="G25" i="151"/>
  <c r="N33" i="151"/>
  <c r="N30" i="151" s="1"/>
  <c r="N141" i="151" s="1"/>
  <c r="K17" i="151"/>
  <c r="G49" i="151"/>
  <c r="F87" i="151" l="1"/>
  <c r="H12" i="151"/>
  <c r="X35" i="151"/>
  <c r="N74" i="151"/>
  <c r="L81" i="151"/>
  <c r="L83" i="151"/>
  <c r="K81" i="151"/>
  <c r="K83" i="151"/>
  <c r="F70" i="151"/>
  <c r="F69" i="151"/>
  <c r="F23" i="151"/>
  <c r="F38" i="151"/>
  <c r="N140" i="151"/>
  <c r="F62" i="151"/>
  <c r="F18" i="151"/>
  <c r="T158" i="150"/>
  <c r="AR157" i="150"/>
  <c r="Q159" i="150"/>
  <c r="AO158" i="150"/>
  <c r="W158" i="150"/>
  <c r="AU157" i="150"/>
  <c r="X158" i="150"/>
  <c r="AV157" i="150"/>
  <c r="F57" i="151"/>
  <c r="F126" i="151" s="1"/>
  <c r="F59" i="151"/>
  <c r="AA158" i="150"/>
  <c r="AY157" i="150"/>
  <c r="U158" i="150"/>
  <c r="AS157" i="150"/>
  <c r="R158" i="150"/>
  <c r="AP157" i="150"/>
  <c r="Y158" i="150"/>
  <c r="AW157" i="150"/>
  <c r="V158" i="150"/>
  <c r="AT157" i="150"/>
  <c r="Z157" i="150"/>
  <c r="AX156" i="150"/>
  <c r="G15" i="151"/>
  <c r="G18" i="151" s="1"/>
  <c r="S158" i="150"/>
  <c r="AQ157" i="150"/>
  <c r="O62" i="151"/>
  <c r="O30" i="151"/>
  <c r="X65" i="151"/>
  <c r="G39" i="151"/>
  <c r="G28" i="151"/>
  <c r="H25" i="151"/>
  <c r="X33" i="151"/>
  <c r="G70" i="151"/>
  <c r="G55" i="151"/>
  <c r="H52" i="151"/>
  <c r="G38" i="151"/>
  <c r="H20" i="151"/>
  <c r="G23" i="151"/>
  <c r="G69" i="151"/>
  <c r="G50" i="151"/>
  <c r="H47" i="151"/>
  <c r="G85" i="151" l="1"/>
  <c r="G87" i="151"/>
  <c r="I12" i="151"/>
  <c r="N82" i="151"/>
  <c r="O74" i="151"/>
  <c r="P74" i="151"/>
  <c r="P62" i="151"/>
  <c r="O160" i="151"/>
  <c r="O170" i="151" s="1"/>
  <c r="O152" i="151"/>
  <c r="F96" i="151"/>
  <c r="P30" i="151"/>
  <c r="O141" i="151"/>
  <c r="O151" i="151" s="1"/>
  <c r="H15" i="151"/>
  <c r="H37" i="151" s="1"/>
  <c r="G37" i="151"/>
  <c r="AA159" i="150"/>
  <c r="AY158" i="150"/>
  <c r="S159" i="150"/>
  <c r="AQ158" i="150"/>
  <c r="G57" i="151"/>
  <c r="F60" i="151"/>
  <c r="F71" i="151"/>
  <c r="F128" i="151"/>
  <c r="U159" i="150"/>
  <c r="AS158" i="150"/>
  <c r="F127" i="151"/>
  <c r="W159" i="150"/>
  <c r="AU158" i="150"/>
  <c r="X159" i="150"/>
  <c r="AV158" i="150"/>
  <c r="Y159" i="150"/>
  <c r="AW158" i="150"/>
  <c r="Q160" i="150"/>
  <c r="AO159" i="150"/>
  <c r="R159" i="150"/>
  <c r="AP158" i="150"/>
  <c r="Z158" i="150"/>
  <c r="AX157" i="150"/>
  <c r="V159" i="150"/>
  <c r="AT158" i="150"/>
  <c r="T159" i="150"/>
  <c r="AR158" i="150"/>
  <c r="H55" i="151"/>
  <c r="H70" i="151"/>
  <c r="I52" i="151"/>
  <c r="H69" i="151"/>
  <c r="H50" i="151"/>
  <c r="I47" i="151"/>
  <c r="G96" i="151"/>
  <c r="G97" i="151"/>
  <c r="G95" i="151"/>
  <c r="H38" i="151"/>
  <c r="I20" i="151"/>
  <c r="H23" i="151"/>
  <c r="F102" i="151"/>
  <c r="H39" i="151"/>
  <c r="H28" i="151"/>
  <c r="I25" i="151"/>
  <c r="J12" i="151" l="1"/>
  <c r="H85" i="151"/>
  <c r="H87" i="151"/>
  <c r="H18" i="151"/>
  <c r="H96" i="151" s="1"/>
  <c r="I15" i="151"/>
  <c r="I18" i="151" s="1"/>
  <c r="O82" i="151"/>
  <c r="O67" i="151"/>
  <c r="Q74" i="151"/>
  <c r="P82" i="151"/>
  <c r="O35" i="151"/>
  <c r="O33" i="151" s="1"/>
  <c r="O140" i="151" s="1"/>
  <c r="Q30" i="151"/>
  <c r="R30" i="151" s="1"/>
  <c r="S30" i="151" s="1"/>
  <c r="T30" i="151" s="1"/>
  <c r="U30" i="151" s="1"/>
  <c r="V30" i="151" s="1"/>
  <c r="W30" i="151" s="1"/>
  <c r="X30" i="151" s="1"/>
  <c r="P141" i="151"/>
  <c r="P151" i="151" s="1"/>
  <c r="Q62" i="151"/>
  <c r="R62" i="151" s="1"/>
  <c r="S62" i="151" s="1"/>
  <c r="T62" i="151" s="1"/>
  <c r="U62" i="151" s="1"/>
  <c r="V62" i="151" s="1"/>
  <c r="W62" i="151" s="1"/>
  <c r="X62" i="151" s="1"/>
  <c r="P160" i="151"/>
  <c r="P170" i="151" s="1"/>
  <c r="P152" i="151"/>
  <c r="X160" i="150"/>
  <c r="AV159" i="150"/>
  <c r="W160" i="150"/>
  <c r="AU159" i="150"/>
  <c r="T160" i="150"/>
  <c r="AR159" i="150"/>
  <c r="U160" i="150"/>
  <c r="AS159" i="150"/>
  <c r="Z159" i="150"/>
  <c r="AX158" i="150"/>
  <c r="F105" i="151"/>
  <c r="F106" i="151"/>
  <c r="F117" i="151" s="1"/>
  <c r="F122" i="151" s="1"/>
  <c r="F107" i="151"/>
  <c r="V160" i="150"/>
  <c r="AT159" i="150"/>
  <c r="G127" i="151"/>
  <c r="G126" i="151"/>
  <c r="H57" i="151"/>
  <c r="G71" i="151"/>
  <c r="G128" i="151"/>
  <c r="G60" i="151"/>
  <c r="R160" i="150"/>
  <c r="AP159" i="150"/>
  <c r="S160" i="150"/>
  <c r="AQ159" i="150"/>
  <c r="Q161" i="150"/>
  <c r="AO160" i="150"/>
  <c r="Y160" i="150"/>
  <c r="AW159" i="150"/>
  <c r="AA160" i="150"/>
  <c r="AY159" i="150"/>
  <c r="I23" i="151"/>
  <c r="J20" i="151"/>
  <c r="I38" i="151"/>
  <c r="I146" i="151" s="1"/>
  <c r="G98" i="151"/>
  <c r="G102" i="151"/>
  <c r="I39" i="151"/>
  <c r="I147" i="151" s="1"/>
  <c r="I28" i="151"/>
  <c r="J25" i="151"/>
  <c r="I55" i="151"/>
  <c r="I70" i="151"/>
  <c r="I165" i="151" s="1"/>
  <c r="J52" i="151"/>
  <c r="I69" i="151"/>
  <c r="I164" i="151" s="1"/>
  <c r="J47" i="151"/>
  <c r="I50" i="151"/>
  <c r="J15" i="151" l="1"/>
  <c r="H95" i="151"/>
  <c r="I37" i="151"/>
  <c r="I145" i="151" s="1"/>
  <c r="I85" i="151"/>
  <c r="I87" i="151"/>
  <c r="K12" i="151"/>
  <c r="H97" i="151"/>
  <c r="H98" i="151" s="1"/>
  <c r="R74" i="151"/>
  <c r="R82" i="151" s="1"/>
  <c r="Q82" i="151"/>
  <c r="O169" i="151"/>
  <c r="O65" i="151"/>
  <c r="O159" i="151" s="1"/>
  <c r="V161" i="150"/>
  <c r="AT160" i="150"/>
  <c r="Y161" i="150"/>
  <c r="AW160" i="150"/>
  <c r="F108" i="151"/>
  <c r="F121" i="151"/>
  <c r="F112" i="151"/>
  <c r="F131" i="151" s="1"/>
  <c r="F134" i="151" s="1"/>
  <c r="F118" i="151"/>
  <c r="F123" i="151" s="1"/>
  <c r="R161" i="150"/>
  <c r="AP160" i="150"/>
  <c r="Z160" i="150"/>
  <c r="AX159" i="150"/>
  <c r="AA161" i="150"/>
  <c r="AY160" i="150"/>
  <c r="Q162" i="150"/>
  <c r="AO161" i="150"/>
  <c r="T161" i="150"/>
  <c r="AR160" i="150"/>
  <c r="H126" i="151"/>
  <c r="H60" i="151"/>
  <c r="H71" i="151"/>
  <c r="I57" i="151"/>
  <c r="H127" i="151"/>
  <c r="H128" i="151"/>
  <c r="S161" i="150"/>
  <c r="AQ160" i="150"/>
  <c r="U161" i="150"/>
  <c r="AS160" i="150"/>
  <c r="G107" i="151"/>
  <c r="G106" i="151"/>
  <c r="G117" i="151" s="1"/>
  <c r="G122" i="151" s="1"/>
  <c r="G105" i="151"/>
  <c r="W161" i="150"/>
  <c r="AU160" i="150"/>
  <c r="X161" i="150"/>
  <c r="AV160" i="150"/>
  <c r="K25" i="151"/>
  <c r="J28" i="151"/>
  <c r="J39" i="151"/>
  <c r="J147" i="151" s="1"/>
  <c r="J18" i="151"/>
  <c r="K15" i="151"/>
  <c r="J37" i="151"/>
  <c r="J145" i="151" s="1"/>
  <c r="I95" i="151"/>
  <c r="I97" i="151"/>
  <c r="I96" i="151"/>
  <c r="J69" i="151"/>
  <c r="J164" i="151" s="1"/>
  <c r="J50" i="151"/>
  <c r="K47" i="151"/>
  <c r="J55" i="151"/>
  <c r="K52" i="151"/>
  <c r="J70" i="151"/>
  <c r="J165" i="151" s="1"/>
  <c r="J23" i="151"/>
  <c r="K20" i="151"/>
  <c r="J38" i="151"/>
  <c r="J146" i="151" s="1"/>
  <c r="J85" i="151" l="1"/>
  <c r="J87" i="151"/>
  <c r="L12" i="151"/>
  <c r="H102" i="151"/>
  <c r="S74" i="151"/>
  <c r="Q163" i="150"/>
  <c r="AO162" i="150"/>
  <c r="AA162" i="150"/>
  <c r="AY161" i="150"/>
  <c r="Z161" i="150"/>
  <c r="AX160" i="150"/>
  <c r="I126" i="151"/>
  <c r="I127" i="151"/>
  <c r="I128" i="151"/>
  <c r="I71" i="151"/>
  <c r="I166" i="151" s="1"/>
  <c r="I60" i="151"/>
  <c r="J57" i="151"/>
  <c r="G116" i="151"/>
  <c r="G121" i="151" s="1"/>
  <c r="G108" i="151"/>
  <c r="G112" i="151"/>
  <c r="G131" i="151" s="1"/>
  <c r="G134" i="151" s="1"/>
  <c r="G118" i="151"/>
  <c r="G123" i="151" s="1"/>
  <c r="R162" i="150"/>
  <c r="AP161" i="150"/>
  <c r="H105" i="151"/>
  <c r="H107" i="151"/>
  <c r="H106" i="151"/>
  <c r="H117" i="151" s="1"/>
  <c r="H122" i="151" s="1"/>
  <c r="U162" i="150"/>
  <c r="AS161" i="150"/>
  <c r="S162" i="150"/>
  <c r="AQ161" i="150"/>
  <c r="X162" i="150"/>
  <c r="AV161" i="150"/>
  <c r="Y162" i="150"/>
  <c r="AW161" i="150"/>
  <c r="W162" i="150"/>
  <c r="AU161" i="150"/>
  <c r="T162" i="150"/>
  <c r="AR161" i="150"/>
  <c r="V162" i="150"/>
  <c r="AT161" i="150"/>
  <c r="K69" i="151"/>
  <c r="K164" i="151" s="1"/>
  <c r="K50" i="151"/>
  <c r="L47" i="151"/>
  <c r="L15" i="151"/>
  <c r="K37" i="151"/>
  <c r="K145" i="151" s="1"/>
  <c r="K18" i="151"/>
  <c r="I102" i="151"/>
  <c r="L25" i="151"/>
  <c r="K39" i="151"/>
  <c r="K147" i="151" s="1"/>
  <c r="K28" i="151"/>
  <c r="I98" i="151"/>
  <c r="J95" i="151"/>
  <c r="J97" i="151"/>
  <c r="J96" i="151"/>
  <c r="L52" i="151"/>
  <c r="K55" i="151"/>
  <c r="K70" i="151"/>
  <c r="K165" i="151" s="1"/>
  <c r="K23" i="151"/>
  <c r="K38" i="151"/>
  <c r="K146" i="151" s="1"/>
  <c r="L20" i="151"/>
  <c r="M12" i="151" l="1"/>
  <c r="K85" i="151"/>
  <c r="K87" i="151"/>
  <c r="T74" i="151"/>
  <c r="S82" i="151"/>
  <c r="I107" i="151"/>
  <c r="I105" i="151"/>
  <c r="I106" i="151"/>
  <c r="I117" i="151" s="1"/>
  <c r="I122" i="151" s="1"/>
  <c r="U163" i="150"/>
  <c r="AS162" i="150"/>
  <c r="X163" i="150"/>
  <c r="AV162" i="150"/>
  <c r="J128" i="151"/>
  <c r="J60" i="151"/>
  <c r="J71" i="151"/>
  <c r="J166" i="151" s="1"/>
  <c r="K57" i="151"/>
  <c r="J126" i="151"/>
  <c r="J127" i="151"/>
  <c r="Y163" i="150"/>
  <c r="AW162" i="150"/>
  <c r="S163" i="150"/>
  <c r="AQ162" i="150"/>
  <c r="V163" i="150"/>
  <c r="AT162" i="150"/>
  <c r="R163" i="150"/>
  <c r="AP162" i="150"/>
  <c r="H112" i="151"/>
  <c r="H131" i="151" s="1"/>
  <c r="H134" i="151" s="1"/>
  <c r="H118" i="151"/>
  <c r="H123" i="151" s="1"/>
  <c r="Z162" i="150"/>
  <c r="AX161" i="150"/>
  <c r="H108" i="151"/>
  <c r="H116" i="151"/>
  <c r="H121" i="151" s="1"/>
  <c r="AA163" i="150"/>
  <c r="AY162" i="150"/>
  <c r="T163" i="150"/>
  <c r="AR162" i="150"/>
  <c r="W163" i="150"/>
  <c r="AU162" i="150"/>
  <c r="Q164" i="150"/>
  <c r="AO163" i="150"/>
  <c r="L37" i="151"/>
  <c r="L145" i="151" s="1"/>
  <c r="L18" i="151"/>
  <c r="M15" i="151"/>
  <c r="L70" i="151"/>
  <c r="L165" i="151" s="1"/>
  <c r="M52" i="151"/>
  <c r="L55" i="151"/>
  <c r="J102" i="151"/>
  <c r="J98" i="151"/>
  <c r="K95" i="151"/>
  <c r="K96" i="151"/>
  <c r="K97" i="151"/>
  <c r="L38" i="151"/>
  <c r="L146" i="151" s="1"/>
  <c r="M20" i="151"/>
  <c r="L23" i="151"/>
  <c r="L39" i="151"/>
  <c r="L147" i="151" s="1"/>
  <c r="M25" i="151"/>
  <c r="L28" i="151"/>
  <c r="L69" i="151"/>
  <c r="L164" i="151" s="1"/>
  <c r="L50" i="151"/>
  <c r="M47" i="151"/>
  <c r="L85" i="151" l="1"/>
  <c r="L87" i="151"/>
  <c r="N12" i="151"/>
  <c r="U74" i="151"/>
  <c r="T82" i="151"/>
  <c r="T164" i="150"/>
  <c r="AR163" i="150"/>
  <c r="J105" i="151"/>
  <c r="J107" i="151"/>
  <c r="J106" i="151"/>
  <c r="J117" i="151" s="1"/>
  <c r="J122" i="151" s="1"/>
  <c r="AA164" i="150"/>
  <c r="AY163" i="150"/>
  <c r="Z163" i="150"/>
  <c r="AX162" i="150"/>
  <c r="K128" i="151"/>
  <c r="K126" i="151"/>
  <c r="K71" i="151"/>
  <c r="K166" i="151" s="1"/>
  <c r="K60" i="151"/>
  <c r="L57" i="151"/>
  <c r="K127" i="151"/>
  <c r="R164" i="150"/>
  <c r="AP163" i="150"/>
  <c r="U164" i="150"/>
  <c r="AS163" i="150"/>
  <c r="V164" i="150"/>
  <c r="AT163" i="150"/>
  <c r="I116" i="151"/>
  <c r="I121" i="151" s="1"/>
  <c r="I108" i="151"/>
  <c r="Y164" i="150"/>
  <c r="AW163" i="150"/>
  <c r="X164" i="150"/>
  <c r="AV163" i="150"/>
  <c r="Q165" i="150"/>
  <c r="AO164" i="150"/>
  <c r="W164" i="150"/>
  <c r="AU163" i="150"/>
  <c r="S164" i="150"/>
  <c r="AQ163" i="150"/>
  <c r="I112" i="151"/>
  <c r="I131" i="151" s="1"/>
  <c r="I134" i="151" s="1"/>
  <c r="I118" i="151"/>
  <c r="I123" i="151" s="1"/>
  <c r="M37" i="151"/>
  <c r="M145" i="151" s="1"/>
  <c r="N15" i="151"/>
  <c r="M18" i="151"/>
  <c r="L95" i="151"/>
  <c r="L96" i="151"/>
  <c r="L97" i="151"/>
  <c r="K98" i="151"/>
  <c r="N25" i="151"/>
  <c r="M28" i="151"/>
  <c r="M39" i="151"/>
  <c r="M147" i="151" s="1"/>
  <c r="M69" i="151"/>
  <c r="M164" i="151" s="1"/>
  <c r="M50" i="151"/>
  <c r="N47" i="151"/>
  <c r="K102" i="151"/>
  <c r="M55" i="151"/>
  <c r="M70" i="151"/>
  <c r="M165" i="151" s="1"/>
  <c r="N52" i="151"/>
  <c r="M38" i="151"/>
  <c r="M146" i="151" s="1"/>
  <c r="N20" i="151"/>
  <c r="M23" i="151"/>
  <c r="M85" i="151" l="1"/>
  <c r="M87" i="151"/>
  <c r="V74" i="151"/>
  <c r="U82" i="151"/>
  <c r="K105" i="151"/>
  <c r="K107" i="151"/>
  <c r="K106" i="151"/>
  <c r="K117" i="151" s="1"/>
  <c r="K122" i="151" s="1"/>
  <c r="L60" i="151"/>
  <c r="L128" i="151"/>
  <c r="L71" i="151"/>
  <c r="L166" i="151" s="1"/>
  <c r="M57" i="151"/>
  <c r="L127" i="151"/>
  <c r="L126" i="151"/>
  <c r="Z164" i="150"/>
  <c r="AX163" i="150"/>
  <c r="Y165" i="150"/>
  <c r="AW164" i="150"/>
  <c r="AA165" i="150"/>
  <c r="AY164" i="150"/>
  <c r="V165" i="150"/>
  <c r="AT164" i="150"/>
  <c r="J116" i="151"/>
  <c r="J121" i="151" s="1"/>
  <c r="J108" i="151"/>
  <c r="R165" i="150"/>
  <c r="AP164" i="150"/>
  <c r="Q166" i="150"/>
  <c r="AO165" i="150"/>
  <c r="X165" i="150"/>
  <c r="AV164" i="150"/>
  <c r="J112" i="151"/>
  <c r="J131" i="151" s="1"/>
  <c r="J118" i="151"/>
  <c r="J123" i="151" s="1"/>
  <c r="S165" i="150"/>
  <c r="AQ164" i="150"/>
  <c r="U165" i="150"/>
  <c r="AS164" i="150"/>
  <c r="W165" i="150"/>
  <c r="AU164" i="150"/>
  <c r="T165" i="150"/>
  <c r="AR164" i="150"/>
  <c r="N55" i="151"/>
  <c r="N70" i="151"/>
  <c r="M95" i="151"/>
  <c r="M96" i="151"/>
  <c r="M97" i="151"/>
  <c r="L102" i="151"/>
  <c r="N50" i="151"/>
  <c r="N69" i="151"/>
  <c r="N37" i="151"/>
  <c r="N18" i="151"/>
  <c r="L98" i="151"/>
  <c r="N38" i="151"/>
  <c r="N23" i="151"/>
  <c r="N28" i="151"/>
  <c r="N39" i="151"/>
  <c r="W74" i="151" l="1"/>
  <c r="W82" i="151" s="1"/>
  <c r="V82" i="151"/>
  <c r="O38" i="151"/>
  <c r="O146" i="151" s="1"/>
  <c r="N146" i="151"/>
  <c r="O37" i="151"/>
  <c r="O145" i="151" s="1"/>
  <c r="N145" i="151"/>
  <c r="O39" i="151"/>
  <c r="O147" i="151" s="1"/>
  <c r="N147" i="151"/>
  <c r="O69" i="151"/>
  <c r="O164" i="151" s="1"/>
  <c r="N164" i="151"/>
  <c r="O70" i="151"/>
  <c r="O165" i="151" s="1"/>
  <c r="N165" i="151"/>
  <c r="AA166" i="150"/>
  <c r="AY165" i="150"/>
  <c r="S166" i="150"/>
  <c r="AQ165" i="150"/>
  <c r="X166" i="150"/>
  <c r="AV165" i="150"/>
  <c r="Q167" i="150"/>
  <c r="AO166" i="150"/>
  <c r="M60" i="151"/>
  <c r="M71" i="151"/>
  <c r="M166" i="151" s="1"/>
  <c r="M127" i="151"/>
  <c r="N57" i="151"/>
  <c r="M126" i="151"/>
  <c r="M128" i="151"/>
  <c r="Y166" i="150"/>
  <c r="AW165" i="150"/>
  <c r="R166" i="150"/>
  <c r="AP165" i="150"/>
  <c r="J134" i="151"/>
  <c r="V166" i="150"/>
  <c r="AT165" i="150"/>
  <c r="K108" i="151"/>
  <c r="K116" i="151"/>
  <c r="K121" i="151" s="1"/>
  <c r="Z165" i="150"/>
  <c r="AX164" i="150"/>
  <c r="AR165" i="150"/>
  <c r="T166" i="150"/>
  <c r="L107" i="151"/>
  <c r="L106" i="151"/>
  <c r="L117" i="151" s="1"/>
  <c r="L122" i="151" s="1"/>
  <c r="L105" i="151"/>
  <c r="W166" i="150"/>
  <c r="AU165" i="150"/>
  <c r="K112" i="151"/>
  <c r="K131" i="151" s="1"/>
  <c r="K134" i="151" s="1"/>
  <c r="K118" i="151"/>
  <c r="K123" i="151" s="1"/>
  <c r="U166" i="150"/>
  <c r="AS165" i="150"/>
  <c r="M102" i="151"/>
  <c r="M98" i="151"/>
  <c r="N96" i="151"/>
  <c r="N97" i="151"/>
  <c r="O19" i="151" l="1"/>
  <c r="O14" i="151"/>
  <c r="O15" i="151" s="1"/>
  <c r="O24" i="151"/>
  <c r="O27" i="151" s="1"/>
  <c r="P39" i="151"/>
  <c r="P147" i="151" s="1"/>
  <c r="P69" i="151"/>
  <c r="P164" i="151" s="1"/>
  <c r="P38" i="151"/>
  <c r="P146" i="151" s="1"/>
  <c r="O46" i="151"/>
  <c r="O49" i="151" s="1"/>
  <c r="O172" i="151"/>
  <c r="O161" i="151"/>
  <c r="O51" i="151"/>
  <c r="O52" i="151" s="1"/>
  <c r="P70" i="151"/>
  <c r="P165" i="151" s="1"/>
  <c r="M176" i="151"/>
  <c r="O143" i="151"/>
  <c r="O155" i="151" s="1"/>
  <c r="P37" i="151"/>
  <c r="P145" i="151" s="1"/>
  <c r="L112" i="151"/>
  <c r="L131" i="151" s="1"/>
  <c r="L134" i="151" s="1"/>
  <c r="L118" i="151"/>
  <c r="L123" i="151" s="1"/>
  <c r="Z166" i="150"/>
  <c r="AX165" i="150"/>
  <c r="N71" i="151"/>
  <c r="N60" i="151"/>
  <c r="N126" i="151"/>
  <c r="N127" i="151"/>
  <c r="N128" i="151"/>
  <c r="L116" i="151"/>
  <c r="L108" i="151"/>
  <c r="M106" i="151"/>
  <c r="M117" i="151" s="1"/>
  <c r="M122" i="151" s="1"/>
  <c r="M105" i="151"/>
  <c r="M107" i="151"/>
  <c r="U167" i="150"/>
  <c r="AS166" i="150"/>
  <c r="T167" i="150"/>
  <c r="AR166" i="150"/>
  <c r="Q168" i="150"/>
  <c r="AO167" i="150"/>
  <c r="V167" i="150"/>
  <c r="AT166" i="150"/>
  <c r="S167" i="150"/>
  <c r="AQ166" i="150"/>
  <c r="R167" i="150"/>
  <c r="AP166" i="150"/>
  <c r="AA167" i="150"/>
  <c r="AY166" i="150"/>
  <c r="X167" i="150"/>
  <c r="AV166" i="150"/>
  <c r="W167" i="150"/>
  <c r="AU166" i="150"/>
  <c r="Y167" i="150"/>
  <c r="AW166" i="150"/>
  <c r="O22" i="151"/>
  <c r="O20" i="151"/>
  <c r="N102" i="151"/>
  <c r="Q39" i="151"/>
  <c r="N98" i="151"/>
  <c r="Q38" i="151" l="1"/>
  <c r="Q69" i="151"/>
  <c r="O11" i="151"/>
  <c r="O153" i="151" s="1"/>
  <c r="O142" i="151"/>
  <c r="O154" i="151" s="1"/>
  <c r="O17" i="151"/>
  <c r="K177" i="151" s="1"/>
  <c r="K176" i="151"/>
  <c r="O25" i="151"/>
  <c r="O144" i="151"/>
  <c r="O156" i="151" s="1"/>
  <c r="O47" i="151"/>
  <c r="K178" i="151" s="1"/>
  <c r="O54" i="151"/>
  <c r="M177" i="151" s="1"/>
  <c r="Q70" i="151"/>
  <c r="R70" i="151" s="1"/>
  <c r="Q37" i="151"/>
  <c r="R37" i="151" s="1"/>
  <c r="M178" i="151"/>
  <c r="O71" i="151"/>
  <c r="O166" i="151" s="1"/>
  <c r="N166" i="151"/>
  <c r="O177" i="151"/>
  <c r="O173" i="151"/>
  <c r="O162" i="151"/>
  <c r="U168" i="150"/>
  <c r="AS167" i="150"/>
  <c r="X168" i="150"/>
  <c r="AV167" i="150"/>
  <c r="M116" i="151"/>
  <c r="M121" i="151" s="1"/>
  <c r="M108" i="151"/>
  <c r="R168" i="150"/>
  <c r="AP167" i="150"/>
  <c r="M112" i="151"/>
  <c r="M131" i="151" s="1"/>
  <c r="M134" i="151" s="1"/>
  <c r="M118" i="151"/>
  <c r="M123" i="151" s="1"/>
  <c r="L121" i="151"/>
  <c r="N105" i="151"/>
  <c r="N106" i="151"/>
  <c r="N117" i="151" s="1"/>
  <c r="D7" i="71" s="1"/>
  <c r="N107" i="151"/>
  <c r="V168" i="150"/>
  <c r="AT167" i="150"/>
  <c r="Q169" i="150"/>
  <c r="AO168" i="150"/>
  <c r="AA168" i="150"/>
  <c r="AY167" i="150"/>
  <c r="S168" i="150"/>
  <c r="AQ167" i="150"/>
  <c r="Y168" i="150"/>
  <c r="AW167" i="150"/>
  <c r="Z167" i="150"/>
  <c r="AX166" i="150"/>
  <c r="W168" i="150"/>
  <c r="AU167" i="150"/>
  <c r="T168" i="150"/>
  <c r="AR167" i="150"/>
  <c r="O23" i="151"/>
  <c r="R39" i="151"/>
  <c r="O55" i="151"/>
  <c r="O32" i="151"/>
  <c r="O139" i="151" s="1"/>
  <c r="O12" i="151"/>
  <c r="R38" i="151"/>
  <c r="O18" i="151"/>
  <c r="O28" i="151"/>
  <c r="R69" i="151"/>
  <c r="O50" i="151" l="1"/>
  <c r="P71" i="151"/>
  <c r="Q71" i="151" s="1"/>
  <c r="R71" i="151" s="1"/>
  <c r="S71" i="151" s="1"/>
  <c r="K179" i="151"/>
  <c r="P166" i="151"/>
  <c r="M179" i="151"/>
  <c r="O179" i="151"/>
  <c r="O56" i="151"/>
  <c r="N112" i="151"/>
  <c r="N131" i="151" s="1"/>
  <c r="N134" i="151" s="1"/>
  <c r="N118" i="151"/>
  <c r="D8" i="71" s="1"/>
  <c r="Y169" i="150"/>
  <c r="AW168" i="150"/>
  <c r="O43" i="151"/>
  <c r="O171" i="151" s="1"/>
  <c r="O59" i="151"/>
  <c r="O57" i="151"/>
  <c r="O178" i="151" s="1"/>
  <c r="W169" i="150"/>
  <c r="AU168" i="150"/>
  <c r="N108" i="151"/>
  <c r="N116" i="151"/>
  <c r="D6" i="71" s="1"/>
  <c r="Z168" i="150"/>
  <c r="AX167" i="150"/>
  <c r="R169" i="150"/>
  <c r="AP168" i="150"/>
  <c r="N122" i="151"/>
  <c r="X169" i="150"/>
  <c r="AV168" i="150"/>
  <c r="U169" i="150"/>
  <c r="AS168" i="150"/>
  <c r="S169" i="150"/>
  <c r="AQ168" i="150"/>
  <c r="AA169" i="150"/>
  <c r="AY168" i="150"/>
  <c r="Q170" i="150"/>
  <c r="AO169" i="150"/>
  <c r="T169" i="150"/>
  <c r="AR168" i="150"/>
  <c r="V169" i="150"/>
  <c r="AT168" i="150"/>
  <c r="O95" i="151"/>
  <c r="O96" i="151"/>
  <c r="O97" i="151"/>
  <c r="S70" i="151"/>
  <c r="S39" i="151"/>
  <c r="S37" i="151"/>
  <c r="S69" i="151"/>
  <c r="S38" i="151"/>
  <c r="N123" i="151" l="1"/>
  <c r="O174" i="151"/>
  <c r="O163" i="151"/>
  <c r="O176" i="151"/>
  <c r="Z169" i="150"/>
  <c r="AX168" i="150"/>
  <c r="R170" i="150"/>
  <c r="AP169" i="150"/>
  <c r="T170" i="150"/>
  <c r="AR169" i="150"/>
  <c r="AA170" i="150"/>
  <c r="AY169" i="150"/>
  <c r="O60" i="151"/>
  <c r="O127" i="151"/>
  <c r="O128" i="151"/>
  <c r="O126" i="151"/>
  <c r="U170" i="150"/>
  <c r="AS169" i="150"/>
  <c r="V170" i="150"/>
  <c r="AT169" i="150"/>
  <c r="Q171" i="150"/>
  <c r="AO170" i="150"/>
  <c r="W170" i="150"/>
  <c r="AU169" i="150"/>
  <c r="S170" i="150"/>
  <c r="AQ169" i="150"/>
  <c r="O44" i="151"/>
  <c r="O64" i="151"/>
  <c r="O158" i="151" s="1"/>
  <c r="N121" i="151"/>
  <c r="Y170" i="150"/>
  <c r="AW169" i="150"/>
  <c r="X170" i="150"/>
  <c r="AV169" i="150"/>
  <c r="T70" i="151"/>
  <c r="T71" i="151"/>
  <c r="T38" i="151"/>
  <c r="O102" i="151"/>
  <c r="T37" i="151"/>
  <c r="O98" i="151"/>
  <c r="T39" i="151"/>
  <c r="T69" i="151"/>
  <c r="U171" i="150" l="1"/>
  <c r="AS170" i="150"/>
  <c r="O105" i="151"/>
  <c r="O106" i="151"/>
  <c r="O117" i="151" s="1"/>
  <c r="O122" i="151" s="1"/>
  <c r="O107" i="151"/>
  <c r="AA171" i="150"/>
  <c r="AY170" i="150"/>
  <c r="T171" i="150"/>
  <c r="AR170" i="150"/>
  <c r="R171" i="150"/>
  <c r="AP170" i="150"/>
  <c r="V171" i="150"/>
  <c r="AT170" i="150"/>
  <c r="Y171" i="150"/>
  <c r="AW170" i="150"/>
  <c r="S171" i="150"/>
  <c r="AQ170" i="150"/>
  <c r="W171" i="150"/>
  <c r="AU170" i="150"/>
  <c r="X171" i="150"/>
  <c r="AV170" i="150"/>
  <c r="Q172" i="150"/>
  <c r="AO171" i="150"/>
  <c r="Z170" i="150"/>
  <c r="AX169" i="150"/>
  <c r="E7" i="71"/>
  <c r="U38" i="151"/>
  <c r="U70" i="151"/>
  <c r="U39" i="151"/>
  <c r="U37" i="151"/>
  <c r="U71" i="151"/>
  <c r="U69" i="151"/>
  <c r="U172" i="150" l="1"/>
  <c r="AS171" i="150"/>
  <c r="S172" i="150"/>
  <c r="AQ171" i="150"/>
  <c r="V172" i="150"/>
  <c r="AT171" i="150"/>
  <c r="Z171" i="150"/>
  <c r="AX170" i="150"/>
  <c r="AA172" i="150"/>
  <c r="AY171" i="150"/>
  <c r="Y172" i="150"/>
  <c r="AW171" i="150"/>
  <c r="R172" i="150"/>
  <c r="AP171" i="150"/>
  <c r="X172" i="150"/>
  <c r="AV171" i="150"/>
  <c r="O112" i="151"/>
  <c r="O131" i="151" s="1"/>
  <c r="O118" i="151"/>
  <c r="T172" i="150"/>
  <c r="AR171" i="150"/>
  <c r="AO172" i="150"/>
  <c r="Q173" i="150"/>
  <c r="O108" i="151"/>
  <c r="O116" i="151"/>
  <c r="W172" i="150"/>
  <c r="AU171" i="150"/>
  <c r="V39" i="151"/>
  <c r="V70" i="151"/>
  <c r="V37" i="151"/>
  <c r="V38" i="151"/>
  <c r="V69" i="151"/>
  <c r="V71" i="151"/>
  <c r="X173" i="150" l="1"/>
  <c r="AV172" i="150"/>
  <c r="R173" i="150"/>
  <c r="AP172" i="150"/>
  <c r="W173" i="150"/>
  <c r="AU172" i="150"/>
  <c r="T173" i="150"/>
  <c r="AR172" i="150"/>
  <c r="AA173" i="150"/>
  <c r="AY172" i="150"/>
  <c r="Q174" i="150"/>
  <c r="AO173" i="150"/>
  <c r="O123" i="151"/>
  <c r="E8" i="71"/>
  <c r="Y173" i="150"/>
  <c r="AW172" i="150"/>
  <c r="O121" i="151"/>
  <c r="E6" i="71"/>
  <c r="Z172" i="150"/>
  <c r="AX171" i="150"/>
  <c r="V173" i="150"/>
  <c r="AT172" i="150"/>
  <c r="S173" i="150"/>
  <c r="AQ172" i="150"/>
  <c r="O134" i="151"/>
  <c r="G8" i="71"/>
  <c r="U173" i="150"/>
  <c r="AS172" i="150"/>
  <c r="W69" i="151"/>
  <c r="W37" i="151"/>
  <c r="W38" i="151"/>
  <c r="W71" i="151"/>
  <c r="W70" i="151"/>
  <c r="W39" i="151"/>
  <c r="Q175" i="150" l="1"/>
  <c r="AO174" i="150"/>
  <c r="Y174" i="150"/>
  <c r="AW173" i="150"/>
  <c r="U174" i="150"/>
  <c r="AS173" i="150"/>
  <c r="AA174" i="150"/>
  <c r="AY173" i="150"/>
  <c r="S174" i="150"/>
  <c r="AQ173" i="150"/>
  <c r="T174" i="150"/>
  <c r="AR173" i="150"/>
  <c r="V174" i="150"/>
  <c r="AT173" i="150"/>
  <c r="W174" i="150"/>
  <c r="AU173" i="150"/>
  <c r="Z173" i="150"/>
  <c r="AX172" i="150"/>
  <c r="R174" i="150"/>
  <c r="AP173" i="150"/>
  <c r="X174" i="150"/>
  <c r="AV173" i="150"/>
  <c r="X71" i="151"/>
  <c r="X38" i="151"/>
  <c r="X37" i="151"/>
  <c r="X39" i="151"/>
  <c r="X70" i="151"/>
  <c r="X69" i="151"/>
  <c r="T175" i="150" l="1"/>
  <c r="AR174" i="150"/>
  <c r="S175" i="150"/>
  <c r="AQ174" i="150"/>
  <c r="W175" i="150"/>
  <c r="AU174" i="150"/>
  <c r="V175" i="150"/>
  <c r="AT174" i="150"/>
  <c r="AA175" i="150"/>
  <c r="AY174" i="150"/>
  <c r="X175" i="150"/>
  <c r="AV174" i="150"/>
  <c r="U175" i="150"/>
  <c r="AS174" i="150"/>
  <c r="R175" i="150"/>
  <c r="AP174" i="150"/>
  <c r="Y175" i="150"/>
  <c r="AW174" i="150"/>
  <c r="Z174" i="150"/>
  <c r="AX173" i="150"/>
  <c r="Q176" i="150"/>
  <c r="AO175" i="150"/>
  <c r="X14" i="151"/>
  <c r="X51" i="151"/>
  <c r="X54" i="151" s="1"/>
  <c r="X46" i="151"/>
  <c r="X24" i="151"/>
  <c r="X27" i="151" s="1"/>
  <c r="X19" i="151"/>
  <c r="X22" i="151" s="1"/>
  <c r="X56" i="151"/>
  <c r="X59" i="151" s="1"/>
  <c r="U176" i="150" l="1"/>
  <c r="AS175" i="150"/>
  <c r="V176" i="150"/>
  <c r="AT175" i="150"/>
  <c r="R176" i="150"/>
  <c r="AP175" i="150"/>
  <c r="X176" i="150"/>
  <c r="AV175" i="150"/>
  <c r="AA176" i="150"/>
  <c r="AY175" i="150"/>
  <c r="Q177" i="150"/>
  <c r="AO176" i="150"/>
  <c r="W176" i="150"/>
  <c r="AU175" i="150"/>
  <c r="Z175" i="150"/>
  <c r="AX174" i="150"/>
  <c r="S176" i="150"/>
  <c r="AQ175" i="150"/>
  <c r="Y176" i="150"/>
  <c r="AW175" i="150"/>
  <c r="T176" i="150"/>
  <c r="AR175" i="150"/>
  <c r="X49" i="151"/>
  <c r="X43" i="151"/>
  <c r="X64" i="151" s="1"/>
  <c r="X11" i="151"/>
  <c r="X32" i="151" s="1"/>
  <c r="X17" i="151"/>
  <c r="Z176" i="150" l="1"/>
  <c r="AX175" i="150"/>
  <c r="W177" i="150"/>
  <c r="AU176" i="150"/>
  <c r="Q178" i="150"/>
  <c r="AO177" i="150"/>
  <c r="X177" i="150"/>
  <c r="AV176" i="150"/>
  <c r="R177" i="150"/>
  <c r="AP176" i="150"/>
  <c r="AA177" i="150"/>
  <c r="AY176" i="150"/>
  <c r="T177" i="150"/>
  <c r="AR176" i="150"/>
  <c r="Y177" i="150"/>
  <c r="AW176" i="150"/>
  <c r="V177" i="150"/>
  <c r="AT176" i="150"/>
  <c r="S177" i="150"/>
  <c r="AQ176" i="150"/>
  <c r="U177" i="150"/>
  <c r="AS176" i="150"/>
  <c r="D3" i="149"/>
  <c r="G3" i="149"/>
  <c r="H3" i="149"/>
  <c r="K3" i="149"/>
  <c r="L3" i="149"/>
  <c r="O3" i="149"/>
  <c r="P3" i="149"/>
  <c r="Q3" i="149"/>
  <c r="R3" i="149"/>
  <c r="S3" i="149"/>
  <c r="T3" i="149"/>
  <c r="U3" i="149"/>
  <c r="V3" i="149"/>
  <c r="W3" i="149"/>
  <c r="X3" i="149"/>
  <c r="BE3" i="149"/>
  <c r="BF3" i="149"/>
  <c r="BG3" i="149"/>
  <c r="BH3" i="149"/>
  <c r="BI3" i="149"/>
  <c r="BJ3" i="149"/>
  <c r="BK3" i="149"/>
  <c r="BL3" i="149"/>
  <c r="BM3" i="149"/>
  <c r="BN3" i="149"/>
  <c r="BO3" i="149"/>
  <c r="BP3" i="149"/>
  <c r="BQ3" i="149"/>
  <c r="BR3" i="149"/>
  <c r="BS3" i="149"/>
  <c r="BU3" i="149"/>
  <c r="BV3" i="149"/>
  <c r="BW3" i="149"/>
  <c r="BX3" i="149"/>
  <c r="BY3" i="149"/>
  <c r="BZ3" i="149"/>
  <c r="D4" i="149"/>
  <c r="G4" i="149"/>
  <c r="H4" i="149"/>
  <c r="K4" i="149"/>
  <c r="L4" i="149"/>
  <c r="O4" i="149"/>
  <c r="P4" i="149"/>
  <c r="Q4" i="149"/>
  <c r="R4" i="149"/>
  <c r="S4" i="149"/>
  <c r="T4" i="149"/>
  <c r="U4" i="149"/>
  <c r="V4" i="149"/>
  <c r="W4" i="149"/>
  <c r="X4" i="149"/>
  <c r="BE4" i="149"/>
  <c r="BF4" i="149"/>
  <c r="BG4" i="149"/>
  <c r="BH4" i="149"/>
  <c r="BI4" i="149"/>
  <c r="BJ4" i="149"/>
  <c r="BK4" i="149"/>
  <c r="BL4" i="149"/>
  <c r="BM4" i="149"/>
  <c r="BN4" i="149"/>
  <c r="BO4" i="149"/>
  <c r="BP4" i="149"/>
  <c r="BQ4" i="149"/>
  <c r="BR4" i="149"/>
  <c r="BS4" i="149"/>
  <c r="BU4" i="149"/>
  <c r="BV4" i="149"/>
  <c r="BW4" i="149"/>
  <c r="BX4" i="149"/>
  <c r="BY4" i="149"/>
  <c r="BZ4" i="149"/>
  <c r="D5" i="149"/>
  <c r="G5" i="149"/>
  <c r="H5" i="149"/>
  <c r="K5" i="149"/>
  <c r="L5" i="149"/>
  <c r="P5" i="149"/>
  <c r="Q5" i="149"/>
  <c r="R5" i="149"/>
  <c r="S5" i="149"/>
  <c r="T5" i="149"/>
  <c r="U5" i="149"/>
  <c r="V5" i="149"/>
  <c r="W5" i="149"/>
  <c r="X5" i="149"/>
  <c r="BE5" i="149"/>
  <c r="BF5" i="149"/>
  <c r="BG5" i="149"/>
  <c r="BH5" i="149"/>
  <c r="BI5" i="149"/>
  <c r="BJ5" i="149"/>
  <c r="BK5" i="149"/>
  <c r="BL5" i="149"/>
  <c r="BM5" i="149"/>
  <c r="BN5" i="149"/>
  <c r="BO5" i="149"/>
  <c r="BP5" i="149"/>
  <c r="BQ5" i="149"/>
  <c r="BR5" i="149"/>
  <c r="BS5" i="149"/>
  <c r="BU5" i="149"/>
  <c r="BV5" i="149"/>
  <c r="BW5" i="149"/>
  <c r="BX5" i="149"/>
  <c r="BY5" i="149"/>
  <c r="BZ5" i="149"/>
  <c r="D6" i="149"/>
  <c r="G6" i="149"/>
  <c r="H6" i="149"/>
  <c r="K6" i="149"/>
  <c r="L6" i="149"/>
  <c r="O6" i="149"/>
  <c r="P6" i="149"/>
  <c r="Q6" i="149"/>
  <c r="R6" i="149"/>
  <c r="S6" i="149"/>
  <c r="T6" i="149"/>
  <c r="U6" i="149"/>
  <c r="V6" i="149"/>
  <c r="W6" i="149"/>
  <c r="X6" i="149"/>
  <c r="BE6" i="149"/>
  <c r="BF6" i="149"/>
  <c r="BG6" i="149"/>
  <c r="BH6" i="149"/>
  <c r="BI6" i="149"/>
  <c r="BJ6" i="149"/>
  <c r="BK6" i="149"/>
  <c r="BL6" i="149"/>
  <c r="BM6" i="149"/>
  <c r="BN6" i="149"/>
  <c r="BO6" i="149"/>
  <c r="BP6" i="149"/>
  <c r="BQ6" i="149"/>
  <c r="BR6" i="149"/>
  <c r="BS6" i="149"/>
  <c r="BU6" i="149"/>
  <c r="BV6" i="149"/>
  <c r="BW6" i="149"/>
  <c r="BX6" i="149"/>
  <c r="BY6" i="149"/>
  <c r="BZ6" i="149"/>
  <c r="D7" i="149"/>
  <c r="G7" i="149"/>
  <c r="H7" i="149"/>
  <c r="K7" i="149"/>
  <c r="L7" i="149"/>
  <c r="O7" i="149"/>
  <c r="P7" i="149"/>
  <c r="Q7" i="149"/>
  <c r="R7" i="149"/>
  <c r="S7" i="149"/>
  <c r="T7" i="149"/>
  <c r="U7" i="149"/>
  <c r="V7" i="149"/>
  <c r="W7" i="149"/>
  <c r="X7" i="149"/>
  <c r="BE7" i="149"/>
  <c r="BF7" i="149"/>
  <c r="BG7" i="149"/>
  <c r="BH7" i="149"/>
  <c r="BI7" i="149"/>
  <c r="BJ7" i="149"/>
  <c r="BK7" i="149"/>
  <c r="BL7" i="149"/>
  <c r="BM7" i="149"/>
  <c r="BN7" i="149"/>
  <c r="BO7" i="149"/>
  <c r="BP7" i="149"/>
  <c r="BQ7" i="149"/>
  <c r="BR7" i="149"/>
  <c r="BS7" i="149"/>
  <c r="BU7" i="149"/>
  <c r="BV7" i="149"/>
  <c r="BW7" i="149"/>
  <c r="BX7" i="149"/>
  <c r="BY7" i="149"/>
  <c r="BZ7" i="149"/>
  <c r="D8" i="149"/>
  <c r="G8" i="149"/>
  <c r="H8" i="149"/>
  <c r="K8" i="149"/>
  <c r="L8" i="149"/>
  <c r="O8" i="149"/>
  <c r="P8" i="149"/>
  <c r="Q8" i="149"/>
  <c r="R8" i="149"/>
  <c r="S8" i="149"/>
  <c r="T8" i="149"/>
  <c r="U8" i="149"/>
  <c r="V8" i="149"/>
  <c r="W8" i="149"/>
  <c r="X8" i="149"/>
  <c r="BE8" i="149"/>
  <c r="BF8" i="149"/>
  <c r="BG8" i="149"/>
  <c r="BH8" i="149"/>
  <c r="BI8" i="149"/>
  <c r="BJ8" i="149"/>
  <c r="BK8" i="149"/>
  <c r="BL8" i="149"/>
  <c r="BM8" i="149"/>
  <c r="BN8" i="149"/>
  <c r="BO8" i="149"/>
  <c r="BP8" i="149"/>
  <c r="BQ8" i="149"/>
  <c r="BR8" i="149"/>
  <c r="BS8" i="149"/>
  <c r="BU8" i="149"/>
  <c r="BV8" i="149"/>
  <c r="BW8" i="149"/>
  <c r="BX8" i="149"/>
  <c r="BY8" i="149"/>
  <c r="BZ8" i="149"/>
  <c r="D9" i="149"/>
  <c r="G9" i="149"/>
  <c r="H9" i="149"/>
  <c r="K9" i="149"/>
  <c r="L9" i="149"/>
  <c r="O9" i="149"/>
  <c r="P9" i="149"/>
  <c r="Q9" i="149"/>
  <c r="R9" i="149"/>
  <c r="S9" i="149"/>
  <c r="T9" i="149"/>
  <c r="U9" i="149"/>
  <c r="V9" i="149"/>
  <c r="W9" i="149"/>
  <c r="X9" i="149"/>
  <c r="BE9" i="149"/>
  <c r="BF9" i="149"/>
  <c r="BG9" i="149"/>
  <c r="BH9" i="149"/>
  <c r="BI9" i="149"/>
  <c r="BJ9" i="149"/>
  <c r="BK9" i="149"/>
  <c r="BL9" i="149"/>
  <c r="BM9" i="149"/>
  <c r="BN9" i="149"/>
  <c r="BO9" i="149"/>
  <c r="BP9" i="149"/>
  <c r="BQ9" i="149"/>
  <c r="BR9" i="149"/>
  <c r="BS9" i="149"/>
  <c r="BU9" i="149"/>
  <c r="BV9" i="149"/>
  <c r="BW9" i="149"/>
  <c r="BX9" i="149"/>
  <c r="BY9" i="149"/>
  <c r="BZ9" i="149"/>
  <c r="D10" i="149"/>
  <c r="G10" i="149"/>
  <c r="H10" i="149"/>
  <c r="K10" i="149"/>
  <c r="L10" i="149"/>
  <c r="O10" i="149"/>
  <c r="P10" i="149"/>
  <c r="Q10" i="149"/>
  <c r="R10" i="149"/>
  <c r="S10" i="149"/>
  <c r="T10" i="149"/>
  <c r="U10" i="149"/>
  <c r="V10" i="149"/>
  <c r="W10" i="149"/>
  <c r="X10" i="149"/>
  <c r="BE10" i="149"/>
  <c r="BF10" i="149"/>
  <c r="BG10" i="149"/>
  <c r="BH10" i="149"/>
  <c r="BI10" i="149"/>
  <c r="BJ10" i="149"/>
  <c r="BK10" i="149"/>
  <c r="BL10" i="149"/>
  <c r="BM10" i="149"/>
  <c r="BN10" i="149"/>
  <c r="BO10" i="149"/>
  <c r="BP10" i="149"/>
  <c r="BQ10" i="149"/>
  <c r="BR10" i="149"/>
  <c r="BS10" i="149"/>
  <c r="BU10" i="149"/>
  <c r="BV10" i="149"/>
  <c r="BW10" i="149"/>
  <c r="BX10" i="149"/>
  <c r="BY10" i="149"/>
  <c r="BZ10" i="149"/>
  <c r="D11" i="149"/>
  <c r="G11" i="149"/>
  <c r="H11" i="149"/>
  <c r="K11" i="149"/>
  <c r="L11" i="149"/>
  <c r="O11" i="149"/>
  <c r="P11" i="149"/>
  <c r="Q11" i="149"/>
  <c r="R11" i="149"/>
  <c r="S11" i="149"/>
  <c r="T11" i="149"/>
  <c r="U11" i="149"/>
  <c r="V11" i="149"/>
  <c r="W11" i="149"/>
  <c r="X11" i="149"/>
  <c r="BE11" i="149"/>
  <c r="BF11" i="149"/>
  <c r="BG11" i="149"/>
  <c r="BH11" i="149"/>
  <c r="BI11" i="149"/>
  <c r="BJ11" i="149"/>
  <c r="BK11" i="149"/>
  <c r="BL11" i="149"/>
  <c r="BM11" i="149"/>
  <c r="BN11" i="149"/>
  <c r="BO11" i="149"/>
  <c r="BP11" i="149"/>
  <c r="BQ11" i="149"/>
  <c r="BR11" i="149"/>
  <c r="BS11" i="149"/>
  <c r="BU11" i="149"/>
  <c r="BV11" i="149"/>
  <c r="BW11" i="149"/>
  <c r="BX11" i="149"/>
  <c r="BY11" i="149"/>
  <c r="BZ11" i="149"/>
  <c r="D12" i="149"/>
  <c r="G12" i="149"/>
  <c r="H12" i="149"/>
  <c r="K12" i="149"/>
  <c r="L12" i="149"/>
  <c r="O12" i="149"/>
  <c r="P12" i="149"/>
  <c r="Q12" i="149"/>
  <c r="R12" i="149"/>
  <c r="S12" i="149"/>
  <c r="T12" i="149"/>
  <c r="U12" i="149"/>
  <c r="V12" i="149"/>
  <c r="W12" i="149"/>
  <c r="X12" i="149"/>
  <c r="BE12" i="149"/>
  <c r="BF12" i="149"/>
  <c r="BG12" i="149"/>
  <c r="BH12" i="149"/>
  <c r="BI12" i="149"/>
  <c r="BJ12" i="149"/>
  <c r="BK12" i="149"/>
  <c r="BL12" i="149"/>
  <c r="BM12" i="149"/>
  <c r="BN12" i="149"/>
  <c r="BO12" i="149"/>
  <c r="BP12" i="149"/>
  <c r="BQ12" i="149"/>
  <c r="BR12" i="149"/>
  <c r="BS12" i="149"/>
  <c r="BU12" i="149"/>
  <c r="BV12" i="149"/>
  <c r="BW12" i="149"/>
  <c r="BX12" i="149"/>
  <c r="BY12" i="149"/>
  <c r="BZ12" i="149"/>
  <c r="D13" i="149"/>
  <c r="G13" i="149"/>
  <c r="H13" i="149"/>
  <c r="K13" i="149"/>
  <c r="L13" i="149"/>
  <c r="O13" i="149"/>
  <c r="P13" i="149"/>
  <c r="Q13" i="149"/>
  <c r="R13" i="149"/>
  <c r="S13" i="149"/>
  <c r="T13" i="149"/>
  <c r="U13" i="149"/>
  <c r="V13" i="149"/>
  <c r="W13" i="149"/>
  <c r="X13" i="149"/>
  <c r="BE13" i="149"/>
  <c r="BF13" i="149"/>
  <c r="BG13" i="149"/>
  <c r="BH13" i="149"/>
  <c r="BI13" i="149"/>
  <c r="BJ13" i="149"/>
  <c r="BK13" i="149"/>
  <c r="BL13" i="149"/>
  <c r="BM13" i="149"/>
  <c r="BN13" i="149"/>
  <c r="BO13" i="149"/>
  <c r="BP13" i="149"/>
  <c r="BQ13" i="149"/>
  <c r="BR13" i="149"/>
  <c r="BS13" i="149"/>
  <c r="BU13" i="149"/>
  <c r="BV13" i="149"/>
  <c r="BW13" i="149"/>
  <c r="BX13" i="149"/>
  <c r="BY13" i="149"/>
  <c r="BZ13" i="149"/>
  <c r="D14" i="149"/>
  <c r="G14" i="149"/>
  <c r="H14" i="149"/>
  <c r="K14" i="149"/>
  <c r="L14" i="149"/>
  <c r="O14" i="149"/>
  <c r="P14" i="149"/>
  <c r="Q14" i="149"/>
  <c r="R14" i="149"/>
  <c r="S14" i="149"/>
  <c r="T14" i="149"/>
  <c r="U14" i="149"/>
  <c r="V14" i="149"/>
  <c r="W14" i="149"/>
  <c r="X14" i="149"/>
  <c r="BE14" i="149"/>
  <c r="BF14" i="149"/>
  <c r="BG14" i="149"/>
  <c r="BH14" i="149"/>
  <c r="BI14" i="149"/>
  <c r="BJ14" i="149"/>
  <c r="BK14" i="149"/>
  <c r="BL14" i="149"/>
  <c r="BM14" i="149"/>
  <c r="BN14" i="149"/>
  <c r="BO14" i="149"/>
  <c r="BP14" i="149"/>
  <c r="BV14" i="149"/>
  <c r="BW14" i="149"/>
  <c r="BX14" i="149"/>
  <c r="BY14" i="149"/>
  <c r="BZ14" i="149"/>
  <c r="D15" i="149"/>
  <c r="G15" i="149"/>
  <c r="H15" i="149"/>
  <c r="K15" i="149"/>
  <c r="L15" i="149"/>
  <c r="O15" i="149"/>
  <c r="P15" i="149"/>
  <c r="Q15" i="149"/>
  <c r="R15" i="149"/>
  <c r="S15" i="149"/>
  <c r="T15" i="149"/>
  <c r="U15" i="149"/>
  <c r="V15" i="149"/>
  <c r="W15" i="149"/>
  <c r="X15" i="149"/>
  <c r="BE15" i="149"/>
  <c r="BF15" i="149"/>
  <c r="BG15" i="149"/>
  <c r="BH15" i="149"/>
  <c r="BI15" i="149"/>
  <c r="BJ15" i="149"/>
  <c r="BK15" i="149"/>
  <c r="BL15" i="149"/>
  <c r="BM15" i="149"/>
  <c r="BN15" i="149"/>
  <c r="BO15" i="149"/>
  <c r="BP15" i="149"/>
  <c r="BV15" i="149"/>
  <c r="BW15" i="149"/>
  <c r="BX15" i="149"/>
  <c r="BY15" i="149"/>
  <c r="BZ15" i="149"/>
  <c r="D16" i="149"/>
  <c r="G16" i="149"/>
  <c r="H16" i="149"/>
  <c r="K16" i="149"/>
  <c r="L16" i="149"/>
  <c r="O16" i="149"/>
  <c r="P16" i="149"/>
  <c r="Q16" i="149"/>
  <c r="R16" i="149"/>
  <c r="S16" i="149"/>
  <c r="T16" i="149"/>
  <c r="U16" i="149"/>
  <c r="V16" i="149"/>
  <c r="W16" i="149"/>
  <c r="X16" i="149"/>
  <c r="BE16" i="149"/>
  <c r="BF16" i="149"/>
  <c r="BG16" i="149"/>
  <c r="BH16" i="149"/>
  <c r="BI16" i="149"/>
  <c r="BJ16" i="149"/>
  <c r="BK16" i="149"/>
  <c r="BL16" i="149"/>
  <c r="BM16" i="149"/>
  <c r="BN16" i="149"/>
  <c r="BO16" i="149"/>
  <c r="BP16" i="149"/>
  <c r="BV16" i="149"/>
  <c r="BW16" i="149"/>
  <c r="BX16" i="149"/>
  <c r="BY16" i="149"/>
  <c r="BZ16" i="149"/>
  <c r="D17" i="149"/>
  <c r="G17" i="149"/>
  <c r="H17" i="149"/>
  <c r="K17" i="149"/>
  <c r="L17" i="149"/>
  <c r="O17" i="149"/>
  <c r="P17" i="149"/>
  <c r="Q17" i="149"/>
  <c r="R17" i="149"/>
  <c r="S17" i="149"/>
  <c r="T17" i="149"/>
  <c r="U17" i="149"/>
  <c r="V17" i="149"/>
  <c r="W17" i="149"/>
  <c r="X17" i="149"/>
  <c r="BE17" i="149"/>
  <c r="BF17" i="149"/>
  <c r="BG17" i="149"/>
  <c r="BH17" i="149"/>
  <c r="BI17" i="149"/>
  <c r="BJ17" i="149"/>
  <c r="BK17" i="149"/>
  <c r="BL17" i="149"/>
  <c r="BM17" i="149"/>
  <c r="BN17" i="149"/>
  <c r="BO17" i="149"/>
  <c r="BP17" i="149"/>
  <c r="BV17" i="149"/>
  <c r="BW17" i="149"/>
  <c r="BX17" i="149"/>
  <c r="BY17" i="149"/>
  <c r="BZ17" i="149"/>
  <c r="D18" i="149"/>
  <c r="G18" i="149"/>
  <c r="H18" i="149"/>
  <c r="K18" i="149"/>
  <c r="L18" i="149"/>
  <c r="O18" i="149"/>
  <c r="P18" i="149"/>
  <c r="Q18" i="149"/>
  <c r="R18" i="149"/>
  <c r="S18" i="149"/>
  <c r="T18" i="149"/>
  <c r="U18" i="149"/>
  <c r="V18" i="149"/>
  <c r="W18" i="149"/>
  <c r="X18" i="149"/>
  <c r="BE18" i="149"/>
  <c r="BF18" i="149"/>
  <c r="BG18" i="149"/>
  <c r="BH18" i="149"/>
  <c r="BI18" i="149"/>
  <c r="BJ18" i="149"/>
  <c r="BK18" i="149"/>
  <c r="BL18" i="149"/>
  <c r="BM18" i="149"/>
  <c r="BN18" i="149"/>
  <c r="BO18" i="149"/>
  <c r="BP18" i="149"/>
  <c r="BV18" i="149"/>
  <c r="BW18" i="149"/>
  <c r="BX18" i="149"/>
  <c r="BY18" i="149"/>
  <c r="BZ18" i="149"/>
  <c r="D19" i="149"/>
  <c r="G19" i="149"/>
  <c r="H19" i="149"/>
  <c r="K19" i="149"/>
  <c r="L19" i="149"/>
  <c r="O19" i="149"/>
  <c r="P19" i="149"/>
  <c r="Q19" i="149"/>
  <c r="R19" i="149"/>
  <c r="S19" i="149"/>
  <c r="T19" i="149"/>
  <c r="U19" i="149"/>
  <c r="V19" i="149"/>
  <c r="W19" i="149"/>
  <c r="X19" i="149"/>
  <c r="BE19" i="149"/>
  <c r="BF19" i="149"/>
  <c r="BG19" i="149"/>
  <c r="BH19" i="149"/>
  <c r="BI19" i="149"/>
  <c r="BJ19" i="149"/>
  <c r="BK19" i="149"/>
  <c r="BL19" i="149"/>
  <c r="BM19" i="149"/>
  <c r="BN19" i="149"/>
  <c r="BO19" i="149"/>
  <c r="BP19" i="149"/>
  <c r="BV19" i="149"/>
  <c r="BW19" i="149"/>
  <c r="BX19" i="149"/>
  <c r="BY19" i="149"/>
  <c r="BZ19" i="149"/>
  <c r="D20" i="149"/>
  <c r="G20" i="149"/>
  <c r="H20" i="149"/>
  <c r="K20" i="149"/>
  <c r="L20" i="149"/>
  <c r="O20" i="149"/>
  <c r="P20" i="149"/>
  <c r="Q20" i="149"/>
  <c r="R20" i="149"/>
  <c r="S20" i="149"/>
  <c r="T20" i="149"/>
  <c r="U20" i="149"/>
  <c r="V20" i="149"/>
  <c r="W20" i="149"/>
  <c r="X20" i="149"/>
  <c r="BE20" i="149"/>
  <c r="BF20" i="149"/>
  <c r="BG20" i="149"/>
  <c r="BH20" i="149"/>
  <c r="BI20" i="149"/>
  <c r="BJ20" i="149"/>
  <c r="BK20" i="149"/>
  <c r="BL20" i="149"/>
  <c r="BM20" i="149"/>
  <c r="BN20" i="149"/>
  <c r="BO20" i="149"/>
  <c r="BP20" i="149"/>
  <c r="BV20" i="149"/>
  <c r="BW20" i="149"/>
  <c r="BX20" i="149"/>
  <c r="BY20" i="149"/>
  <c r="BZ20" i="149"/>
  <c r="D21" i="149"/>
  <c r="G21" i="149"/>
  <c r="H21" i="149"/>
  <c r="K21" i="149"/>
  <c r="L21" i="149"/>
  <c r="O21" i="149"/>
  <c r="P21" i="149"/>
  <c r="Q21" i="149"/>
  <c r="R21" i="149"/>
  <c r="S21" i="149"/>
  <c r="T21" i="149"/>
  <c r="U21" i="149"/>
  <c r="V21" i="149"/>
  <c r="W21" i="149"/>
  <c r="X21" i="149"/>
  <c r="BE21" i="149"/>
  <c r="BF21" i="149"/>
  <c r="BG21" i="149"/>
  <c r="BH21" i="149"/>
  <c r="BI21" i="149"/>
  <c r="BJ21" i="149"/>
  <c r="BK21" i="149"/>
  <c r="BL21" i="149"/>
  <c r="BM21" i="149"/>
  <c r="BN21" i="149"/>
  <c r="BO21" i="149"/>
  <c r="BP21" i="149"/>
  <c r="BV21" i="149"/>
  <c r="BW21" i="149"/>
  <c r="BX21" i="149"/>
  <c r="BY21" i="149"/>
  <c r="BZ21" i="149"/>
  <c r="D22" i="149"/>
  <c r="G22" i="149"/>
  <c r="H22" i="149"/>
  <c r="K22" i="149"/>
  <c r="L22" i="149"/>
  <c r="O22" i="149"/>
  <c r="P22" i="149"/>
  <c r="Q22" i="149"/>
  <c r="R22" i="149"/>
  <c r="S22" i="149"/>
  <c r="T22" i="149"/>
  <c r="U22" i="149"/>
  <c r="V22" i="149"/>
  <c r="W22" i="149"/>
  <c r="X22" i="149"/>
  <c r="BE22" i="149"/>
  <c r="BF22" i="149"/>
  <c r="BG22" i="149"/>
  <c r="BH22" i="149"/>
  <c r="BI22" i="149"/>
  <c r="BJ22" i="149"/>
  <c r="BK22" i="149"/>
  <c r="BL22" i="149"/>
  <c r="BM22" i="149"/>
  <c r="BN22" i="149"/>
  <c r="BO22" i="149"/>
  <c r="BP22" i="149"/>
  <c r="BV22" i="149"/>
  <c r="BW22" i="149"/>
  <c r="BX22" i="149"/>
  <c r="BY22" i="149"/>
  <c r="BZ22" i="149"/>
  <c r="D23" i="149"/>
  <c r="G23" i="149"/>
  <c r="H23" i="149"/>
  <c r="K23" i="149"/>
  <c r="L23" i="149"/>
  <c r="O23" i="149"/>
  <c r="P23" i="149"/>
  <c r="Q23" i="149"/>
  <c r="R23" i="149"/>
  <c r="S23" i="149"/>
  <c r="T23" i="149"/>
  <c r="U23" i="149"/>
  <c r="V23" i="149"/>
  <c r="W23" i="149"/>
  <c r="X23" i="149"/>
  <c r="BE23" i="149"/>
  <c r="BF23" i="149"/>
  <c r="BG23" i="149"/>
  <c r="BH23" i="149"/>
  <c r="BI23" i="149"/>
  <c r="BJ23" i="149"/>
  <c r="BK23" i="149"/>
  <c r="BL23" i="149"/>
  <c r="BM23" i="149"/>
  <c r="BN23" i="149"/>
  <c r="BO23" i="149"/>
  <c r="BP23" i="149"/>
  <c r="BV23" i="149"/>
  <c r="BW23" i="149"/>
  <c r="BX23" i="149"/>
  <c r="BY23" i="149"/>
  <c r="BZ23" i="149"/>
  <c r="D24" i="149"/>
  <c r="G24" i="149"/>
  <c r="H24" i="149"/>
  <c r="K24" i="149"/>
  <c r="L24" i="149"/>
  <c r="O24" i="149"/>
  <c r="P24" i="149"/>
  <c r="Q24" i="149"/>
  <c r="R24" i="149"/>
  <c r="S24" i="149"/>
  <c r="T24" i="149"/>
  <c r="U24" i="149"/>
  <c r="V24" i="149"/>
  <c r="W24" i="149"/>
  <c r="X24" i="149"/>
  <c r="BE24" i="149"/>
  <c r="BF24" i="149"/>
  <c r="BG24" i="149"/>
  <c r="BH24" i="149"/>
  <c r="BI24" i="149"/>
  <c r="BJ24" i="149"/>
  <c r="BK24" i="149"/>
  <c r="BL24" i="149"/>
  <c r="BM24" i="149"/>
  <c r="BN24" i="149"/>
  <c r="BO24" i="149"/>
  <c r="BP24" i="149"/>
  <c r="BV24" i="149"/>
  <c r="BW24" i="149"/>
  <c r="BX24" i="149"/>
  <c r="BY24" i="149"/>
  <c r="BZ24" i="149"/>
  <c r="D25" i="149"/>
  <c r="G25" i="149"/>
  <c r="H25" i="149"/>
  <c r="K25" i="149"/>
  <c r="L25" i="149"/>
  <c r="O25" i="149"/>
  <c r="P25" i="149"/>
  <c r="Q25" i="149"/>
  <c r="R25" i="149"/>
  <c r="S25" i="149"/>
  <c r="T25" i="149"/>
  <c r="U25" i="149"/>
  <c r="V25" i="149"/>
  <c r="W25" i="149"/>
  <c r="X25" i="149"/>
  <c r="BE25" i="149"/>
  <c r="BF25" i="149"/>
  <c r="BG25" i="149"/>
  <c r="BH25" i="149"/>
  <c r="BI25" i="149"/>
  <c r="BJ25" i="149"/>
  <c r="BK25" i="149"/>
  <c r="BL25" i="149"/>
  <c r="BM25" i="149"/>
  <c r="BN25" i="149"/>
  <c r="BO25" i="149"/>
  <c r="BP25" i="149"/>
  <c r="BV25" i="149"/>
  <c r="BW25" i="149"/>
  <c r="BX25" i="149"/>
  <c r="BY25" i="149"/>
  <c r="BZ25" i="149"/>
  <c r="D26" i="149"/>
  <c r="G26" i="149"/>
  <c r="H26" i="149"/>
  <c r="K26" i="149"/>
  <c r="L26" i="149"/>
  <c r="O26" i="149"/>
  <c r="P26" i="149"/>
  <c r="Q26" i="149"/>
  <c r="R26" i="149"/>
  <c r="S26" i="149"/>
  <c r="T26" i="149"/>
  <c r="U26" i="149"/>
  <c r="V26" i="149"/>
  <c r="W26" i="149"/>
  <c r="X26" i="149"/>
  <c r="BV26" i="149"/>
  <c r="BW26" i="149"/>
  <c r="BX26" i="149"/>
  <c r="BY26" i="149"/>
  <c r="BZ26" i="149"/>
  <c r="D27" i="149"/>
  <c r="G27" i="149"/>
  <c r="H27" i="149"/>
  <c r="K27" i="149"/>
  <c r="L27" i="149"/>
  <c r="O27" i="149"/>
  <c r="P27" i="149"/>
  <c r="Q27" i="149"/>
  <c r="R27" i="149"/>
  <c r="S27" i="149"/>
  <c r="T27" i="149"/>
  <c r="U27" i="149"/>
  <c r="V27" i="149"/>
  <c r="W27" i="149"/>
  <c r="X27" i="149"/>
  <c r="BV27" i="149"/>
  <c r="BW27" i="149"/>
  <c r="BX27" i="149"/>
  <c r="BY27" i="149"/>
  <c r="BZ27" i="149"/>
  <c r="D28" i="149"/>
  <c r="G28" i="149"/>
  <c r="H28" i="149"/>
  <c r="K28" i="149"/>
  <c r="L28" i="149"/>
  <c r="O28" i="149"/>
  <c r="P28" i="149"/>
  <c r="Q28" i="149"/>
  <c r="R28" i="149"/>
  <c r="S28" i="149"/>
  <c r="T28" i="149"/>
  <c r="U28" i="149"/>
  <c r="V28" i="149"/>
  <c r="W28" i="149"/>
  <c r="X28" i="149"/>
  <c r="BV28" i="149"/>
  <c r="BW28" i="149"/>
  <c r="BX28" i="149"/>
  <c r="BY28" i="149"/>
  <c r="BZ28" i="149"/>
  <c r="D29" i="149"/>
  <c r="G29" i="149"/>
  <c r="H29" i="149"/>
  <c r="K29" i="149"/>
  <c r="L29" i="149"/>
  <c r="O29" i="149"/>
  <c r="P29" i="149"/>
  <c r="Q29" i="149"/>
  <c r="R29" i="149"/>
  <c r="S29" i="149"/>
  <c r="T29" i="149"/>
  <c r="U29" i="149"/>
  <c r="V29" i="149"/>
  <c r="W29" i="149"/>
  <c r="X29" i="149"/>
  <c r="BV29" i="149"/>
  <c r="BW29" i="149"/>
  <c r="BX29" i="149"/>
  <c r="BY29" i="149"/>
  <c r="BZ29" i="149"/>
  <c r="D30" i="149"/>
  <c r="G30" i="149"/>
  <c r="H30" i="149"/>
  <c r="K30" i="149"/>
  <c r="L30" i="149"/>
  <c r="O30" i="149"/>
  <c r="P30" i="149"/>
  <c r="Q30" i="149"/>
  <c r="R30" i="149"/>
  <c r="S30" i="149"/>
  <c r="T30" i="149"/>
  <c r="U30" i="149"/>
  <c r="V30" i="149"/>
  <c r="W30" i="149"/>
  <c r="X30" i="149"/>
  <c r="BV30" i="149"/>
  <c r="BW30" i="149"/>
  <c r="BX30" i="149"/>
  <c r="BY30" i="149"/>
  <c r="BZ30" i="149"/>
  <c r="D31" i="149"/>
  <c r="G31" i="149"/>
  <c r="H31" i="149"/>
  <c r="K31" i="149"/>
  <c r="L31" i="149"/>
  <c r="P31" i="149"/>
  <c r="Q31" i="149"/>
  <c r="R31" i="149"/>
  <c r="S31" i="149"/>
  <c r="T31" i="149"/>
  <c r="U31" i="149"/>
  <c r="V31" i="149"/>
  <c r="W31" i="149"/>
  <c r="X31" i="149"/>
  <c r="BV31" i="149"/>
  <c r="BW31" i="149"/>
  <c r="BX31" i="149"/>
  <c r="BY31" i="149"/>
  <c r="BZ31" i="149"/>
  <c r="D32" i="149"/>
  <c r="G32" i="149"/>
  <c r="H32" i="149"/>
  <c r="K32" i="149"/>
  <c r="L32" i="149"/>
  <c r="P32" i="149"/>
  <c r="Q32" i="149"/>
  <c r="R32" i="149"/>
  <c r="S32" i="149"/>
  <c r="T32" i="149"/>
  <c r="U32" i="149"/>
  <c r="V32" i="149"/>
  <c r="W32" i="149"/>
  <c r="X32" i="149"/>
  <c r="BV32" i="149"/>
  <c r="BW32" i="149"/>
  <c r="BX32" i="149"/>
  <c r="BY32" i="149"/>
  <c r="BZ32" i="149"/>
  <c r="D33" i="149"/>
  <c r="G33" i="149"/>
  <c r="H33" i="149"/>
  <c r="K33" i="149"/>
  <c r="L33" i="149"/>
  <c r="O33" i="149"/>
  <c r="P33" i="149"/>
  <c r="Q33" i="149"/>
  <c r="R33" i="149"/>
  <c r="S33" i="149"/>
  <c r="T33" i="149"/>
  <c r="U33" i="149"/>
  <c r="V33" i="149"/>
  <c r="W33" i="149"/>
  <c r="X33" i="149"/>
  <c r="BV33" i="149"/>
  <c r="BW33" i="149"/>
  <c r="BX33" i="149"/>
  <c r="BY33" i="149"/>
  <c r="BZ33" i="149"/>
  <c r="D34" i="149"/>
  <c r="G34" i="149"/>
  <c r="H34" i="149"/>
  <c r="K34" i="149"/>
  <c r="L34" i="149"/>
  <c r="O34" i="149"/>
  <c r="P34" i="149"/>
  <c r="Q34" i="149"/>
  <c r="R34" i="149"/>
  <c r="S34" i="149"/>
  <c r="T34" i="149"/>
  <c r="U34" i="149"/>
  <c r="V34" i="149"/>
  <c r="W34" i="149"/>
  <c r="X34" i="149"/>
  <c r="BV34" i="149"/>
  <c r="BW34" i="149"/>
  <c r="BX34" i="149"/>
  <c r="BY34" i="149"/>
  <c r="BZ34" i="149"/>
  <c r="D35" i="149"/>
  <c r="G35" i="149"/>
  <c r="H35" i="149"/>
  <c r="K35" i="149"/>
  <c r="L35" i="149"/>
  <c r="O35" i="149"/>
  <c r="P35" i="149"/>
  <c r="Q35" i="149"/>
  <c r="R35" i="149"/>
  <c r="S35" i="149"/>
  <c r="T35" i="149"/>
  <c r="U35" i="149"/>
  <c r="V35" i="149"/>
  <c r="W35" i="149"/>
  <c r="X35" i="149"/>
  <c r="BV35" i="149"/>
  <c r="BW35" i="149"/>
  <c r="BX35" i="149"/>
  <c r="BY35" i="149"/>
  <c r="BZ35" i="149"/>
  <c r="D36" i="149"/>
  <c r="G36" i="149"/>
  <c r="H36" i="149"/>
  <c r="K36" i="149"/>
  <c r="L36" i="149"/>
  <c r="O36" i="149"/>
  <c r="P36" i="149"/>
  <c r="Q36" i="149"/>
  <c r="R36" i="149"/>
  <c r="S36" i="149"/>
  <c r="T36" i="149"/>
  <c r="U36" i="149"/>
  <c r="V36" i="149"/>
  <c r="W36" i="149"/>
  <c r="X36" i="149"/>
  <c r="BV36" i="149"/>
  <c r="BW36" i="149"/>
  <c r="BX36" i="149"/>
  <c r="BY36" i="149"/>
  <c r="BZ36" i="149"/>
  <c r="D37" i="149"/>
  <c r="G37" i="149"/>
  <c r="H37" i="149"/>
  <c r="K37" i="149"/>
  <c r="L37" i="149"/>
  <c r="O37" i="149"/>
  <c r="P37" i="149"/>
  <c r="Q37" i="149"/>
  <c r="R37" i="149"/>
  <c r="S37" i="149"/>
  <c r="T37" i="149"/>
  <c r="U37" i="149"/>
  <c r="V37" i="149"/>
  <c r="W37" i="149"/>
  <c r="X37" i="149"/>
  <c r="BV37" i="149"/>
  <c r="BW37" i="149"/>
  <c r="BX37" i="149"/>
  <c r="BY37" i="149"/>
  <c r="BZ37" i="149"/>
  <c r="D38" i="149"/>
  <c r="G38" i="149"/>
  <c r="H38" i="149"/>
  <c r="K38" i="149"/>
  <c r="L38" i="149"/>
  <c r="O38" i="149"/>
  <c r="P38" i="149"/>
  <c r="Q38" i="149"/>
  <c r="R38" i="149"/>
  <c r="S38" i="149"/>
  <c r="T38" i="149"/>
  <c r="U38" i="149"/>
  <c r="V38" i="149"/>
  <c r="W38" i="149"/>
  <c r="X38" i="149"/>
  <c r="BV38" i="149"/>
  <c r="BW38" i="149"/>
  <c r="BX38" i="149"/>
  <c r="BY38" i="149"/>
  <c r="BZ38" i="149"/>
  <c r="D39" i="149"/>
  <c r="G39" i="149"/>
  <c r="H39" i="149"/>
  <c r="K39" i="149"/>
  <c r="L39" i="149"/>
  <c r="O39" i="149"/>
  <c r="P39" i="149"/>
  <c r="Q39" i="149"/>
  <c r="R39" i="149"/>
  <c r="S39" i="149"/>
  <c r="T39" i="149"/>
  <c r="U39" i="149"/>
  <c r="V39" i="149"/>
  <c r="W39" i="149"/>
  <c r="X39" i="149"/>
  <c r="BV39" i="149"/>
  <c r="BW39" i="149"/>
  <c r="BX39" i="149"/>
  <c r="BY39" i="149"/>
  <c r="BZ39" i="149"/>
  <c r="D40" i="149"/>
  <c r="G40" i="149"/>
  <c r="H40" i="149"/>
  <c r="K40" i="149"/>
  <c r="L40" i="149"/>
  <c r="O40" i="149"/>
  <c r="P40" i="149"/>
  <c r="Q40" i="149"/>
  <c r="R40" i="149"/>
  <c r="S40" i="149"/>
  <c r="T40" i="149"/>
  <c r="U40" i="149"/>
  <c r="V40" i="149"/>
  <c r="W40" i="149"/>
  <c r="X40" i="149"/>
  <c r="BV40" i="149"/>
  <c r="BW40" i="149"/>
  <c r="BX40" i="149"/>
  <c r="BY40" i="149"/>
  <c r="BZ40" i="149"/>
  <c r="D41" i="149"/>
  <c r="G41" i="149"/>
  <c r="H41" i="149"/>
  <c r="K41" i="149"/>
  <c r="L41" i="149"/>
  <c r="O41" i="149"/>
  <c r="P41" i="149"/>
  <c r="Q41" i="149"/>
  <c r="R41" i="149"/>
  <c r="S41" i="149"/>
  <c r="T41" i="149"/>
  <c r="U41" i="149"/>
  <c r="V41" i="149"/>
  <c r="W41" i="149"/>
  <c r="X41" i="149"/>
  <c r="BV41" i="149"/>
  <c r="BW41" i="149"/>
  <c r="BX41" i="149"/>
  <c r="BY41" i="149"/>
  <c r="BZ41" i="149"/>
  <c r="D42" i="149"/>
  <c r="G42" i="149"/>
  <c r="H42" i="149"/>
  <c r="K42" i="149"/>
  <c r="L42" i="149"/>
  <c r="O42" i="149"/>
  <c r="P42" i="149"/>
  <c r="Q42" i="149"/>
  <c r="R42" i="149"/>
  <c r="S42" i="149"/>
  <c r="T42" i="149"/>
  <c r="U42" i="149"/>
  <c r="V42" i="149"/>
  <c r="W42" i="149"/>
  <c r="X42" i="149"/>
  <c r="BV42" i="149"/>
  <c r="BW42" i="149"/>
  <c r="BX42" i="149"/>
  <c r="BY42" i="149"/>
  <c r="BZ42" i="149"/>
  <c r="D43" i="149"/>
  <c r="G43" i="149"/>
  <c r="H43" i="149"/>
  <c r="K43" i="149"/>
  <c r="L43" i="149"/>
  <c r="O43" i="149"/>
  <c r="P43" i="149"/>
  <c r="Q43" i="149"/>
  <c r="R43" i="149"/>
  <c r="S43" i="149"/>
  <c r="T43" i="149"/>
  <c r="U43" i="149"/>
  <c r="V43" i="149"/>
  <c r="W43" i="149"/>
  <c r="X43" i="149"/>
  <c r="BV43" i="149"/>
  <c r="BW43" i="149"/>
  <c r="BX43" i="149"/>
  <c r="BY43" i="149"/>
  <c r="BZ43" i="149"/>
  <c r="D44" i="149"/>
  <c r="G44" i="149"/>
  <c r="H44" i="149"/>
  <c r="K44" i="149"/>
  <c r="L44" i="149"/>
  <c r="O44" i="149"/>
  <c r="P44" i="149"/>
  <c r="Q44" i="149"/>
  <c r="R44" i="149"/>
  <c r="S44" i="149"/>
  <c r="T44" i="149"/>
  <c r="U44" i="149"/>
  <c r="V44" i="149"/>
  <c r="W44" i="149"/>
  <c r="X44" i="149"/>
  <c r="BV44" i="149"/>
  <c r="BW44" i="149"/>
  <c r="BX44" i="149"/>
  <c r="BY44" i="149"/>
  <c r="BZ44" i="149"/>
  <c r="D45" i="149"/>
  <c r="G45" i="149"/>
  <c r="H45" i="149"/>
  <c r="K45" i="149"/>
  <c r="L45" i="149"/>
  <c r="O45" i="149"/>
  <c r="P45" i="149"/>
  <c r="Q45" i="149"/>
  <c r="R45" i="149"/>
  <c r="S45" i="149"/>
  <c r="T45" i="149"/>
  <c r="U45" i="149"/>
  <c r="V45" i="149"/>
  <c r="W45" i="149"/>
  <c r="X45" i="149"/>
  <c r="BV45" i="149"/>
  <c r="BW45" i="149"/>
  <c r="BX45" i="149"/>
  <c r="BY45" i="149"/>
  <c r="BZ45" i="149"/>
  <c r="D46" i="149"/>
  <c r="G46" i="149"/>
  <c r="H46" i="149"/>
  <c r="K46" i="149"/>
  <c r="L46" i="149"/>
  <c r="O46" i="149"/>
  <c r="P46" i="149"/>
  <c r="Q46" i="149"/>
  <c r="R46" i="149"/>
  <c r="S46" i="149"/>
  <c r="T46" i="149"/>
  <c r="U46" i="149"/>
  <c r="V46" i="149"/>
  <c r="W46" i="149"/>
  <c r="X46" i="149"/>
  <c r="BV46" i="149"/>
  <c r="BW46" i="149"/>
  <c r="BX46" i="149"/>
  <c r="BY46" i="149"/>
  <c r="BZ46" i="149"/>
  <c r="D47" i="149"/>
  <c r="G47" i="149"/>
  <c r="H47" i="149"/>
  <c r="K47" i="149"/>
  <c r="L47" i="149"/>
  <c r="O47" i="149"/>
  <c r="P47" i="149"/>
  <c r="Q47" i="149"/>
  <c r="R47" i="149"/>
  <c r="S47" i="149"/>
  <c r="T47" i="149"/>
  <c r="U47" i="149"/>
  <c r="V47" i="149"/>
  <c r="W47" i="149"/>
  <c r="X47" i="149"/>
  <c r="BV47" i="149"/>
  <c r="BW47" i="149"/>
  <c r="BX47" i="149"/>
  <c r="BY47" i="149"/>
  <c r="BZ47" i="149"/>
  <c r="D48" i="149"/>
  <c r="G48" i="149"/>
  <c r="H48" i="149"/>
  <c r="K48" i="149"/>
  <c r="L48" i="149"/>
  <c r="O48" i="149"/>
  <c r="P48" i="149"/>
  <c r="Q48" i="149"/>
  <c r="R48" i="149"/>
  <c r="S48" i="149"/>
  <c r="T48" i="149"/>
  <c r="U48" i="149"/>
  <c r="V48" i="149"/>
  <c r="W48" i="149"/>
  <c r="X48" i="149"/>
  <c r="BV48" i="149"/>
  <c r="BW48" i="149"/>
  <c r="BX48" i="149"/>
  <c r="BY48" i="149"/>
  <c r="BZ48" i="149"/>
  <c r="D49" i="149"/>
  <c r="G49" i="149"/>
  <c r="H49" i="149"/>
  <c r="K49" i="149"/>
  <c r="L49" i="149"/>
  <c r="O49" i="149"/>
  <c r="P49" i="149"/>
  <c r="Q49" i="149"/>
  <c r="R49" i="149"/>
  <c r="S49" i="149"/>
  <c r="T49" i="149"/>
  <c r="U49" i="149"/>
  <c r="V49" i="149"/>
  <c r="W49" i="149"/>
  <c r="X49" i="149"/>
  <c r="BV49" i="149"/>
  <c r="BW49" i="149"/>
  <c r="BX49" i="149"/>
  <c r="BY49" i="149"/>
  <c r="BZ49" i="149"/>
  <c r="D50" i="149"/>
  <c r="G50" i="149"/>
  <c r="H50" i="149"/>
  <c r="K50" i="149"/>
  <c r="L50" i="149"/>
  <c r="O50" i="149"/>
  <c r="P50" i="149"/>
  <c r="Q50" i="149"/>
  <c r="R50" i="149"/>
  <c r="S50" i="149"/>
  <c r="T50" i="149"/>
  <c r="U50" i="149"/>
  <c r="V50" i="149"/>
  <c r="W50" i="149"/>
  <c r="X50" i="149"/>
  <c r="BV50" i="149"/>
  <c r="BW50" i="149"/>
  <c r="BX50" i="149"/>
  <c r="BY50" i="149"/>
  <c r="BZ50" i="149"/>
  <c r="D51" i="149"/>
  <c r="G51" i="149"/>
  <c r="H51" i="149"/>
  <c r="K51" i="149"/>
  <c r="L51" i="149"/>
  <c r="O51" i="149"/>
  <c r="P51" i="149"/>
  <c r="Q51" i="149"/>
  <c r="R51" i="149"/>
  <c r="S51" i="149"/>
  <c r="T51" i="149"/>
  <c r="U51" i="149"/>
  <c r="V51" i="149"/>
  <c r="W51" i="149"/>
  <c r="X51" i="149"/>
  <c r="BV51" i="149"/>
  <c r="BW51" i="149"/>
  <c r="BX51" i="149"/>
  <c r="BY51" i="149"/>
  <c r="BZ51" i="149"/>
  <c r="D52" i="149"/>
  <c r="G52" i="149"/>
  <c r="H52" i="149"/>
  <c r="K52" i="149"/>
  <c r="L52" i="149"/>
  <c r="O52" i="149"/>
  <c r="P52" i="149"/>
  <c r="Q52" i="149"/>
  <c r="R52" i="149"/>
  <c r="S52" i="149"/>
  <c r="T52" i="149"/>
  <c r="U52" i="149"/>
  <c r="V52" i="149"/>
  <c r="W52" i="149"/>
  <c r="X52" i="149"/>
  <c r="BV52" i="149"/>
  <c r="BW52" i="149"/>
  <c r="BX52" i="149"/>
  <c r="BY52" i="149"/>
  <c r="BZ52" i="149"/>
  <c r="D53" i="149"/>
  <c r="G53" i="149"/>
  <c r="H53" i="149"/>
  <c r="K53" i="149"/>
  <c r="L53" i="149"/>
  <c r="O53" i="149"/>
  <c r="P53" i="149"/>
  <c r="Q53" i="149"/>
  <c r="R53" i="149"/>
  <c r="S53" i="149"/>
  <c r="T53" i="149"/>
  <c r="U53" i="149"/>
  <c r="V53" i="149"/>
  <c r="W53" i="149"/>
  <c r="X53" i="149"/>
  <c r="BV53" i="149"/>
  <c r="BW53" i="149"/>
  <c r="BX53" i="149"/>
  <c r="BY53" i="149"/>
  <c r="BZ53" i="149"/>
  <c r="D54" i="149"/>
  <c r="G54" i="149"/>
  <c r="H54" i="149"/>
  <c r="K54" i="149"/>
  <c r="L54" i="149"/>
  <c r="O54" i="149"/>
  <c r="P54" i="149"/>
  <c r="Q54" i="149"/>
  <c r="R54" i="149"/>
  <c r="S54" i="149"/>
  <c r="T54" i="149"/>
  <c r="U54" i="149"/>
  <c r="V54" i="149"/>
  <c r="W54" i="149"/>
  <c r="X54" i="149"/>
  <c r="BV54" i="149"/>
  <c r="BW54" i="149"/>
  <c r="BX54" i="149"/>
  <c r="BY54" i="149"/>
  <c r="BZ54" i="149"/>
  <c r="D55" i="149"/>
  <c r="G55" i="149"/>
  <c r="H55" i="149"/>
  <c r="K55" i="149"/>
  <c r="L55" i="149"/>
  <c r="O55" i="149"/>
  <c r="P55" i="149"/>
  <c r="Q55" i="149"/>
  <c r="R55" i="149"/>
  <c r="S55" i="149"/>
  <c r="T55" i="149"/>
  <c r="U55" i="149"/>
  <c r="V55" i="149"/>
  <c r="W55" i="149"/>
  <c r="X55" i="149"/>
  <c r="BV55" i="149"/>
  <c r="BW55" i="149"/>
  <c r="BX55" i="149"/>
  <c r="BY55" i="149"/>
  <c r="BZ55" i="149"/>
  <c r="D56" i="149"/>
  <c r="G56" i="149"/>
  <c r="H56" i="149"/>
  <c r="K56" i="149"/>
  <c r="L56" i="149"/>
  <c r="O56" i="149"/>
  <c r="P56" i="149"/>
  <c r="Q56" i="149"/>
  <c r="R56" i="149"/>
  <c r="S56" i="149"/>
  <c r="T56" i="149"/>
  <c r="U56" i="149"/>
  <c r="V56" i="149"/>
  <c r="W56" i="149"/>
  <c r="X56" i="149"/>
  <c r="BV56" i="149"/>
  <c r="BW56" i="149"/>
  <c r="BX56" i="149"/>
  <c r="BY56" i="149"/>
  <c r="BZ56" i="149"/>
  <c r="D57" i="149"/>
  <c r="G57" i="149"/>
  <c r="H57" i="149"/>
  <c r="K57" i="149"/>
  <c r="L57" i="149"/>
  <c r="O57" i="149"/>
  <c r="P57" i="149"/>
  <c r="Q57" i="149"/>
  <c r="R57" i="149"/>
  <c r="S57" i="149"/>
  <c r="T57" i="149"/>
  <c r="U57" i="149"/>
  <c r="V57" i="149"/>
  <c r="W57" i="149"/>
  <c r="X57" i="149"/>
  <c r="BV57" i="149"/>
  <c r="BW57" i="149"/>
  <c r="BX57" i="149"/>
  <c r="BY57" i="149"/>
  <c r="BZ57" i="149"/>
  <c r="D58" i="149"/>
  <c r="G58" i="149"/>
  <c r="H58" i="149"/>
  <c r="K58" i="149"/>
  <c r="L58" i="149"/>
  <c r="O58" i="149"/>
  <c r="P58" i="149"/>
  <c r="Q58" i="149"/>
  <c r="R58" i="149"/>
  <c r="S58" i="149"/>
  <c r="T58" i="149"/>
  <c r="U58" i="149"/>
  <c r="V58" i="149"/>
  <c r="W58" i="149"/>
  <c r="X58" i="149"/>
  <c r="BV58" i="149"/>
  <c r="BW58" i="149"/>
  <c r="BX58" i="149"/>
  <c r="BY58" i="149"/>
  <c r="BZ58" i="149"/>
  <c r="D59" i="149"/>
  <c r="G59" i="149"/>
  <c r="H59" i="149"/>
  <c r="K59" i="149"/>
  <c r="L59" i="149"/>
  <c r="O59" i="149"/>
  <c r="P59" i="149"/>
  <c r="Q59" i="149"/>
  <c r="R59" i="149"/>
  <c r="S59" i="149"/>
  <c r="T59" i="149"/>
  <c r="U59" i="149"/>
  <c r="V59" i="149"/>
  <c r="W59" i="149"/>
  <c r="X59" i="149"/>
  <c r="BV59" i="149"/>
  <c r="BW59" i="149"/>
  <c r="BX59" i="149"/>
  <c r="BY59" i="149"/>
  <c r="BZ59" i="149"/>
  <c r="D60" i="149"/>
  <c r="G60" i="149"/>
  <c r="H60" i="149"/>
  <c r="K60" i="149"/>
  <c r="L60" i="149"/>
  <c r="O60" i="149"/>
  <c r="P60" i="149"/>
  <c r="Q60" i="149"/>
  <c r="R60" i="149"/>
  <c r="S60" i="149"/>
  <c r="T60" i="149"/>
  <c r="U60" i="149"/>
  <c r="V60" i="149"/>
  <c r="W60" i="149"/>
  <c r="X60" i="149"/>
  <c r="BV60" i="149"/>
  <c r="BW60" i="149"/>
  <c r="BX60" i="149"/>
  <c r="BY60" i="149"/>
  <c r="BZ60" i="149"/>
  <c r="D61" i="149"/>
  <c r="G61" i="149"/>
  <c r="H61" i="149"/>
  <c r="K61" i="149"/>
  <c r="L61" i="149"/>
  <c r="O61" i="149"/>
  <c r="P61" i="149"/>
  <c r="Q61" i="149"/>
  <c r="R61" i="149"/>
  <c r="S61" i="149"/>
  <c r="T61" i="149"/>
  <c r="U61" i="149"/>
  <c r="V61" i="149"/>
  <c r="W61" i="149"/>
  <c r="X61" i="149"/>
  <c r="BV61" i="149"/>
  <c r="BW61" i="149"/>
  <c r="BX61" i="149"/>
  <c r="BY61" i="149"/>
  <c r="BZ61" i="149"/>
  <c r="D62" i="149"/>
  <c r="G62" i="149"/>
  <c r="H62" i="149"/>
  <c r="K62" i="149"/>
  <c r="L62" i="149"/>
  <c r="O62" i="149"/>
  <c r="P62" i="149"/>
  <c r="Q62" i="149"/>
  <c r="R62" i="149"/>
  <c r="S62" i="149"/>
  <c r="T62" i="149"/>
  <c r="U62" i="149"/>
  <c r="V62" i="149"/>
  <c r="W62" i="149"/>
  <c r="X62" i="149"/>
  <c r="BV62" i="149"/>
  <c r="BW62" i="149"/>
  <c r="BX62" i="149"/>
  <c r="BY62" i="149"/>
  <c r="BZ62" i="149"/>
  <c r="D63" i="149"/>
  <c r="G63" i="149"/>
  <c r="H63" i="149"/>
  <c r="K63" i="149"/>
  <c r="L63" i="149"/>
  <c r="O63" i="149"/>
  <c r="P63" i="149"/>
  <c r="Q63" i="149"/>
  <c r="R63" i="149"/>
  <c r="S63" i="149"/>
  <c r="T63" i="149"/>
  <c r="U63" i="149"/>
  <c r="V63" i="149"/>
  <c r="W63" i="149"/>
  <c r="X63" i="149"/>
  <c r="BV63" i="149"/>
  <c r="BW63" i="149"/>
  <c r="BX63" i="149"/>
  <c r="BY63" i="149"/>
  <c r="BZ63" i="149"/>
  <c r="D64" i="149"/>
  <c r="G64" i="149"/>
  <c r="H64" i="149"/>
  <c r="K64" i="149"/>
  <c r="L64" i="149"/>
  <c r="O64" i="149"/>
  <c r="P64" i="149"/>
  <c r="Q64" i="149"/>
  <c r="R64" i="149"/>
  <c r="S64" i="149"/>
  <c r="T64" i="149"/>
  <c r="U64" i="149"/>
  <c r="V64" i="149"/>
  <c r="W64" i="149"/>
  <c r="X64" i="149"/>
  <c r="BV64" i="149"/>
  <c r="BW64" i="149"/>
  <c r="BX64" i="149"/>
  <c r="BY64" i="149"/>
  <c r="BZ64" i="149"/>
  <c r="D65" i="149"/>
  <c r="G65" i="149"/>
  <c r="H65" i="149"/>
  <c r="K65" i="149"/>
  <c r="L65" i="149"/>
  <c r="O65" i="149"/>
  <c r="P65" i="149"/>
  <c r="Q65" i="149"/>
  <c r="R65" i="149"/>
  <c r="S65" i="149"/>
  <c r="T65" i="149"/>
  <c r="U65" i="149"/>
  <c r="V65" i="149"/>
  <c r="W65" i="149"/>
  <c r="X65" i="149"/>
  <c r="BV65" i="149"/>
  <c r="BW65" i="149"/>
  <c r="BX65" i="149"/>
  <c r="BY65" i="149"/>
  <c r="BZ65" i="149"/>
  <c r="D66" i="149"/>
  <c r="G66" i="149"/>
  <c r="H66" i="149"/>
  <c r="K66" i="149"/>
  <c r="L66" i="149"/>
  <c r="O66" i="149"/>
  <c r="P66" i="149"/>
  <c r="Q66" i="149"/>
  <c r="R66" i="149"/>
  <c r="S66" i="149"/>
  <c r="T66" i="149"/>
  <c r="U66" i="149"/>
  <c r="V66" i="149"/>
  <c r="W66" i="149"/>
  <c r="X66" i="149"/>
  <c r="BV66" i="149"/>
  <c r="BW66" i="149"/>
  <c r="BX66" i="149"/>
  <c r="BY66" i="149"/>
  <c r="BZ66" i="149"/>
  <c r="D67" i="149"/>
  <c r="G67" i="149"/>
  <c r="H67" i="149"/>
  <c r="K67" i="149"/>
  <c r="L67" i="149"/>
  <c r="O67" i="149"/>
  <c r="P67" i="149"/>
  <c r="Q67" i="149"/>
  <c r="R67" i="149"/>
  <c r="S67" i="149"/>
  <c r="T67" i="149"/>
  <c r="U67" i="149"/>
  <c r="V67" i="149"/>
  <c r="W67" i="149"/>
  <c r="X67" i="149"/>
  <c r="BV67" i="149"/>
  <c r="BW67" i="149"/>
  <c r="BX67" i="149"/>
  <c r="BY67" i="149"/>
  <c r="BZ67" i="149"/>
  <c r="D68" i="149"/>
  <c r="G68" i="149"/>
  <c r="H68" i="149"/>
  <c r="K68" i="149"/>
  <c r="L68" i="149"/>
  <c r="O68" i="149"/>
  <c r="P68" i="149"/>
  <c r="Q68" i="149"/>
  <c r="R68" i="149"/>
  <c r="S68" i="149"/>
  <c r="T68" i="149"/>
  <c r="U68" i="149"/>
  <c r="V68" i="149"/>
  <c r="W68" i="149"/>
  <c r="X68" i="149"/>
  <c r="BV68" i="149"/>
  <c r="BW68" i="149"/>
  <c r="BX68" i="149"/>
  <c r="BY68" i="149"/>
  <c r="BZ68" i="149"/>
  <c r="D69" i="149"/>
  <c r="G69" i="149"/>
  <c r="H69" i="149"/>
  <c r="K69" i="149"/>
  <c r="L69" i="149"/>
  <c r="O69" i="149"/>
  <c r="P69" i="149"/>
  <c r="Q69" i="149"/>
  <c r="R69" i="149"/>
  <c r="S69" i="149"/>
  <c r="T69" i="149"/>
  <c r="U69" i="149"/>
  <c r="V69" i="149"/>
  <c r="W69" i="149"/>
  <c r="X69" i="149"/>
  <c r="BV69" i="149"/>
  <c r="BW69" i="149"/>
  <c r="BX69" i="149"/>
  <c r="BY69" i="149"/>
  <c r="BZ69" i="149"/>
  <c r="D70" i="149"/>
  <c r="G70" i="149"/>
  <c r="H70" i="149"/>
  <c r="K70" i="149"/>
  <c r="L70" i="149"/>
  <c r="O70" i="149"/>
  <c r="P70" i="149"/>
  <c r="Q70" i="149"/>
  <c r="R70" i="149"/>
  <c r="S70" i="149"/>
  <c r="T70" i="149"/>
  <c r="U70" i="149"/>
  <c r="V70" i="149"/>
  <c r="W70" i="149"/>
  <c r="X70" i="149"/>
  <c r="BV70" i="149"/>
  <c r="BW70" i="149"/>
  <c r="BX70" i="149"/>
  <c r="BY70" i="149"/>
  <c r="BZ70" i="149"/>
  <c r="D71" i="149"/>
  <c r="G71" i="149"/>
  <c r="H71" i="149"/>
  <c r="K71" i="149"/>
  <c r="L71" i="149"/>
  <c r="O71" i="149"/>
  <c r="P71" i="149"/>
  <c r="Q71" i="149"/>
  <c r="R71" i="149"/>
  <c r="S71" i="149"/>
  <c r="T71" i="149"/>
  <c r="U71" i="149"/>
  <c r="V71" i="149"/>
  <c r="W71" i="149"/>
  <c r="X71" i="149"/>
  <c r="BV71" i="149"/>
  <c r="BW71" i="149"/>
  <c r="BX71" i="149"/>
  <c r="BY71" i="149"/>
  <c r="BZ71" i="149"/>
  <c r="D72" i="149"/>
  <c r="G72" i="149"/>
  <c r="H72" i="149"/>
  <c r="K72" i="149"/>
  <c r="L72" i="149"/>
  <c r="O72" i="149"/>
  <c r="P72" i="149"/>
  <c r="Q72" i="149"/>
  <c r="R72" i="149"/>
  <c r="S72" i="149"/>
  <c r="T72" i="149"/>
  <c r="U72" i="149"/>
  <c r="V72" i="149"/>
  <c r="W72" i="149"/>
  <c r="X72" i="149"/>
  <c r="BV72" i="149"/>
  <c r="BW72" i="149"/>
  <c r="BX72" i="149"/>
  <c r="BY72" i="149"/>
  <c r="BZ72" i="149"/>
  <c r="D73" i="149"/>
  <c r="G73" i="149"/>
  <c r="H73" i="149"/>
  <c r="K73" i="149"/>
  <c r="L73" i="149"/>
  <c r="O73" i="149"/>
  <c r="P73" i="149"/>
  <c r="Q73" i="149"/>
  <c r="R73" i="149"/>
  <c r="S73" i="149"/>
  <c r="T73" i="149"/>
  <c r="U73" i="149"/>
  <c r="V73" i="149"/>
  <c r="W73" i="149"/>
  <c r="X73" i="149"/>
  <c r="BV73" i="149"/>
  <c r="BW73" i="149"/>
  <c r="BX73" i="149"/>
  <c r="BY73" i="149"/>
  <c r="BZ73" i="149"/>
  <c r="D2" i="149"/>
  <c r="G2" i="149"/>
  <c r="H2" i="149"/>
  <c r="K2" i="149"/>
  <c r="L2" i="149"/>
  <c r="O2" i="149"/>
  <c r="P2" i="149"/>
  <c r="Q2" i="149"/>
  <c r="R2" i="149"/>
  <c r="S2" i="149"/>
  <c r="T2" i="149"/>
  <c r="U2" i="149"/>
  <c r="V2" i="149"/>
  <c r="W2" i="149"/>
  <c r="X2" i="149"/>
  <c r="BE2" i="149"/>
  <c r="BF2" i="149"/>
  <c r="BG2" i="149"/>
  <c r="BH2" i="149"/>
  <c r="BI2" i="149"/>
  <c r="BJ2" i="149"/>
  <c r="BK2" i="149"/>
  <c r="BL2" i="149"/>
  <c r="BM2" i="149"/>
  <c r="BN2" i="149"/>
  <c r="BO2" i="149"/>
  <c r="BP2" i="149"/>
  <c r="BQ2" i="149"/>
  <c r="BR2" i="149"/>
  <c r="BS2" i="149"/>
  <c r="BU2" i="149"/>
  <c r="BV2" i="149"/>
  <c r="BW2" i="149"/>
  <c r="BX2" i="149"/>
  <c r="BY2" i="149"/>
  <c r="BZ2" i="149"/>
  <c r="E136" i="65"/>
  <c r="E128" i="65"/>
  <c r="E140" i="65" s="1"/>
  <c r="G128" i="65"/>
  <c r="G130" i="65"/>
  <c r="E132" i="65"/>
  <c r="F132" i="65"/>
  <c r="F134" i="65"/>
  <c r="F135" i="65"/>
  <c r="G126" i="65"/>
  <c r="D126" i="65"/>
  <c r="W18" i="65"/>
  <c r="G137" i="65" s="1"/>
  <c r="W17" i="65"/>
  <c r="F126" i="65" s="1"/>
  <c r="W16" i="65"/>
  <c r="W12" i="65"/>
  <c r="W13" i="65"/>
  <c r="W11" i="65"/>
  <c r="H119" i="65" s="1"/>
  <c r="AD3" i="67"/>
  <c r="AD4" i="67"/>
  <c r="AD5" i="67"/>
  <c r="AD6" i="67"/>
  <c r="AE9" i="67"/>
  <c r="AE10" i="67"/>
  <c r="AE11" i="67"/>
  <c r="AD12" i="67"/>
  <c r="AE12" i="67"/>
  <c r="AE13" i="67"/>
  <c r="AE14" i="67"/>
  <c r="AD16" i="67"/>
  <c r="AD17" i="67"/>
  <c r="AE17" i="67"/>
  <c r="AE18" i="67"/>
  <c r="AD19" i="67"/>
  <c r="AE19" i="67"/>
  <c r="AD20" i="67"/>
  <c r="AD21" i="67"/>
  <c r="AD22" i="67"/>
  <c r="AD25" i="67"/>
  <c r="AE26" i="67"/>
  <c r="AE27" i="67"/>
  <c r="AD28" i="67"/>
  <c r="AE28" i="67"/>
  <c r="AE29" i="67"/>
  <c r="AE30" i="67"/>
  <c r="AE33" i="67"/>
  <c r="AE34" i="67"/>
  <c r="AD35" i="67"/>
  <c r="AE35" i="67"/>
  <c r="AD36" i="67"/>
  <c r="AE36" i="67"/>
  <c r="AD37" i="67"/>
  <c r="AD38" i="67"/>
  <c r="AE39" i="67"/>
  <c r="AD40" i="67"/>
  <c r="AD41" i="67"/>
  <c r="AE41" i="67"/>
  <c r="AE42" i="67"/>
  <c r="AE43" i="67"/>
  <c r="AD44" i="67"/>
  <c r="AE44" i="67"/>
  <c r="AE45" i="67"/>
  <c r="AE46" i="67"/>
  <c r="AE49" i="67"/>
  <c r="AD52" i="67"/>
  <c r="AD53" i="67"/>
  <c r="AD54" i="67"/>
  <c r="AD56" i="67"/>
  <c r="AD57" i="67"/>
  <c r="AE57" i="67"/>
  <c r="AE9" i="149" s="1"/>
  <c r="AE58" i="67"/>
  <c r="AE10" i="149" s="1"/>
  <c r="AE59" i="67"/>
  <c r="AE11" i="149" s="1"/>
  <c r="AD60" i="67"/>
  <c r="AE60" i="67"/>
  <c r="AE12" i="149" s="1"/>
  <c r="AD61" i="67"/>
  <c r="AE61" i="67"/>
  <c r="AE13" i="149" s="1"/>
  <c r="AE62" i="67"/>
  <c r="AE14" i="149" s="1"/>
  <c r="AD64" i="67"/>
  <c r="AE65" i="67"/>
  <c r="AE17" i="149" s="1"/>
  <c r="AE66" i="67"/>
  <c r="AE18" i="149" s="1"/>
  <c r="AE67" i="67"/>
  <c r="AE19" i="149" s="1"/>
  <c r="AD68" i="67"/>
  <c r="AD69" i="67"/>
  <c r="AD70" i="67"/>
  <c r="AE73" i="67"/>
  <c r="AE25" i="149" s="1"/>
  <c r="AE74" i="67"/>
  <c r="AE26" i="149" s="1"/>
  <c r="AE75" i="67"/>
  <c r="AE27" i="149" s="1"/>
  <c r="AD76" i="67"/>
  <c r="AE76" i="67"/>
  <c r="AE28" i="149" s="1"/>
  <c r="AE77" i="67"/>
  <c r="AE29" i="149" s="1"/>
  <c r="AE78" i="67"/>
  <c r="AE30" i="149" s="1"/>
  <c r="AD80" i="67"/>
  <c r="AE81" i="67"/>
  <c r="AE33" i="149" s="1"/>
  <c r="AE82" i="67"/>
  <c r="AE34" i="149" s="1"/>
  <c r="AD83" i="67"/>
  <c r="AE83" i="67"/>
  <c r="AE35" i="149" s="1"/>
  <c r="AD84" i="67"/>
  <c r="AD85" i="67"/>
  <c r="AD86" i="67"/>
  <c r="AD89" i="67"/>
  <c r="AE89" i="67"/>
  <c r="AE41" i="149" s="1"/>
  <c r="AE90" i="67"/>
  <c r="AE42" i="149" s="1"/>
  <c r="AE91" i="67"/>
  <c r="AE43" i="149" s="1"/>
  <c r="AD92" i="67"/>
  <c r="AE92" i="67"/>
  <c r="AE44" i="149" s="1"/>
  <c r="AE93" i="67"/>
  <c r="AE45" i="149" s="1"/>
  <c r="AE94" i="67"/>
  <c r="AE46" i="149" s="1"/>
  <c r="AD96" i="67"/>
  <c r="AD97" i="67"/>
  <c r="AE99" i="67"/>
  <c r="AE51" i="149" s="1"/>
  <c r="AD100" i="67"/>
  <c r="AE100" i="67"/>
  <c r="AE52" i="149" s="1"/>
  <c r="AD101" i="67"/>
  <c r="AD102" i="67"/>
  <c r="AD105" i="67"/>
  <c r="AE106" i="67"/>
  <c r="AE58" i="149" s="1"/>
  <c r="AE107" i="67"/>
  <c r="AE59" i="149" s="1"/>
  <c r="AD108" i="67"/>
  <c r="AE108" i="67"/>
  <c r="AE60" i="149" s="1"/>
  <c r="AE109" i="67"/>
  <c r="AE61" i="149" s="1"/>
  <c r="AN3" i="67"/>
  <c r="AO3" i="67"/>
  <c r="AN4" i="67"/>
  <c r="AO4" i="67"/>
  <c r="AN5" i="67"/>
  <c r="AO5" i="67"/>
  <c r="AN6" i="67"/>
  <c r="AO6" i="67"/>
  <c r="AN7" i="67"/>
  <c r="AO7" i="67"/>
  <c r="AN8" i="67"/>
  <c r="AO8" i="67"/>
  <c r="AN9" i="67"/>
  <c r="AO9" i="67"/>
  <c r="AN10" i="67"/>
  <c r="AO10" i="67"/>
  <c r="AN11" i="67"/>
  <c r="AO11" i="67"/>
  <c r="AN12" i="67"/>
  <c r="AO12" i="67"/>
  <c r="AN13" i="67"/>
  <c r="AO13" i="67"/>
  <c r="AN2" i="67"/>
  <c r="AO2" i="67"/>
  <c r="AJ3" i="67"/>
  <c r="AK3" i="67"/>
  <c r="AL3" i="67"/>
  <c r="AM3" i="67"/>
  <c r="AJ4" i="67"/>
  <c r="AK4" i="67"/>
  <c r="AL4" i="67"/>
  <c r="AM4" i="67"/>
  <c r="AJ5" i="67"/>
  <c r="AK5" i="67"/>
  <c r="AL5" i="67"/>
  <c r="AM5" i="67"/>
  <c r="AJ6" i="67"/>
  <c r="AK6" i="67"/>
  <c r="AL6" i="67"/>
  <c r="AM6" i="67"/>
  <c r="AJ7" i="67"/>
  <c r="AK7" i="67"/>
  <c r="AL7" i="67"/>
  <c r="AM7" i="67"/>
  <c r="AJ8" i="67"/>
  <c r="AK8" i="67"/>
  <c r="AL8" i="67"/>
  <c r="AM8" i="67"/>
  <c r="AJ9" i="67"/>
  <c r="AK9" i="67"/>
  <c r="AL9" i="67"/>
  <c r="AM9" i="67"/>
  <c r="AJ10" i="67"/>
  <c r="AK10" i="67"/>
  <c r="AL10" i="67"/>
  <c r="AM10" i="67"/>
  <c r="AJ11" i="67"/>
  <c r="AK11" i="67"/>
  <c r="AL11" i="67"/>
  <c r="AM11" i="67"/>
  <c r="AJ12" i="67"/>
  <c r="AK12" i="67"/>
  <c r="AL12" i="67"/>
  <c r="AM12" i="67"/>
  <c r="AJ13" i="67"/>
  <c r="AK13" i="67"/>
  <c r="AL13" i="67"/>
  <c r="AM13" i="67"/>
  <c r="AK2" i="67"/>
  <c r="AL2" i="67"/>
  <c r="AM2" i="67"/>
  <c r="AJ2" i="67"/>
  <c r="AG3" i="67"/>
  <c r="AH3" i="67"/>
  <c r="AI3" i="67"/>
  <c r="AG4" i="67"/>
  <c r="AH4" i="67"/>
  <c r="AI4" i="67"/>
  <c r="AG5" i="67"/>
  <c r="AH5" i="67"/>
  <c r="AI5" i="67"/>
  <c r="AG6" i="67"/>
  <c r="AH6" i="67"/>
  <c r="AI6" i="67"/>
  <c r="AG7" i="67"/>
  <c r="AH7" i="67"/>
  <c r="AI7" i="67"/>
  <c r="AG8" i="67"/>
  <c r="AH8" i="67"/>
  <c r="AI8" i="67"/>
  <c r="AG9" i="67"/>
  <c r="AH9" i="67"/>
  <c r="AI9" i="67"/>
  <c r="AG10" i="67"/>
  <c r="AH10" i="67"/>
  <c r="AI10" i="67"/>
  <c r="AG11" i="67"/>
  <c r="AH11" i="67"/>
  <c r="AI11" i="67"/>
  <c r="AG12" i="67"/>
  <c r="AH12" i="67"/>
  <c r="AI12" i="67"/>
  <c r="AG13" i="67"/>
  <c r="AH13" i="67"/>
  <c r="AI13" i="67"/>
  <c r="AG14" i="67"/>
  <c r="AH14" i="67"/>
  <c r="AI14" i="67"/>
  <c r="AG15" i="67"/>
  <c r="AH15" i="67"/>
  <c r="AI15" i="67"/>
  <c r="AG16" i="67"/>
  <c r="AH16" i="67"/>
  <c r="AI16" i="67"/>
  <c r="AG17" i="67"/>
  <c r="AH17" i="67"/>
  <c r="AI17" i="67"/>
  <c r="AG18" i="67"/>
  <c r="AH18" i="67"/>
  <c r="AI18" i="67"/>
  <c r="AG19" i="67"/>
  <c r="AH19" i="67"/>
  <c r="AI19" i="67"/>
  <c r="AG20" i="67"/>
  <c r="AH20" i="67"/>
  <c r="AI20" i="67"/>
  <c r="AG21" i="67"/>
  <c r="AH21" i="67"/>
  <c r="AI21" i="67"/>
  <c r="AG22" i="67"/>
  <c r="AH22" i="67"/>
  <c r="AI22" i="67"/>
  <c r="AG23" i="67"/>
  <c r="AH23" i="67"/>
  <c r="AI23" i="67"/>
  <c r="AG24" i="67"/>
  <c r="AH24" i="67"/>
  <c r="AI24" i="67"/>
  <c r="AG25" i="67"/>
  <c r="AH25" i="67"/>
  <c r="AI25" i="67"/>
  <c r="AG26" i="67"/>
  <c r="AH26" i="67"/>
  <c r="AI26" i="67"/>
  <c r="AG27" i="67"/>
  <c r="AH27" i="67"/>
  <c r="AI27" i="67"/>
  <c r="AG28" i="67"/>
  <c r="AH28" i="67"/>
  <c r="AI28" i="67"/>
  <c r="AG29" i="67"/>
  <c r="AH29" i="67"/>
  <c r="AI29" i="67"/>
  <c r="AG30" i="67"/>
  <c r="AH30" i="67"/>
  <c r="AI30" i="67"/>
  <c r="AG31" i="67"/>
  <c r="AH31" i="67"/>
  <c r="AI31" i="67"/>
  <c r="AG32" i="67"/>
  <c r="AH32" i="67"/>
  <c r="AI32" i="67"/>
  <c r="AG33" i="67"/>
  <c r="AH33" i="67"/>
  <c r="AI33" i="67"/>
  <c r="AG34" i="67"/>
  <c r="AH34" i="67"/>
  <c r="AI34" i="67"/>
  <c r="AG35" i="67"/>
  <c r="AH35" i="67"/>
  <c r="AI35" i="67"/>
  <c r="AG36" i="67"/>
  <c r="AH36" i="67"/>
  <c r="AI36" i="67"/>
  <c r="AG37" i="67"/>
  <c r="AH37" i="67"/>
  <c r="AI37" i="67"/>
  <c r="AG38" i="67"/>
  <c r="AH38" i="67"/>
  <c r="AI38" i="67"/>
  <c r="AG39" i="67"/>
  <c r="AH39" i="67"/>
  <c r="AI39" i="67"/>
  <c r="AG40" i="67"/>
  <c r="AH40" i="67"/>
  <c r="AI40" i="67"/>
  <c r="AG41" i="67"/>
  <c r="AH41" i="67"/>
  <c r="AI41" i="67"/>
  <c r="AG42" i="67"/>
  <c r="AH42" i="67"/>
  <c r="AI42" i="67"/>
  <c r="AG43" i="67"/>
  <c r="AH43" i="67"/>
  <c r="AI43" i="67"/>
  <c r="AG44" i="67"/>
  <c r="AH44" i="67"/>
  <c r="AI44" i="67"/>
  <c r="AG45" i="67"/>
  <c r="AH45" i="67"/>
  <c r="AI45" i="67"/>
  <c r="AG46" i="67"/>
  <c r="AH46" i="67"/>
  <c r="AI46" i="67"/>
  <c r="AG47" i="67"/>
  <c r="AH47" i="67"/>
  <c r="AI47" i="67"/>
  <c r="AG48" i="67"/>
  <c r="AH48" i="67"/>
  <c r="AI48" i="67"/>
  <c r="AG49" i="67"/>
  <c r="AH49" i="67"/>
  <c r="AI49" i="67"/>
  <c r="AG50" i="67"/>
  <c r="AG2" i="149" s="1"/>
  <c r="AH50" i="67"/>
  <c r="AH2" i="149" s="1"/>
  <c r="AI50" i="67"/>
  <c r="AI2" i="149" s="1"/>
  <c r="AG51" i="67"/>
  <c r="AG3" i="149" s="1"/>
  <c r="AH51" i="67"/>
  <c r="AH3" i="149" s="1"/>
  <c r="AI51" i="67"/>
  <c r="AI3" i="149" s="1"/>
  <c r="AG52" i="67"/>
  <c r="AG4" i="149" s="1"/>
  <c r="AH52" i="67"/>
  <c r="AH4" i="149" s="1"/>
  <c r="AI52" i="67"/>
  <c r="AI4" i="149" s="1"/>
  <c r="AG53" i="67"/>
  <c r="AG5" i="149" s="1"/>
  <c r="AH53" i="67"/>
  <c r="AH5" i="149" s="1"/>
  <c r="AI53" i="67"/>
  <c r="AI5" i="149" s="1"/>
  <c r="AG54" i="67"/>
  <c r="AG6" i="149" s="1"/>
  <c r="AH54" i="67"/>
  <c r="AH6" i="149" s="1"/>
  <c r="AI54" i="67"/>
  <c r="AI6" i="149" s="1"/>
  <c r="AG55" i="67"/>
  <c r="AG7" i="149" s="1"/>
  <c r="AH55" i="67"/>
  <c r="AH7" i="149" s="1"/>
  <c r="AI55" i="67"/>
  <c r="AI7" i="149" s="1"/>
  <c r="AG56" i="67"/>
  <c r="AG8" i="149" s="1"/>
  <c r="AH56" i="67"/>
  <c r="AH8" i="149" s="1"/>
  <c r="AI56" i="67"/>
  <c r="AI8" i="149" s="1"/>
  <c r="AG57" i="67"/>
  <c r="AG9" i="149" s="1"/>
  <c r="AH57" i="67"/>
  <c r="AH9" i="149" s="1"/>
  <c r="AI57" i="67"/>
  <c r="AI9" i="149" s="1"/>
  <c r="AG58" i="67"/>
  <c r="AG10" i="149" s="1"/>
  <c r="AH58" i="67"/>
  <c r="AH10" i="149" s="1"/>
  <c r="AI58" i="67"/>
  <c r="AI10" i="149" s="1"/>
  <c r="AG59" i="67"/>
  <c r="AG11" i="149" s="1"/>
  <c r="AH59" i="67"/>
  <c r="AH11" i="149" s="1"/>
  <c r="AI59" i="67"/>
  <c r="AI11" i="149" s="1"/>
  <c r="AG60" i="67"/>
  <c r="AG12" i="149" s="1"/>
  <c r="AH60" i="67"/>
  <c r="AH12" i="149" s="1"/>
  <c r="AI60" i="67"/>
  <c r="AI12" i="149" s="1"/>
  <c r="AG61" i="67"/>
  <c r="AG13" i="149" s="1"/>
  <c r="AH61" i="67"/>
  <c r="AH13" i="149" s="1"/>
  <c r="AI61" i="67"/>
  <c r="AI13" i="149" s="1"/>
  <c r="AG62" i="67"/>
  <c r="AG14" i="149" s="1"/>
  <c r="AH62" i="67"/>
  <c r="AH14" i="149" s="1"/>
  <c r="AI62" i="67"/>
  <c r="AI14" i="149" s="1"/>
  <c r="AG63" i="67"/>
  <c r="AG15" i="149" s="1"/>
  <c r="AH63" i="67"/>
  <c r="AH15" i="149" s="1"/>
  <c r="AI63" i="67"/>
  <c r="AI15" i="149" s="1"/>
  <c r="AG64" i="67"/>
  <c r="AG16" i="149" s="1"/>
  <c r="AH64" i="67"/>
  <c r="AH16" i="149" s="1"/>
  <c r="AI64" i="67"/>
  <c r="AI16" i="149" s="1"/>
  <c r="AG65" i="67"/>
  <c r="AG17" i="149" s="1"/>
  <c r="AH65" i="67"/>
  <c r="AH17" i="149" s="1"/>
  <c r="AI65" i="67"/>
  <c r="AI17" i="149" s="1"/>
  <c r="AG66" i="67"/>
  <c r="AG18" i="149" s="1"/>
  <c r="AH66" i="67"/>
  <c r="AH18" i="149" s="1"/>
  <c r="AI66" i="67"/>
  <c r="AI18" i="149" s="1"/>
  <c r="AG67" i="67"/>
  <c r="AG19" i="149" s="1"/>
  <c r="AH67" i="67"/>
  <c r="AH19" i="149" s="1"/>
  <c r="AI67" i="67"/>
  <c r="AI19" i="149" s="1"/>
  <c r="AG68" i="67"/>
  <c r="AG20" i="149" s="1"/>
  <c r="AH68" i="67"/>
  <c r="AH20" i="149" s="1"/>
  <c r="AI68" i="67"/>
  <c r="AI20" i="149" s="1"/>
  <c r="AG69" i="67"/>
  <c r="AG21" i="149" s="1"/>
  <c r="AH69" i="67"/>
  <c r="AH21" i="149" s="1"/>
  <c r="AI69" i="67"/>
  <c r="AI21" i="149" s="1"/>
  <c r="AG70" i="67"/>
  <c r="AG22" i="149" s="1"/>
  <c r="AH70" i="67"/>
  <c r="AH22" i="149" s="1"/>
  <c r="AI70" i="67"/>
  <c r="AI22" i="149" s="1"/>
  <c r="AG71" i="67"/>
  <c r="AG23" i="149" s="1"/>
  <c r="AH71" i="67"/>
  <c r="AH23" i="149" s="1"/>
  <c r="AI71" i="67"/>
  <c r="AI23" i="149" s="1"/>
  <c r="AG72" i="67"/>
  <c r="AG24" i="149" s="1"/>
  <c r="AH72" i="67"/>
  <c r="AH24" i="149" s="1"/>
  <c r="AI72" i="67"/>
  <c r="AI24" i="149" s="1"/>
  <c r="AG73" i="67"/>
  <c r="AG25" i="149" s="1"/>
  <c r="AH73" i="67"/>
  <c r="AH25" i="149" s="1"/>
  <c r="AI73" i="67"/>
  <c r="AI25" i="149" s="1"/>
  <c r="AG74" i="67"/>
  <c r="AG26" i="149" s="1"/>
  <c r="AH74" i="67"/>
  <c r="AH26" i="149" s="1"/>
  <c r="AI74" i="67"/>
  <c r="AI26" i="149" s="1"/>
  <c r="AG75" i="67"/>
  <c r="AG27" i="149" s="1"/>
  <c r="AH75" i="67"/>
  <c r="AH27" i="149" s="1"/>
  <c r="AI75" i="67"/>
  <c r="AI27" i="149" s="1"/>
  <c r="AG76" i="67"/>
  <c r="AG28" i="149" s="1"/>
  <c r="AH76" i="67"/>
  <c r="AH28" i="149" s="1"/>
  <c r="AI76" i="67"/>
  <c r="AI28" i="149" s="1"/>
  <c r="AG77" i="67"/>
  <c r="AG29" i="149" s="1"/>
  <c r="AH77" i="67"/>
  <c r="AH29" i="149" s="1"/>
  <c r="AI77" i="67"/>
  <c r="AI29" i="149" s="1"/>
  <c r="AG78" i="67"/>
  <c r="AG30" i="149" s="1"/>
  <c r="AH78" i="67"/>
  <c r="AH30" i="149" s="1"/>
  <c r="AI78" i="67"/>
  <c r="AI30" i="149" s="1"/>
  <c r="AG79" i="67"/>
  <c r="AG31" i="149" s="1"/>
  <c r="AH79" i="67"/>
  <c r="AH31" i="149" s="1"/>
  <c r="AI79" i="67"/>
  <c r="AI31" i="149" s="1"/>
  <c r="AG80" i="67"/>
  <c r="AG32" i="149" s="1"/>
  <c r="AH80" i="67"/>
  <c r="AH32" i="149" s="1"/>
  <c r="AI80" i="67"/>
  <c r="AI32" i="149" s="1"/>
  <c r="AG81" i="67"/>
  <c r="AG33" i="149" s="1"/>
  <c r="AH81" i="67"/>
  <c r="AH33" i="149" s="1"/>
  <c r="AI81" i="67"/>
  <c r="AI33" i="149" s="1"/>
  <c r="AG82" i="67"/>
  <c r="AG34" i="149" s="1"/>
  <c r="AH82" i="67"/>
  <c r="AH34" i="149" s="1"/>
  <c r="AI82" i="67"/>
  <c r="AI34" i="149" s="1"/>
  <c r="AG83" i="67"/>
  <c r="AG35" i="149" s="1"/>
  <c r="AH83" i="67"/>
  <c r="AH35" i="149" s="1"/>
  <c r="AI83" i="67"/>
  <c r="AI35" i="149" s="1"/>
  <c r="AG84" i="67"/>
  <c r="AG36" i="149" s="1"/>
  <c r="AH84" i="67"/>
  <c r="AH36" i="149" s="1"/>
  <c r="AI84" i="67"/>
  <c r="AI36" i="149" s="1"/>
  <c r="AG85" i="67"/>
  <c r="AG37" i="149" s="1"/>
  <c r="AH85" i="67"/>
  <c r="AH37" i="149" s="1"/>
  <c r="AI85" i="67"/>
  <c r="AI37" i="149" s="1"/>
  <c r="AG86" i="67"/>
  <c r="AG38" i="149" s="1"/>
  <c r="AH86" i="67"/>
  <c r="AH38" i="149" s="1"/>
  <c r="AI86" i="67"/>
  <c r="AI38" i="149" s="1"/>
  <c r="AG87" i="67"/>
  <c r="AG39" i="149" s="1"/>
  <c r="AH87" i="67"/>
  <c r="AH39" i="149" s="1"/>
  <c r="AI87" i="67"/>
  <c r="AI39" i="149" s="1"/>
  <c r="AG88" i="67"/>
  <c r="AG40" i="149" s="1"/>
  <c r="AH88" i="67"/>
  <c r="AH40" i="149" s="1"/>
  <c r="AI88" i="67"/>
  <c r="AI40" i="149" s="1"/>
  <c r="AG89" i="67"/>
  <c r="AG41" i="149" s="1"/>
  <c r="AH89" i="67"/>
  <c r="AH41" i="149" s="1"/>
  <c r="AI89" i="67"/>
  <c r="AI41" i="149" s="1"/>
  <c r="AG90" i="67"/>
  <c r="AG42" i="149" s="1"/>
  <c r="AH90" i="67"/>
  <c r="AH42" i="149" s="1"/>
  <c r="AI90" i="67"/>
  <c r="AI42" i="149" s="1"/>
  <c r="AG91" i="67"/>
  <c r="AG43" i="149" s="1"/>
  <c r="AH91" i="67"/>
  <c r="AH43" i="149" s="1"/>
  <c r="AI91" i="67"/>
  <c r="AI43" i="149" s="1"/>
  <c r="AG92" i="67"/>
  <c r="AG44" i="149" s="1"/>
  <c r="AH92" i="67"/>
  <c r="AH44" i="149" s="1"/>
  <c r="AI92" i="67"/>
  <c r="AI44" i="149" s="1"/>
  <c r="AG93" i="67"/>
  <c r="AG45" i="149" s="1"/>
  <c r="AH93" i="67"/>
  <c r="AH45" i="149" s="1"/>
  <c r="AI93" i="67"/>
  <c r="AI45" i="149" s="1"/>
  <c r="AG94" i="67"/>
  <c r="AG46" i="149" s="1"/>
  <c r="AH94" i="67"/>
  <c r="AH46" i="149" s="1"/>
  <c r="AI94" i="67"/>
  <c r="AI46" i="149" s="1"/>
  <c r="AG95" i="67"/>
  <c r="AG47" i="149" s="1"/>
  <c r="AH95" i="67"/>
  <c r="AH47" i="149" s="1"/>
  <c r="AI95" i="67"/>
  <c r="AI47" i="149" s="1"/>
  <c r="AG96" i="67"/>
  <c r="AG48" i="149" s="1"/>
  <c r="AH96" i="67"/>
  <c r="AH48" i="149" s="1"/>
  <c r="AI96" i="67"/>
  <c r="AI48" i="149" s="1"/>
  <c r="AG97" i="67"/>
  <c r="AG49" i="149" s="1"/>
  <c r="AH97" i="67"/>
  <c r="AH49" i="149" s="1"/>
  <c r="AI97" i="67"/>
  <c r="AI49" i="149" s="1"/>
  <c r="AG98" i="67"/>
  <c r="AG50" i="149" s="1"/>
  <c r="AH98" i="67"/>
  <c r="AH50" i="149" s="1"/>
  <c r="AI98" i="67"/>
  <c r="AI50" i="149" s="1"/>
  <c r="AG99" i="67"/>
  <c r="AG51" i="149" s="1"/>
  <c r="AH99" i="67"/>
  <c r="AH51" i="149" s="1"/>
  <c r="AI99" i="67"/>
  <c r="AI51" i="149" s="1"/>
  <c r="AG100" i="67"/>
  <c r="AG52" i="149" s="1"/>
  <c r="AH100" i="67"/>
  <c r="AH52" i="149" s="1"/>
  <c r="AI100" i="67"/>
  <c r="AI52" i="149" s="1"/>
  <c r="AG101" i="67"/>
  <c r="AG53" i="149" s="1"/>
  <c r="AH101" i="67"/>
  <c r="AH53" i="149" s="1"/>
  <c r="AI101" i="67"/>
  <c r="AI53" i="149" s="1"/>
  <c r="AG102" i="67"/>
  <c r="AG54" i="149" s="1"/>
  <c r="AH102" i="67"/>
  <c r="AH54" i="149" s="1"/>
  <c r="AI102" i="67"/>
  <c r="AI54" i="149" s="1"/>
  <c r="AG103" i="67"/>
  <c r="AG55" i="149" s="1"/>
  <c r="AH103" i="67"/>
  <c r="AH55" i="149" s="1"/>
  <c r="AI103" i="67"/>
  <c r="AI55" i="149" s="1"/>
  <c r="AG104" i="67"/>
  <c r="AG56" i="149" s="1"/>
  <c r="AH104" i="67"/>
  <c r="AH56" i="149" s="1"/>
  <c r="AI104" i="67"/>
  <c r="AI56" i="149" s="1"/>
  <c r="AG105" i="67"/>
  <c r="AG57" i="149" s="1"/>
  <c r="AH105" i="67"/>
  <c r="AH57" i="149" s="1"/>
  <c r="AI105" i="67"/>
  <c r="AI57" i="149" s="1"/>
  <c r="AG106" i="67"/>
  <c r="AG58" i="149" s="1"/>
  <c r="AH106" i="67"/>
  <c r="AH58" i="149" s="1"/>
  <c r="AI106" i="67"/>
  <c r="AI58" i="149" s="1"/>
  <c r="AG107" i="67"/>
  <c r="AG59" i="149" s="1"/>
  <c r="AH107" i="67"/>
  <c r="AH59" i="149" s="1"/>
  <c r="AI107" i="67"/>
  <c r="AI59" i="149" s="1"/>
  <c r="AG108" i="67"/>
  <c r="AG60" i="149" s="1"/>
  <c r="AH108" i="67"/>
  <c r="AH60" i="149" s="1"/>
  <c r="AI108" i="67"/>
  <c r="AI60" i="149" s="1"/>
  <c r="AG109" i="67"/>
  <c r="AG61" i="149" s="1"/>
  <c r="AH109" i="67"/>
  <c r="AH61" i="149" s="1"/>
  <c r="AI109" i="67"/>
  <c r="AI61" i="149" s="1"/>
  <c r="AG110" i="67"/>
  <c r="AG62" i="149" s="1"/>
  <c r="AH110" i="67"/>
  <c r="AH62" i="149" s="1"/>
  <c r="AI110" i="67"/>
  <c r="AI62" i="149" s="1"/>
  <c r="AG111" i="67"/>
  <c r="AG63" i="149" s="1"/>
  <c r="AH111" i="67"/>
  <c r="AH63" i="149" s="1"/>
  <c r="AI111" i="67"/>
  <c r="AI63" i="149" s="1"/>
  <c r="AG112" i="67"/>
  <c r="AG64" i="149" s="1"/>
  <c r="AH112" i="67"/>
  <c r="AH64" i="149" s="1"/>
  <c r="AI112" i="67"/>
  <c r="AI64" i="149" s="1"/>
  <c r="AG113" i="67"/>
  <c r="AG65" i="149" s="1"/>
  <c r="AH113" i="67"/>
  <c r="AH65" i="149" s="1"/>
  <c r="AI113" i="67"/>
  <c r="AI65" i="149" s="1"/>
  <c r="AG114" i="67"/>
  <c r="AG66" i="149" s="1"/>
  <c r="AH114" i="67"/>
  <c r="AH66" i="149" s="1"/>
  <c r="AI114" i="67"/>
  <c r="AI66" i="149" s="1"/>
  <c r="AG115" i="67"/>
  <c r="AG67" i="149" s="1"/>
  <c r="AH115" i="67"/>
  <c r="AH67" i="149" s="1"/>
  <c r="AI115" i="67"/>
  <c r="AI67" i="149" s="1"/>
  <c r="AG116" i="67"/>
  <c r="AG68" i="149" s="1"/>
  <c r="AH116" i="67"/>
  <c r="AH68" i="149" s="1"/>
  <c r="AI116" i="67"/>
  <c r="AI68" i="149" s="1"/>
  <c r="AG117" i="67"/>
  <c r="AG69" i="149" s="1"/>
  <c r="AH117" i="67"/>
  <c r="AH69" i="149" s="1"/>
  <c r="AI117" i="67"/>
  <c r="AI69" i="149" s="1"/>
  <c r="AG118" i="67"/>
  <c r="AG70" i="149" s="1"/>
  <c r="AH118" i="67"/>
  <c r="AH70" i="149" s="1"/>
  <c r="AI118" i="67"/>
  <c r="AI70" i="149" s="1"/>
  <c r="AG119" i="67"/>
  <c r="AG71" i="149" s="1"/>
  <c r="AH119" i="67"/>
  <c r="AH71" i="149" s="1"/>
  <c r="AI119" i="67"/>
  <c r="AI71" i="149" s="1"/>
  <c r="AG120" i="67"/>
  <c r="AG72" i="149" s="1"/>
  <c r="AH120" i="67"/>
  <c r="AH72" i="149" s="1"/>
  <c r="AI120" i="67"/>
  <c r="AI72" i="149" s="1"/>
  <c r="AG121" i="67"/>
  <c r="AG73" i="149" s="1"/>
  <c r="AH121" i="67"/>
  <c r="AH73" i="149" s="1"/>
  <c r="AI121" i="67"/>
  <c r="AI73" i="149" s="1"/>
  <c r="AH2" i="67"/>
  <c r="AI2" i="67"/>
  <c r="AF3" i="67"/>
  <c r="AF4" i="67"/>
  <c r="AF5" i="67"/>
  <c r="AF6" i="67"/>
  <c r="AF7" i="67"/>
  <c r="AF8" i="67"/>
  <c r="AF9" i="67"/>
  <c r="AF10" i="67"/>
  <c r="AF11" i="67"/>
  <c r="AF12" i="67"/>
  <c r="AF13" i="67"/>
  <c r="AF14" i="67"/>
  <c r="AF15" i="67"/>
  <c r="AF16" i="67"/>
  <c r="AF17" i="67"/>
  <c r="AF18" i="67"/>
  <c r="AF19" i="67"/>
  <c r="AF20" i="67"/>
  <c r="AF21" i="67"/>
  <c r="AF22" i="67"/>
  <c r="AF23" i="67"/>
  <c r="AF24" i="67"/>
  <c r="AF25" i="67"/>
  <c r="AF26" i="67"/>
  <c r="AF27" i="67"/>
  <c r="AF28" i="67"/>
  <c r="AF29" i="67"/>
  <c r="AF30" i="67"/>
  <c r="AF31" i="67"/>
  <c r="AF32" i="67"/>
  <c r="AF33" i="67"/>
  <c r="AF34" i="67"/>
  <c r="AF35" i="67"/>
  <c r="AF36" i="67"/>
  <c r="AF37" i="67"/>
  <c r="AF38" i="67"/>
  <c r="AF39" i="67"/>
  <c r="AF40" i="67"/>
  <c r="AF41" i="67"/>
  <c r="AF42" i="67"/>
  <c r="AF43" i="67"/>
  <c r="AF44" i="67"/>
  <c r="AF45" i="67"/>
  <c r="AF46" i="67"/>
  <c r="AF47" i="67"/>
  <c r="AF48" i="67"/>
  <c r="AF49" i="67"/>
  <c r="AF50" i="67"/>
  <c r="AF2" i="149" s="1"/>
  <c r="AF51" i="67"/>
  <c r="AF3" i="149" s="1"/>
  <c r="AF52" i="67"/>
  <c r="AF4" i="149" s="1"/>
  <c r="AF53" i="67"/>
  <c r="AF5" i="149" s="1"/>
  <c r="AF54" i="67"/>
  <c r="AF6" i="149" s="1"/>
  <c r="AF55" i="67"/>
  <c r="AF7" i="149" s="1"/>
  <c r="AF56" i="67"/>
  <c r="AF8" i="149" s="1"/>
  <c r="AF57" i="67"/>
  <c r="AF9" i="149" s="1"/>
  <c r="AF58" i="67"/>
  <c r="AF10" i="149" s="1"/>
  <c r="AF59" i="67"/>
  <c r="AF11" i="149" s="1"/>
  <c r="AF60" i="67"/>
  <c r="AF12" i="149" s="1"/>
  <c r="AF61" i="67"/>
  <c r="AF13" i="149" s="1"/>
  <c r="AF62" i="67"/>
  <c r="AF14" i="149" s="1"/>
  <c r="AF63" i="67"/>
  <c r="AF15" i="149" s="1"/>
  <c r="AF64" i="67"/>
  <c r="AF16" i="149" s="1"/>
  <c r="AF65" i="67"/>
  <c r="AF17" i="149" s="1"/>
  <c r="AF66" i="67"/>
  <c r="AF18" i="149" s="1"/>
  <c r="AF67" i="67"/>
  <c r="AF19" i="149" s="1"/>
  <c r="AF68" i="67"/>
  <c r="AF20" i="149" s="1"/>
  <c r="AF69" i="67"/>
  <c r="AF21" i="149" s="1"/>
  <c r="AF70" i="67"/>
  <c r="AF22" i="149" s="1"/>
  <c r="AF71" i="67"/>
  <c r="AF23" i="149" s="1"/>
  <c r="AF72" i="67"/>
  <c r="AF24" i="149" s="1"/>
  <c r="AF73" i="67"/>
  <c r="AF25" i="149" s="1"/>
  <c r="AF74" i="67"/>
  <c r="AF26" i="149" s="1"/>
  <c r="AF75" i="67"/>
  <c r="AF27" i="149" s="1"/>
  <c r="AF76" i="67"/>
  <c r="AF28" i="149" s="1"/>
  <c r="AF77" i="67"/>
  <c r="AF29" i="149" s="1"/>
  <c r="AF78" i="67"/>
  <c r="AF30" i="149" s="1"/>
  <c r="AF79" i="67"/>
  <c r="AF31" i="149" s="1"/>
  <c r="AF80" i="67"/>
  <c r="AF32" i="149" s="1"/>
  <c r="AF81" i="67"/>
  <c r="AF33" i="149" s="1"/>
  <c r="AF82" i="67"/>
  <c r="AF34" i="149" s="1"/>
  <c r="AF83" i="67"/>
  <c r="AF35" i="149" s="1"/>
  <c r="AF84" i="67"/>
  <c r="AF36" i="149" s="1"/>
  <c r="AF85" i="67"/>
  <c r="AF37" i="149" s="1"/>
  <c r="AF86" i="67"/>
  <c r="AF38" i="149" s="1"/>
  <c r="AF87" i="67"/>
  <c r="AF39" i="149" s="1"/>
  <c r="AF88" i="67"/>
  <c r="AF40" i="149" s="1"/>
  <c r="AF89" i="67"/>
  <c r="AF41" i="149" s="1"/>
  <c r="AF90" i="67"/>
  <c r="AF42" i="149" s="1"/>
  <c r="AF91" i="67"/>
  <c r="AF43" i="149" s="1"/>
  <c r="AF92" i="67"/>
  <c r="AF44" i="149" s="1"/>
  <c r="AF93" i="67"/>
  <c r="AF45" i="149" s="1"/>
  <c r="AF94" i="67"/>
  <c r="AF46" i="149" s="1"/>
  <c r="AF95" i="67"/>
  <c r="AF47" i="149" s="1"/>
  <c r="AF96" i="67"/>
  <c r="AF48" i="149" s="1"/>
  <c r="AF97" i="67"/>
  <c r="AF49" i="149" s="1"/>
  <c r="AF98" i="67"/>
  <c r="AF50" i="149" s="1"/>
  <c r="AF99" i="67"/>
  <c r="AF51" i="149" s="1"/>
  <c r="AF100" i="67"/>
  <c r="AF52" i="149" s="1"/>
  <c r="AF101" i="67"/>
  <c r="AF53" i="149" s="1"/>
  <c r="AF102" i="67"/>
  <c r="AF54" i="149" s="1"/>
  <c r="AF103" i="67"/>
  <c r="AF55" i="149" s="1"/>
  <c r="AF104" i="67"/>
  <c r="AF56" i="149" s="1"/>
  <c r="AF105" i="67"/>
  <c r="AF57" i="149" s="1"/>
  <c r="AF106" i="67"/>
  <c r="AF58" i="149" s="1"/>
  <c r="AF107" i="67"/>
  <c r="AF59" i="149" s="1"/>
  <c r="AF108" i="67"/>
  <c r="AF60" i="149" s="1"/>
  <c r="AF109" i="67"/>
  <c r="AF61" i="149" s="1"/>
  <c r="AF110" i="67"/>
  <c r="AF62" i="149" s="1"/>
  <c r="AF111" i="67"/>
  <c r="AF63" i="149" s="1"/>
  <c r="AF112" i="67"/>
  <c r="AF64" i="149" s="1"/>
  <c r="AF113" i="67"/>
  <c r="AF65" i="149" s="1"/>
  <c r="AF114" i="67"/>
  <c r="AF66" i="149" s="1"/>
  <c r="AF115" i="67"/>
  <c r="AF67" i="149" s="1"/>
  <c r="AF116" i="67"/>
  <c r="AF68" i="149" s="1"/>
  <c r="AF117" i="67"/>
  <c r="AF69" i="149" s="1"/>
  <c r="AF118" i="67"/>
  <c r="AF70" i="149" s="1"/>
  <c r="AF119" i="67"/>
  <c r="AF71" i="149" s="1"/>
  <c r="AF120" i="67"/>
  <c r="AF72" i="149" s="1"/>
  <c r="AF121" i="67"/>
  <c r="AF73" i="149" s="1"/>
  <c r="AG2" i="67"/>
  <c r="AF2" i="67"/>
  <c r="AE3" i="67"/>
  <c r="AE4" i="67"/>
  <c r="AE5" i="67"/>
  <c r="AE6" i="67"/>
  <c r="AE7" i="67"/>
  <c r="AE8" i="67"/>
  <c r="AE15" i="67"/>
  <c r="AE16" i="67"/>
  <c r="AE20" i="67"/>
  <c r="AE21" i="67"/>
  <c r="AE22" i="67"/>
  <c r="AE23" i="67"/>
  <c r="AE24" i="67"/>
  <c r="AE25" i="67"/>
  <c r="AE31" i="67"/>
  <c r="AE32" i="67"/>
  <c r="AE37" i="67"/>
  <c r="AE38" i="67"/>
  <c r="AE40" i="67"/>
  <c r="AE47" i="67"/>
  <c r="AE48" i="67"/>
  <c r="AE50" i="67"/>
  <c r="AE2" i="149" s="1"/>
  <c r="AE51" i="67"/>
  <c r="AE3" i="149" s="1"/>
  <c r="AE52" i="67"/>
  <c r="AE4" i="149" s="1"/>
  <c r="AE53" i="67"/>
  <c r="AE5" i="149" s="1"/>
  <c r="AE54" i="67"/>
  <c r="AE6" i="149" s="1"/>
  <c r="AE55" i="67"/>
  <c r="AE7" i="149" s="1"/>
  <c r="AE56" i="67"/>
  <c r="AE8" i="149" s="1"/>
  <c r="AE63" i="67"/>
  <c r="AE15" i="149" s="1"/>
  <c r="AE64" i="67"/>
  <c r="AE16" i="149" s="1"/>
  <c r="AE68" i="67"/>
  <c r="AE20" i="149" s="1"/>
  <c r="AE69" i="67"/>
  <c r="AE21" i="149" s="1"/>
  <c r="AE70" i="67"/>
  <c r="AE22" i="149" s="1"/>
  <c r="AE71" i="67"/>
  <c r="AE23" i="149" s="1"/>
  <c r="AE72" i="67"/>
  <c r="AE24" i="149" s="1"/>
  <c r="AE79" i="67"/>
  <c r="AE31" i="149" s="1"/>
  <c r="AE80" i="67"/>
  <c r="AE32" i="149" s="1"/>
  <c r="AE84" i="67"/>
  <c r="AE36" i="149" s="1"/>
  <c r="AE85" i="67"/>
  <c r="AE37" i="149" s="1"/>
  <c r="AE86" i="67"/>
  <c r="AE38" i="149" s="1"/>
  <c r="AE87" i="67"/>
  <c r="AE39" i="149" s="1"/>
  <c r="AE88" i="67"/>
  <c r="AE40" i="149" s="1"/>
  <c r="AE95" i="67"/>
  <c r="AE47" i="149" s="1"/>
  <c r="AE96" i="67"/>
  <c r="AE48" i="149" s="1"/>
  <c r="AE97" i="67"/>
  <c r="AE49" i="149" s="1"/>
  <c r="AE98" i="67"/>
  <c r="AE50" i="149" s="1"/>
  <c r="AE101" i="67"/>
  <c r="AE53" i="149" s="1"/>
  <c r="AE102" i="67"/>
  <c r="AE54" i="149" s="1"/>
  <c r="AE103" i="67"/>
  <c r="AE55" i="149" s="1"/>
  <c r="AE104" i="67"/>
  <c r="AE56" i="149" s="1"/>
  <c r="AE2" i="67"/>
  <c r="AD7" i="67"/>
  <c r="AD8" i="67"/>
  <c r="AD9" i="67"/>
  <c r="AD10" i="67"/>
  <c r="AD11" i="67"/>
  <c r="AD13" i="67"/>
  <c r="AD14" i="67"/>
  <c r="AD15" i="67"/>
  <c r="AD18" i="67"/>
  <c r="AD23" i="67"/>
  <c r="AD24" i="67"/>
  <c r="AD26" i="67"/>
  <c r="AD27" i="67"/>
  <c r="AD29" i="67"/>
  <c r="AD30" i="67"/>
  <c r="AD31" i="67"/>
  <c r="AD32" i="67"/>
  <c r="AD33" i="67"/>
  <c r="AD34" i="67"/>
  <c r="AD39" i="67"/>
  <c r="AD42" i="67"/>
  <c r="AD43" i="67"/>
  <c r="AD45" i="67"/>
  <c r="AD46" i="67"/>
  <c r="AD47" i="67"/>
  <c r="AD48" i="67"/>
  <c r="AD49" i="67"/>
  <c r="AD50" i="67"/>
  <c r="AD51" i="67"/>
  <c r="AD55" i="67"/>
  <c r="AD58" i="67"/>
  <c r="AD59" i="67"/>
  <c r="AD62" i="67"/>
  <c r="AD63" i="67"/>
  <c r="AD65" i="67"/>
  <c r="AD66" i="67"/>
  <c r="AD67" i="67"/>
  <c r="AD71" i="67"/>
  <c r="AD72" i="67"/>
  <c r="AD73" i="67"/>
  <c r="AD74" i="67"/>
  <c r="AD75" i="67"/>
  <c r="AD77" i="67"/>
  <c r="AD78" i="67"/>
  <c r="AD79" i="67"/>
  <c r="AD81" i="67"/>
  <c r="AD82" i="67"/>
  <c r="AD87" i="67"/>
  <c r="AD88" i="67"/>
  <c r="AD90" i="67"/>
  <c r="AD91" i="67"/>
  <c r="AD93" i="67"/>
  <c r="AD94" i="67"/>
  <c r="AD95" i="67"/>
  <c r="AD98" i="67"/>
  <c r="AD103" i="67"/>
  <c r="AD104" i="67"/>
  <c r="AD106" i="67"/>
  <c r="AD107" i="67"/>
  <c r="AD109" i="67"/>
  <c r="AD2" i="67"/>
  <c r="P28" i="72"/>
  <c r="Q28" i="72"/>
  <c r="R28" i="72"/>
  <c r="S28" i="72"/>
  <c r="T28" i="72"/>
  <c r="U28" i="72"/>
  <c r="V28" i="72"/>
  <c r="P29" i="72"/>
  <c r="Q29" i="72"/>
  <c r="R29" i="72"/>
  <c r="S29" i="72"/>
  <c r="T29" i="72"/>
  <c r="U29" i="72"/>
  <c r="V29" i="72"/>
  <c r="P30" i="72"/>
  <c r="Q30" i="72"/>
  <c r="R30" i="72"/>
  <c r="S30" i="72"/>
  <c r="T30" i="72"/>
  <c r="U30" i="72"/>
  <c r="V30" i="72"/>
  <c r="L10" i="72"/>
  <c r="K10" i="72"/>
  <c r="Q10" i="72" s="1"/>
  <c r="R9" i="72"/>
  <c r="S9" i="72"/>
  <c r="T9" i="72"/>
  <c r="F59" i="72" s="1"/>
  <c r="U9" i="72"/>
  <c r="G59" i="72" s="1"/>
  <c r="V9" i="72"/>
  <c r="H59" i="72" s="1"/>
  <c r="R11" i="72"/>
  <c r="S11" i="72"/>
  <c r="T11" i="72"/>
  <c r="U11" i="72"/>
  <c r="V11" i="72"/>
  <c r="H61" i="72" s="1"/>
  <c r="R12" i="72"/>
  <c r="S12" i="72"/>
  <c r="T12" i="72"/>
  <c r="U12" i="72"/>
  <c r="V12" i="72"/>
  <c r="R13" i="72"/>
  <c r="S13" i="72"/>
  <c r="T13" i="72"/>
  <c r="U13" i="72"/>
  <c r="V13" i="72"/>
  <c r="F61" i="72"/>
  <c r="G61" i="72"/>
  <c r="F62" i="72"/>
  <c r="G62" i="72"/>
  <c r="J62" i="72" s="1"/>
  <c r="P80" i="72" s="1"/>
  <c r="H62" i="72"/>
  <c r="U59" i="72"/>
  <c r="U60" i="72"/>
  <c r="U61" i="72"/>
  <c r="U62" i="72"/>
  <c r="U63" i="72"/>
  <c r="U64" i="72"/>
  <c r="U65" i="72"/>
  <c r="U66" i="72"/>
  <c r="L59" i="72"/>
  <c r="L60" i="72"/>
  <c r="L61" i="72"/>
  <c r="L62" i="72"/>
  <c r="L77" i="72"/>
  <c r="L78" i="72"/>
  <c r="L79" i="72"/>
  <c r="L80" i="72"/>
  <c r="L58" i="72"/>
  <c r="Z9" i="72"/>
  <c r="Z10" i="72"/>
  <c r="Z11" i="72"/>
  <c r="Z8" i="72"/>
  <c r="O10" i="72"/>
  <c r="O11" i="72"/>
  <c r="O12" i="72"/>
  <c r="O9" i="72"/>
  <c r="O27" i="72"/>
  <c r="O28" i="72"/>
  <c r="O29" i="72"/>
  <c r="O30" i="72"/>
  <c r="B59" i="72"/>
  <c r="B60" i="72"/>
  <c r="B61" i="72"/>
  <c r="B62" i="72"/>
  <c r="B58" i="72"/>
  <c r="C5" i="72"/>
  <c r="D5" i="72"/>
  <c r="E5" i="72"/>
  <c r="F5" i="72"/>
  <c r="C6" i="72"/>
  <c r="D6" i="72"/>
  <c r="E6" i="72"/>
  <c r="F6" i="72"/>
  <c r="C7" i="72"/>
  <c r="D7" i="72"/>
  <c r="E7" i="72"/>
  <c r="F7" i="72"/>
  <c r="C8" i="72"/>
  <c r="D8" i="72"/>
  <c r="E8" i="72"/>
  <c r="F8" i="72"/>
  <c r="C9" i="72"/>
  <c r="D9" i="72"/>
  <c r="E9" i="72"/>
  <c r="F9" i="72"/>
  <c r="C10" i="72"/>
  <c r="D10" i="72"/>
  <c r="E10" i="72"/>
  <c r="F10" i="72"/>
  <c r="C11" i="72"/>
  <c r="D11" i="72"/>
  <c r="E11" i="72"/>
  <c r="F11" i="72"/>
  <c r="C12" i="72"/>
  <c r="D12" i="72"/>
  <c r="E12" i="72"/>
  <c r="F12" i="72"/>
  <c r="C13" i="72"/>
  <c r="D13" i="72"/>
  <c r="E13" i="72"/>
  <c r="F13" i="72"/>
  <c r="C14" i="72"/>
  <c r="D14" i="72"/>
  <c r="E14" i="72"/>
  <c r="F14" i="72"/>
  <c r="C15" i="72"/>
  <c r="D15" i="72"/>
  <c r="E15" i="72"/>
  <c r="F15" i="72"/>
  <c r="C16" i="72"/>
  <c r="D16" i="72"/>
  <c r="E16" i="72"/>
  <c r="F16" i="72"/>
  <c r="C17" i="72"/>
  <c r="D17" i="72"/>
  <c r="E17" i="72"/>
  <c r="F17" i="72"/>
  <c r="C4" i="72"/>
  <c r="AI18" i="72"/>
  <c r="AF18" i="72"/>
  <c r="AD18" i="72"/>
  <c r="AC18" i="72"/>
  <c r="AB18" i="72"/>
  <c r="AA18" i="72"/>
  <c r="AK17" i="72"/>
  <c r="AL17" i="72" s="1"/>
  <c r="AK16" i="72"/>
  <c r="AL16" i="72" s="1"/>
  <c r="AK15" i="72"/>
  <c r="AL15" i="72" s="1"/>
  <c r="AK14" i="72"/>
  <c r="AL14" i="72" s="1"/>
  <c r="AH14" i="72"/>
  <c r="AK13" i="72"/>
  <c r="AL13" i="72" s="1"/>
  <c r="AK12" i="72"/>
  <c r="AK8" i="72"/>
  <c r="AL8" i="72" s="1"/>
  <c r="AK7" i="72"/>
  <c r="AL7" i="72" s="1"/>
  <c r="AK6" i="72"/>
  <c r="AL6" i="72" s="1"/>
  <c r="AK5" i="72"/>
  <c r="AL5" i="72" s="1"/>
  <c r="AK4" i="72"/>
  <c r="AL4" i="72" s="1"/>
  <c r="AH4" i="72"/>
  <c r="E4" i="72" s="1"/>
  <c r="AG4" i="72"/>
  <c r="D4" i="72" s="1"/>
  <c r="AD61" i="149" l="1"/>
  <c r="G109" i="34"/>
  <c r="I109" i="76"/>
  <c r="G109" i="30"/>
  <c r="AD30" i="149"/>
  <c r="I78" i="76"/>
  <c r="G78" i="34"/>
  <c r="G78" i="30"/>
  <c r="AD2" i="149"/>
  <c r="G50" i="34"/>
  <c r="G50" i="30"/>
  <c r="I50" i="76"/>
  <c r="I26" i="76"/>
  <c r="G26" i="30"/>
  <c r="G26" i="34"/>
  <c r="AD52" i="149"/>
  <c r="I100" i="76"/>
  <c r="G100" i="34"/>
  <c r="G100" i="30"/>
  <c r="AD35" i="149"/>
  <c r="G83" i="30"/>
  <c r="I83" i="76"/>
  <c r="G83" i="34"/>
  <c r="G17" i="34"/>
  <c r="I17" i="76"/>
  <c r="G17" i="30"/>
  <c r="AD16" i="149"/>
  <c r="I64" i="76"/>
  <c r="G64" i="30"/>
  <c r="G64" i="34"/>
  <c r="I16" i="76"/>
  <c r="G16" i="30"/>
  <c r="G16" i="34"/>
  <c r="AD58" i="149"/>
  <c r="I106" i="76"/>
  <c r="G106" i="34"/>
  <c r="G106" i="30"/>
  <c r="AD27" i="149"/>
  <c r="I75" i="76"/>
  <c r="G75" i="34"/>
  <c r="G75" i="30"/>
  <c r="I48" i="76"/>
  <c r="G48" i="30"/>
  <c r="G48" i="34"/>
  <c r="I23" i="76"/>
  <c r="G23" i="34"/>
  <c r="G23" i="30"/>
  <c r="AD49" i="149"/>
  <c r="G97" i="34"/>
  <c r="I97" i="76"/>
  <c r="G97" i="30"/>
  <c r="I18" i="76"/>
  <c r="G18" i="34"/>
  <c r="G18" i="30"/>
  <c r="AD48" i="149"/>
  <c r="I96" i="76"/>
  <c r="G96" i="30"/>
  <c r="G96" i="34"/>
  <c r="AD32" i="149"/>
  <c r="I80" i="76"/>
  <c r="G80" i="30"/>
  <c r="G80" i="34"/>
  <c r="I44" i="76"/>
  <c r="G44" i="30"/>
  <c r="G44" i="34"/>
  <c r="AD59" i="149"/>
  <c r="G107" i="34"/>
  <c r="I107" i="76"/>
  <c r="G107" i="30"/>
  <c r="AD13" i="149"/>
  <c r="G61" i="34"/>
  <c r="G61" i="30"/>
  <c r="I61" i="76"/>
  <c r="AD56" i="149"/>
  <c r="I104" i="76"/>
  <c r="G104" i="34"/>
  <c r="G104" i="30"/>
  <c r="I47" i="76"/>
  <c r="G47" i="30"/>
  <c r="G47" i="34"/>
  <c r="AD25" i="149"/>
  <c r="G73" i="30"/>
  <c r="I73" i="76"/>
  <c r="G73" i="34"/>
  <c r="G46" i="34"/>
  <c r="I46" i="76"/>
  <c r="G46" i="30"/>
  <c r="G28" i="34"/>
  <c r="G28" i="30"/>
  <c r="I28" i="76"/>
  <c r="G12" i="30"/>
  <c r="I12" i="76"/>
  <c r="G12" i="34"/>
  <c r="AD50" i="149"/>
  <c r="G98" i="34"/>
  <c r="G98" i="30"/>
  <c r="I98" i="76"/>
  <c r="AD24" i="149"/>
  <c r="G72" i="34"/>
  <c r="I72" i="76"/>
  <c r="G72" i="30"/>
  <c r="I45" i="76"/>
  <c r="G45" i="34"/>
  <c r="G45" i="30"/>
  <c r="G14" i="34"/>
  <c r="I14" i="76"/>
  <c r="G14" i="30"/>
  <c r="AD23" i="149"/>
  <c r="G71" i="34"/>
  <c r="I71" i="76"/>
  <c r="G71" i="30"/>
  <c r="I43" i="76"/>
  <c r="G43" i="34"/>
  <c r="G43" i="30"/>
  <c r="G13" i="34"/>
  <c r="I13" i="76"/>
  <c r="G13" i="30"/>
  <c r="AD12" i="149"/>
  <c r="I60" i="76"/>
  <c r="G60" i="30"/>
  <c r="G60" i="34"/>
  <c r="AD44" i="149"/>
  <c r="I92" i="76"/>
  <c r="G92" i="30"/>
  <c r="G92" i="34"/>
  <c r="AD28" i="149"/>
  <c r="G76" i="30"/>
  <c r="I76" i="76"/>
  <c r="G76" i="34"/>
  <c r="I41" i="76"/>
  <c r="G41" i="30"/>
  <c r="G41" i="34"/>
  <c r="AD26" i="149"/>
  <c r="G74" i="34"/>
  <c r="G74" i="30"/>
  <c r="I74" i="76"/>
  <c r="AD55" i="149"/>
  <c r="G103" i="34"/>
  <c r="G103" i="30"/>
  <c r="I103" i="76"/>
  <c r="I15" i="76"/>
  <c r="G15" i="30"/>
  <c r="G15" i="34"/>
  <c r="AD45" i="149"/>
  <c r="I93" i="76"/>
  <c r="G93" i="34"/>
  <c r="G93" i="30"/>
  <c r="AD18" i="149"/>
  <c r="G66" i="34"/>
  <c r="G66" i="30"/>
  <c r="I66" i="76"/>
  <c r="I39" i="76"/>
  <c r="G39" i="34"/>
  <c r="G39" i="30"/>
  <c r="I10" i="76"/>
  <c r="G10" i="30"/>
  <c r="G10" i="34"/>
  <c r="I40" i="76"/>
  <c r="G40" i="34"/>
  <c r="G40" i="30"/>
  <c r="I25" i="76"/>
  <c r="G25" i="30"/>
  <c r="G25" i="34"/>
  <c r="AD47" i="149"/>
  <c r="I95" i="76"/>
  <c r="G95" i="30"/>
  <c r="G95" i="34"/>
  <c r="AD46" i="149"/>
  <c r="I94" i="76"/>
  <c r="G94" i="30"/>
  <c r="G94" i="34"/>
  <c r="AD19" i="149"/>
  <c r="I67" i="76"/>
  <c r="G67" i="30"/>
  <c r="G67" i="34"/>
  <c r="I42" i="76"/>
  <c r="G42" i="34"/>
  <c r="G42" i="30"/>
  <c r="G9" i="30"/>
  <c r="I9" i="76"/>
  <c r="G9" i="34"/>
  <c r="AD60" i="149"/>
  <c r="G108" i="30"/>
  <c r="I108" i="76"/>
  <c r="G108" i="34"/>
  <c r="I22" i="76"/>
  <c r="G22" i="30"/>
  <c r="G22" i="34"/>
  <c r="G6" i="30"/>
  <c r="I6" i="76"/>
  <c r="G6" i="34"/>
  <c r="I11" i="76"/>
  <c r="G11" i="34"/>
  <c r="G11" i="30"/>
  <c r="AD43" i="149"/>
  <c r="I91" i="76"/>
  <c r="G91" i="34"/>
  <c r="G91" i="30"/>
  <c r="AD17" i="149"/>
  <c r="G65" i="34"/>
  <c r="I65" i="76"/>
  <c r="G65" i="30"/>
  <c r="G34" i="34"/>
  <c r="I34" i="76"/>
  <c r="G34" i="30"/>
  <c r="AD42" i="149"/>
  <c r="I90" i="76"/>
  <c r="G90" i="34"/>
  <c r="G90" i="30"/>
  <c r="AD15" i="149"/>
  <c r="I63" i="76"/>
  <c r="G63" i="30"/>
  <c r="G63" i="34"/>
  <c r="G33" i="34"/>
  <c r="I33" i="76"/>
  <c r="G33" i="30"/>
  <c r="G8" i="34"/>
  <c r="G8" i="30"/>
  <c r="I8" i="76"/>
  <c r="AD9" i="149"/>
  <c r="G57" i="30"/>
  <c r="I57" i="76"/>
  <c r="G57" i="34"/>
  <c r="G38" i="30"/>
  <c r="G38" i="34"/>
  <c r="I38" i="76"/>
  <c r="G21" i="30"/>
  <c r="I21" i="76"/>
  <c r="G21" i="34"/>
  <c r="G5" i="30"/>
  <c r="G5" i="34"/>
  <c r="I5" i="76"/>
  <c r="AD29" i="149"/>
  <c r="G77" i="34"/>
  <c r="I77" i="76"/>
  <c r="G77" i="30"/>
  <c r="G24" i="34"/>
  <c r="G24" i="30"/>
  <c r="I24" i="76"/>
  <c r="AD40" i="149"/>
  <c r="G88" i="34"/>
  <c r="I88" i="76"/>
  <c r="G88" i="30"/>
  <c r="AD14" i="149"/>
  <c r="I62" i="76"/>
  <c r="G62" i="30"/>
  <c r="G62" i="34"/>
  <c r="I32" i="76"/>
  <c r="G32" i="30"/>
  <c r="G32" i="34"/>
  <c r="G7" i="34"/>
  <c r="I7" i="76"/>
  <c r="G7" i="30"/>
  <c r="AD41" i="149"/>
  <c r="G89" i="30"/>
  <c r="G89" i="34"/>
  <c r="I89" i="76"/>
  <c r="AD22" i="149"/>
  <c r="I70" i="76"/>
  <c r="G70" i="30"/>
  <c r="G70" i="34"/>
  <c r="AD8" i="149"/>
  <c r="I56" i="76"/>
  <c r="G56" i="34"/>
  <c r="G56" i="30"/>
  <c r="G37" i="30"/>
  <c r="I37" i="76"/>
  <c r="G37" i="34"/>
  <c r="G20" i="34"/>
  <c r="G20" i="30"/>
  <c r="I20" i="76"/>
  <c r="I4" i="76"/>
  <c r="G4" i="34"/>
  <c r="G4" i="30"/>
  <c r="G49" i="34"/>
  <c r="I49" i="76"/>
  <c r="G49" i="30"/>
  <c r="AD39" i="149"/>
  <c r="G87" i="34"/>
  <c r="G87" i="30"/>
  <c r="I87" i="76"/>
  <c r="AD11" i="149"/>
  <c r="I59" i="76"/>
  <c r="G59" i="34"/>
  <c r="G59" i="30"/>
  <c r="AD57" i="149"/>
  <c r="G105" i="30"/>
  <c r="I105" i="76"/>
  <c r="G105" i="34"/>
  <c r="AD38" i="149"/>
  <c r="G86" i="30"/>
  <c r="I86" i="76"/>
  <c r="G86" i="34"/>
  <c r="AD21" i="149"/>
  <c r="G69" i="30"/>
  <c r="G69" i="34"/>
  <c r="I69" i="76"/>
  <c r="AD6" i="149"/>
  <c r="G54" i="30"/>
  <c r="G54" i="34"/>
  <c r="I54" i="76"/>
  <c r="I3" i="76"/>
  <c r="G3" i="34"/>
  <c r="G3" i="30"/>
  <c r="I31" i="76"/>
  <c r="G31" i="30"/>
  <c r="G31" i="34"/>
  <c r="AD10" i="149"/>
  <c r="I58" i="76"/>
  <c r="G58" i="34"/>
  <c r="G58" i="30"/>
  <c r="AD54" i="149"/>
  <c r="G102" i="30"/>
  <c r="G102" i="34"/>
  <c r="I102" i="76"/>
  <c r="AD37" i="149"/>
  <c r="G85" i="30"/>
  <c r="I85" i="76"/>
  <c r="G85" i="34"/>
  <c r="AD20" i="149"/>
  <c r="I68" i="76"/>
  <c r="G68" i="34"/>
  <c r="G68" i="30"/>
  <c r="AD5" i="149"/>
  <c r="G53" i="30"/>
  <c r="G53" i="34"/>
  <c r="I53" i="76"/>
  <c r="I36" i="76"/>
  <c r="G36" i="30"/>
  <c r="G36" i="34"/>
  <c r="G19" i="30"/>
  <c r="I19" i="76"/>
  <c r="G19" i="34"/>
  <c r="AD34" i="149"/>
  <c r="I82" i="76"/>
  <c r="G82" i="34"/>
  <c r="G82" i="30"/>
  <c r="I30" i="76"/>
  <c r="G30" i="34"/>
  <c r="G30" i="30"/>
  <c r="AD33" i="149"/>
  <c r="I81" i="76"/>
  <c r="G81" i="34"/>
  <c r="G81" i="30"/>
  <c r="AD7" i="149"/>
  <c r="G55" i="34"/>
  <c r="I55" i="76"/>
  <c r="G55" i="30"/>
  <c r="I29" i="76"/>
  <c r="G29" i="34"/>
  <c r="G29" i="30"/>
  <c r="AD53" i="149"/>
  <c r="G101" i="30"/>
  <c r="I101" i="76"/>
  <c r="G101" i="34"/>
  <c r="AD36" i="149"/>
  <c r="G84" i="30"/>
  <c r="I84" i="76"/>
  <c r="G84" i="34"/>
  <c r="AD4" i="149"/>
  <c r="I52" i="76"/>
  <c r="G52" i="30"/>
  <c r="G52" i="34"/>
  <c r="I2" i="76"/>
  <c r="G2" i="34"/>
  <c r="G2" i="30"/>
  <c r="AD31" i="149"/>
  <c r="I79" i="76"/>
  <c r="G79" i="30"/>
  <c r="G79" i="34"/>
  <c r="AD3" i="149"/>
  <c r="I51" i="76"/>
  <c r="G51" i="30"/>
  <c r="G51" i="34"/>
  <c r="I27" i="76"/>
  <c r="G27" i="34"/>
  <c r="G27" i="30"/>
  <c r="G35" i="30"/>
  <c r="I35" i="76"/>
  <c r="G35" i="34"/>
  <c r="Y178" i="150"/>
  <c r="AW177" i="150"/>
  <c r="T178" i="150"/>
  <c r="AR177" i="150"/>
  <c r="AA178" i="150"/>
  <c r="AY177" i="150"/>
  <c r="R178" i="150"/>
  <c r="AP177" i="150"/>
  <c r="X178" i="150"/>
  <c r="AV177" i="150"/>
  <c r="U178" i="150"/>
  <c r="AS177" i="150"/>
  <c r="Q179" i="150"/>
  <c r="AO178" i="150"/>
  <c r="S178" i="150"/>
  <c r="AQ177" i="150"/>
  <c r="W178" i="150"/>
  <c r="AU177" i="150"/>
  <c r="V178" i="150"/>
  <c r="AT177" i="150"/>
  <c r="Z177" i="150"/>
  <c r="AX176" i="150"/>
  <c r="F137" i="65"/>
  <c r="D138" i="65"/>
  <c r="E137" i="65"/>
  <c r="G138" i="65"/>
  <c r="D137" i="65"/>
  <c r="F147" i="65"/>
  <c r="F146" i="65"/>
  <c r="F144" i="65"/>
  <c r="E144" i="65"/>
  <c r="G142" i="65"/>
  <c r="G140" i="65"/>
  <c r="D136" i="65"/>
  <c r="G136" i="65"/>
  <c r="F136" i="65"/>
  <c r="F138" i="65"/>
  <c r="F131" i="65"/>
  <c r="F143" i="65" s="1"/>
  <c r="F130" i="65"/>
  <c r="F142" i="65" s="1"/>
  <c r="F128" i="65"/>
  <c r="F140" i="65" s="1"/>
  <c r="F127" i="65"/>
  <c r="F139" i="65" s="1"/>
  <c r="G134" i="65"/>
  <c r="G146" i="65" s="1"/>
  <c r="G132" i="65"/>
  <c r="G144" i="65" s="1"/>
  <c r="H131" i="65"/>
  <c r="E135" i="65"/>
  <c r="E147" i="65" s="1"/>
  <c r="E131" i="65"/>
  <c r="E143" i="65" s="1"/>
  <c r="E127" i="65"/>
  <c r="E139" i="65" s="1"/>
  <c r="D135" i="65"/>
  <c r="D147" i="65" s="1"/>
  <c r="D131" i="65"/>
  <c r="D143" i="65" s="1"/>
  <c r="D127" i="65"/>
  <c r="D139" i="65" s="1"/>
  <c r="E134" i="65"/>
  <c r="E146" i="65" s="1"/>
  <c r="E130" i="65"/>
  <c r="E142" i="65" s="1"/>
  <c r="D134" i="65"/>
  <c r="D146" i="65" s="1"/>
  <c r="D130" i="65"/>
  <c r="D142" i="65" s="1"/>
  <c r="G133" i="65"/>
  <c r="G145" i="65" s="1"/>
  <c r="G129" i="65"/>
  <c r="G141" i="65" s="1"/>
  <c r="F133" i="65"/>
  <c r="F145" i="65" s="1"/>
  <c r="F129" i="65"/>
  <c r="F141" i="65" s="1"/>
  <c r="E133" i="65"/>
  <c r="E145" i="65" s="1"/>
  <c r="E129" i="65"/>
  <c r="E141" i="65" s="1"/>
  <c r="D133" i="65"/>
  <c r="D145" i="65" s="1"/>
  <c r="D129" i="65"/>
  <c r="D141" i="65" s="1"/>
  <c r="E126" i="65"/>
  <c r="E138" i="65" s="1"/>
  <c r="D132" i="65"/>
  <c r="D144" i="65" s="1"/>
  <c r="D128" i="65"/>
  <c r="D140" i="65" s="1"/>
  <c r="G135" i="65"/>
  <c r="G147" i="65" s="1"/>
  <c r="G131" i="65"/>
  <c r="G143" i="65" s="1"/>
  <c r="G127" i="65"/>
  <c r="G139" i="65" s="1"/>
  <c r="G129" i="34"/>
  <c r="I129" i="76"/>
  <c r="P129" i="76" s="1"/>
  <c r="H143" i="65"/>
  <c r="I118" i="65"/>
  <c r="H118" i="65"/>
  <c r="I117" i="65"/>
  <c r="H117" i="65"/>
  <c r="H129" i="65" s="1"/>
  <c r="H112" i="65"/>
  <c r="H124" i="65" s="1"/>
  <c r="I116" i="65"/>
  <c r="I128" i="65" s="1"/>
  <c r="I140" i="65" s="1"/>
  <c r="I112" i="65"/>
  <c r="I124" i="65" s="1"/>
  <c r="I136" i="65" s="1"/>
  <c r="H116" i="65"/>
  <c r="H128" i="65" s="1"/>
  <c r="I123" i="65"/>
  <c r="I135" i="65" s="1"/>
  <c r="I147" i="65" s="1"/>
  <c r="I115" i="65"/>
  <c r="I127" i="65" s="1"/>
  <c r="I139" i="65" s="1"/>
  <c r="H123" i="65"/>
  <c r="H135" i="65" s="1"/>
  <c r="H115" i="65"/>
  <c r="H127" i="65" s="1"/>
  <c r="I122" i="65"/>
  <c r="I134" i="65" s="1"/>
  <c r="I146" i="65" s="1"/>
  <c r="I114" i="65"/>
  <c r="I126" i="65" s="1"/>
  <c r="I138" i="65" s="1"/>
  <c r="H122" i="65"/>
  <c r="H134" i="65" s="1"/>
  <c r="H114" i="65"/>
  <c r="H126" i="65" s="1"/>
  <c r="I121" i="65"/>
  <c r="I133" i="65" s="1"/>
  <c r="I145" i="65" s="1"/>
  <c r="I113" i="65"/>
  <c r="I125" i="65" s="1"/>
  <c r="I137" i="65" s="1"/>
  <c r="H121" i="65"/>
  <c r="H133" i="65" s="1"/>
  <c r="H113" i="65"/>
  <c r="I120" i="65"/>
  <c r="I132" i="65" s="1"/>
  <c r="I144" i="65" s="1"/>
  <c r="H120" i="65"/>
  <c r="H132" i="65" s="1"/>
  <c r="I119" i="65"/>
  <c r="AD110" i="67"/>
  <c r="AD118" i="67"/>
  <c r="AE114" i="67"/>
  <c r="AE66" i="149" s="1"/>
  <c r="AE110" i="67"/>
  <c r="AE62" i="149" s="1"/>
  <c r="AE105" i="67"/>
  <c r="AE57" i="149" s="1"/>
  <c r="AD99" i="67"/>
  <c r="AE112" i="67"/>
  <c r="AE64" i="149" s="1"/>
  <c r="AD112" i="67"/>
  <c r="AD117" i="67"/>
  <c r="AD115" i="67"/>
  <c r="R10" i="72"/>
  <c r="P10" i="72"/>
  <c r="T10" i="72"/>
  <c r="F60" i="72" s="1"/>
  <c r="U10" i="72"/>
  <c r="G60" i="72" s="1"/>
  <c r="S10" i="72"/>
  <c r="V10" i="72"/>
  <c r="H60" i="72" s="1"/>
  <c r="J61" i="72"/>
  <c r="O79" i="72" s="1"/>
  <c r="J59" i="72"/>
  <c r="O77" i="72" s="1"/>
  <c r="P77" i="72"/>
  <c r="Q80" i="72"/>
  <c r="Q79" i="72"/>
  <c r="P79" i="72"/>
  <c r="O80" i="72"/>
  <c r="U80" i="72" s="1"/>
  <c r="AG18" i="72"/>
  <c r="F4" i="72"/>
  <c r="AH18" i="72"/>
  <c r="AK18" i="72"/>
  <c r="AL18" i="72"/>
  <c r="AD51" i="149" l="1"/>
  <c r="I99" i="76"/>
  <c r="G99" i="30"/>
  <c r="G99" i="34"/>
  <c r="S179" i="150"/>
  <c r="AQ178" i="150"/>
  <c r="Q180" i="150"/>
  <c r="AO179" i="150"/>
  <c r="U179" i="150"/>
  <c r="AS178" i="150"/>
  <c r="X179" i="150"/>
  <c r="AV178" i="150"/>
  <c r="R179" i="150"/>
  <c r="AP178" i="150"/>
  <c r="AA179" i="150"/>
  <c r="AY178" i="150"/>
  <c r="T179" i="150"/>
  <c r="AR178" i="150"/>
  <c r="Z178" i="150"/>
  <c r="AX177" i="150"/>
  <c r="V179" i="150"/>
  <c r="AT178" i="150"/>
  <c r="W179" i="150"/>
  <c r="AU178" i="150"/>
  <c r="Y179" i="150"/>
  <c r="AW178" i="150"/>
  <c r="AD62" i="149"/>
  <c r="G110" i="34"/>
  <c r="G110" i="30"/>
  <c r="I110" i="76"/>
  <c r="I122" i="76"/>
  <c r="P122" i="76" s="1"/>
  <c r="G122" i="34"/>
  <c r="H136" i="65"/>
  <c r="AD70" i="149"/>
  <c r="I118" i="76"/>
  <c r="G118" i="34"/>
  <c r="G118" i="30"/>
  <c r="I129" i="65"/>
  <c r="I141" i="65" s="1"/>
  <c r="AE115" i="67"/>
  <c r="AE67" i="149" s="1"/>
  <c r="G126" i="34"/>
  <c r="I126" i="76"/>
  <c r="P126" i="76" s="1"/>
  <c r="H140" i="65"/>
  <c r="AD67" i="149"/>
  <c r="I115" i="76"/>
  <c r="G115" i="30"/>
  <c r="G115" i="34"/>
  <c r="AD113" i="67"/>
  <c r="G125" i="34"/>
  <c r="I125" i="76"/>
  <c r="P125" i="76" s="1"/>
  <c r="H139" i="65"/>
  <c r="G133" i="34"/>
  <c r="I133" i="76"/>
  <c r="P133" i="76" s="1"/>
  <c r="H147" i="65"/>
  <c r="I131" i="65"/>
  <c r="I143" i="65" s="1"/>
  <c r="AE117" i="67"/>
  <c r="AE69" i="149" s="1"/>
  <c r="AE113" i="67"/>
  <c r="AE65" i="149" s="1"/>
  <c r="G130" i="34"/>
  <c r="I130" i="76"/>
  <c r="P130" i="76" s="1"/>
  <c r="H144" i="65"/>
  <c r="AD69" i="149"/>
  <c r="G117" i="34"/>
  <c r="G117" i="30"/>
  <c r="I117" i="76"/>
  <c r="H125" i="65"/>
  <c r="AD111" i="67"/>
  <c r="G127" i="34"/>
  <c r="I127" i="76"/>
  <c r="P127" i="76" s="1"/>
  <c r="H141" i="65"/>
  <c r="G131" i="34"/>
  <c r="I131" i="76"/>
  <c r="P131" i="76" s="1"/>
  <c r="H145" i="65"/>
  <c r="AE118" i="67"/>
  <c r="AE70" i="149" s="1"/>
  <c r="AD116" i="67"/>
  <c r="H130" i="65"/>
  <c r="AE111" i="67"/>
  <c r="AE63" i="149" s="1"/>
  <c r="I130" i="65"/>
  <c r="I142" i="65" s="1"/>
  <c r="AE116" i="67"/>
  <c r="AE68" i="149" s="1"/>
  <c r="AD64" i="149"/>
  <c r="I112" i="76"/>
  <c r="G112" i="34"/>
  <c r="G112" i="30"/>
  <c r="G124" i="34"/>
  <c r="I124" i="76"/>
  <c r="P124" i="76" s="1"/>
  <c r="H138" i="65"/>
  <c r="G141" i="34"/>
  <c r="I141" i="76"/>
  <c r="G132" i="34"/>
  <c r="I132" i="76"/>
  <c r="P132" i="76" s="1"/>
  <c r="H146" i="65"/>
  <c r="AD114" i="67"/>
  <c r="J60" i="72"/>
  <c r="P78" i="72" s="1"/>
  <c r="Q78" i="72"/>
  <c r="O78" i="72"/>
  <c r="U78" i="72" s="1"/>
  <c r="Q77" i="72"/>
  <c r="U77" i="72" s="1"/>
  <c r="U79" i="72"/>
  <c r="Q181" i="150" l="1"/>
  <c r="AO180" i="150"/>
  <c r="U180" i="150"/>
  <c r="AS179" i="150"/>
  <c r="W180" i="150"/>
  <c r="AU179" i="150"/>
  <c r="Z179" i="150"/>
  <c r="AX178" i="150"/>
  <c r="T180" i="150"/>
  <c r="AR179" i="150"/>
  <c r="AA180" i="150"/>
  <c r="AY179" i="150"/>
  <c r="R180" i="150"/>
  <c r="AP179" i="150"/>
  <c r="X180" i="150"/>
  <c r="AV179" i="150"/>
  <c r="Y180" i="150"/>
  <c r="AW179" i="150"/>
  <c r="V180" i="150"/>
  <c r="AT179" i="150"/>
  <c r="S180" i="150"/>
  <c r="AQ179" i="150"/>
  <c r="AD66" i="149"/>
  <c r="G114" i="30"/>
  <c r="I114" i="76"/>
  <c r="G114" i="34"/>
  <c r="G128" i="34"/>
  <c r="I128" i="76"/>
  <c r="P128" i="76" s="1"/>
  <c r="H142" i="65"/>
  <c r="I138" i="76"/>
  <c r="G138" i="34"/>
  <c r="G144" i="34"/>
  <c r="I144" i="76"/>
  <c r="G139" i="34"/>
  <c r="I139" i="76"/>
  <c r="G136" i="34"/>
  <c r="I136" i="76"/>
  <c r="G134" i="34"/>
  <c r="I134" i="76"/>
  <c r="G145" i="34"/>
  <c r="I145" i="76"/>
  <c r="G123" i="34"/>
  <c r="I123" i="76"/>
  <c r="P123" i="76" s="1"/>
  <c r="H137" i="65"/>
  <c r="AD68" i="149"/>
  <c r="G116" i="34"/>
  <c r="G116" i="30"/>
  <c r="I116" i="76"/>
  <c r="G143" i="34"/>
  <c r="I143" i="76"/>
  <c r="G137" i="34"/>
  <c r="I137" i="76"/>
  <c r="AD63" i="149"/>
  <c r="G111" i="34"/>
  <c r="G111" i="30"/>
  <c r="I111" i="76"/>
  <c r="AD65" i="149"/>
  <c r="G113" i="30"/>
  <c r="I113" i="76"/>
  <c r="G113" i="34"/>
  <c r="G142" i="34"/>
  <c r="I142" i="76"/>
  <c r="B100" i="65"/>
  <c r="B101" i="65"/>
  <c r="B102" i="65"/>
  <c r="B103" i="65"/>
  <c r="B104" i="65"/>
  <c r="B105" i="65"/>
  <c r="B106" i="65"/>
  <c r="B107" i="65"/>
  <c r="B108" i="65"/>
  <c r="B109" i="65"/>
  <c r="B110" i="65"/>
  <c r="B111" i="65"/>
  <c r="B112" i="65"/>
  <c r="B113" i="65"/>
  <c r="B114" i="65"/>
  <c r="B115" i="65"/>
  <c r="B116" i="65"/>
  <c r="B117" i="65"/>
  <c r="B118" i="65"/>
  <c r="B119" i="65"/>
  <c r="B120" i="65"/>
  <c r="B121" i="65"/>
  <c r="B122" i="65"/>
  <c r="B123" i="65"/>
  <c r="B136" i="65"/>
  <c r="B137" i="65"/>
  <c r="B138" i="65"/>
  <c r="B139" i="65"/>
  <c r="B140" i="65"/>
  <c r="B141" i="65"/>
  <c r="B142" i="65"/>
  <c r="B143" i="65"/>
  <c r="B144" i="65"/>
  <c r="B145" i="65"/>
  <c r="B146" i="65"/>
  <c r="B147" i="65"/>
  <c r="X181" i="150" l="1"/>
  <c r="AV180" i="150"/>
  <c r="R181" i="150"/>
  <c r="AP180" i="150"/>
  <c r="Z180" i="150"/>
  <c r="AX179" i="150"/>
  <c r="S181" i="150"/>
  <c r="AQ180" i="150"/>
  <c r="V181" i="150"/>
  <c r="AT180" i="150"/>
  <c r="U181" i="150"/>
  <c r="AS180" i="150"/>
  <c r="T181" i="150"/>
  <c r="AR180" i="150"/>
  <c r="AA181" i="150"/>
  <c r="AY180" i="150"/>
  <c r="W181" i="150"/>
  <c r="AU180" i="150"/>
  <c r="Y181" i="150"/>
  <c r="AW180" i="150"/>
  <c r="Q182" i="150"/>
  <c r="AO181" i="150"/>
  <c r="G140" i="34"/>
  <c r="I140" i="76"/>
  <c r="G135" i="34"/>
  <c r="I135" i="76"/>
  <c r="J42" i="70"/>
  <c r="J46" i="70"/>
  <c r="U9" i="70"/>
  <c r="W9" i="70"/>
  <c r="U10" i="70"/>
  <c r="W10" i="70"/>
  <c r="U11" i="70"/>
  <c r="W11" i="70"/>
  <c r="U12" i="70"/>
  <c r="W12" i="70"/>
  <c r="U13" i="70"/>
  <c r="W13" i="70"/>
  <c r="U14" i="70"/>
  <c r="W14" i="70"/>
  <c r="D26" i="72"/>
  <c r="E26" i="72"/>
  <c r="F26" i="72"/>
  <c r="G26" i="72"/>
  <c r="C26" i="72"/>
  <c r="G24" i="72"/>
  <c r="D25" i="72"/>
  <c r="E25" i="72"/>
  <c r="F25" i="72"/>
  <c r="G25" i="72"/>
  <c r="C25" i="72"/>
  <c r="E41" i="72"/>
  <c r="K16" i="72" s="1"/>
  <c r="E92" i="72"/>
  <c r="F92" i="72"/>
  <c r="D92" i="72"/>
  <c r="G92" i="72"/>
  <c r="G88" i="72"/>
  <c r="G31" i="72" s="1"/>
  <c r="F88" i="72"/>
  <c r="F31" i="72" s="1"/>
  <c r="E88" i="72"/>
  <c r="E31" i="72" s="1"/>
  <c r="F84" i="72"/>
  <c r="F30" i="72" s="1"/>
  <c r="F80" i="72"/>
  <c r="F29" i="72" s="1"/>
  <c r="G80" i="72"/>
  <c r="G29" i="72" s="1"/>
  <c r="H79" i="72"/>
  <c r="H82" i="72"/>
  <c r="H87" i="72"/>
  <c r="H78" i="72"/>
  <c r="H80" i="72" s="1"/>
  <c r="I29" i="72" s="1"/>
  <c r="E80" i="72"/>
  <c r="E29" i="72" s="1"/>
  <c r="D84" i="72"/>
  <c r="D30" i="72" s="1"/>
  <c r="E84" i="72"/>
  <c r="E30" i="72" s="1"/>
  <c r="H83" i="72"/>
  <c r="H84" i="72" s="1"/>
  <c r="G84" i="72"/>
  <c r="G30" i="72" s="1"/>
  <c r="D88" i="72"/>
  <c r="D31" i="72" s="1"/>
  <c r="C84" i="72"/>
  <c r="C30" i="72" s="1"/>
  <c r="C88" i="72"/>
  <c r="C31" i="72" s="1"/>
  <c r="C80" i="72"/>
  <c r="C29" i="72" s="1"/>
  <c r="F76" i="72"/>
  <c r="E76" i="72" s="1"/>
  <c r="D76" i="72" s="1"/>
  <c r="C76" i="72" s="1"/>
  <c r="C24" i="72" s="1"/>
  <c r="V182" i="150" l="1"/>
  <c r="AT181" i="150"/>
  <c r="Z181" i="150"/>
  <c r="AX180" i="150"/>
  <c r="Y182" i="150"/>
  <c r="AW181" i="150"/>
  <c r="R182" i="150"/>
  <c r="AP181" i="150"/>
  <c r="AA182" i="150"/>
  <c r="AY181" i="150"/>
  <c r="U182" i="150"/>
  <c r="AS181" i="150"/>
  <c r="S182" i="150"/>
  <c r="AQ181" i="150"/>
  <c r="Q183" i="150"/>
  <c r="AO182" i="150"/>
  <c r="T182" i="150"/>
  <c r="AR181" i="150"/>
  <c r="W182" i="150"/>
  <c r="AU181" i="150"/>
  <c r="X182" i="150"/>
  <c r="AV181" i="150"/>
  <c r="P9" i="72"/>
  <c r="Q9" i="72"/>
  <c r="F24" i="72"/>
  <c r="D24" i="72"/>
  <c r="I30" i="72"/>
  <c r="E24" i="72"/>
  <c r="D80" i="72"/>
  <c r="D29" i="72" s="1"/>
  <c r="H86" i="72"/>
  <c r="H88" i="72" s="1"/>
  <c r="C92" i="72"/>
  <c r="H90" i="72"/>
  <c r="H91" i="72"/>
  <c r="U183" i="150" l="1"/>
  <c r="AS182" i="150"/>
  <c r="AA183" i="150"/>
  <c r="AY182" i="150"/>
  <c r="R183" i="150"/>
  <c r="AP182" i="150"/>
  <c r="X183" i="150"/>
  <c r="AV182" i="150"/>
  <c r="Q184" i="150"/>
  <c r="AO183" i="150"/>
  <c r="S183" i="150"/>
  <c r="AQ182" i="150"/>
  <c r="Y183" i="150"/>
  <c r="AW182" i="150"/>
  <c r="W183" i="150"/>
  <c r="AU182" i="150"/>
  <c r="Z182" i="150"/>
  <c r="AX181" i="150"/>
  <c r="T183" i="150"/>
  <c r="AR182" i="150"/>
  <c r="V183" i="150"/>
  <c r="AT182" i="150"/>
  <c r="Q27" i="72"/>
  <c r="R27" i="72"/>
  <c r="P27" i="72"/>
  <c r="S27" i="72"/>
  <c r="T27" i="72"/>
  <c r="V27" i="72"/>
  <c r="U27" i="72"/>
  <c r="K4" i="72"/>
  <c r="I31" i="72"/>
  <c r="K5" i="72"/>
  <c r="H92" i="72"/>
  <c r="W184" i="150" l="1"/>
  <c r="AU183" i="150"/>
  <c r="Q185" i="150"/>
  <c r="AO184" i="150"/>
  <c r="X184" i="150"/>
  <c r="AV183" i="150"/>
  <c r="V184" i="150"/>
  <c r="AT183" i="150"/>
  <c r="Y184" i="150"/>
  <c r="AW183" i="150"/>
  <c r="S184" i="150"/>
  <c r="AQ183" i="150"/>
  <c r="R184" i="150"/>
  <c r="AP183" i="150"/>
  <c r="T184" i="150"/>
  <c r="AR183" i="150"/>
  <c r="AA184" i="150"/>
  <c r="AY183" i="150"/>
  <c r="Z183" i="150"/>
  <c r="AX182" i="150"/>
  <c r="U184" i="150"/>
  <c r="AS183" i="150"/>
  <c r="O28" i="148"/>
  <c r="P28" i="148"/>
  <c r="O29" i="148"/>
  <c r="P29" i="148"/>
  <c r="O30" i="148"/>
  <c r="P30" i="148"/>
  <c r="C59" i="148"/>
  <c r="D59" i="148"/>
  <c r="E59" i="148"/>
  <c r="D53" i="148"/>
  <c r="E53" i="148"/>
  <c r="D54" i="148"/>
  <c r="E54" i="148"/>
  <c r="D55" i="148"/>
  <c r="E55" i="148"/>
  <c r="D56" i="148"/>
  <c r="E56" i="148"/>
  <c r="D57" i="148"/>
  <c r="E57" i="148"/>
  <c r="D58" i="148"/>
  <c r="E58" i="148"/>
  <c r="C58" i="148"/>
  <c r="C54" i="148"/>
  <c r="C55" i="148"/>
  <c r="C56" i="148"/>
  <c r="C57" i="148"/>
  <c r="C53" i="148"/>
  <c r="J7" i="148"/>
  <c r="J8" i="148" s="1"/>
  <c r="J9" i="148" s="1"/>
  <c r="J10" i="148" s="1"/>
  <c r="J11" i="148" s="1"/>
  <c r="J12" i="148" s="1"/>
  <c r="J13" i="148" s="1"/>
  <c r="J14" i="148" s="1"/>
  <c r="J15" i="148" s="1"/>
  <c r="J16" i="148" s="1"/>
  <c r="J17" i="148" s="1"/>
  <c r="J48" i="148" s="1"/>
  <c r="AP28" i="67"/>
  <c r="AQ28" i="67"/>
  <c r="AR28" i="67"/>
  <c r="AS28" i="67"/>
  <c r="AT28" i="67"/>
  <c r="AU28" i="67"/>
  <c r="AV28" i="67"/>
  <c r="AW28" i="67"/>
  <c r="AX28" i="67"/>
  <c r="AY28" i="67"/>
  <c r="AZ28" i="67"/>
  <c r="BA28" i="67"/>
  <c r="BB28" i="67"/>
  <c r="BC28" i="67"/>
  <c r="BD28" i="67"/>
  <c r="AP29" i="67"/>
  <c r="AQ29" i="67"/>
  <c r="AR29" i="67"/>
  <c r="AS29" i="67"/>
  <c r="AT29" i="67"/>
  <c r="CR29" i="67" s="1"/>
  <c r="AU29" i="67"/>
  <c r="AV29" i="67"/>
  <c r="AW29" i="67"/>
  <c r="AX29" i="67"/>
  <c r="AY29" i="67"/>
  <c r="AZ29" i="67"/>
  <c r="BA29" i="67"/>
  <c r="BB29" i="67"/>
  <c r="BC29" i="67"/>
  <c r="BD29" i="67"/>
  <c r="AP30" i="67"/>
  <c r="AQ30" i="67"/>
  <c r="AR30" i="67"/>
  <c r="CP30" i="67" s="1"/>
  <c r="AS30" i="67"/>
  <c r="AT30" i="67"/>
  <c r="CR30" i="67" s="1"/>
  <c r="AU30" i="67"/>
  <c r="CS30" i="67" s="1"/>
  <c r="AV30" i="67"/>
  <c r="CT30" i="67" s="1"/>
  <c r="AW30" i="67"/>
  <c r="AX30" i="67"/>
  <c r="CV30" i="67" s="1"/>
  <c r="AY30" i="67"/>
  <c r="AZ30" i="67"/>
  <c r="BA30" i="67"/>
  <c r="BB30" i="67"/>
  <c r="BC30" i="67"/>
  <c r="BD30" i="67"/>
  <c r="AP31" i="67"/>
  <c r="AQ31" i="67"/>
  <c r="AR31" i="67"/>
  <c r="AS31" i="67"/>
  <c r="AT31" i="67"/>
  <c r="AU31" i="67"/>
  <c r="AV31" i="67"/>
  <c r="AW31" i="67"/>
  <c r="AX31" i="67"/>
  <c r="AY31" i="67"/>
  <c r="CW31" i="67" s="1"/>
  <c r="AZ31" i="67"/>
  <c r="BA31" i="67"/>
  <c r="CY31" i="67" s="1"/>
  <c r="BB31" i="67"/>
  <c r="BC31" i="67"/>
  <c r="DA31" i="67" s="1"/>
  <c r="BD31" i="67"/>
  <c r="AP32" i="67"/>
  <c r="AQ32" i="67"/>
  <c r="AR32" i="67"/>
  <c r="AS32" i="67"/>
  <c r="AT32" i="67"/>
  <c r="CR32" i="67" s="1"/>
  <c r="AU32" i="67"/>
  <c r="AV32" i="67"/>
  <c r="CT32" i="67" s="1"/>
  <c r="AW32" i="67"/>
  <c r="CU32" i="67" s="1"/>
  <c r="AX32" i="67"/>
  <c r="CV32" i="67" s="1"/>
  <c r="AY32" i="67"/>
  <c r="AZ32" i="67"/>
  <c r="BA32" i="67"/>
  <c r="BB32" i="67"/>
  <c r="BC32" i="67"/>
  <c r="BD32" i="67"/>
  <c r="AP33" i="67"/>
  <c r="AQ33" i="67"/>
  <c r="AR33" i="67"/>
  <c r="CP33" i="67" s="1"/>
  <c r="AS33" i="67"/>
  <c r="AT33" i="67"/>
  <c r="AU33" i="67"/>
  <c r="AV33" i="67"/>
  <c r="AW33" i="67"/>
  <c r="AX33" i="67"/>
  <c r="CV33" i="67" s="1"/>
  <c r="AY33" i="67"/>
  <c r="CW33" i="67" s="1"/>
  <c r="AZ33" i="67"/>
  <c r="BA33" i="67"/>
  <c r="CY33" i="67" s="1"/>
  <c r="BB33" i="67"/>
  <c r="BC33" i="67"/>
  <c r="DA33" i="67" s="1"/>
  <c r="BD33" i="67"/>
  <c r="DB33" i="67" s="1"/>
  <c r="AP34" i="67"/>
  <c r="AQ34" i="67"/>
  <c r="AR34" i="67"/>
  <c r="AS34" i="67"/>
  <c r="AT34" i="67"/>
  <c r="AU34" i="67"/>
  <c r="AV34" i="67"/>
  <c r="AW34" i="67"/>
  <c r="AX34" i="67"/>
  <c r="CV34" i="67" s="1"/>
  <c r="AY34" i="67"/>
  <c r="CW34" i="67" s="1"/>
  <c r="AZ34" i="67"/>
  <c r="BA34" i="67"/>
  <c r="BB34" i="67"/>
  <c r="BC34" i="67"/>
  <c r="DA34" i="67" s="1"/>
  <c r="BD34" i="67"/>
  <c r="DB34" i="67" s="1"/>
  <c r="AP35" i="67"/>
  <c r="AQ35" i="67"/>
  <c r="AR35" i="67"/>
  <c r="AS35" i="67"/>
  <c r="AT35" i="67"/>
  <c r="CR35" i="67" s="1"/>
  <c r="AU35" i="67"/>
  <c r="CS35" i="67" s="1"/>
  <c r="AV35" i="67"/>
  <c r="CT35" i="67" s="1"/>
  <c r="AW35" i="67"/>
  <c r="AX35" i="67"/>
  <c r="AY35" i="67"/>
  <c r="AZ35" i="67"/>
  <c r="BA35" i="67"/>
  <c r="BB35" i="67"/>
  <c r="BC35" i="67"/>
  <c r="DA35" i="67" s="1"/>
  <c r="BD35" i="67"/>
  <c r="DB35" i="67" s="1"/>
  <c r="AP36" i="67"/>
  <c r="AQ36" i="67"/>
  <c r="AR36" i="67"/>
  <c r="AS36" i="67"/>
  <c r="AT36" i="67"/>
  <c r="AU36" i="67"/>
  <c r="AV36" i="67"/>
  <c r="CT36" i="67" s="1"/>
  <c r="AW36" i="67"/>
  <c r="CU36" i="67" s="1"/>
  <c r="AX36" i="67"/>
  <c r="CV36" i="67" s="1"/>
  <c r="AY36" i="67"/>
  <c r="AZ36" i="67"/>
  <c r="BA36" i="67"/>
  <c r="CY36" i="67" s="1"/>
  <c r="BB36" i="67"/>
  <c r="BC36" i="67"/>
  <c r="BD36" i="67"/>
  <c r="AP37" i="67"/>
  <c r="AQ37" i="67"/>
  <c r="AR37" i="67"/>
  <c r="AS37" i="67"/>
  <c r="AT37" i="67"/>
  <c r="AU37" i="67"/>
  <c r="AV37" i="67"/>
  <c r="CT37" i="67" s="1"/>
  <c r="AW37" i="67"/>
  <c r="AX37" i="67"/>
  <c r="AY37" i="67"/>
  <c r="CW37" i="67" s="1"/>
  <c r="AZ37" i="67"/>
  <c r="BA37" i="67"/>
  <c r="CY37" i="67" s="1"/>
  <c r="BB37" i="67"/>
  <c r="BC37" i="67"/>
  <c r="DA37" i="67" s="1"/>
  <c r="BD37" i="67"/>
  <c r="AP38" i="67"/>
  <c r="AQ38" i="67"/>
  <c r="AR38" i="67"/>
  <c r="CP38" i="67" s="1"/>
  <c r="AS38" i="67"/>
  <c r="AT38" i="67"/>
  <c r="AU38" i="67"/>
  <c r="AV38" i="67"/>
  <c r="AW38" i="67"/>
  <c r="AX38" i="67"/>
  <c r="AY38" i="67"/>
  <c r="AZ38" i="67"/>
  <c r="BA38" i="67"/>
  <c r="BB38" i="67"/>
  <c r="BC38" i="67"/>
  <c r="BD38" i="67"/>
  <c r="DB38" i="67" s="1"/>
  <c r="AP39" i="67"/>
  <c r="AQ39" i="67"/>
  <c r="AR39" i="67"/>
  <c r="AS39" i="67"/>
  <c r="AT39" i="67"/>
  <c r="CR39" i="67" s="1"/>
  <c r="AU39" i="67"/>
  <c r="AV39" i="67"/>
  <c r="AW39" i="67"/>
  <c r="CU39" i="67" s="1"/>
  <c r="AX39" i="67"/>
  <c r="CV39" i="67" s="1"/>
  <c r="AY39" i="67"/>
  <c r="CW39" i="67" s="1"/>
  <c r="AZ39" i="67"/>
  <c r="BA39" i="67"/>
  <c r="BB39" i="67"/>
  <c r="BC39" i="67"/>
  <c r="BD39" i="67"/>
  <c r="AP40" i="67"/>
  <c r="AQ40" i="67"/>
  <c r="AR40" i="67"/>
  <c r="AS40" i="67"/>
  <c r="AT40" i="67"/>
  <c r="CR40" i="67" s="1"/>
  <c r="AU40" i="67"/>
  <c r="AV40" i="67"/>
  <c r="AW40" i="67"/>
  <c r="AX40" i="67"/>
  <c r="AY40" i="67"/>
  <c r="AZ40" i="67"/>
  <c r="BA40" i="67"/>
  <c r="CY40" i="67" s="1"/>
  <c r="BB40" i="67"/>
  <c r="BC40" i="67"/>
  <c r="DA40" i="67" s="1"/>
  <c r="BD40" i="67"/>
  <c r="DB40" i="67" s="1"/>
  <c r="AP41" i="67"/>
  <c r="AQ41" i="67"/>
  <c r="AR41" i="67"/>
  <c r="AS41" i="67"/>
  <c r="AT41" i="67"/>
  <c r="AU41" i="67"/>
  <c r="AV41" i="67"/>
  <c r="AW41" i="67"/>
  <c r="AX41" i="67"/>
  <c r="AY41" i="67"/>
  <c r="AZ41" i="67"/>
  <c r="BA41" i="67"/>
  <c r="CY41" i="67" s="1"/>
  <c r="BB41" i="67"/>
  <c r="BC41" i="67"/>
  <c r="DA41" i="67" s="1"/>
  <c r="BD41" i="67"/>
  <c r="AP42" i="67"/>
  <c r="AQ42" i="67"/>
  <c r="AR42" i="67"/>
  <c r="CP42" i="67" s="1"/>
  <c r="AS42" i="67"/>
  <c r="AT42" i="67"/>
  <c r="CR42" i="67" s="1"/>
  <c r="AU42" i="67"/>
  <c r="CS42" i="67" s="1"/>
  <c r="AV42" i="67"/>
  <c r="AW42" i="67"/>
  <c r="AX42" i="67"/>
  <c r="AY42" i="67"/>
  <c r="AZ42" i="67"/>
  <c r="BA42" i="67"/>
  <c r="CY42" i="67" s="1"/>
  <c r="BB42" i="67"/>
  <c r="BC42" i="67"/>
  <c r="BD42" i="67"/>
  <c r="DB42" i="67" s="1"/>
  <c r="AP43" i="67"/>
  <c r="AQ43" i="67"/>
  <c r="AR43" i="67"/>
  <c r="CP43" i="67" s="1"/>
  <c r="AS43" i="67"/>
  <c r="AT43" i="67"/>
  <c r="CR43" i="67" s="1"/>
  <c r="AU43" i="67"/>
  <c r="CS43" i="67" s="1"/>
  <c r="AV43" i="67"/>
  <c r="CT43" i="67" s="1"/>
  <c r="AW43" i="67"/>
  <c r="CU43" i="67" s="1"/>
  <c r="AX43" i="67"/>
  <c r="CV43" i="67" s="1"/>
  <c r="AY43" i="67"/>
  <c r="AZ43" i="67"/>
  <c r="BA43" i="67"/>
  <c r="BB43" i="67"/>
  <c r="BC43" i="67"/>
  <c r="BD43" i="67"/>
  <c r="DB43" i="67" s="1"/>
  <c r="AP44" i="67"/>
  <c r="AQ44" i="67"/>
  <c r="AR44" i="67"/>
  <c r="CP44" i="67" s="1"/>
  <c r="AS44" i="67"/>
  <c r="AT44" i="67"/>
  <c r="CR44" i="67" s="1"/>
  <c r="AU44" i="67"/>
  <c r="AV44" i="67"/>
  <c r="CT44" i="67" s="1"/>
  <c r="AW44" i="67"/>
  <c r="CU44" i="67" s="1"/>
  <c r="AX44" i="67"/>
  <c r="CV44" i="67" s="1"/>
  <c r="AY44" i="67"/>
  <c r="CW44" i="67" s="1"/>
  <c r="AZ44" i="67"/>
  <c r="BA44" i="67"/>
  <c r="BB44" i="67"/>
  <c r="BC44" i="67"/>
  <c r="BD44" i="67"/>
  <c r="AP45" i="67"/>
  <c r="AQ45" i="67"/>
  <c r="AR45" i="67"/>
  <c r="AS45" i="67"/>
  <c r="AT45" i="67"/>
  <c r="CR45" i="67" s="1"/>
  <c r="AU45" i="67"/>
  <c r="CS45" i="67" s="1"/>
  <c r="AV45" i="67"/>
  <c r="AW45" i="67"/>
  <c r="CU45" i="67" s="1"/>
  <c r="AX45" i="67"/>
  <c r="CV45" i="67" s="1"/>
  <c r="AY45" i="67"/>
  <c r="CW45" i="67" s="1"/>
  <c r="AZ45" i="67"/>
  <c r="BA45" i="67"/>
  <c r="CY45" i="67" s="1"/>
  <c r="BB45" i="67"/>
  <c r="BC45" i="67"/>
  <c r="BD45" i="67"/>
  <c r="DB45" i="67" s="1"/>
  <c r="AP46" i="67"/>
  <c r="AQ46" i="67"/>
  <c r="AR46" i="67"/>
  <c r="AS46" i="67"/>
  <c r="AT46" i="67"/>
  <c r="AU46" i="67"/>
  <c r="AV46" i="67"/>
  <c r="AW46" i="67"/>
  <c r="CU46" i="67" s="1"/>
  <c r="AX46" i="67"/>
  <c r="CV46" i="67" s="1"/>
  <c r="AY46" i="67"/>
  <c r="AZ46" i="67"/>
  <c r="BA46" i="67"/>
  <c r="CY46" i="67" s="1"/>
  <c r="BB46" i="67"/>
  <c r="BC46" i="67"/>
  <c r="BD46" i="67"/>
  <c r="DB46" i="67" s="1"/>
  <c r="AP47" i="67"/>
  <c r="AQ47" i="67"/>
  <c r="AR47" i="67"/>
  <c r="CP47" i="67" s="1"/>
  <c r="AS47" i="67"/>
  <c r="AT47" i="67"/>
  <c r="AU47" i="67"/>
  <c r="AV47" i="67"/>
  <c r="AW47" i="67"/>
  <c r="AX47" i="67"/>
  <c r="AY47" i="67"/>
  <c r="CW47" i="67" s="1"/>
  <c r="AZ47" i="67"/>
  <c r="BA47" i="67"/>
  <c r="CY47" i="67" s="1"/>
  <c r="BB47" i="67"/>
  <c r="BC47" i="67"/>
  <c r="BD47" i="67"/>
  <c r="AP48" i="67"/>
  <c r="AQ48" i="67"/>
  <c r="AR48" i="67"/>
  <c r="CP48" i="67" s="1"/>
  <c r="AS48" i="67"/>
  <c r="AT48" i="67"/>
  <c r="CR48" i="67" s="1"/>
  <c r="AU48" i="67"/>
  <c r="AV48" i="67"/>
  <c r="CT48" i="67" s="1"/>
  <c r="AW48" i="67"/>
  <c r="CU48" i="67" s="1"/>
  <c r="AX48" i="67"/>
  <c r="AY48" i="67"/>
  <c r="AZ48" i="67"/>
  <c r="BA48" i="67"/>
  <c r="BB48" i="67"/>
  <c r="BC48" i="67"/>
  <c r="DA48" i="67" s="1"/>
  <c r="BD48" i="67"/>
  <c r="DB48" i="67" s="1"/>
  <c r="AP49" i="67"/>
  <c r="AQ49" i="67"/>
  <c r="AR49" i="67"/>
  <c r="AS49" i="67"/>
  <c r="AT49" i="67"/>
  <c r="CR49" i="67" s="1"/>
  <c r="AU49" i="67"/>
  <c r="CS49" i="67" s="1"/>
  <c r="AV49" i="67"/>
  <c r="AW49" i="67"/>
  <c r="CU49" i="67" s="1"/>
  <c r="AX49" i="67"/>
  <c r="CV49" i="67" s="1"/>
  <c r="AY49" i="67"/>
  <c r="CW49" i="67" s="1"/>
  <c r="AZ49" i="67"/>
  <c r="BA49" i="67"/>
  <c r="BB49" i="67"/>
  <c r="BC49" i="67"/>
  <c r="BD49" i="67"/>
  <c r="AP50" i="67"/>
  <c r="AP2" i="149" s="1"/>
  <c r="AQ50" i="67"/>
  <c r="AR50" i="67"/>
  <c r="AS50" i="67"/>
  <c r="AT50" i="67"/>
  <c r="AU50" i="67"/>
  <c r="AU2" i="149" s="1"/>
  <c r="AV50" i="67"/>
  <c r="AW50" i="67"/>
  <c r="AW2" i="149" s="1"/>
  <c r="AX50" i="67"/>
  <c r="AY50" i="67"/>
  <c r="AZ50" i="67"/>
  <c r="BA50" i="67"/>
  <c r="BA2" i="149" s="1"/>
  <c r="BB50" i="67"/>
  <c r="BC50" i="67"/>
  <c r="BD50" i="67"/>
  <c r="BD2" i="149" s="1"/>
  <c r="AP51" i="67"/>
  <c r="AP3" i="149" s="1"/>
  <c r="AQ51" i="67"/>
  <c r="AR51" i="67"/>
  <c r="AR3" i="149" s="1"/>
  <c r="AS51" i="67"/>
  <c r="AT51" i="67"/>
  <c r="AU51" i="67"/>
  <c r="AV51" i="67"/>
  <c r="AW51" i="67"/>
  <c r="AX51" i="67"/>
  <c r="AX3" i="149" s="1"/>
  <c r="AY51" i="67"/>
  <c r="AZ51" i="67"/>
  <c r="BA51" i="67"/>
  <c r="BB51" i="67"/>
  <c r="BC51" i="67"/>
  <c r="BD51" i="67"/>
  <c r="AP52" i="67"/>
  <c r="AP4" i="149" s="1"/>
  <c r="AQ52" i="67"/>
  <c r="AR52" i="67"/>
  <c r="AR4" i="149" s="1"/>
  <c r="AS52" i="67"/>
  <c r="AT52" i="67"/>
  <c r="AT4" i="149" s="1"/>
  <c r="AU52" i="67"/>
  <c r="AV52" i="67"/>
  <c r="AV4" i="149" s="1"/>
  <c r="AW52" i="67"/>
  <c r="AX52" i="67"/>
  <c r="AY52" i="67"/>
  <c r="AY4" i="149" s="1"/>
  <c r="AZ52" i="67"/>
  <c r="BA52" i="67"/>
  <c r="BB52" i="67"/>
  <c r="BC52" i="67"/>
  <c r="BC4" i="149" s="1"/>
  <c r="BD52" i="67"/>
  <c r="AP53" i="67"/>
  <c r="AP5" i="149" s="1"/>
  <c r="AQ53" i="67"/>
  <c r="AR53" i="67"/>
  <c r="AS53" i="67"/>
  <c r="AT53" i="67"/>
  <c r="AT5" i="149" s="1"/>
  <c r="AU53" i="67"/>
  <c r="AU5" i="149" s="1"/>
  <c r="AV53" i="67"/>
  <c r="AW53" i="67"/>
  <c r="AW5" i="149" s="1"/>
  <c r="AX53" i="67"/>
  <c r="AX5" i="149" s="1"/>
  <c r="AY53" i="67"/>
  <c r="AY5" i="149" s="1"/>
  <c r="AZ53" i="67"/>
  <c r="BA53" i="67"/>
  <c r="BB53" i="67"/>
  <c r="BC53" i="67"/>
  <c r="BD53" i="67"/>
  <c r="BD5" i="149" s="1"/>
  <c r="AP54" i="67"/>
  <c r="AP6" i="149" s="1"/>
  <c r="AQ54" i="67"/>
  <c r="AR54" i="67"/>
  <c r="AR6" i="149" s="1"/>
  <c r="AS54" i="67"/>
  <c r="AT54" i="67"/>
  <c r="AT6" i="149" s="1"/>
  <c r="AU54" i="67"/>
  <c r="AV54" i="67"/>
  <c r="AV6" i="149" s="1"/>
  <c r="AW54" i="67"/>
  <c r="AX54" i="67"/>
  <c r="AY54" i="67"/>
  <c r="AZ54" i="67"/>
  <c r="BA54" i="67"/>
  <c r="BA6" i="149" s="1"/>
  <c r="BB54" i="67"/>
  <c r="BC54" i="67"/>
  <c r="BD54" i="67"/>
  <c r="AP55" i="67"/>
  <c r="AP7" i="149" s="1"/>
  <c r="AQ55" i="67"/>
  <c r="AR55" i="67"/>
  <c r="AS55" i="67"/>
  <c r="AT55" i="67"/>
  <c r="AU55" i="67"/>
  <c r="AV55" i="67"/>
  <c r="AW55" i="67"/>
  <c r="AW7" i="149" s="1"/>
  <c r="AX55" i="67"/>
  <c r="AY55" i="67"/>
  <c r="AZ55" i="67"/>
  <c r="BA55" i="67"/>
  <c r="BB55" i="67"/>
  <c r="BC55" i="67"/>
  <c r="BC7" i="149" s="1"/>
  <c r="BD55" i="67"/>
  <c r="AP56" i="67"/>
  <c r="AP8" i="149" s="1"/>
  <c r="AQ56" i="67"/>
  <c r="AR56" i="67"/>
  <c r="AS56" i="67"/>
  <c r="AT56" i="67"/>
  <c r="AT8" i="149" s="1"/>
  <c r="AU56" i="67"/>
  <c r="AV56" i="67"/>
  <c r="AV8" i="149" s="1"/>
  <c r="AW56" i="67"/>
  <c r="AW8" i="149" s="1"/>
  <c r="AX56" i="67"/>
  <c r="AX8" i="149" s="1"/>
  <c r="AY56" i="67"/>
  <c r="AZ56" i="67"/>
  <c r="BA56" i="67"/>
  <c r="BB56" i="67"/>
  <c r="BC56" i="67"/>
  <c r="BC8" i="149" s="1"/>
  <c r="BD56" i="67"/>
  <c r="AP57" i="67"/>
  <c r="AP9" i="149" s="1"/>
  <c r="AQ57" i="67"/>
  <c r="AR57" i="67"/>
  <c r="AR9" i="149" s="1"/>
  <c r="AS57" i="67"/>
  <c r="AT57" i="67"/>
  <c r="AT9" i="149" s="1"/>
  <c r="AU57" i="67"/>
  <c r="AU9" i="149" s="1"/>
  <c r="AV57" i="67"/>
  <c r="AW57" i="67"/>
  <c r="AX57" i="67"/>
  <c r="AX9" i="149" s="1"/>
  <c r="AY57" i="67"/>
  <c r="AY9" i="149" s="1"/>
  <c r="AZ57" i="67"/>
  <c r="BA57" i="67"/>
  <c r="BB57" i="67"/>
  <c r="BC57" i="67"/>
  <c r="BD57" i="67"/>
  <c r="BD9" i="149" s="1"/>
  <c r="AP58" i="67"/>
  <c r="AP10" i="149" s="1"/>
  <c r="AQ58" i="67"/>
  <c r="AR58" i="67"/>
  <c r="AS58" i="67"/>
  <c r="AT58" i="67"/>
  <c r="AU58" i="67"/>
  <c r="AV58" i="67"/>
  <c r="AV10" i="149" s="1"/>
  <c r="AW58" i="67"/>
  <c r="AW10" i="149" s="1"/>
  <c r="AX58" i="67"/>
  <c r="AX10" i="149" s="1"/>
  <c r="AY58" i="67"/>
  <c r="AY10" i="149" s="1"/>
  <c r="AZ58" i="67"/>
  <c r="BA58" i="67"/>
  <c r="BB58" i="67"/>
  <c r="BC58" i="67"/>
  <c r="BD58" i="67"/>
  <c r="AP59" i="67"/>
  <c r="AP11" i="149" s="1"/>
  <c r="AQ59" i="67"/>
  <c r="AR59" i="67"/>
  <c r="AS59" i="67"/>
  <c r="AT59" i="67"/>
  <c r="AU59" i="67"/>
  <c r="AV59" i="67"/>
  <c r="AW59" i="67"/>
  <c r="AW11" i="149" s="1"/>
  <c r="AX59" i="67"/>
  <c r="AY59" i="67"/>
  <c r="AY11" i="149" s="1"/>
  <c r="AZ59" i="67"/>
  <c r="BA59" i="67"/>
  <c r="BA11" i="149" s="1"/>
  <c r="BB59" i="67"/>
  <c r="BC59" i="67"/>
  <c r="BD59" i="67"/>
  <c r="AP60" i="67"/>
  <c r="AP12" i="149" s="1"/>
  <c r="AQ60" i="67"/>
  <c r="AR60" i="67"/>
  <c r="AS60" i="67"/>
  <c r="AT60" i="67"/>
  <c r="AU60" i="67"/>
  <c r="AU12" i="149" s="1"/>
  <c r="AV60" i="67"/>
  <c r="AW60" i="67"/>
  <c r="AX60" i="67"/>
  <c r="AX12" i="149" s="1"/>
  <c r="AY60" i="67"/>
  <c r="AZ60" i="67"/>
  <c r="BA60" i="67"/>
  <c r="BA12" i="149" s="1"/>
  <c r="BB60" i="67"/>
  <c r="BC60" i="67"/>
  <c r="BC12" i="149" s="1"/>
  <c r="BD60" i="67"/>
  <c r="BD12" i="149" s="1"/>
  <c r="AP61" i="67"/>
  <c r="AP13" i="149" s="1"/>
  <c r="AQ61" i="67"/>
  <c r="AR61" i="67"/>
  <c r="AR13" i="149" s="1"/>
  <c r="AS61" i="67"/>
  <c r="AT61" i="67"/>
  <c r="AU61" i="67"/>
  <c r="AV61" i="67"/>
  <c r="AW61" i="67"/>
  <c r="AX61" i="67"/>
  <c r="AY61" i="67"/>
  <c r="AY13" i="149" s="1"/>
  <c r="AZ61" i="67"/>
  <c r="BA61" i="67"/>
  <c r="BA13" i="149" s="1"/>
  <c r="BB61" i="67"/>
  <c r="BC61" i="67"/>
  <c r="BC13" i="149" s="1"/>
  <c r="BD61" i="67"/>
  <c r="AP62" i="67"/>
  <c r="AP14" i="149" s="1"/>
  <c r="AQ62" i="67"/>
  <c r="AR62" i="67"/>
  <c r="AR14" i="149" s="1"/>
  <c r="AS62" i="67"/>
  <c r="AT62" i="67"/>
  <c r="AT14" i="149" s="1"/>
  <c r="AU62" i="67"/>
  <c r="AV62" i="67"/>
  <c r="AW62" i="67"/>
  <c r="AW14" i="149" s="1"/>
  <c r="AX62" i="67"/>
  <c r="AY62" i="67"/>
  <c r="AZ62" i="67"/>
  <c r="BA62" i="67"/>
  <c r="BB62" i="67"/>
  <c r="BC62" i="67"/>
  <c r="BD62" i="67"/>
  <c r="BD14" i="149" s="1"/>
  <c r="AP63" i="67"/>
  <c r="AP15" i="149" s="1"/>
  <c r="AQ63" i="67"/>
  <c r="AR63" i="67"/>
  <c r="AS63" i="67"/>
  <c r="AT63" i="67"/>
  <c r="AT15" i="149" s="1"/>
  <c r="AU63" i="67"/>
  <c r="AU15" i="149" s="1"/>
  <c r="AV63" i="67"/>
  <c r="AV15" i="149" s="1"/>
  <c r="AW63" i="67"/>
  <c r="AW15" i="149" s="1"/>
  <c r="AX63" i="67"/>
  <c r="AY63" i="67"/>
  <c r="AZ63" i="67"/>
  <c r="BA63" i="67"/>
  <c r="BA15" i="149" s="1"/>
  <c r="BB63" i="67"/>
  <c r="BC63" i="67"/>
  <c r="BC15" i="149" s="1"/>
  <c r="BD63" i="67"/>
  <c r="BD15" i="149" s="1"/>
  <c r="AP64" i="67"/>
  <c r="AP16" i="149" s="1"/>
  <c r="AQ64" i="67"/>
  <c r="AR64" i="67"/>
  <c r="AS64" i="67"/>
  <c r="AT64" i="67"/>
  <c r="AU64" i="67"/>
  <c r="AV64" i="67"/>
  <c r="AW64" i="67"/>
  <c r="AX64" i="67"/>
  <c r="AX16" i="149" s="1"/>
  <c r="AY64" i="67"/>
  <c r="AY16" i="149" s="1"/>
  <c r="AZ64" i="67"/>
  <c r="BA64" i="67"/>
  <c r="BB64" i="67"/>
  <c r="BC64" i="67"/>
  <c r="BD64" i="67"/>
  <c r="AP65" i="67"/>
  <c r="AP17" i="149" s="1"/>
  <c r="AQ65" i="67"/>
  <c r="AR65" i="67"/>
  <c r="AS65" i="67"/>
  <c r="AT65" i="67"/>
  <c r="AU65" i="67"/>
  <c r="AV65" i="67"/>
  <c r="AV17" i="149" s="1"/>
  <c r="AW65" i="67"/>
  <c r="AX65" i="67"/>
  <c r="AY65" i="67"/>
  <c r="AZ65" i="67"/>
  <c r="BA65" i="67"/>
  <c r="BA17" i="149" s="1"/>
  <c r="BB65" i="67"/>
  <c r="BC65" i="67"/>
  <c r="BC17" i="149" s="1"/>
  <c r="BD65" i="67"/>
  <c r="AP66" i="67"/>
  <c r="AP18" i="149" s="1"/>
  <c r="AQ66" i="67"/>
  <c r="AR66" i="67"/>
  <c r="AS66" i="67"/>
  <c r="AT66" i="67"/>
  <c r="AU66" i="67"/>
  <c r="AV66" i="67"/>
  <c r="AW66" i="67"/>
  <c r="AX66" i="67"/>
  <c r="AY66" i="67"/>
  <c r="AZ66" i="67"/>
  <c r="BA66" i="67"/>
  <c r="BB66" i="67"/>
  <c r="BC66" i="67"/>
  <c r="BD66" i="67"/>
  <c r="BD18" i="149" s="1"/>
  <c r="AP67" i="67"/>
  <c r="AP19" i="149" s="1"/>
  <c r="AQ67" i="67"/>
  <c r="AR67" i="67"/>
  <c r="AR19" i="149" s="1"/>
  <c r="AS67" i="67"/>
  <c r="AT67" i="67"/>
  <c r="AU67" i="67"/>
  <c r="AV67" i="67"/>
  <c r="AW67" i="67"/>
  <c r="AX67" i="67"/>
  <c r="AX19" i="149" s="1"/>
  <c r="AY67" i="67"/>
  <c r="AZ67" i="67"/>
  <c r="BA67" i="67"/>
  <c r="BB67" i="67"/>
  <c r="BC67" i="67"/>
  <c r="BD67" i="67"/>
  <c r="AP68" i="67"/>
  <c r="AP20" i="149" s="1"/>
  <c r="AQ68" i="67"/>
  <c r="AR68" i="67"/>
  <c r="AR20" i="149" s="1"/>
  <c r="AS68" i="67"/>
  <c r="AT68" i="67"/>
  <c r="AT20" i="149" s="1"/>
  <c r="AU68" i="67"/>
  <c r="AV68" i="67"/>
  <c r="AW68" i="67"/>
  <c r="AX68" i="67"/>
  <c r="AY68" i="67"/>
  <c r="AY20" i="149" s="1"/>
  <c r="AZ68" i="67"/>
  <c r="BA68" i="67"/>
  <c r="BB68" i="67"/>
  <c r="BC68" i="67"/>
  <c r="BC20" i="149" s="1"/>
  <c r="BD68" i="67"/>
  <c r="AP69" i="67"/>
  <c r="AP21" i="149" s="1"/>
  <c r="AQ69" i="67"/>
  <c r="AR69" i="67"/>
  <c r="AS69" i="67"/>
  <c r="AT69" i="67"/>
  <c r="AT21" i="149" s="1"/>
  <c r="AU69" i="67"/>
  <c r="AU21" i="149" s="1"/>
  <c r="AV69" i="67"/>
  <c r="AW69" i="67"/>
  <c r="AW21" i="149" s="1"/>
  <c r="AX69" i="67"/>
  <c r="AY69" i="67"/>
  <c r="AZ69" i="67"/>
  <c r="BA69" i="67"/>
  <c r="BB69" i="67"/>
  <c r="BC69" i="67"/>
  <c r="BD69" i="67"/>
  <c r="AP70" i="67"/>
  <c r="AP22" i="149" s="1"/>
  <c r="AQ70" i="67"/>
  <c r="AR70" i="67"/>
  <c r="AS70" i="67"/>
  <c r="AT70" i="67"/>
  <c r="AT22" i="149" s="1"/>
  <c r="AU70" i="67"/>
  <c r="AU22" i="149" s="1"/>
  <c r="AV70" i="67"/>
  <c r="AV22" i="149" s="1"/>
  <c r="AW70" i="67"/>
  <c r="AX70" i="67"/>
  <c r="AY70" i="67"/>
  <c r="AZ70" i="67"/>
  <c r="BA70" i="67"/>
  <c r="BA22" i="149" s="1"/>
  <c r="BB70" i="67"/>
  <c r="BC70" i="67"/>
  <c r="BD70" i="67"/>
  <c r="AP71" i="67"/>
  <c r="AP23" i="149" s="1"/>
  <c r="AQ71" i="67"/>
  <c r="AR71" i="67"/>
  <c r="AS71" i="67"/>
  <c r="AT71" i="67"/>
  <c r="AU71" i="67"/>
  <c r="AV71" i="67"/>
  <c r="AW71" i="67"/>
  <c r="AW23" i="149" s="1"/>
  <c r="AX71" i="67"/>
  <c r="AY71" i="67"/>
  <c r="AZ71" i="67"/>
  <c r="BA71" i="67"/>
  <c r="BB71" i="67"/>
  <c r="BC71" i="67"/>
  <c r="BC23" i="149" s="1"/>
  <c r="BD71" i="67"/>
  <c r="AP72" i="67"/>
  <c r="AP24" i="149" s="1"/>
  <c r="AQ72" i="67"/>
  <c r="AR72" i="67"/>
  <c r="AS72" i="67"/>
  <c r="AT72" i="67"/>
  <c r="AT24" i="149" s="1"/>
  <c r="AU72" i="67"/>
  <c r="AV72" i="67"/>
  <c r="AV24" i="149" s="1"/>
  <c r="AW72" i="67"/>
  <c r="AW24" i="149" s="1"/>
  <c r="AX72" i="67"/>
  <c r="AX24" i="149" s="1"/>
  <c r="AY72" i="67"/>
  <c r="AZ72" i="67"/>
  <c r="BA72" i="67"/>
  <c r="BB72" i="67"/>
  <c r="BC72" i="67"/>
  <c r="BC24" i="149" s="1"/>
  <c r="BD72" i="67"/>
  <c r="AP73" i="67"/>
  <c r="AP25" i="149" s="1"/>
  <c r="AQ73" i="67"/>
  <c r="AR73" i="67"/>
  <c r="AS73" i="67"/>
  <c r="AT73" i="67"/>
  <c r="AU73" i="67"/>
  <c r="AU25" i="149" s="1"/>
  <c r="AV73" i="67"/>
  <c r="AW73" i="67"/>
  <c r="AX73" i="67"/>
  <c r="AX25" i="149" s="1"/>
  <c r="AY73" i="67"/>
  <c r="AY25" i="149" s="1"/>
  <c r="AZ73" i="67"/>
  <c r="BA73" i="67"/>
  <c r="BA25" i="149" s="1"/>
  <c r="BB73" i="67"/>
  <c r="BC73" i="67"/>
  <c r="BD73" i="67"/>
  <c r="AP74" i="67"/>
  <c r="AP26" i="149" s="1"/>
  <c r="AQ74" i="67"/>
  <c r="AR74" i="67"/>
  <c r="AS74" i="67"/>
  <c r="AT74" i="67"/>
  <c r="AT26" i="149" s="1"/>
  <c r="AU74" i="67"/>
  <c r="AV74" i="67"/>
  <c r="AV26" i="149" s="1"/>
  <c r="AW74" i="67"/>
  <c r="AX74" i="67"/>
  <c r="AX26" i="149" s="1"/>
  <c r="AY74" i="67"/>
  <c r="AY26" i="149" s="1"/>
  <c r="AZ74" i="67"/>
  <c r="BA74" i="67"/>
  <c r="BB74" i="67"/>
  <c r="BC74" i="67"/>
  <c r="BD74" i="67"/>
  <c r="AP75" i="67"/>
  <c r="AP27" i="149" s="1"/>
  <c r="AQ75" i="67"/>
  <c r="AR75" i="67"/>
  <c r="AS75" i="67"/>
  <c r="AT75" i="67"/>
  <c r="AU75" i="67"/>
  <c r="AV75" i="67"/>
  <c r="AW75" i="67"/>
  <c r="AW27" i="149" s="1"/>
  <c r="AX75" i="67"/>
  <c r="AY75" i="67"/>
  <c r="AY27" i="149" s="1"/>
  <c r="AZ75" i="67"/>
  <c r="BA75" i="67"/>
  <c r="BB75" i="67"/>
  <c r="BC75" i="67"/>
  <c r="BC27" i="149" s="1"/>
  <c r="BD75" i="67"/>
  <c r="AP76" i="67"/>
  <c r="AP28" i="149" s="1"/>
  <c r="AQ76" i="67"/>
  <c r="AR76" i="67"/>
  <c r="AS76" i="67"/>
  <c r="AT76" i="67"/>
  <c r="AU76" i="67"/>
  <c r="AU28" i="149" s="1"/>
  <c r="AV76" i="67"/>
  <c r="AV28" i="149" s="1"/>
  <c r="AW76" i="67"/>
  <c r="AX76" i="67"/>
  <c r="AY76" i="67"/>
  <c r="AZ76" i="67"/>
  <c r="BA76" i="67"/>
  <c r="BA28" i="149" s="1"/>
  <c r="BB76" i="67"/>
  <c r="BC76" i="67"/>
  <c r="BD76" i="67"/>
  <c r="BD28" i="149" s="1"/>
  <c r="AP77" i="67"/>
  <c r="AP29" i="149" s="1"/>
  <c r="AQ77" i="67"/>
  <c r="AR77" i="67"/>
  <c r="AS77" i="67"/>
  <c r="AT77" i="67"/>
  <c r="AU77" i="67"/>
  <c r="AV77" i="67"/>
  <c r="AW77" i="67"/>
  <c r="AW29" i="149" s="1"/>
  <c r="AX77" i="67"/>
  <c r="AY77" i="67"/>
  <c r="AY29" i="149" s="1"/>
  <c r="AZ77" i="67"/>
  <c r="BA77" i="67"/>
  <c r="BA29" i="149" s="1"/>
  <c r="BB77" i="67"/>
  <c r="BC77" i="67"/>
  <c r="BD77" i="67"/>
  <c r="AP78" i="67"/>
  <c r="AP30" i="149" s="1"/>
  <c r="AQ78" i="67"/>
  <c r="AR78" i="67"/>
  <c r="AR30" i="149" s="1"/>
  <c r="AS78" i="67"/>
  <c r="AT78" i="67"/>
  <c r="AU78" i="67"/>
  <c r="AV78" i="67"/>
  <c r="AW78" i="67"/>
  <c r="AW30" i="149" s="1"/>
  <c r="AX78" i="67"/>
  <c r="AX30" i="149" s="1"/>
  <c r="AY78" i="67"/>
  <c r="AZ78" i="67"/>
  <c r="BA78" i="67"/>
  <c r="BB78" i="67"/>
  <c r="BC78" i="67"/>
  <c r="BC30" i="149" s="1"/>
  <c r="BD78" i="67"/>
  <c r="BD30" i="149" s="1"/>
  <c r="AP79" i="67"/>
  <c r="AP31" i="149" s="1"/>
  <c r="AQ79" i="67"/>
  <c r="AR79" i="67"/>
  <c r="AS79" i="67"/>
  <c r="AT79" i="67"/>
  <c r="AU79" i="67"/>
  <c r="AU31" i="149" s="1"/>
  <c r="AV79" i="67"/>
  <c r="AW79" i="67"/>
  <c r="AX79" i="67"/>
  <c r="AX31" i="149" s="1"/>
  <c r="AY79" i="67"/>
  <c r="AY31" i="149" s="1"/>
  <c r="AZ79" i="67"/>
  <c r="BA79" i="67"/>
  <c r="BA31" i="149" s="1"/>
  <c r="BB79" i="67"/>
  <c r="BC79" i="67"/>
  <c r="BC31" i="149" s="1"/>
  <c r="BD79" i="67"/>
  <c r="AP80" i="67"/>
  <c r="AP32" i="149" s="1"/>
  <c r="AQ80" i="67"/>
  <c r="AR80" i="67"/>
  <c r="AR32" i="149" s="1"/>
  <c r="AS80" i="67"/>
  <c r="AT80" i="67"/>
  <c r="AU80" i="67"/>
  <c r="AU32" i="149" s="1"/>
  <c r="AV80" i="67"/>
  <c r="AW80" i="67"/>
  <c r="AX80" i="67"/>
  <c r="AX32" i="149" s="1"/>
  <c r="AY80" i="67"/>
  <c r="AZ80" i="67"/>
  <c r="BA80" i="67"/>
  <c r="BB80" i="67"/>
  <c r="BC80" i="67"/>
  <c r="BD80" i="67"/>
  <c r="AP81" i="67"/>
  <c r="AP33" i="149" s="1"/>
  <c r="AQ81" i="67"/>
  <c r="AR81" i="67"/>
  <c r="AS81" i="67"/>
  <c r="AT81" i="67"/>
  <c r="AU81" i="67"/>
  <c r="AV81" i="67"/>
  <c r="AV33" i="149" s="1"/>
  <c r="AW81" i="67"/>
  <c r="AX81" i="67"/>
  <c r="AY81" i="67"/>
  <c r="AZ81" i="67"/>
  <c r="BA81" i="67"/>
  <c r="BA33" i="149" s="1"/>
  <c r="BB81" i="67"/>
  <c r="BC81" i="67"/>
  <c r="BD81" i="67"/>
  <c r="AP82" i="67"/>
  <c r="AP34" i="149" s="1"/>
  <c r="AQ82" i="67"/>
  <c r="AR82" i="67"/>
  <c r="AR34" i="149" s="1"/>
  <c r="AS82" i="67"/>
  <c r="AT82" i="67"/>
  <c r="AT34" i="149" s="1"/>
  <c r="AU82" i="67"/>
  <c r="AV82" i="67"/>
  <c r="AW82" i="67"/>
  <c r="AW34" i="149" s="1"/>
  <c r="AX82" i="67"/>
  <c r="AY82" i="67"/>
  <c r="AZ82" i="67"/>
  <c r="BA82" i="67"/>
  <c r="BA34" i="149" s="1"/>
  <c r="BB82" i="67"/>
  <c r="BC82" i="67"/>
  <c r="BD82" i="67"/>
  <c r="BD34" i="149" s="1"/>
  <c r="AP83" i="67"/>
  <c r="AP35" i="149" s="1"/>
  <c r="AQ83" i="67"/>
  <c r="AR83" i="67"/>
  <c r="AR35" i="149" s="1"/>
  <c r="AS83" i="67"/>
  <c r="AT83" i="67"/>
  <c r="AU83" i="67"/>
  <c r="AU35" i="149" s="1"/>
  <c r="AV83" i="67"/>
  <c r="AW83" i="67"/>
  <c r="AX83" i="67"/>
  <c r="AX35" i="149" s="1"/>
  <c r="AY83" i="67"/>
  <c r="AZ83" i="67"/>
  <c r="BA83" i="67"/>
  <c r="BB83" i="67"/>
  <c r="BC83" i="67"/>
  <c r="BD83" i="67"/>
  <c r="AP84" i="67"/>
  <c r="AP36" i="149" s="1"/>
  <c r="AQ84" i="67"/>
  <c r="AR84" i="67"/>
  <c r="AR36" i="149" s="1"/>
  <c r="AS84" i="67"/>
  <c r="AT84" i="67"/>
  <c r="AT36" i="149" s="1"/>
  <c r="AU84" i="67"/>
  <c r="AV84" i="67"/>
  <c r="AV36" i="149" s="1"/>
  <c r="AW84" i="67"/>
  <c r="AX84" i="67"/>
  <c r="AY84" i="67"/>
  <c r="AY36" i="149" s="1"/>
  <c r="AZ84" i="67"/>
  <c r="BA84" i="67"/>
  <c r="BB84" i="67"/>
  <c r="BC84" i="67"/>
  <c r="BD84" i="67"/>
  <c r="BD36" i="149" s="1"/>
  <c r="AP85" i="67"/>
  <c r="AP37" i="149" s="1"/>
  <c r="AQ85" i="67"/>
  <c r="AR85" i="67"/>
  <c r="AR37" i="149" s="1"/>
  <c r="AS85" i="67"/>
  <c r="AT85" i="67"/>
  <c r="AU85" i="67"/>
  <c r="AU37" i="149" s="1"/>
  <c r="AV85" i="67"/>
  <c r="AW85" i="67"/>
  <c r="AW37" i="149" s="1"/>
  <c r="AX85" i="67"/>
  <c r="AY85" i="67"/>
  <c r="AZ85" i="67"/>
  <c r="BA85" i="67"/>
  <c r="BB85" i="67"/>
  <c r="BC85" i="67"/>
  <c r="BD85" i="67"/>
  <c r="BD37" i="149" s="1"/>
  <c r="AP86" i="67"/>
  <c r="AP38" i="149" s="1"/>
  <c r="AQ86" i="67"/>
  <c r="AR86" i="67"/>
  <c r="AR38" i="149" s="1"/>
  <c r="AS86" i="67"/>
  <c r="AT86" i="67"/>
  <c r="AU86" i="67"/>
  <c r="AU38" i="149" s="1"/>
  <c r="AV86" i="67"/>
  <c r="AV38" i="149" s="1"/>
  <c r="AW86" i="67"/>
  <c r="AX86" i="67"/>
  <c r="AY86" i="67"/>
  <c r="AZ86" i="67"/>
  <c r="BA86" i="67"/>
  <c r="BA38" i="149" s="1"/>
  <c r="BB86" i="67"/>
  <c r="BC86" i="67"/>
  <c r="BD86" i="67"/>
  <c r="AP87" i="67"/>
  <c r="AP39" i="149" s="1"/>
  <c r="AQ87" i="67"/>
  <c r="AR87" i="67"/>
  <c r="AS87" i="67"/>
  <c r="AT87" i="67"/>
  <c r="AT39" i="149" s="1"/>
  <c r="AU87" i="67"/>
  <c r="AU39" i="149" s="1"/>
  <c r="AV87" i="67"/>
  <c r="AV39" i="149" s="1"/>
  <c r="AW87" i="67"/>
  <c r="AW39" i="149" s="1"/>
  <c r="AX87" i="67"/>
  <c r="AY87" i="67"/>
  <c r="AY39" i="149" s="1"/>
  <c r="AZ87" i="67"/>
  <c r="BA87" i="67"/>
  <c r="BB87" i="67"/>
  <c r="BC87" i="67"/>
  <c r="BC39" i="149" s="1"/>
  <c r="BD87" i="67"/>
  <c r="AP88" i="67"/>
  <c r="AP40" i="149" s="1"/>
  <c r="AQ88" i="67"/>
  <c r="AR88" i="67"/>
  <c r="AR40" i="149" s="1"/>
  <c r="AS88" i="67"/>
  <c r="AT88" i="67"/>
  <c r="AT40" i="149" s="1"/>
  <c r="AU88" i="67"/>
  <c r="AU40" i="149" s="1"/>
  <c r="AV88" i="67"/>
  <c r="AW88" i="67"/>
  <c r="AX88" i="67"/>
  <c r="AX40" i="149" s="1"/>
  <c r="AY88" i="67"/>
  <c r="AZ88" i="67"/>
  <c r="BA88" i="67"/>
  <c r="BB88" i="67"/>
  <c r="BC88" i="67"/>
  <c r="BC40" i="149" s="1"/>
  <c r="BD88" i="67"/>
  <c r="AP89" i="67"/>
  <c r="AP41" i="149" s="1"/>
  <c r="AQ89" i="67"/>
  <c r="AR89" i="67"/>
  <c r="AR41" i="149" s="1"/>
  <c r="AS89" i="67"/>
  <c r="AT89" i="67"/>
  <c r="AU89" i="67"/>
  <c r="AU41" i="149" s="1"/>
  <c r="AV89" i="67"/>
  <c r="AV41" i="149" s="1"/>
  <c r="AW89" i="67"/>
  <c r="AW41" i="149" s="1"/>
  <c r="AX89" i="67"/>
  <c r="AX41" i="149" s="1"/>
  <c r="AY89" i="67"/>
  <c r="AY41" i="149" s="1"/>
  <c r="AZ89" i="67"/>
  <c r="BA89" i="67"/>
  <c r="BB89" i="67"/>
  <c r="BC89" i="67"/>
  <c r="BD89" i="67"/>
  <c r="BD41" i="149" s="1"/>
  <c r="AP90" i="67"/>
  <c r="AP42" i="149" s="1"/>
  <c r="AQ90" i="67"/>
  <c r="AR90" i="67"/>
  <c r="AS90" i="67"/>
  <c r="AT90" i="67"/>
  <c r="AT42" i="149" s="1"/>
  <c r="AU90" i="67"/>
  <c r="AV90" i="67"/>
  <c r="AV42" i="149" s="1"/>
  <c r="AW90" i="67"/>
  <c r="AW42" i="149" s="1"/>
  <c r="AX90" i="67"/>
  <c r="AY90" i="67"/>
  <c r="AY42" i="149" s="1"/>
  <c r="AZ90" i="67"/>
  <c r="BA90" i="67"/>
  <c r="BB90" i="67"/>
  <c r="BC90" i="67"/>
  <c r="BD90" i="67"/>
  <c r="AP91" i="67"/>
  <c r="AP43" i="149" s="1"/>
  <c r="AQ91" i="67"/>
  <c r="AR91" i="67"/>
  <c r="AS91" i="67"/>
  <c r="AT91" i="67"/>
  <c r="AT43" i="149" s="1"/>
  <c r="AU91" i="67"/>
  <c r="AU43" i="149" s="1"/>
  <c r="AV91" i="67"/>
  <c r="AW91" i="67"/>
  <c r="AX91" i="67"/>
  <c r="AX43" i="149" s="1"/>
  <c r="AY91" i="67"/>
  <c r="AY43" i="149" s="1"/>
  <c r="AZ91" i="67"/>
  <c r="BA91" i="67"/>
  <c r="BA43" i="149" s="1"/>
  <c r="BB91" i="67"/>
  <c r="BC91" i="67"/>
  <c r="BC43" i="149" s="1"/>
  <c r="BD91" i="67"/>
  <c r="AP92" i="67"/>
  <c r="AP44" i="149" s="1"/>
  <c r="AQ92" i="67"/>
  <c r="AR92" i="67"/>
  <c r="AS92" i="67"/>
  <c r="AT92" i="67"/>
  <c r="AU92" i="67"/>
  <c r="CS92" i="67" s="1"/>
  <c r="AV92" i="67"/>
  <c r="AW92" i="67"/>
  <c r="AX92" i="67"/>
  <c r="AX44" i="149" s="1"/>
  <c r="AY92" i="67"/>
  <c r="AY44" i="149" s="1"/>
  <c r="AZ92" i="67"/>
  <c r="BA92" i="67"/>
  <c r="BB92" i="67"/>
  <c r="BC92" i="67"/>
  <c r="BD92" i="67"/>
  <c r="BD44" i="149" s="1"/>
  <c r="AP93" i="67"/>
  <c r="AP45" i="149" s="1"/>
  <c r="AQ93" i="67"/>
  <c r="AR93" i="67"/>
  <c r="AR45" i="149" s="1"/>
  <c r="AS93" i="67"/>
  <c r="AT93" i="67"/>
  <c r="AU93" i="67"/>
  <c r="AV93" i="67"/>
  <c r="AV45" i="149" s="1"/>
  <c r="AW93" i="67"/>
  <c r="AW45" i="149" s="1"/>
  <c r="AX93" i="67"/>
  <c r="AY93" i="67"/>
  <c r="AZ93" i="67"/>
  <c r="BA93" i="67"/>
  <c r="BA45" i="149" s="1"/>
  <c r="BB93" i="67"/>
  <c r="BC93" i="67"/>
  <c r="BC45" i="149" s="1"/>
  <c r="BD93" i="67"/>
  <c r="AP94" i="67"/>
  <c r="AP46" i="149" s="1"/>
  <c r="AQ94" i="67"/>
  <c r="AR94" i="67"/>
  <c r="AR46" i="149" s="1"/>
  <c r="AS94" i="67"/>
  <c r="AT94" i="67"/>
  <c r="AU94" i="67"/>
  <c r="AV94" i="67"/>
  <c r="AW94" i="67"/>
  <c r="AX94" i="67"/>
  <c r="AX46" i="149" s="1"/>
  <c r="AY94" i="67"/>
  <c r="AZ94" i="67"/>
  <c r="BA94" i="67"/>
  <c r="BA46" i="149" s="1"/>
  <c r="BB94" i="67"/>
  <c r="BC94" i="67"/>
  <c r="BD94" i="67"/>
  <c r="AP95" i="67"/>
  <c r="AP47" i="149" s="1"/>
  <c r="AQ95" i="67"/>
  <c r="AR95" i="67"/>
  <c r="AS95" i="67"/>
  <c r="AT95" i="67"/>
  <c r="AT47" i="149" s="1"/>
  <c r="AU95" i="67"/>
  <c r="AU47" i="149" s="1"/>
  <c r="AV95" i="67"/>
  <c r="AW95" i="67"/>
  <c r="AX95" i="67"/>
  <c r="AX47" i="149" s="1"/>
  <c r="AY95" i="67"/>
  <c r="AY47" i="149" s="1"/>
  <c r="AZ95" i="67"/>
  <c r="BA95" i="67"/>
  <c r="BB95" i="67"/>
  <c r="BC95" i="67"/>
  <c r="BC47" i="149" s="1"/>
  <c r="BD95" i="67"/>
  <c r="BD47" i="149" s="1"/>
  <c r="AP96" i="67"/>
  <c r="AP48" i="149" s="1"/>
  <c r="AQ96" i="67"/>
  <c r="AR96" i="67"/>
  <c r="AR48" i="149" s="1"/>
  <c r="AS96" i="67"/>
  <c r="AT96" i="67"/>
  <c r="AU96" i="67"/>
  <c r="AV96" i="67"/>
  <c r="AW96" i="67"/>
  <c r="AX96" i="67"/>
  <c r="AX48" i="149" s="1"/>
  <c r="AY96" i="67"/>
  <c r="AY48" i="149" s="1"/>
  <c r="AZ96" i="67"/>
  <c r="BA96" i="67"/>
  <c r="BB96" i="67"/>
  <c r="BC96" i="67"/>
  <c r="BC48" i="149" s="1"/>
  <c r="BD96" i="67"/>
  <c r="BD48" i="149" s="1"/>
  <c r="AP97" i="67"/>
  <c r="AP49" i="149" s="1"/>
  <c r="AQ97" i="67"/>
  <c r="AR97" i="67"/>
  <c r="AS97" i="67"/>
  <c r="AT97" i="67"/>
  <c r="AU97" i="67"/>
  <c r="AV97" i="67"/>
  <c r="AV49" i="149" s="1"/>
  <c r="AW97" i="67"/>
  <c r="AX97" i="67"/>
  <c r="AY97" i="67"/>
  <c r="AZ97" i="67"/>
  <c r="BA97" i="67"/>
  <c r="BA49" i="149" s="1"/>
  <c r="BB97" i="67"/>
  <c r="BC97" i="67"/>
  <c r="BC49" i="149" s="1"/>
  <c r="BD97" i="67"/>
  <c r="BD49" i="149" s="1"/>
  <c r="AP98" i="67"/>
  <c r="AP50" i="149" s="1"/>
  <c r="AQ98" i="67"/>
  <c r="AR98" i="67"/>
  <c r="AS98" i="67"/>
  <c r="AT98" i="67"/>
  <c r="AT50" i="149" s="1"/>
  <c r="AU98" i="67"/>
  <c r="AV98" i="67"/>
  <c r="AW98" i="67"/>
  <c r="AW50" i="149" s="1"/>
  <c r="AX98" i="67"/>
  <c r="AY98" i="67"/>
  <c r="AZ98" i="67"/>
  <c r="BA98" i="67"/>
  <c r="BA50" i="149" s="1"/>
  <c r="BB98" i="67"/>
  <c r="BC98" i="67"/>
  <c r="BD98" i="67"/>
  <c r="BD50" i="149" s="1"/>
  <c r="AP99" i="67"/>
  <c r="AP51" i="149" s="1"/>
  <c r="AQ99" i="67"/>
  <c r="AR99" i="67"/>
  <c r="AR51" i="149" s="1"/>
  <c r="AS99" i="67"/>
  <c r="AT99" i="67"/>
  <c r="AU99" i="67"/>
  <c r="AU51" i="149" s="1"/>
  <c r="AV99" i="67"/>
  <c r="AW99" i="67"/>
  <c r="AX99" i="67"/>
  <c r="AX51" i="149" s="1"/>
  <c r="AY99" i="67"/>
  <c r="AZ99" i="67"/>
  <c r="BA99" i="67"/>
  <c r="BB99" i="67"/>
  <c r="BC99" i="67"/>
  <c r="BC51" i="149" s="1"/>
  <c r="BD99" i="67"/>
  <c r="AP100" i="67"/>
  <c r="AP52" i="149" s="1"/>
  <c r="AQ100" i="67"/>
  <c r="AR100" i="67"/>
  <c r="AR52" i="149" s="1"/>
  <c r="AS100" i="67"/>
  <c r="AT100" i="67"/>
  <c r="AT52" i="149" s="1"/>
  <c r="AU100" i="67"/>
  <c r="AV100" i="67"/>
  <c r="AV52" i="149" s="1"/>
  <c r="AW100" i="67"/>
  <c r="AX100" i="67"/>
  <c r="AY100" i="67"/>
  <c r="AY52" i="149" s="1"/>
  <c r="AZ100" i="67"/>
  <c r="BA100" i="67"/>
  <c r="BB100" i="67"/>
  <c r="BC100" i="67"/>
  <c r="BC52" i="149" s="1"/>
  <c r="BD100" i="67"/>
  <c r="AP101" i="67"/>
  <c r="AP53" i="149" s="1"/>
  <c r="AQ101" i="67"/>
  <c r="AR101" i="67"/>
  <c r="AR53" i="149" s="1"/>
  <c r="AS101" i="67"/>
  <c r="AT101" i="67"/>
  <c r="AT53" i="149" s="1"/>
  <c r="AU101" i="67"/>
  <c r="AU53" i="149" s="1"/>
  <c r="AV101" i="67"/>
  <c r="AW101" i="67"/>
  <c r="AW53" i="149" s="1"/>
  <c r="AX101" i="67"/>
  <c r="AY101" i="67"/>
  <c r="AZ101" i="67"/>
  <c r="BA101" i="67"/>
  <c r="BB101" i="67"/>
  <c r="BC101" i="67"/>
  <c r="BD101" i="67"/>
  <c r="AP102" i="67"/>
  <c r="AP54" i="149" s="1"/>
  <c r="AQ102" i="67"/>
  <c r="AR102" i="67"/>
  <c r="AR54" i="149" s="1"/>
  <c r="AS102" i="67"/>
  <c r="AT102" i="67"/>
  <c r="AT54" i="149" s="1"/>
  <c r="AU102" i="67"/>
  <c r="AV102" i="67"/>
  <c r="AV54" i="149" s="1"/>
  <c r="AW102" i="67"/>
  <c r="AX102" i="67"/>
  <c r="AX54" i="149" s="1"/>
  <c r="AY102" i="67"/>
  <c r="AZ102" i="67"/>
  <c r="BA102" i="67"/>
  <c r="BA54" i="149" s="1"/>
  <c r="BB102" i="67"/>
  <c r="BC102" i="67"/>
  <c r="BD102" i="67"/>
  <c r="AP103" i="67"/>
  <c r="AP55" i="149" s="1"/>
  <c r="AQ103" i="67"/>
  <c r="AR103" i="67"/>
  <c r="AS103" i="67"/>
  <c r="AT103" i="67"/>
  <c r="AT55" i="149" s="1"/>
  <c r="AU103" i="67"/>
  <c r="AV103" i="67"/>
  <c r="AV55" i="149" s="1"/>
  <c r="AW103" i="67"/>
  <c r="AW55" i="149" s="1"/>
  <c r="AX103" i="67"/>
  <c r="AY103" i="67"/>
  <c r="AZ103" i="67"/>
  <c r="BA103" i="67"/>
  <c r="BB103" i="67"/>
  <c r="BC103" i="67"/>
  <c r="BC55" i="149" s="1"/>
  <c r="BD103" i="67"/>
  <c r="AP104" i="67"/>
  <c r="AP56" i="149" s="1"/>
  <c r="AQ104" i="67"/>
  <c r="AR104" i="67"/>
  <c r="AR56" i="149" s="1"/>
  <c r="AS104" i="67"/>
  <c r="AT104" i="67"/>
  <c r="AU104" i="67"/>
  <c r="AU56" i="149" s="1"/>
  <c r="AV104" i="67"/>
  <c r="AV56" i="149" s="1"/>
  <c r="AW104" i="67"/>
  <c r="AW56" i="149" s="1"/>
  <c r="AX104" i="67"/>
  <c r="AX56" i="149" s="1"/>
  <c r="AY104" i="67"/>
  <c r="AZ104" i="67"/>
  <c r="BA104" i="67"/>
  <c r="BB104" i="67"/>
  <c r="BC104" i="67"/>
  <c r="BD104" i="67"/>
  <c r="AP105" i="67"/>
  <c r="AP57" i="149" s="1"/>
  <c r="AQ105" i="67"/>
  <c r="AR105" i="67"/>
  <c r="AR57" i="149" s="1"/>
  <c r="AS105" i="67"/>
  <c r="AT105" i="67"/>
  <c r="AU105" i="67"/>
  <c r="AU57" i="149" s="1"/>
  <c r="AV105" i="67"/>
  <c r="AV57" i="149" s="1"/>
  <c r="AW105" i="67"/>
  <c r="AX105" i="67"/>
  <c r="AY105" i="67"/>
  <c r="AY57" i="149" s="1"/>
  <c r="AZ105" i="67"/>
  <c r="BA105" i="67"/>
  <c r="BA57" i="149" s="1"/>
  <c r="BB105" i="67"/>
  <c r="BC105" i="67"/>
  <c r="BD105" i="67"/>
  <c r="BD57" i="149" s="1"/>
  <c r="AP106" i="67"/>
  <c r="AP58" i="149" s="1"/>
  <c r="AQ106" i="67"/>
  <c r="AR106" i="67"/>
  <c r="AS106" i="67"/>
  <c r="AT106" i="67"/>
  <c r="AU106" i="67"/>
  <c r="AV106" i="67"/>
  <c r="AV58" i="149" s="1"/>
  <c r="AW106" i="67"/>
  <c r="AW58" i="149" s="1"/>
  <c r="AX106" i="67"/>
  <c r="AX58" i="149" s="1"/>
  <c r="AY106" i="67"/>
  <c r="AY58" i="149" s="1"/>
  <c r="AZ106" i="67"/>
  <c r="BA106" i="67"/>
  <c r="BB106" i="67"/>
  <c r="BC106" i="67"/>
  <c r="BD106" i="67"/>
  <c r="AP107" i="67"/>
  <c r="AP59" i="149" s="1"/>
  <c r="AQ107" i="67"/>
  <c r="AR107" i="67"/>
  <c r="AS107" i="67"/>
  <c r="AT107" i="67"/>
  <c r="AU107" i="67"/>
  <c r="AU59" i="149" s="1"/>
  <c r="AV107" i="67"/>
  <c r="AW107" i="67"/>
  <c r="AW59" i="149" s="1"/>
  <c r="AX107" i="67"/>
  <c r="AY107" i="67"/>
  <c r="AY59" i="149" s="1"/>
  <c r="AZ107" i="67"/>
  <c r="BA107" i="67"/>
  <c r="BA59" i="149" s="1"/>
  <c r="BB107" i="67"/>
  <c r="BC107" i="67"/>
  <c r="BC59" i="149" s="1"/>
  <c r="BD107" i="67"/>
  <c r="AP108" i="67"/>
  <c r="AP60" i="149" s="1"/>
  <c r="AQ108" i="67"/>
  <c r="AR108" i="67"/>
  <c r="AS108" i="67"/>
  <c r="AT108" i="67"/>
  <c r="AU108" i="67"/>
  <c r="AU60" i="149" s="1"/>
  <c r="AV108" i="67"/>
  <c r="AV60" i="149" s="1"/>
  <c r="AW108" i="67"/>
  <c r="AX108" i="67"/>
  <c r="AY108" i="67"/>
  <c r="AY60" i="149" s="1"/>
  <c r="AZ108" i="67"/>
  <c r="BA108" i="67"/>
  <c r="BA60" i="149" s="1"/>
  <c r="BB108" i="67"/>
  <c r="BC108" i="67"/>
  <c r="BD108" i="67"/>
  <c r="BD60" i="149" s="1"/>
  <c r="AP109" i="67"/>
  <c r="AP61" i="149" s="1"/>
  <c r="AQ109" i="67"/>
  <c r="AR109" i="67"/>
  <c r="AR61" i="149" s="1"/>
  <c r="AS109" i="67"/>
  <c r="AT109" i="67"/>
  <c r="AU109" i="67"/>
  <c r="AV109" i="67"/>
  <c r="AW109" i="67"/>
  <c r="AX109" i="67"/>
  <c r="AY109" i="67"/>
  <c r="AY61" i="149" s="1"/>
  <c r="AZ109" i="67"/>
  <c r="BA109" i="67"/>
  <c r="BA61" i="149" s="1"/>
  <c r="BB109" i="67"/>
  <c r="BC109" i="67"/>
  <c r="BC61" i="149" s="1"/>
  <c r="BD109" i="67"/>
  <c r="AP110" i="67"/>
  <c r="AP62" i="149" s="1"/>
  <c r="AQ110" i="67"/>
  <c r="AR110" i="67"/>
  <c r="AR62" i="149" s="1"/>
  <c r="AS110" i="67"/>
  <c r="AT110" i="67"/>
  <c r="AU110" i="67"/>
  <c r="AV110" i="67"/>
  <c r="AW110" i="67"/>
  <c r="AW62" i="149" s="1"/>
  <c r="AX110" i="67"/>
  <c r="AX62" i="149" s="1"/>
  <c r="AY110" i="67"/>
  <c r="AZ110" i="67"/>
  <c r="BA110" i="67"/>
  <c r="BB110" i="67"/>
  <c r="BC110" i="67"/>
  <c r="BC62" i="149" s="1"/>
  <c r="BD110" i="67"/>
  <c r="BD62" i="149" s="1"/>
  <c r="AP111" i="67"/>
  <c r="AP63" i="149" s="1"/>
  <c r="AQ111" i="67"/>
  <c r="AR111" i="67"/>
  <c r="AS111" i="67"/>
  <c r="AT111" i="67"/>
  <c r="AT63" i="149" s="1"/>
  <c r="AU111" i="67"/>
  <c r="AU63" i="149" s="1"/>
  <c r="AV111" i="67"/>
  <c r="AW111" i="67"/>
  <c r="AX111" i="67"/>
  <c r="AY111" i="67"/>
  <c r="AY63" i="149" s="1"/>
  <c r="AZ111" i="67"/>
  <c r="BA111" i="67"/>
  <c r="BA63" i="149" s="1"/>
  <c r="BB111" i="67"/>
  <c r="BC111" i="67"/>
  <c r="BC63" i="149" s="1"/>
  <c r="BD111" i="67"/>
  <c r="AP112" i="67"/>
  <c r="AP64" i="149" s="1"/>
  <c r="AQ112" i="67"/>
  <c r="AR112" i="67"/>
  <c r="AS112" i="67"/>
  <c r="AT112" i="67"/>
  <c r="AU112" i="67"/>
  <c r="AU64" i="149" s="1"/>
  <c r="AV112" i="67"/>
  <c r="AW112" i="67"/>
  <c r="AX112" i="67"/>
  <c r="AX64" i="149" s="1"/>
  <c r="AY112" i="67"/>
  <c r="AY64" i="149" s="1"/>
  <c r="AZ112" i="67"/>
  <c r="BA112" i="67"/>
  <c r="BB112" i="67"/>
  <c r="BC112" i="67"/>
  <c r="BC64" i="149" s="1"/>
  <c r="BD112" i="67"/>
  <c r="BD64" i="149" s="1"/>
  <c r="AP113" i="67"/>
  <c r="AP65" i="149" s="1"/>
  <c r="AQ113" i="67"/>
  <c r="AR113" i="67"/>
  <c r="AS113" i="67"/>
  <c r="AT113" i="67"/>
  <c r="AU113" i="67"/>
  <c r="AV113" i="67"/>
  <c r="AW113" i="67"/>
  <c r="AX113" i="67"/>
  <c r="AY113" i="67"/>
  <c r="AZ113" i="67"/>
  <c r="BA113" i="67"/>
  <c r="BA65" i="149" s="1"/>
  <c r="BB113" i="67"/>
  <c r="BC113" i="67"/>
  <c r="BC65" i="149" s="1"/>
  <c r="BD113" i="67"/>
  <c r="BD65" i="149" s="1"/>
  <c r="AP114" i="67"/>
  <c r="AP66" i="149" s="1"/>
  <c r="AQ114" i="67"/>
  <c r="AR114" i="67"/>
  <c r="AR66" i="149" s="1"/>
  <c r="AS114" i="67"/>
  <c r="AT114" i="67"/>
  <c r="AT66" i="149" s="1"/>
  <c r="AU114" i="67"/>
  <c r="AV114" i="67"/>
  <c r="AW114" i="67"/>
  <c r="AW66" i="149" s="1"/>
  <c r="AX114" i="67"/>
  <c r="AY114" i="67"/>
  <c r="AZ114" i="67"/>
  <c r="BA114" i="67"/>
  <c r="BA66" i="149" s="1"/>
  <c r="BB114" i="67"/>
  <c r="BC114" i="67"/>
  <c r="BD114" i="67"/>
  <c r="BD66" i="149" s="1"/>
  <c r="AP115" i="67"/>
  <c r="AP67" i="149" s="1"/>
  <c r="AQ115" i="67"/>
  <c r="AR115" i="67"/>
  <c r="AR67" i="149" s="1"/>
  <c r="AS115" i="67"/>
  <c r="AT115" i="67"/>
  <c r="AU115" i="67"/>
  <c r="AU67" i="149" s="1"/>
  <c r="AV115" i="67"/>
  <c r="AW115" i="67"/>
  <c r="AX115" i="67"/>
  <c r="AX67" i="149" s="1"/>
  <c r="AY115" i="67"/>
  <c r="AZ115" i="67"/>
  <c r="BA115" i="67"/>
  <c r="BB115" i="67"/>
  <c r="BC115" i="67"/>
  <c r="BD115" i="67"/>
  <c r="AP116" i="67"/>
  <c r="AP68" i="149" s="1"/>
  <c r="AQ116" i="67"/>
  <c r="AR116" i="67"/>
  <c r="AR68" i="149" s="1"/>
  <c r="AS116" i="67"/>
  <c r="AT116" i="67"/>
  <c r="AT68" i="149" s="1"/>
  <c r="AU116" i="67"/>
  <c r="AV116" i="67"/>
  <c r="AV68" i="149" s="1"/>
  <c r="AW116" i="67"/>
  <c r="AX116" i="67"/>
  <c r="AY116" i="67"/>
  <c r="AY68" i="149" s="1"/>
  <c r="AZ116" i="67"/>
  <c r="BA116" i="67"/>
  <c r="BB116" i="67"/>
  <c r="BC116" i="67"/>
  <c r="BC68" i="149" s="1"/>
  <c r="BD116" i="67"/>
  <c r="BD68" i="149" s="1"/>
  <c r="AP117" i="67"/>
  <c r="AP69" i="149" s="1"/>
  <c r="AQ117" i="67"/>
  <c r="AR117" i="67"/>
  <c r="AR69" i="149" s="1"/>
  <c r="AS117" i="67"/>
  <c r="AT117" i="67"/>
  <c r="AU117" i="67"/>
  <c r="AV117" i="67"/>
  <c r="AW117" i="67"/>
  <c r="AW69" i="149" s="1"/>
  <c r="AX117" i="67"/>
  <c r="AY117" i="67"/>
  <c r="AZ117" i="67"/>
  <c r="BA117" i="67"/>
  <c r="BB117" i="67"/>
  <c r="BC117" i="67"/>
  <c r="BD117" i="67"/>
  <c r="BD69" i="149" s="1"/>
  <c r="AP118" i="67"/>
  <c r="AP70" i="149" s="1"/>
  <c r="AQ118" i="67"/>
  <c r="AR118" i="67"/>
  <c r="AS118" i="67"/>
  <c r="AT118" i="67"/>
  <c r="AT70" i="149" s="1"/>
  <c r="AU118" i="67"/>
  <c r="AU70" i="149" s="1"/>
  <c r="AV118" i="67"/>
  <c r="AV70" i="149" s="1"/>
  <c r="AW118" i="67"/>
  <c r="AX118" i="67"/>
  <c r="AY118" i="67"/>
  <c r="AZ118" i="67"/>
  <c r="BA118" i="67"/>
  <c r="BA70" i="149" s="1"/>
  <c r="BB118" i="67"/>
  <c r="BC118" i="67"/>
  <c r="BD118" i="67"/>
  <c r="AP119" i="67"/>
  <c r="AP71" i="149" s="1"/>
  <c r="AQ119" i="67"/>
  <c r="AR119" i="67"/>
  <c r="AS119" i="67"/>
  <c r="AT119" i="67"/>
  <c r="AT71" i="149" s="1"/>
  <c r="AU119" i="67"/>
  <c r="AU71" i="149" s="1"/>
  <c r="AV119" i="67"/>
  <c r="AW119" i="67"/>
  <c r="AW71" i="149" s="1"/>
  <c r="AX119" i="67"/>
  <c r="AY119" i="67"/>
  <c r="AY71" i="149" s="1"/>
  <c r="AZ119" i="67"/>
  <c r="BA119" i="67"/>
  <c r="BB119" i="67"/>
  <c r="BC119" i="67"/>
  <c r="BD119" i="67"/>
  <c r="AP120" i="67"/>
  <c r="AP72" i="149" s="1"/>
  <c r="AQ120" i="67"/>
  <c r="AR120" i="67"/>
  <c r="AR72" i="149" s="1"/>
  <c r="AS120" i="67"/>
  <c r="AT120" i="67"/>
  <c r="AT72" i="149" s="1"/>
  <c r="AU120" i="67"/>
  <c r="AV120" i="67"/>
  <c r="AV72" i="149" s="1"/>
  <c r="AW120" i="67"/>
  <c r="AW72" i="149" s="1"/>
  <c r="AX120" i="67"/>
  <c r="AX72" i="149" s="1"/>
  <c r="AY120" i="67"/>
  <c r="AZ120" i="67"/>
  <c r="BA120" i="67"/>
  <c r="BB120" i="67"/>
  <c r="BC120" i="67"/>
  <c r="BC72" i="149" s="1"/>
  <c r="BD120" i="67"/>
  <c r="AP121" i="67"/>
  <c r="AP73" i="149" s="1"/>
  <c r="AQ121" i="67"/>
  <c r="AR121" i="67"/>
  <c r="AS121" i="67"/>
  <c r="AT121" i="67"/>
  <c r="AU121" i="67"/>
  <c r="AU73" i="149" s="1"/>
  <c r="AV121" i="67"/>
  <c r="AV73" i="149" s="1"/>
  <c r="AW121" i="67"/>
  <c r="AW73" i="149" s="1"/>
  <c r="AX121" i="67"/>
  <c r="AY121" i="67"/>
  <c r="AY73" i="149" s="1"/>
  <c r="AZ121" i="67"/>
  <c r="BA121" i="67"/>
  <c r="BA73" i="149" s="1"/>
  <c r="BB121" i="67"/>
  <c r="BC121" i="67"/>
  <c r="BD121" i="67"/>
  <c r="BD73" i="149" s="1"/>
  <c r="AP26" i="67"/>
  <c r="AQ26" i="67"/>
  <c r="AR26" i="67"/>
  <c r="AS26" i="67"/>
  <c r="AT26" i="67"/>
  <c r="AU26" i="67"/>
  <c r="AV26" i="67"/>
  <c r="AW26" i="67"/>
  <c r="AX26" i="67"/>
  <c r="AY26" i="67"/>
  <c r="AZ26" i="67"/>
  <c r="BA26" i="67"/>
  <c r="CY26" i="67" s="1"/>
  <c r="BB26" i="67"/>
  <c r="BC26" i="67"/>
  <c r="DA26" i="67" s="1"/>
  <c r="BD26" i="67"/>
  <c r="AP27" i="67"/>
  <c r="AQ27" i="67"/>
  <c r="AR27" i="67"/>
  <c r="AS27" i="67"/>
  <c r="AT27" i="67"/>
  <c r="AU27" i="67"/>
  <c r="AV27" i="67"/>
  <c r="AW27" i="67"/>
  <c r="AX27" i="67"/>
  <c r="AY27" i="67"/>
  <c r="AZ27" i="67"/>
  <c r="BA27" i="67"/>
  <c r="BB27" i="67"/>
  <c r="BC27" i="67"/>
  <c r="DA27" i="67" s="1"/>
  <c r="BD27" i="67"/>
  <c r="AP4" i="67"/>
  <c r="AQ4" i="67"/>
  <c r="AR4" i="67"/>
  <c r="AS4" i="67"/>
  <c r="AT4" i="67"/>
  <c r="AU4" i="67"/>
  <c r="AV4" i="67"/>
  <c r="AW4" i="67"/>
  <c r="AX4" i="67"/>
  <c r="AY4" i="67"/>
  <c r="AZ4" i="67"/>
  <c r="BA4" i="67"/>
  <c r="BB4" i="67"/>
  <c r="BC4" i="67"/>
  <c r="BD4" i="67"/>
  <c r="AP5" i="67"/>
  <c r="AQ5" i="67"/>
  <c r="AR5" i="67"/>
  <c r="AS5" i="67"/>
  <c r="AT5" i="67"/>
  <c r="AU5" i="67"/>
  <c r="AV5" i="67"/>
  <c r="AW5" i="67"/>
  <c r="AX5" i="67"/>
  <c r="AY5" i="67"/>
  <c r="AZ5" i="67"/>
  <c r="BA5" i="67"/>
  <c r="BB5" i="67"/>
  <c r="BC5" i="67"/>
  <c r="BD5" i="67"/>
  <c r="AP6" i="67"/>
  <c r="AQ6" i="67"/>
  <c r="AR6" i="67"/>
  <c r="AS6" i="67"/>
  <c r="AT6" i="67"/>
  <c r="AU6" i="67"/>
  <c r="AV6" i="67"/>
  <c r="AW6" i="67"/>
  <c r="AX6" i="67"/>
  <c r="AY6" i="67"/>
  <c r="AZ6" i="67"/>
  <c r="BA6" i="67"/>
  <c r="BB6" i="67"/>
  <c r="BC6" i="67"/>
  <c r="BD6" i="67"/>
  <c r="AP7" i="67"/>
  <c r="AQ7" i="67"/>
  <c r="AR7" i="67"/>
  <c r="AS7" i="67"/>
  <c r="AT7" i="67"/>
  <c r="AU7" i="67"/>
  <c r="CE7" i="67" s="1"/>
  <c r="AV7" i="67"/>
  <c r="AW7" i="67"/>
  <c r="AX7" i="67"/>
  <c r="AY7" i="67"/>
  <c r="AZ7" i="67"/>
  <c r="BA7" i="67"/>
  <c r="BB7" i="67"/>
  <c r="BC7" i="67"/>
  <c r="BD7" i="67"/>
  <c r="AP8" i="67"/>
  <c r="AQ8" i="67"/>
  <c r="AR8" i="67"/>
  <c r="AS8" i="67"/>
  <c r="AT8" i="67"/>
  <c r="AU8" i="67"/>
  <c r="AV8" i="67"/>
  <c r="CT8" i="67" s="1"/>
  <c r="AW8" i="67"/>
  <c r="CU8" i="67" s="1"/>
  <c r="AX8" i="67"/>
  <c r="AY8" i="67"/>
  <c r="AZ8" i="67"/>
  <c r="BA8" i="67"/>
  <c r="BB8" i="67"/>
  <c r="BC8" i="67"/>
  <c r="BD8" i="67"/>
  <c r="AP9" i="67"/>
  <c r="AQ9" i="67"/>
  <c r="AR9" i="67"/>
  <c r="AS9" i="67"/>
  <c r="AT9" i="67"/>
  <c r="AU9" i="67"/>
  <c r="AV9" i="67"/>
  <c r="AW9" i="67"/>
  <c r="CU9" i="67" s="1"/>
  <c r="AX9" i="67"/>
  <c r="AY9" i="67"/>
  <c r="AZ9" i="67"/>
  <c r="BA9" i="67"/>
  <c r="BB9" i="67"/>
  <c r="BC9" i="67"/>
  <c r="BD9" i="67"/>
  <c r="AP10" i="67"/>
  <c r="AQ10" i="67"/>
  <c r="AR10" i="67"/>
  <c r="AS10" i="67"/>
  <c r="AT10" i="67"/>
  <c r="AU10" i="67"/>
  <c r="AV10" i="67"/>
  <c r="AW10" i="67"/>
  <c r="AX10" i="67"/>
  <c r="AY10" i="67"/>
  <c r="AZ10" i="67"/>
  <c r="BA10" i="67"/>
  <c r="BB10" i="67"/>
  <c r="BC10" i="67"/>
  <c r="BD10" i="67"/>
  <c r="AP11" i="67"/>
  <c r="AQ11" i="67"/>
  <c r="AR11" i="67"/>
  <c r="AS11" i="67"/>
  <c r="AT11" i="67"/>
  <c r="AU11" i="67"/>
  <c r="AV11" i="67"/>
  <c r="AW11" i="67"/>
  <c r="AX11" i="67"/>
  <c r="AY11" i="67"/>
  <c r="AZ11" i="67"/>
  <c r="BA11" i="67"/>
  <c r="BB11" i="67"/>
  <c r="BC11" i="67"/>
  <c r="BD11" i="67"/>
  <c r="AP12" i="67"/>
  <c r="AQ12" i="67"/>
  <c r="AR12" i="67"/>
  <c r="AS12" i="67"/>
  <c r="AT12" i="67"/>
  <c r="AU12" i="67"/>
  <c r="AV12" i="67"/>
  <c r="AW12" i="67"/>
  <c r="AX12" i="67"/>
  <c r="AY12" i="67"/>
  <c r="AZ12" i="67"/>
  <c r="BA12" i="67"/>
  <c r="BB12" i="67"/>
  <c r="BC12" i="67"/>
  <c r="BD12" i="67"/>
  <c r="AP13" i="67"/>
  <c r="AQ13" i="67"/>
  <c r="AR13" i="67"/>
  <c r="AS13" i="67"/>
  <c r="AT13" i="67"/>
  <c r="AU13" i="67"/>
  <c r="CS13" i="67" s="1"/>
  <c r="AV13" i="67"/>
  <c r="AW13" i="67"/>
  <c r="AX13" i="67"/>
  <c r="AY13" i="67"/>
  <c r="AZ13" i="67"/>
  <c r="BA13" i="67"/>
  <c r="BB13" i="67"/>
  <c r="BC13" i="67"/>
  <c r="BD13" i="67"/>
  <c r="AP14" i="67"/>
  <c r="AQ14" i="67"/>
  <c r="AR14" i="67"/>
  <c r="AS14" i="67"/>
  <c r="AT14" i="67"/>
  <c r="AU14" i="67"/>
  <c r="AV14" i="67"/>
  <c r="AW14" i="67"/>
  <c r="AX14" i="67"/>
  <c r="AY14" i="67"/>
  <c r="AZ14" i="67"/>
  <c r="BA14" i="67"/>
  <c r="BB14" i="67"/>
  <c r="BC14" i="67"/>
  <c r="BD14" i="67"/>
  <c r="AP15" i="67"/>
  <c r="AQ15" i="67"/>
  <c r="AR15" i="67"/>
  <c r="AS15" i="67"/>
  <c r="AT15" i="67"/>
  <c r="AU15" i="67"/>
  <c r="AV15" i="67"/>
  <c r="AW15" i="67"/>
  <c r="AX15" i="67"/>
  <c r="AY15" i="67"/>
  <c r="AZ15" i="67"/>
  <c r="BA15" i="67"/>
  <c r="BB15" i="67"/>
  <c r="BC15" i="67"/>
  <c r="DA15" i="67" s="1"/>
  <c r="BD15" i="67"/>
  <c r="AP16" i="67"/>
  <c r="AQ16" i="67"/>
  <c r="AR16" i="67"/>
  <c r="AS16" i="67"/>
  <c r="AT16" i="67"/>
  <c r="AU16" i="67"/>
  <c r="AV16" i="67"/>
  <c r="AW16" i="67"/>
  <c r="AX16" i="67"/>
  <c r="AY16" i="67"/>
  <c r="AZ16" i="67"/>
  <c r="BA16" i="67"/>
  <c r="BB16" i="67"/>
  <c r="BC16" i="67"/>
  <c r="BD16" i="67"/>
  <c r="DB16" i="67" s="1"/>
  <c r="AP17" i="67"/>
  <c r="AQ17" i="67"/>
  <c r="AR17" i="67"/>
  <c r="AS17" i="67"/>
  <c r="AT17" i="67"/>
  <c r="AU17" i="67"/>
  <c r="AV17" i="67"/>
  <c r="AW17" i="67"/>
  <c r="AX17" i="67"/>
  <c r="AY17" i="67"/>
  <c r="AZ17" i="67"/>
  <c r="BA17" i="67"/>
  <c r="BB17" i="67"/>
  <c r="BC17" i="67"/>
  <c r="BD17" i="67"/>
  <c r="AP18" i="67"/>
  <c r="AQ18" i="67"/>
  <c r="AR18" i="67"/>
  <c r="AS18" i="67"/>
  <c r="AT18" i="67"/>
  <c r="AU18" i="67"/>
  <c r="AV18" i="67"/>
  <c r="AW18" i="67"/>
  <c r="AX18" i="67"/>
  <c r="AY18" i="67"/>
  <c r="AZ18" i="67"/>
  <c r="BA18" i="67"/>
  <c r="BB18" i="67"/>
  <c r="BC18" i="67"/>
  <c r="BD18" i="67"/>
  <c r="AP19" i="67"/>
  <c r="AQ19" i="67"/>
  <c r="AR19" i="67"/>
  <c r="AS19" i="67"/>
  <c r="AT19" i="67"/>
  <c r="AU19" i="67"/>
  <c r="AV19" i="67"/>
  <c r="AW19" i="67"/>
  <c r="AX19" i="67"/>
  <c r="AY19" i="67"/>
  <c r="AZ19" i="67"/>
  <c r="BA19" i="67"/>
  <c r="BB19" i="67"/>
  <c r="BC19" i="67"/>
  <c r="BD19" i="67"/>
  <c r="AP20" i="67"/>
  <c r="AQ20" i="67"/>
  <c r="AR20" i="67"/>
  <c r="AS20" i="67"/>
  <c r="AT20" i="67"/>
  <c r="AU20" i="67"/>
  <c r="AV20" i="67"/>
  <c r="AW20" i="67"/>
  <c r="CU20" i="67" s="1"/>
  <c r="AX20" i="67"/>
  <c r="AY20" i="67"/>
  <c r="AZ20" i="67"/>
  <c r="BA20" i="67"/>
  <c r="BB20" i="67"/>
  <c r="BC20" i="67"/>
  <c r="BD20" i="67"/>
  <c r="AP21" i="67"/>
  <c r="AQ21" i="67"/>
  <c r="AR21" i="67"/>
  <c r="AS21" i="67"/>
  <c r="AT21" i="67"/>
  <c r="AU21" i="67"/>
  <c r="AV21" i="67"/>
  <c r="AW21" i="67"/>
  <c r="AX21" i="67"/>
  <c r="AY21" i="67"/>
  <c r="AZ21" i="67"/>
  <c r="BA21" i="67"/>
  <c r="BB21" i="67"/>
  <c r="BC21" i="67"/>
  <c r="BD21" i="67"/>
  <c r="AP22" i="67"/>
  <c r="AQ22" i="67"/>
  <c r="AR22" i="67"/>
  <c r="AS22" i="67"/>
  <c r="AT22" i="67"/>
  <c r="AU22" i="67"/>
  <c r="CS22" i="67" s="1"/>
  <c r="AV22" i="67"/>
  <c r="AW22" i="67"/>
  <c r="AX22" i="67"/>
  <c r="AY22" i="67"/>
  <c r="AZ22" i="67"/>
  <c r="BA22" i="67"/>
  <c r="BB22" i="67"/>
  <c r="BC22" i="67"/>
  <c r="BD22" i="67"/>
  <c r="AP23" i="67"/>
  <c r="AQ23" i="67"/>
  <c r="AR23" i="67"/>
  <c r="AS23" i="67"/>
  <c r="AT23" i="67"/>
  <c r="AU23" i="67"/>
  <c r="AV23" i="67"/>
  <c r="AW23" i="67"/>
  <c r="AX23" i="67"/>
  <c r="AY23" i="67"/>
  <c r="AZ23" i="67"/>
  <c r="BA23" i="67"/>
  <c r="BB23" i="67"/>
  <c r="BC23" i="67"/>
  <c r="BD23" i="67"/>
  <c r="AP24" i="67"/>
  <c r="AQ24" i="67"/>
  <c r="AR24" i="67"/>
  <c r="AS24" i="67"/>
  <c r="AT24" i="67"/>
  <c r="AU24" i="67"/>
  <c r="AV24" i="67"/>
  <c r="AW24" i="67"/>
  <c r="CU24" i="67" s="1"/>
  <c r="AX24" i="67"/>
  <c r="CV24" i="67" s="1"/>
  <c r="AY24" i="67"/>
  <c r="AZ24" i="67"/>
  <c r="BA24" i="67"/>
  <c r="BB24" i="67"/>
  <c r="BC24" i="67"/>
  <c r="BD24" i="67"/>
  <c r="AP25" i="67"/>
  <c r="AQ25" i="67"/>
  <c r="AR25" i="67"/>
  <c r="AS25" i="67"/>
  <c r="AT25" i="67"/>
  <c r="AU25" i="67"/>
  <c r="AV25" i="67"/>
  <c r="AW25" i="67"/>
  <c r="AX25" i="67"/>
  <c r="AY25" i="67"/>
  <c r="AZ25" i="67"/>
  <c r="BA25" i="67"/>
  <c r="BB25" i="67"/>
  <c r="BC25" i="67"/>
  <c r="BD25" i="67"/>
  <c r="AA38" i="4"/>
  <c r="AO38" i="4"/>
  <c r="BC38" i="4"/>
  <c r="BQ38" i="4"/>
  <c r="CE38" i="4"/>
  <c r="CS38" i="4"/>
  <c r="DG38" i="4"/>
  <c r="U5" i="4"/>
  <c r="U6" i="4" s="1"/>
  <c r="U7" i="4" s="1"/>
  <c r="U8" i="4" s="1"/>
  <c r="U9" i="4" s="1"/>
  <c r="U10" i="4" s="1"/>
  <c r="U11" i="4" s="1"/>
  <c r="U12" i="4" s="1"/>
  <c r="U13" i="4" s="1"/>
  <c r="AI21" i="4"/>
  <c r="AW21" i="4" s="1"/>
  <c r="DC1" i="4"/>
  <c r="DD1" i="4" s="1"/>
  <c r="DE1" i="4" s="1"/>
  <c r="DF1" i="4" s="1"/>
  <c r="DG1" i="4" s="1"/>
  <c r="DH1" i="4" s="1"/>
  <c r="DI1" i="4" s="1"/>
  <c r="DJ1" i="4" s="1"/>
  <c r="DK1" i="4" s="1"/>
  <c r="DL1" i="4" s="1"/>
  <c r="DM1" i="4" s="1"/>
  <c r="CO1" i="4"/>
  <c r="CP1" i="4" s="1"/>
  <c r="CQ1" i="4" s="1"/>
  <c r="CR1" i="4" s="1"/>
  <c r="CS1" i="4" s="1"/>
  <c r="CT1" i="4" s="1"/>
  <c r="CU1" i="4" s="1"/>
  <c r="CV1" i="4" s="1"/>
  <c r="CW1" i="4" s="1"/>
  <c r="CX1" i="4" s="1"/>
  <c r="CY1" i="4" s="1"/>
  <c r="CA1" i="4"/>
  <c r="CB1" i="4" s="1"/>
  <c r="CC1" i="4" s="1"/>
  <c r="CD1" i="4" s="1"/>
  <c r="CE1" i="4" s="1"/>
  <c r="CF1" i="4" s="1"/>
  <c r="CG1" i="4" s="1"/>
  <c r="CH1" i="4" s="1"/>
  <c r="CI1" i="4" s="1"/>
  <c r="CJ1" i="4" s="1"/>
  <c r="CK1" i="4" s="1"/>
  <c r="BM1" i="4"/>
  <c r="BN1" i="4" s="1"/>
  <c r="BO1" i="4" s="1"/>
  <c r="BP1" i="4" s="1"/>
  <c r="BQ1" i="4" s="1"/>
  <c r="BR1" i="4" s="1"/>
  <c r="BS1" i="4" s="1"/>
  <c r="BT1" i="4" s="1"/>
  <c r="BU1" i="4" s="1"/>
  <c r="BV1" i="4" s="1"/>
  <c r="BW1" i="4" s="1"/>
  <c r="AY1" i="4"/>
  <c r="AZ1" i="4" s="1"/>
  <c r="BA1" i="4" s="1"/>
  <c r="BB1" i="4" s="1"/>
  <c r="BC1" i="4" s="1"/>
  <c r="BD1" i="4" s="1"/>
  <c r="BE1" i="4" s="1"/>
  <c r="BF1" i="4" s="1"/>
  <c r="BG1" i="4" s="1"/>
  <c r="BH1" i="4" s="1"/>
  <c r="BI1" i="4" s="1"/>
  <c r="AK1" i="4"/>
  <c r="AL1" i="4" s="1"/>
  <c r="AM1" i="4" s="1"/>
  <c r="AN1" i="4" s="1"/>
  <c r="AO1" i="4" s="1"/>
  <c r="AP1" i="4" s="1"/>
  <c r="AQ1" i="4" s="1"/>
  <c r="AR1" i="4" s="1"/>
  <c r="AS1" i="4" s="1"/>
  <c r="AT1" i="4" s="1"/>
  <c r="AU1" i="4" s="1"/>
  <c r="W1" i="4"/>
  <c r="A3" i="67"/>
  <c r="D8" i="73"/>
  <c r="D9" i="73" s="1"/>
  <c r="D10" i="73" s="1"/>
  <c r="D11" i="73" s="1"/>
  <c r="L128" i="34"/>
  <c r="L129" i="34"/>
  <c r="L130" i="34"/>
  <c r="L131" i="34"/>
  <c r="L132" i="34"/>
  <c r="L133" i="34"/>
  <c r="L128" i="38"/>
  <c r="L129" i="38"/>
  <c r="L130" i="38"/>
  <c r="L131" i="38"/>
  <c r="L132" i="38"/>
  <c r="L133" i="38"/>
  <c r="CZ20" i="67" l="1"/>
  <c r="J20" i="77"/>
  <c r="F20" i="154"/>
  <c r="J20" i="154" s="1"/>
  <c r="F20" i="32"/>
  <c r="AZ44" i="149"/>
  <c r="H92" i="76"/>
  <c r="F92" i="30"/>
  <c r="H92" i="75"/>
  <c r="F92" i="28"/>
  <c r="N92" i="28" s="1"/>
  <c r="AS37" i="149"/>
  <c r="G85" i="75"/>
  <c r="E85" i="28"/>
  <c r="M85" i="28" s="1"/>
  <c r="AQ35" i="149"/>
  <c r="G83" i="155"/>
  <c r="M83" i="155" s="1"/>
  <c r="E83" i="154"/>
  <c r="I83" i="154" s="1"/>
  <c r="E83" i="32"/>
  <c r="I83" i="77"/>
  <c r="U83" i="77" s="1"/>
  <c r="E83" i="30"/>
  <c r="G83" i="76"/>
  <c r="BB30" i="149"/>
  <c r="F78" i="154"/>
  <c r="J78" i="154" s="1"/>
  <c r="F78" i="32"/>
  <c r="J78" i="77"/>
  <c r="AZ28" i="149"/>
  <c r="H76" i="76"/>
  <c r="F76" i="30"/>
  <c r="H76" i="75"/>
  <c r="F76" i="28"/>
  <c r="N76" i="28" s="1"/>
  <c r="G69" i="75"/>
  <c r="E69" i="28"/>
  <c r="M69" i="28" s="1"/>
  <c r="AQ19" i="149"/>
  <c r="G67" i="155"/>
  <c r="M67" i="155" s="1"/>
  <c r="E67" i="32"/>
  <c r="E67" i="154"/>
  <c r="I67" i="154" s="1"/>
  <c r="I67" i="77"/>
  <c r="U67" i="77" s="1"/>
  <c r="E67" i="30"/>
  <c r="G67" i="76"/>
  <c r="F62" i="32"/>
  <c r="F62" i="154"/>
  <c r="J62" i="154" s="1"/>
  <c r="J62" i="77"/>
  <c r="H60" i="76"/>
  <c r="F60" i="30"/>
  <c r="H60" i="75"/>
  <c r="F60" i="28"/>
  <c r="N60" i="28" s="1"/>
  <c r="G53" i="75"/>
  <c r="E53" i="28"/>
  <c r="M53" i="28" s="1"/>
  <c r="AQ3" i="149"/>
  <c r="G51" i="155"/>
  <c r="M51" i="155" s="1"/>
  <c r="O51" i="155" s="1"/>
  <c r="P51" i="155" s="1"/>
  <c r="Q51" i="155" s="1"/>
  <c r="E51" i="32"/>
  <c r="I51" i="77"/>
  <c r="U51" i="77" s="1"/>
  <c r="E51" i="30"/>
  <c r="G51" i="76"/>
  <c r="E51" i="154"/>
  <c r="I51" i="154" s="1"/>
  <c r="F46" i="32"/>
  <c r="J46" i="77"/>
  <c r="F46" i="154"/>
  <c r="J46" i="154" s="1"/>
  <c r="H44" i="76"/>
  <c r="F44" i="30"/>
  <c r="H44" i="75"/>
  <c r="F44" i="28"/>
  <c r="N44" i="28" s="1"/>
  <c r="G37" i="75"/>
  <c r="E37" i="28"/>
  <c r="M37" i="28" s="1"/>
  <c r="G35" i="155"/>
  <c r="M35" i="155" s="1"/>
  <c r="O35" i="155" s="1"/>
  <c r="P35" i="155" s="1"/>
  <c r="Q35" i="155" s="1"/>
  <c r="E35" i="32"/>
  <c r="E35" i="154"/>
  <c r="I35" i="154" s="1"/>
  <c r="I35" i="77"/>
  <c r="U35" i="77" s="1"/>
  <c r="E35" i="30"/>
  <c r="G35" i="76"/>
  <c r="F30" i="154"/>
  <c r="J30" i="154" s="1"/>
  <c r="F30" i="32"/>
  <c r="J30" i="77"/>
  <c r="H28" i="76"/>
  <c r="F28" i="30"/>
  <c r="H28" i="75"/>
  <c r="F28" i="28"/>
  <c r="N28" i="28" s="1"/>
  <c r="BB63" i="149"/>
  <c r="J111" i="77"/>
  <c r="F111" i="154"/>
  <c r="J111" i="154" s="1"/>
  <c r="F111" i="32"/>
  <c r="AZ61" i="149"/>
  <c r="F109" i="30"/>
  <c r="H109" i="76"/>
  <c r="H109" i="75"/>
  <c r="F109" i="28"/>
  <c r="N109" i="28" s="1"/>
  <c r="AS54" i="149"/>
  <c r="G102" i="75"/>
  <c r="E102" i="28"/>
  <c r="M102" i="28" s="1"/>
  <c r="AQ52" i="149"/>
  <c r="G100" i="155"/>
  <c r="M100" i="155" s="1"/>
  <c r="I100" i="77"/>
  <c r="U100" i="77" s="1"/>
  <c r="E100" i="32"/>
  <c r="G100" i="76"/>
  <c r="E100" i="30"/>
  <c r="E100" i="154"/>
  <c r="I100" i="154" s="1"/>
  <c r="BB47" i="149"/>
  <c r="J95" i="77"/>
  <c r="F95" i="32"/>
  <c r="F95" i="154"/>
  <c r="J95" i="154" s="1"/>
  <c r="H93" i="76"/>
  <c r="F93" i="30"/>
  <c r="H93" i="75"/>
  <c r="F93" i="28"/>
  <c r="N93" i="28" s="1"/>
  <c r="AS38" i="149"/>
  <c r="G86" i="75"/>
  <c r="E86" i="28"/>
  <c r="M86" i="28" s="1"/>
  <c r="AQ36" i="149"/>
  <c r="G84" i="155"/>
  <c r="M84" i="155" s="1"/>
  <c r="I84" i="77"/>
  <c r="U84" i="77" s="1"/>
  <c r="E84" i="32"/>
  <c r="E84" i="154"/>
  <c r="I84" i="154" s="1"/>
  <c r="E84" i="30"/>
  <c r="G84" i="76"/>
  <c r="J79" i="77"/>
  <c r="F79" i="154"/>
  <c r="J79" i="154" s="1"/>
  <c r="F79" i="32"/>
  <c r="H77" i="76"/>
  <c r="F77" i="30"/>
  <c r="H77" i="75"/>
  <c r="F77" i="28"/>
  <c r="N77" i="28" s="1"/>
  <c r="E70" i="28"/>
  <c r="M70" i="28" s="1"/>
  <c r="G70" i="75"/>
  <c r="G68" i="155"/>
  <c r="M68" i="155" s="1"/>
  <c r="I68" i="77"/>
  <c r="U68" i="77" s="1"/>
  <c r="E68" i="154"/>
  <c r="I68" i="154" s="1"/>
  <c r="E68" i="32"/>
  <c r="G68" i="76"/>
  <c r="E68" i="30"/>
  <c r="J63" i="77"/>
  <c r="F63" i="154"/>
  <c r="J63" i="154" s="1"/>
  <c r="F63" i="32"/>
  <c r="H61" i="76"/>
  <c r="F61" i="30"/>
  <c r="H61" i="75"/>
  <c r="F61" i="28"/>
  <c r="N61" i="28" s="1"/>
  <c r="G54" i="75"/>
  <c r="E54" i="28"/>
  <c r="M54" i="28" s="1"/>
  <c r="G52" i="155"/>
  <c r="M52" i="155" s="1"/>
  <c r="O52" i="155" s="1"/>
  <c r="P52" i="155" s="1"/>
  <c r="Q52" i="155" s="1"/>
  <c r="I52" i="77"/>
  <c r="U52" i="77" s="1"/>
  <c r="E52" i="154"/>
  <c r="I52" i="154" s="1"/>
  <c r="E52" i="32"/>
  <c r="G52" i="76"/>
  <c r="E52" i="30"/>
  <c r="J47" i="77"/>
  <c r="F47" i="154"/>
  <c r="J47" i="154" s="1"/>
  <c r="F47" i="32"/>
  <c r="CX45" i="67"/>
  <c r="H45" i="76"/>
  <c r="F45" i="30"/>
  <c r="H45" i="75"/>
  <c r="F45" i="28"/>
  <c r="N45" i="28" s="1"/>
  <c r="E38" i="28"/>
  <c r="M38" i="28" s="1"/>
  <c r="G38" i="75"/>
  <c r="CO36" i="67"/>
  <c r="G36" i="155"/>
  <c r="M36" i="155" s="1"/>
  <c r="O36" i="155" s="1"/>
  <c r="P36" i="155" s="1"/>
  <c r="Q36" i="155" s="1"/>
  <c r="I36" i="77"/>
  <c r="U36" i="77" s="1"/>
  <c r="E36" i="154"/>
  <c r="I36" i="154" s="1"/>
  <c r="E36" i="32"/>
  <c r="G36" i="76"/>
  <c r="E36" i="30"/>
  <c r="J31" i="77"/>
  <c r="F31" i="154"/>
  <c r="J31" i="154" s="1"/>
  <c r="F31" i="32"/>
  <c r="H29" i="76"/>
  <c r="F29" i="30"/>
  <c r="H29" i="75"/>
  <c r="F29" i="28"/>
  <c r="N29" i="28" s="1"/>
  <c r="H26" i="76"/>
  <c r="F26" i="30"/>
  <c r="H26" i="75"/>
  <c r="F26" i="28"/>
  <c r="N26" i="28" s="1"/>
  <c r="BB32" i="149"/>
  <c r="F80" i="154"/>
  <c r="J80" i="154" s="1"/>
  <c r="F80" i="32"/>
  <c r="J80" i="77"/>
  <c r="AS23" i="149"/>
  <c r="G71" i="75"/>
  <c r="E71" i="28"/>
  <c r="M71" i="28" s="1"/>
  <c r="G69" i="155"/>
  <c r="M69" i="155" s="1"/>
  <c r="I69" i="77"/>
  <c r="U69" i="77" s="1"/>
  <c r="G69" i="76"/>
  <c r="E69" i="154"/>
  <c r="I69" i="154" s="1"/>
  <c r="E69" i="32"/>
  <c r="E69" i="30"/>
  <c r="BB16" i="149"/>
  <c r="F64" i="32"/>
  <c r="J64" i="77"/>
  <c r="F64" i="154"/>
  <c r="J64" i="154" s="1"/>
  <c r="AZ14" i="149"/>
  <c r="H62" i="76"/>
  <c r="H62" i="75"/>
  <c r="F62" i="30"/>
  <c r="F62" i="28"/>
  <c r="N62" i="28" s="1"/>
  <c r="AS7" i="149"/>
  <c r="G55" i="75"/>
  <c r="E55" i="28"/>
  <c r="M55" i="28" s="1"/>
  <c r="G53" i="155"/>
  <c r="M53" i="155" s="1"/>
  <c r="O53" i="155" s="1"/>
  <c r="P53" i="155" s="1"/>
  <c r="Q53" i="155" s="1"/>
  <c r="I53" i="77"/>
  <c r="U53" i="77" s="1"/>
  <c r="G53" i="76"/>
  <c r="E53" i="154"/>
  <c r="I53" i="154" s="1"/>
  <c r="E53" i="32"/>
  <c r="E53" i="30"/>
  <c r="CZ48" i="67"/>
  <c r="F48" i="154"/>
  <c r="J48" i="154" s="1"/>
  <c r="F48" i="32"/>
  <c r="J48" i="77"/>
  <c r="CX46" i="67"/>
  <c r="H46" i="75"/>
  <c r="F46" i="30"/>
  <c r="H46" i="76"/>
  <c r="F46" i="28"/>
  <c r="N46" i="28" s="1"/>
  <c r="CQ39" i="67"/>
  <c r="G39" i="75"/>
  <c r="E39" i="28"/>
  <c r="M39" i="28" s="1"/>
  <c r="CO37" i="67"/>
  <c r="G37" i="155"/>
  <c r="M37" i="155" s="1"/>
  <c r="O37" i="155" s="1"/>
  <c r="P37" i="155" s="1"/>
  <c r="Q37" i="155" s="1"/>
  <c r="I37" i="77"/>
  <c r="U37" i="77" s="1"/>
  <c r="G37" i="76"/>
  <c r="E37" i="32"/>
  <c r="E37" i="30"/>
  <c r="E37" i="154"/>
  <c r="I37" i="154" s="1"/>
  <c r="F32" i="32"/>
  <c r="F32" i="154"/>
  <c r="J32" i="154" s="1"/>
  <c r="J32" i="77"/>
  <c r="H30" i="76"/>
  <c r="F30" i="30"/>
  <c r="H30" i="75"/>
  <c r="F30" i="28"/>
  <c r="N30" i="28" s="1"/>
  <c r="G101" i="155"/>
  <c r="M101" i="155" s="1"/>
  <c r="E101" i="154"/>
  <c r="I101" i="154" s="1"/>
  <c r="I101" i="77"/>
  <c r="U101" i="77" s="1"/>
  <c r="G101" i="76"/>
  <c r="E101" i="32"/>
  <c r="E101" i="30"/>
  <c r="BB48" i="149"/>
  <c r="F96" i="32"/>
  <c r="J96" i="77"/>
  <c r="F96" i="154"/>
  <c r="J96" i="154" s="1"/>
  <c r="AZ46" i="149"/>
  <c r="H94" i="75"/>
  <c r="F94" i="30"/>
  <c r="H94" i="76"/>
  <c r="F94" i="28"/>
  <c r="N94" i="28" s="1"/>
  <c r="G87" i="75"/>
  <c r="E87" i="28"/>
  <c r="M87" i="28" s="1"/>
  <c r="G85" i="155"/>
  <c r="M85" i="155" s="1"/>
  <c r="I85" i="77"/>
  <c r="U85" i="77" s="1"/>
  <c r="E85" i="154"/>
  <c r="I85" i="154" s="1"/>
  <c r="G85" i="76"/>
  <c r="E85" i="30"/>
  <c r="E85" i="32"/>
  <c r="H78" i="76"/>
  <c r="F78" i="30"/>
  <c r="H78" i="75"/>
  <c r="F78" i="28"/>
  <c r="N78" i="28" s="1"/>
  <c r="F25" i="32"/>
  <c r="F25" i="154"/>
  <c r="J25" i="154" s="1"/>
  <c r="J25" i="77"/>
  <c r="F23" i="30"/>
  <c r="H23" i="75"/>
  <c r="H23" i="76"/>
  <c r="F23" i="28"/>
  <c r="N23" i="28" s="1"/>
  <c r="G16" i="75"/>
  <c r="E16" i="28"/>
  <c r="M16" i="28" s="1"/>
  <c r="CO14" i="67"/>
  <c r="G14" i="155"/>
  <c r="M14" i="155" s="1"/>
  <c r="O14" i="155" s="1"/>
  <c r="P14" i="155" s="1"/>
  <c r="Q14" i="155" s="1"/>
  <c r="I14" i="77"/>
  <c r="U14" i="77" s="1"/>
  <c r="E14" i="154"/>
  <c r="I14" i="154" s="1"/>
  <c r="E14" i="32"/>
  <c r="G14" i="76"/>
  <c r="E14" i="30"/>
  <c r="F9" i="32"/>
  <c r="J9" i="77"/>
  <c r="F9" i="154"/>
  <c r="J9" i="154" s="1"/>
  <c r="H7" i="76"/>
  <c r="F7" i="30"/>
  <c r="H7" i="75"/>
  <c r="F7" i="28"/>
  <c r="N7" i="28" s="1"/>
  <c r="G120" i="75"/>
  <c r="E120" i="28"/>
  <c r="M120" i="28" s="1"/>
  <c r="G118" i="155"/>
  <c r="M118" i="155" s="1"/>
  <c r="E118" i="32"/>
  <c r="E118" i="154"/>
  <c r="I118" i="154" s="1"/>
  <c r="I118" i="77"/>
  <c r="U118" i="77" s="1"/>
  <c r="G118" i="76"/>
  <c r="E118" i="30"/>
  <c r="J113" i="77"/>
  <c r="F113" i="32"/>
  <c r="F113" i="154"/>
  <c r="J113" i="154" s="1"/>
  <c r="F111" i="30"/>
  <c r="H111" i="76"/>
  <c r="H111" i="75"/>
  <c r="F111" i="28"/>
  <c r="N111" i="28" s="1"/>
  <c r="G104" i="75"/>
  <c r="E104" i="28"/>
  <c r="M104" i="28" s="1"/>
  <c r="G102" i="155"/>
  <c r="M102" i="155" s="1"/>
  <c r="E102" i="32"/>
  <c r="E102" i="154"/>
  <c r="I102" i="154" s="1"/>
  <c r="I102" i="77"/>
  <c r="U102" i="77" s="1"/>
  <c r="E102" i="30"/>
  <c r="G102" i="76"/>
  <c r="J97" i="77"/>
  <c r="F97" i="154"/>
  <c r="J97" i="154" s="1"/>
  <c r="F97" i="32"/>
  <c r="H95" i="76"/>
  <c r="H95" i="75"/>
  <c r="F95" i="30"/>
  <c r="F95" i="28"/>
  <c r="N95" i="28" s="1"/>
  <c r="G88" i="75"/>
  <c r="E88" i="28"/>
  <c r="M88" i="28" s="1"/>
  <c r="G86" i="155"/>
  <c r="M86" i="155" s="1"/>
  <c r="E86" i="32"/>
  <c r="I86" i="77"/>
  <c r="U86" i="77" s="1"/>
  <c r="E86" i="154"/>
  <c r="I86" i="154" s="1"/>
  <c r="G86" i="76"/>
  <c r="E86" i="30"/>
  <c r="J81" i="77"/>
  <c r="F81" i="154"/>
  <c r="J81" i="154" s="1"/>
  <c r="F81" i="32"/>
  <c r="H79" i="76"/>
  <c r="F79" i="30"/>
  <c r="H79" i="75"/>
  <c r="F79" i="28"/>
  <c r="N79" i="28" s="1"/>
  <c r="E72" i="28"/>
  <c r="M72" i="28" s="1"/>
  <c r="G72" i="75"/>
  <c r="G70" i="155"/>
  <c r="M70" i="155" s="1"/>
  <c r="E70" i="32"/>
  <c r="I70" i="77"/>
  <c r="U70" i="77" s="1"/>
  <c r="G70" i="76"/>
  <c r="E70" i="154"/>
  <c r="I70" i="154" s="1"/>
  <c r="E70" i="30"/>
  <c r="BB17" i="149"/>
  <c r="F65" i="154"/>
  <c r="J65" i="154" s="1"/>
  <c r="J65" i="77"/>
  <c r="F65" i="32"/>
  <c r="H63" i="75"/>
  <c r="F63" i="30"/>
  <c r="H63" i="76"/>
  <c r="F63" i="28"/>
  <c r="N63" i="28" s="1"/>
  <c r="G56" i="75"/>
  <c r="E56" i="28"/>
  <c r="M56" i="28" s="1"/>
  <c r="G54" i="155"/>
  <c r="M54" i="155" s="1"/>
  <c r="O54" i="155" s="1"/>
  <c r="P54" i="155" s="1"/>
  <c r="Q54" i="155" s="1"/>
  <c r="E54" i="32"/>
  <c r="I54" i="77"/>
  <c r="U54" i="77" s="1"/>
  <c r="E54" i="154"/>
  <c r="I54" i="154" s="1"/>
  <c r="G54" i="76"/>
  <c r="E54" i="30"/>
  <c r="J49" i="77"/>
  <c r="F49" i="154"/>
  <c r="J49" i="154" s="1"/>
  <c r="F49" i="32"/>
  <c r="CX47" i="67"/>
  <c r="H47" i="76"/>
  <c r="F47" i="30"/>
  <c r="H47" i="75"/>
  <c r="F47" i="28"/>
  <c r="N47" i="28" s="1"/>
  <c r="CQ40" i="67"/>
  <c r="G40" i="75"/>
  <c r="E40" i="28"/>
  <c r="M40" i="28" s="1"/>
  <c r="CO38" i="67"/>
  <c r="G38" i="155"/>
  <c r="M38" i="155" s="1"/>
  <c r="O38" i="155" s="1"/>
  <c r="P38" i="155" s="1"/>
  <c r="Q38" i="155" s="1"/>
  <c r="E38" i="32"/>
  <c r="I38" i="77"/>
  <c r="U38" i="77" s="1"/>
  <c r="G38" i="76"/>
  <c r="E38" i="154"/>
  <c r="I38" i="154" s="1"/>
  <c r="E38" i="30"/>
  <c r="J33" i="77"/>
  <c r="F33" i="154"/>
  <c r="J33" i="154" s="1"/>
  <c r="F33" i="32"/>
  <c r="F31" i="30"/>
  <c r="H31" i="76"/>
  <c r="H31" i="75"/>
  <c r="F31" i="28"/>
  <c r="N31" i="28" s="1"/>
  <c r="AS55" i="149"/>
  <c r="G103" i="75"/>
  <c r="E103" i="28"/>
  <c r="M103" i="28" s="1"/>
  <c r="H24" i="76"/>
  <c r="F24" i="30"/>
  <c r="H24" i="75"/>
  <c r="F24" i="28"/>
  <c r="N24" i="28" s="1"/>
  <c r="G17" i="75"/>
  <c r="E17" i="28"/>
  <c r="M17" i="28" s="1"/>
  <c r="J10" i="77"/>
  <c r="F10" i="154"/>
  <c r="J10" i="154" s="1"/>
  <c r="F10" i="32"/>
  <c r="H8" i="75"/>
  <c r="H8" i="76"/>
  <c r="F8" i="30"/>
  <c r="F8" i="28"/>
  <c r="N8" i="28" s="1"/>
  <c r="G119" i="155"/>
  <c r="M119" i="155" s="1"/>
  <c r="E119" i="32"/>
  <c r="E119" i="154"/>
  <c r="I119" i="154" s="1"/>
  <c r="I119" i="77"/>
  <c r="U119" i="77" s="1"/>
  <c r="G119" i="76"/>
  <c r="E119" i="30"/>
  <c r="BB34" i="149"/>
  <c r="F82" i="32"/>
  <c r="F82" i="154"/>
  <c r="J82" i="154" s="1"/>
  <c r="J82" i="77"/>
  <c r="AZ32" i="149"/>
  <c r="F80" i="30"/>
  <c r="H80" i="76"/>
  <c r="H80" i="75"/>
  <c r="F80" i="28"/>
  <c r="N80" i="28" s="1"/>
  <c r="AS25" i="149"/>
  <c r="G73" i="75"/>
  <c r="E73" i="28"/>
  <c r="M73" i="28" s="1"/>
  <c r="G71" i="155"/>
  <c r="M71" i="155" s="1"/>
  <c r="E71" i="32"/>
  <c r="I71" i="77"/>
  <c r="U71" i="77" s="1"/>
  <c r="E71" i="154"/>
  <c r="I71" i="154" s="1"/>
  <c r="G71" i="76"/>
  <c r="E71" i="30"/>
  <c r="F66" i="154"/>
  <c r="J66" i="154" s="1"/>
  <c r="F66" i="32"/>
  <c r="J66" i="77"/>
  <c r="AZ16" i="149"/>
  <c r="F64" i="30"/>
  <c r="H64" i="76"/>
  <c r="H64" i="75"/>
  <c r="F64" i="28"/>
  <c r="N64" i="28" s="1"/>
  <c r="AS9" i="149"/>
  <c r="G57" i="75"/>
  <c r="E57" i="28"/>
  <c r="M57" i="28" s="1"/>
  <c r="G55" i="155"/>
  <c r="M55" i="155" s="1"/>
  <c r="O55" i="155" s="1"/>
  <c r="P55" i="155" s="1"/>
  <c r="Q55" i="155" s="1"/>
  <c r="E55" i="32"/>
  <c r="I55" i="77"/>
  <c r="U55" i="77" s="1"/>
  <c r="E55" i="154"/>
  <c r="I55" i="154" s="1"/>
  <c r="G55" i="76"/>
  <c r="E55" i="30"/>
  <c r="F50" i="154"/>
  <c r="J50" i="154" s="1"/>
  <c r="F50" i="32"/>
  <c r="J50" i="77"/>
  <c r="F48" i="30"/>
  <c r="H48" i="75"/>
  <c r="H48" i="76"/>
  <c r="F48" i="28"/>
  <c r="N48" i="28" s="1"/>
  <c r="G41" i="75"/>
  <c r="E41" i="28"/>
  <c r="M41" i="28" s="1"/>
  <c r="CO39" i="67"/>
  <c r="G39" i="155"/>
  <c r="M39" i="155" s="1"/>
  <c r="O39" i="155" s="1"/>
  <c r="P39" i="155" s="1"/>
  <c r="Q39" i="155" s="1"/>
  <c r="E39" i="32"/>
  <c r="I39" i="77"/>
  <c r="U39" i="77" s="1"/>
  <c r="E39" i="154"/>
  <c r="I39" i="154" s="1"/>
  <c r="G39" i="76"/>
  <c r="E39" i="30"/>
  <c r="F34" i="32"/>
  <c r="J34" i="77"/>
  <c r="F34" i="154"/>
  <c r="J34" i="154" s="1"/>
  <c r="F32" i="30"/>
  <c r="H32" i="76"/>
  <c r="H32" i="75"/>
  <c r="F32" i="28"/>
  <c r="N32" i="28" s="1"/>
  <c r="G25" i="155"/>
  <c r="M25" i="155" s="1"/>
  <c r="O25" i="155" s="1"/>
  <c r="P25" i="155" s="1"/>
  <c r="Q25" i="155" s="1"/>
  <c r="I25" i="77"/>
  <c r="U25" i="77" s="1"/>
  <c r="E25" i="154"/>
  <c r="I25" i="154" s="1"/>
  <c r="G25" i="76"/>
  <c r="E25" i="30"/>
  <c r="E25" i="32"/>
  <c r="J21" i="77"/>
  <c r="F21" i="154"/>
  <c r="J21" i="154" s="1"/>
  <c r="F21" i="32"/>
  <c r="J22" i="77"/>
  <c r="F22" i="154"/>
  <c r="J22" i="154" s="1"/>
  <c r="F22" i="32"/>
  <c r="H20" i="76"/>
  <c r="F20" i="30"/>
  <c r="H20" i="75"/>
  <c r="F20" i="28"/>
  <c r="N20" i="28" s="1"/>
  <c r="G13" i="75"/>
  <c r="E13" i="28"/>
  <c r="M13" i="28" s="1"/>
  <c r="H4" i="76"/>
  <c r="F4" i="30"/>
  <c r="H4" i="75"/>
  <c r="F4" i="28"/>
  <c r="N4" i="28" s="1"/>
  <c r="G117" i="75"/>
  <c r="E117" i="28"/>
  <c r="M117" i="28" s="1"/>
  <c r="G14" i="75"/>
  <c r="E14" i="28"/>
  <c r="M14" i="28" s="1"/>
  <c r="G117" i="155"/>
  <c r="M117" i="155" s="1"/>
  <c r="I117" i="77"/>
  <c r="U117" i="77" s="1"/>
  <c r="E117" i="32"/>
  <c r="E117" i="30"/>
  <c r="E117" i="154"/>
  <c r="I117" i="154" s="1"/>
  <c r="G117" i="76"/>
  <c r="G103" i="155"/>
  <c r="M103" i="155" s="1"/>
  <c r="E103" i="32"/>
  <c r="E103" i="154"/>
  <c r="I103" i="154" s="1"/>
  <c r="I103" i="77"/>
  <c r="U103" i="77" s="1"/>
  <c r="G103" i="76"/>
  <c r="E103" i="30"/>
  <c r="AZ48" i="149"/>
  <c r="F96" i="30"/>
  <c r="H96" i="76"/>
  <c r="H96" i="75"/>
  <c r="F96" i="28"/>
  <c r="N96" i="28" s="1"/>
  <c r="BB67" i="149"/>
  <c r="F115" i="154"/>
  <c r="J115" i="154" s="1"/>
  <c r="F115" i="32"/>
  <c r="J115" i="77"/>
  <c r="AS58" i="149"/>
  <c r="G106" i="75"/>
  <c r="E106" i="28"/>
  <c r="M106" i="28" s="1"/>
  <c r="BB35" i="149"/>
  <c r="F83" i="32"/>
  <c r="J83" i="77"/>
  <c r="F83" i="154"/>
  <c r="J83" i="154" s="1"/>
  <c r="AZ33" i="149"/>
  <c r="H81" i="76"/>
  <c r="F81" i="30"/>
  <c r="H81" i="75"/>
  <c r="F81" i="28"/>
  <c r="N81" i="28" s="1"/>
  <c r="AS26" i="149"/>
  <c r="G74" i="75"/>
  <c r="E74" i="28"/>
  <c r="M74" i="28" s="1"/>
  <c r="AQ24" i="149"/>
  <c r="G72" i="155"/>
  <c r="M72" i="155" s="1"/>
  <c r="E72" i="154"/>
  <c r="I72" i="154" s="1"/>
  <c r="I72" i="77"/>
  <c r="U72" i="77" s="1"/>
  <c r="E72" i="32"/>
  <c r="G72" i="76"/>
  <c r="E72" i="30"/>
  <c r="F67" i="32"/>
  <c r="F67" i="154"/>
  <c r="J67" i="154" s="1"/>
  <c r="J67" i="77"/>
  <c r="AZ17" i="149"/>
  <c r="F65" i="30"/>
  <c r="H65" i="76"/>
  <c r="H65" i="75"/>
  <c r="F65" i="28"/>
  <c r="N65" i="28" s="1"/>
  <c r="AS10" i="149"/>
  <c r="G58" i="75"/>
  <c r="E58" i="28"/>
  <c r="M58" i="28" s="1"/>
  <c r="AQ8" i="149"/>
  <c r="G56" i="155"/>
  <c r="M56" i="155" s="1"/>
  <c r="O56" i="155" s="1"/>
  <c r="P56" i="155" s="1"/>
  <c r="Q56" i="155" s="1"/>
  <c r="I56" i="77"/>
  <c r="U56" i="77" s="1"/>
  <c r="E56" i="32"/>
  <c r="G56" i="76"/>
  <c r="E56" i="154"/>
  <c r="I56" i="154" s="1"/>
  <c r="E56" i="30"/>
  <c r="BB3" i="149"/>
  <c r="F51" i="154"/>
  <c r="J51" i="154" s="1"/>
  <c r="F51" i="32"/>
  <c r="J51" i="77"/>
  <c r="H49" i="76"/>
  <c r="F49" i="30"/>
  <c r="H49" i="75"/>
  <c r="F49" i="28"/>
  <c r="N49" i="28" s="1"/>
  <c r="G42" i="75"/>
  <c r="E42" i="28"/>
  <c r="M42" i="28" s="1"/>
  <c r="G40" i="155"/>
  <c r="M40" i="155" s="1"/>
  <c r="O40" i="155" s="1"/>
  <c r="P40" i="155" s="1"/>
  <c r="Q40" i="155" s="1"/>
  <c r="I40" i="77"/>
  <c r="U40" i="77" s="1"/>
  <c r="E40" i="154"/>
  <c r="I40" i="154" s="1"/>
  <c r="G40" i="76"/>
  <c r="E40" i="32"/>
  <c r="E40" i="30"/>
  <c r="F35" i="154"/>
  <c r="J35" i="154" s="1"/>
  <c r="F35" i="32"/>
  <c r="J35" i="77"/>
  <c r="CX33" i="67"/>
  <c r="H33" i="76"/>
  <c r="F33" i="30"/>
  <c r="H33" i="75"/>
  <c r="F33" i="28"/>
  <c r="N33" i="28" s="1"/>
  <c r="G9" i="155"/>
  <c r="M9" i="155" s="1"/>
  <c r="O9" i="155" s="1"/>
  <c r="P9" i="155" s="1"/>
  <c r="Q9" i="155" s="1"/>
  <c r="I9" i="77"/>
  <c r="U9" i="77" s="1"/>
  <c r="G9" i="76"/>
  <c r="E9" i="30"/>
  <c r="E9" i="154"/>
  <c r="I9" i="154" s="1"/>
  <c r="E9" i="32"/>
  <c r="J4" i="77"/>
  <c r="F4" i="154"/>
  <c r="J4" i="154" s="1"/>
  <c r="F4" i="32"/>
  <c r="AQ66" i="149"/>
  <c r="G114" i="155"/>
  <c r="M114" i="155" s="1"/>
  <c r="E114" i="32"/>
  <c r="E114" i="154"/>
  <c r="I114" i="154" s="1"/>
  <c r="I114" i="77"/>
  <c r="U114" i="77" s="1"/>
  <c r="G114" i="76"/>
  <c r="E114" i="30"/>
  <c r="AZ60" i="149"/>
  <c r="F108" i="30"/>
  <c r="H108" i="76"/>
  <c r="H108" i="75"/>
  <c r="F108" i="28"/>
  <c r="N108" i="28" s="1"/>
  <c r="H25" i="76"/>
  <c r="F25" i="30"/>
  <c r="H25" i="75"/>
  <c r="F25" i="28"/>
  <c r="N25" i="28" s="1"/>
  <c r="G18" i="75"/>
  <c r="E18" i="28"/>
  <c r="M18" i="28" s="1"/>
  <c r="F11" i="154"/>
  <c r="J11" i="154" s="1"/>
  <c r="F11" i="32"/>
  <c r="J11" i="77"/>
  <c r="G26" i="75"/>
  <c r="E26" i="28"/>
  <c r="M26" i="28" s="1"/>
  <c r="AQ72" i="149"/>
  <c r="G120" i="155"/>
  <c r="M120" i="155" s="1"/>
  <c r="E120" i="154"/>
  <c r="I120" i="154" s="1"/>
  <c r="I120" i="77"/>
  <c r="U120" i="77" s="1"/>
  <c r="E120" i="32"/>
  <c r="E120" i="30"/>
  <c r="G120" i="76"/>
  <c r="AZ65" i="149"/>
  <c r="H113" i="76"/>
  <c r="H113" i="75"/>
  <c r="F113" i="30"/>
  <c r="F113" i="28"/>
  <c r="N113" i="28" s="1"/>
  <c r="G90" i="75"/>
  <c r="E90" i="28"/>
  <c r="M90" i="28" s="1"/>
  <c r="G19" i="75"/>
  <c r="E19" i="28"/>
  <c r="M19" i="28" s="1"/>
  <c r="G17" i="155"/>
  <c r="M17" i="155" s="1"/>
  <c r="O17" i="155" s="1"/>
  <c r="P17" i="155" s="1"/>
  <c r="Q17" i="155" s="1"/>
  <c r="G17" i="76"/>
  <c r="I17" i="77"/>
  <c r="U17" i="77" s="1"/>
  <c r="E17" i="32"/>
  <c r="E17" i="154"/>
  <c r="I17" i="154" s="1"/>
  <c r="E17" i="30"/>
  <c r="J12" i="77"/>
  <c r="F12" i="32"/>
  <c r="F12" i="154"/>
  <c r="J12" i="154" s="1"/>
  <c r="H10" i="76"/>
  <c r="F10" i="30"/>
  <c r="H10" i="75"/>
  <c r="F10" i="28"/>
  <c r="N10" i="28" s="1"/>
  <c r="G27" i="75"/>
  <c r="E27" i="28"/>
  <c r="M27" i="28" s="1"/>
  <c r="G121" i="155"/>
  <c r="M121" i="155" s="1"/>
  <c r="E121" i="154"/>
  <c r="I121" i="154" s="1"/>
  <c r="I121" i="77"/>
  <c r="U121" i="77" s="1"/>
  <c r="E121" i="32"/>
  <c r="G121" i="76"/>
  <c r="E121" i="30"/>
  <c r="J116" i="77"/>
  <c r="F116" i="154"/>
  <c r="J116" i="154" s="1"/>
  <c r="F116" i="32"/>
  <c r="H114" i="76"/>
  <c r="H114" i="75"/>
  <c r="F114" i="30"/>
  <c r="F114" i="28"/>
  <c r="N114" i="28" s="1"/>
  <c r="G107" i="75"/>
  <c r="E107" i="28"/>
  <c r="M107" i="28" s="1"/>
  <c r="G105" i="155"/>
  <c r="M105" i="155" s="1"/>
  <c r="I105" i="77"/>
  <c r="U105" i="77" s="1"/>
  <c r="E105" i="154"/>
  <c r="I105" i="154" s="1"/>
  <c r="G105" i="76"/>
  <c r="E105" i="30"/>
  <c r="E105" i="32"/>
  <c r="J100" i="77"/>
  <c r="F100" i="154"/>
  <c r="J100" i="154" s="1"/>
  <c r="K100" i="154" s="1"/>
  <c r="F100" i="32"/>
  <c r="F98" i="30"/>
  <c r="H98" i="76"/>
  <c r="H98" i="75"/>
  <c r="F98" i="28"/>
  <c r="N98" i="28" s="1"/>
  <c r="G91" i="75"/>
  <c r="E91" i="28"/>
  <c r="M91" i="28" s="1"/>
  <c r="G89" i="155"/>
  <c r="M89" i="155" s="1"/>
  <c r="E89" i="154"/>
  <c r="I89" i="154" s="1"/>
  <c r="I89" i="77"/>
  <c r="U89" i="77" s="1"/>
  <c r="G89" i="76"/>
  <c r="E89" i="30"/>
  <c r="E89" i="32"/>
  <c r="J84" i="77"/>
  <c r="F84" i="154"/>
  <c r="J84" i="154" s="1"/>
  <c r="F84" i="32"/>
  <c r="F82" i="30"/>
  <c r="H82" i="76"/>
  <c r="H82" i="75"/>
  <c r="F82" i="28"/>
  <c r="N82" i="28" s="1"/>
  <c r="G75" i="75"/>
  <c r="E75" i="28"/>
  <c r="M75" i="28" s="1"/>
  <c r="G73" i="155"/>
  <c r="M73" i="155" s="1"/>
  <c r="I73" i="77"/>
  <c r="U73" i="77" s="1"/>
  <c r="E73" i="154"/>
  <c r="I73" i="154" s="1"/>
  <c r="G73" i="76"/>
  <c r="E73" i="32"/>
  <c r="E73" i="30"/>
  <c r="J68" i="77"/>
  <c r="F68" i="32"/>
  <c r="F68" i="154"/>
  <c r="J68" i="154" s="1"/>
  <c r="H66" i="76"/>
  <c r="F66" i="30"/>
  <c r="H66" i="75"/>
  <c r="F66" i="28"/>
  <c r="N66" i="28" s="1"/>
  <c r="G59" i="75"/>
  <c r="E59" i="28"/>
  <c r="M59" i="28" s="1"/>
  <c r="G57" i="155"/>
  <c r="M57" i="155" s="1"/>
  <c r="O57" i="155" s="1"/>
  <c r="P57" i="155" s="1"/>
  <c r="Q57" i="155" s="1"/>
  <c r="I57" i="77"/>
  <c r="U57" i="77" s="1"/>
  <c r="E57" i="154"/>
  <c r="I57" i="154" s="1"/>
  <c r="G57" i="76"/>
  <c r="E57" i="30"/>
  <c r="E57" i="32"/>
  <c r="J52" i="77"/>
  <c r="F52" i="32"/>
  <c r="F52" i="154"/>
  <c r="J52" i="154" s="1"/>
  <c r="F50" i="30"/>
  <c r="H50" i="76"/>
  <c r="H50" i="75"/>
  <c r="F50" i="28"/>
  <c r="N50" i="28" s="1"/>
  <c r="CQ43" i="67"/>
  <c r="G43" i="75"/>
  <c r="E43" i="28"/>
  <c r="M43" i="28" s="1"/>
  <c r="CO41" i="67"/>
  <c r="G41" i="155"/>
  <c r="M41" i="155" s="1"/>
  <c r="O41" i="155" s="1"/>
  <c r="P41" i="155" s="1"/>
  <c r="Q41" i="155" s="1"/>
  <c r="E41" i="154"/>
  <c r="I41" i="154" s="1"/>
  <c r="I41" i="77"/>
  <c r="U41" i="77" s="1"/>
  <c r="G41" i="76"/>
  <c r="E41" i="30"/>
  <c r="E41" i="32"/>
  <c r="J36" i="77"/>
  <c r="F36" i="32"/>
  <c r="F36" i="154"/>
  <c r="J36" i="154" s="1"/>
  <c r="F34" i="30"/>
  <c r="H34" i="76"/>
  <c r="H34" i="75"/>
  <c r="F34" i="28"/>
  <c r="N34" i="28" s="1"/>
  <c r="BB66" i="149"/>
  <c r="F114" i="154"/>
  <c r="J114" i="154" s="1"/>
  <c r="F114" i="32"/>
  <c r="J114" i="77"/>
  <c r="AQ56" i="149"/>
  <c r="G104" i="155"/>
  <c r="M104" i="155" s="1"/>
  <c r="E104" i="154"/>
  <c r="I104" i="154" s="1"/>
  <c r="I104" i="77"/>
  <c r="U104" i="77" s="1"/>
  <c r="G104" i="76"/>
  <c r="E104" i="30"/>
  <c r="E104" i="32"/>
  <c r="BB51" i="149"/>
  <c r="F99" i="154"/>
  <c r="J99" i="154" s="1"/>
  <c r="F99" i="32"/>
  <c r="J99" i="77"/>
  <c r="AZ49" i="149"/>
  <c r="H97" i="76"/>
  <c r="F97" i="30"/>
  <c r="H97" i="75"/>
  <c r="F97" i="28"/>
  <c r="N97" i="28" s="1"/>
  <c r="AQ40" i="149"/>
  <c r="G88" i="155"/>
  <c r="M88" i="155" s="1"/>
  <c r="I88" i="77"/>
  <c r="U88" i="77" s="1"/>
  <c r="E88" i="32"/>
  <c r="E88" i="154"/>
  <c r="I88" i="154" s="1"/>
  <c r="E88" i="30"/>
  <c r="G88" i="76"/>
  <c r="G20" i="75"/>
  <c r="E20" i="28"/>
  <c r="M20" i="28" s="1"/>
  <c r="CO18" i="67"/>
  <c r="G18" i="155"/>
  <c r="M18" i="155" s="1"/>
  <c r="O18" i="155" s="1"/>
  <c r="P18" i="155" s="1"/>
  <c r="Q18" i="155" s="1"/>
  <c r="E18" i="154"/>
  <c r="I18" i="154" s="1"/>
  <c r="I18" i="77"/>
  <c r="U18" i="77" s="1"/>
  <c r="G18" i="76"/>
  <c r="E18" i="32"/>
  <c r="E18" i="30"/>
  <c r="J13" i="77"/>
  <c r="F13" i="32"/>
  <c r="F13" i="154"/>
  <c r="J13" i="154" s="1"/>
  <c r="H11" i="76"/>
  <c r="F11" i="30"/>
  <c r="H11" i="75"/>
  <c r="F11" i="28"/>
  <c r="N11" i="28" s="1"/>
  <c r="G4" i="75"/>
  <c r="E4" i="28"/>
  <c r="M4" i="28" s="1"/>
  <c r="CO26" i="67"/>
  <c r="G26" i="155"/>
  <c r="M26" i="155" s="1"/>
  <c r="O26" i="155" s="1"/>
  <c r="P26" i="155" s="1"/>
  <c r="Q26" i="155" s="1"/>
  <c r="G26" i="76"/>
  <c r="E26" i="32"/>
  <c r="I26" i="77"/>
  <c r="U26" i="77" s="1"/>
  <c r="E26" i="154"/>
  <c r="I26" i="154" s="1"/>
  <c r="E26" i="30"/>
  <c r="J117" i="77"/>
  <c r="F117" i="154"/>
  <c r="J117" i="154" s="1"/>
  <c r="F117" i="32"/>
  <c r="F115" i="30"/>
  <c r="H115" i="76"/>
  <c r="H115" i="75"/>
  <c r="F115" i="28"/>
  <c r="N115" i="28" s="1"/>
  <c r="G108" i="75"/>
  <c r="E108" i="28"/>
  <c r="M108" i="28" s="1"/>
  <c r="G106" i="155"/>
  <c r="M106" i="155" s="1"/>
  <c r="E106" i="32"/>
  <c r="I106" i="77"/>
  <c r="U106" i="77" s="1"/>
  <c r="E106" i="30"/>
  <c r="E106" i="154"/>
  <c r="I106" i="154" s="1"/>
  <c r="G106" i="76"/>
  <c r="J101" i="77"/>
  <c r="F101" i="32"/>
  <c r="F101" i="154"/>
  <c r="J101" i="154" s="1"/>
  <c r="F99" i="30"/>
  <c r="H99" i="76"/>
  <c r="H99" i="75"/>
  <c r="F99" i="28"/>
  <c r="N99" i="28" s="1"/>
  <c r="G92" i="75"/>
  <c r="E92" i="28"/>
  <c r="M92" i="28" s="1"/>
  <c r="G90" i="155"/>
  <c r="M90" i="155" s="1"/>
  <c r="E90" i="32"/>
  <c r="I90" i="77"/>
  <c r="U90" i="77" s="1"/>
  <c r="E90" i="154"/>
  <c r="I90" i="154" s="1"/>
  <c r="G90" i="76"/>
  <c r="E90" i="30"/>
  <c r="F85" i="154"/>
  <c r="J85" i="154" s="1"/>
  <c r="J85" i="77"/>
  <c r="F85" i="32"/>
  <c r="F83" i="30"/>
  <c r="H83" i="75"/>
  <c r="H83" i="76"/>
  <c r="F83" i="28"/>
  <c r="N83" i="28" s="1"/>
  <c r="G76" i="75"/>
  <c r="E76" i="28"/>
  <c r="M76" i="28" s="1"/>
  <c r="G74" i="155"/>
  <c r="M74" i="155" s="1"/>
  <c r="G74" i="76"/>
  <c r="E74" i="32"/>
  <c r="I74" i="77"/>
  <c r="U74" i="77" s="1"/>
  <c r="E74" i="154"/>
  <c r="I74" i="154" s="1"/>
  <c r="E74" i="30"/>
  <c r="F69" i="154"/>
  <c r="J69" i="154" s="1"/>
  <c r="F69" i="32"/>
  <c r="J69" i="77"/>
  <c r="H67" i="76"/>
  <c r="F67" i="30"/>
  <c r="H67" i="75"/>
  <c r="F67" i="28"/>
  <c r="N67" i="28" s="1"/>
  <c r="G60" i="75"/>
  <c r="E60" i="28"/>
  <c r="M60" i="28" s="1"/>
  <c r="G58" i="155"/>
  <c r="M58" i="155" s="1"/>
  <c r="O58" i="155" s="1"/>
  <c r="P58" i="155" s="1"/>
  <c r="Q58" i="155" s="1"/>
  <c r="G58" i="76"/>
  <c r="E58" i="154"/>
  <c r="I58" i="154" s="1"/>
  <c r="E58" i="32"/>
  <c r="I58" i="77"/>
  <c r="U58" i="77" s="1"/>
  <c r="E58" i="30"/>
  <c r="J53" i="77"/>
  <c r="F53" i="154"/>
  <c r="J53" i="154" s="1"/>
  <c r="F53" i="32"/>
  <c r="F51" i="30"/>
  <c r="H51" i="76"/>
  <c r="H51" i="75"/>
  <c r="F51" i="28"/>
  <c r="N51" i="28" s="1"/>
  <c r="G44" i="75"/>
  <c r="E44" i="28"/>
  <c r="M44" i="28" s="1"/>
  <c r="CO42" i="67"/>
  <c r="G42" i="155"/>
  <c r="M42" i="155" s="1"/>
  <c r="O42" i="155" s="1"/>
  <c r="P42" i="155" s="1"/>
  <c r="Q42" i="155" s="1"/>
  <c r="G42" i="76"/>
  <c r="E42" i="32"/>
  <c r="I42" i="77"/>
  <c r="U42" i="77" s="1"/>
  <c r="E42" i="30"/>
  <c r="E42" i="154"/>
  <c r="I42" i="154" s="1"/>
  <c r="CZ37" i="67"/>
  <c r="F37" i="154"/>
  <c r="J37" i="154" s="1"/>
  <c r="J37" i="77"/>
  <c r="F37" i="32"/>
  <c r="F35" i="30"/>
  <c r="H35" i="75"/>
  <c r="H35" i="76"/>
  <c r="F35" i="28"/>
  <c r="N35" i="28" s="1"/>
  <c r="G28" i="75"/>
  <c r="E28" i="28"/>
  <c r="M28" i="28" s="1"/>
  <c r="AZ59" i="149"/>
  <c r="H107" i="76"/>
  <c r="H107" i="75"/>
  <c r="F107" i="30"/>
  <c r="F107" i="28"/>
  <c r="N107" i="28" s="1"/>
  <c r="G100" i="75"/>
  <c r="E100" i="28"/>
  <c r="M100" i="28" s="1"/>
  <c r="AQ67" i="149"/>
  <c r="G115" i="155"/>
  <c r="M115" i="155" s="1"/>
  <c r="E115" i="154"/>
  <c r="I115" i="154" s="1"/>
  <c r="E115" i="32"/>
  <c r="G115" i="76"/>
  <c r="I115" i="77"/>
  <c r="U115" i="77" s="1"/>
  <c r="E115" i="30"/>
  <c r="BB62" i="149"/>
  <c r="F110" i="32"/>
  <c r="J110" i="77"/>
  <c r="F110" i="154"/>
  <c r="J110" i="154" s="1"/>
  <c r="AS70" i="149"/>
  <c r="G118" i="75"/>
  <c r="E118" i="28"/>
  <c r="M118" i="28" s="1"/>
  <c r="J24" i="77"/>
  <c r="F24" i="32"/>
  <c r="F24" i="154"/>
  <c r="J24" i="154" s="1"/>
  <c r="F112" i="32"/>
  <c r="J112" i="77"/>
  <c r="F112" i="154"/>
  <c r="J112" i="154" s="1"/>
  <c r="AS57" i="149"/>
  <c r="G105" i="75"/>
  <c r="E105" i="28"/>
  <c r="M105" i="28" s="1"/>
  <c r="G109" i="75"/>
  <c r="E109" i="28"/>
  <c r="M109" i="28" s="1"/>
  <c r="F102" i="32"/>
  <c r="J102" i="77"/>
  <c r="F102" i="154"/>
  <c r="J102" i="154" s="1"/>
  <c r="H100" i="76"/>
  <c r="F100" i="30"/>
  <c r="H100" i="75"/>
  <c r="F100" i="28"/>
  <c r="N100" i="28" s="1"/>
  <c r="G93" i="75"/>
  <c r="E93" i="28"/>
  <c r="M93" i="28" s="1"/>
  <c r="G91" i="155"/>
  <c r="M91" i="155" s="1"/>
  <c r="E91" i="32"/>
  <c r="I91" i="77"/>
  <c r="U91" i="77" s="1"/>
  <c r="E91" i="154"/>
  <c r="I91" i="154" s="1"/>
  <c r="G91" i="76"/>
  <c r="E91" i="30"/>
  <c r="F86" i="32"/>
  <c r="F86" i="154"/>
  <c r="J86" i="154" s="1"/>
  <c r="J86" i="77"/>
  <c r="H84" i="76"/>
  <c r="H84" i="75"/>
  <c r="F84" i="30"/>
  <c r="F84" i="28"/>
  <c r="N84" i="28" s="1"/>
  <c r="G77" i="75"/>
  <c r="E77" i="28"/>
  <c r="M77" i="28" s="1"/>
  <c r="G75" i="155"/>
  <c r="M75" i="155" s="1"/>
  <c r="E75" i="154"/>
  <c r="I75" i="154" s="1"/>
  <c r="E75" i="32"/>
  <c r="I75" i="77"/>
  <c r="U75" i="77" s="1"/>
  <c r="G75" i="76"/>
  <c r="E75" i="30"/>
  <c r="F70" i="32"/>
  <c r="J70" i="77"/>
  <c r="F70" i="154"/>
  <c r="J70" i="154" s="1"/>
  <c r="H68" i="76"/>
  <c r="F68" i="30"/>
  <c r="H68" i="75"/>
  <c r="F68" i="28"/>
  <c r="N68" i="28" s="1"/>
  <c r="G61" i="75"/>
  <c r="E61" i="28"/>
  <c r="M61" i="28" s="1"/>
  <c r="G59" i="155"/>
  <c r="M59" i="155" s="1"/>
  <c r="O59" i="155" s="1"/>
  <c r="P59" i="155" s="1"/>
  <c r="Q59" i="155" s="1"/>
  <c r="E59" i="154"/>
  <c r="I59" i="154" s="1"/>
  <c r="E59" i="32"/>
  <c r="I59" i="77"/>
  <c r="U59" i="77" s="1"/>
  <c r="G59" i="76"/>
  <c r="E59" i="30"/>
  <c r="BB6" i="149"/>
  <c r="F54" i="32"/>
  <c r="J54" i="77"/>
  <c r="F54" i="154"/>
  <c r="J54" i="154" s="1"/>
  <c r="H52" i="76"/>
  <c r="F52" i="30"/>
  <c r="H52" i="75"/>
  <c r="F52" i="28"/>
  <c r="N52" i="28" s="1"/>
  <c r="G45" i="75"/>
  <c r="E45" i="28"/>
  <c r="M45" i="28" s="1"/>
  <c r="CO43" i="67"/>
  <c r="G43" i="155"/>
  <c r="M43" i="155" s="1"/>
  <c r="O43" i="155" s="1"/>
  <c r="P43" i="155" s="1"/>
  <c r="Q43" i="155" s="1"/>
  <c r="E43" i="154"/>
  <c r="I43" i="154" s="1"/>
  <c r="E43" i="32"/>
  <c r="I43" i="77"/>
  <c r="U43" i="77" s="1"/>
  <c r="E43" i="30"/>
  <c r="G43" i="76"/>
  <c r="CZ38" i="67"/>
  <c r="F38" i="32"/>
  <c r="J38" i="77"/>
  <c r="F38" i="154"/>
  <c r="J38" i="154" s="1"/>
  <c r="CX36" i="67"/>
  <c r="H36" i="76"/>
  <c r="F36" i="30"/>
  <c r="H36" i="75"/>
  <c r="F36" i="28"/>
  <c r="N36" i="28" s="1"/>
  <c r="G29" i="75"/>
  <c r="E29" i="28"/>
  <c r="M29" i="28" s="1"/>
  <c r="G121" i="75"/>
  <c r="E121" i="28"/>
  <c r="M121" i="28" s="1"/>
  <c r="AZ64" i="149"/>
  <c r="F112" i="30"/>
  <c r="H112" i="76"/>
  <c r="H112" i="75"/>
  <c r="F112" i="28"/>
  <c r="N112" i="28" s="1"/>
  <c r="F98" i="32"/>
  <c r="J98" i="77"/>
  <c r="F98" i="154"/>
  <c r="J98" i="154" s="1"/>
  <c r="AS41" i="149"/>
  <c r="G89" i="75"/>
  <c r="E89" i="28"/>
  <c r="M89" i="28" s="1"/>
  <c r="G87" i="155"/>
  <c r="M87" i="155" s="1"/>
  <c r="E87" i="32"/>
  <c r="E87" i="154"/>
  <c r="I87" i="154" s="1"/>
  <c r="I87" i="77"/>
  <c r="U87" i="77" s="1"/>
  <c r="G87" i="76"/>
  <c r="E87" i="30"/>
  <c r="G16" i="155"/>
  <c r="M16" i="155" s="1"/>
  <c r="O16" i="155" s="1"/>
  <c r="P16" i="155" s="1"/>
  <c r="Q16" i="155" s="1"/>
  <c r="E16" i="32"/>
  <c r="I16" i="77"/>
  <c r="U16" i="77" s="1"/>
  <c r="E16" i="30"/>
  <c r="E16" i="154"/>
  <c r="I16" i="154" s="1"/>
  <c r="G16" i="76"/>
  <c r="H9" i="76"/>
  <c r="F9" i="30"/>
  <c r="H9" i="75"/>
  <c r="F9" i="28"/>
  <c r="N9" i="28" s="1"/>
  <c r="G22" i="75"/>
  <c r="E22" i="28"/>
  <c r="M22" i="28" s="1"/>
  <c r="CO20" i="67"/>
  <c r="G20" i="155"/>
  <c r="M20" i="155" s="1"/>
  <c r="O20" i="155" s="1"/>
  <c r="P20" i="155" s="1"/>
  <c r="Q20" i="155" s="1"/>
  <c r="I20" i="77"/>
  <c r="U20" i="77" s="1"/>
  <c r="E20" i="154"/>
  <c r="I20" i="154" s="1"/>
  <c r="K20" i="154" s="1"/>
  <c r="E20" i="32"/>
  <c r="G20" i="76"/>
  <c r="E20" i="30"/>
  <c r="F15" i="32"/>
  <c r="J15" i="77"/>
  <c r="F15" i="154"/>
  <c r="J15" i="154" s="1"/>
  <c r="H13" i="76"/>
  <c r="F13" i="30"/>
  <c r="H13" i="75"/>
  <c r="F13" i="28"/>
  <c r="N13" i="28" s="1"/>
  <c r="G6" i="75"/>
  <c r="E6" i="28"/>
  <c r="M6" i="28" s="1"/>
  <c r="CA4" i="67"/>
  <c r="G4" i="155"/>
  <c r="M4" i="155" s="1"/>
  <c r="O4" i="155" s="1"/>
  <c r="P4" i="155" s="1"/>
  <c r="Q4" i="155" s="1"/>
  <c r="I4" i="77"/>
  <c r="U4" i="77" s="1"/>
  <c r="E4" i="32"/>
  <c r="E4" i="154"/>
  <c r="I4" i="154" s="1"/>
  <c r="G4" i="76"/>
  <c r="E4" i="30"/>
  <c r="J119" i="77"/>
  <c r="F119" i="154"/>
  <c r="J119" i="154" s="1"/>
  <c r="F119" i="32"/>
  <c r="AS62" i="149"/>
  <c r="G110" i="75"/>
  <c r="E110" i="28"/>
  <c r="M110" i="28" s="1"/>
  <c r="E94" i="28"/>
  <c r="M94" i="28" s="1"/>
  <c r="G94" i="75"/>
  <c r="G92" i="155"/>
  <c r="M92" i="155" s="1"/>
  <c r="I92" i="77"/>
  <c r="U92" i="77" s="1"/>
  <c r="E92" i="154"/>
  <c r="I92" i="154" s="1"/>
  <c r="E92" i="32"/>
  <c r="G92" i="76"/>
  <c r="E92" i="30"/>
  <c r="AZ37" i="149"/>
  <c r="H85" i="76"/>
  <c r="F85" i="30"/>
  <c r="H85" i="75"/>
  <c r="F85" i="28"/>
  <c r="N85" i="28" s="1"/>
  <c r="AQ28" i="149"/>
  <c r="G76" i="155"/>
  <c r="M76" i="155" s="1"/>
  <c r="I76" i="77"/>
  <c r="U76" i="77" s="1"/>
  <c r="E76" i="32"/>
  <c r="E76" i="154"/>
  <c r="I76" i="154" s="1"/>
  <c r="E76" i="30"/>
  <c r="G76" i="76"/>
  <c r="BB23" i="149"/>
  <c r="J71" i="77"/>
  <c r="F71" i="32"/>
  <c r="F71" i="154"/>
  <c r="J71" i="154" s="1"/>
  <c r="AZ21" i="149"/>
  <c r="F69" i="30"/>
  <c r="H69" i="75"/>
  <c r="H69" i="76"/>
  <c r="F69" i="28"/>
  <c r="N69" i="28" s="1"/>
  <c r="AS14" i="149"/>
  <c r="E62" i="28"/>
  <c r="M62" i="28" s="1"/>
  <c r="G62" i="75"/>
  <c r="AQ12" i="149"/>
  <c r="G60" i="155"/>
  <c r="M60" i="155" s="1"/>
  <c r="O60" i="155" s="1"/>
  <c r="P60" i="155" s="1"/>
  <c r="Q60" i="155" s="1"/>
  <c r="I60" i="77"/>
  <c r="U60" i="77" s="1"/>
  <c r="E60" i="154"/>
  <c r="I60" i="154" s="1"/>
  <c r="E60" i="32"/>
  <c r="G60" i="76"/>
  <c r="E60" i="30"/>
  <c r="BB7" i="149"/>
  <c r="F55" i="154"/>
  <c r="J55" i="154" s="1"/>
  <c r="J55" i="77"/>
  <c r="F55" i="32"/>
  <c r="AZ5" i="149"/>
  <c r="F53" i="30"/>
  <c r="H53" i="76"/>
  <c r="H53" i="75"/>
  <c r="F53" i="28"/>
  <c r="N53" i="28" s="1"/>
  <c r="G46" i="75"/>
  <c r="E46" i="28"/>
  <c r="M46" i="28" s="1"/>
  <c r="G44" i="155"/>
  <c r="M44" i="155" s="1"/>
  <c r="O44" i="155" s="1"/>
  <c r="P44" i="155" s="1"/>
  <c r="Q44" i="155" s="1"/>
  <c r="I44" i="77"/>
  <c r="U44" i="77" s="1"/>
  <c r="E44" i="154"/>
  <c r="I44" i="154" s="1"/>
  <c r="E44" i="32"/>
  <c r="G44" i="76"/>
  <c r="E44" i="30"/>
  <c r="J39" i="77"/>
  <c r="F39" i="154"/>
  <c r="J39" i="154" s="1"/>
  <c r="F39" i="32"/>
  <c r="H37" i="76"/>
  <c r="F37" i="30"/>
  <c r="H37" i="75"/>
  <c r="F37" i="28"/>
  <c r="N37" i="28" s="1"/>
  <c r="G30" i="75"/>
  <c r="E30" i="28"/>
  <c r="M30" i="28" s="1"/>
  <c r="G28" i="155"/>
  <c r="M28" i="155" s="1"/>
  <c r="O28" i="155" s="1"/>
  <c r="P28" i="155" s="1"/>
  <c r="Q28" i="155" s="1"/>
  <c r="I28" i="77"/>
  <c r="U28" i="77" s="1"/>
  <c r="E28" i="154"/>
  <c r="I28" i="154" s="1"/>
  <c r="E28" i="32"/>
  <c r="E28" i="30"/>
  <c r="G28" i="76"/>
  <c r="G11" i="75"/>
  <c r="E11" i="28"/>
  <c r="M11" i="28" s="1"/>
  <c r="F19" i="30"/>
  <c r="H19" i="76"/>
  <c r="H19" i="75"/>
  <c r="F19" i="28"/>
  <c r="N19" i="28" s="1"/>
  <c r="G10" i="155"/>
  <c r="M10" i="155" s="1"/>
  <c r="O10" i="155" s="1"/>
  <c r="P10" i="155" s="1"/>
  <c r="Q10" i="155" s="1"/>
  <c r="G10" i="76"/>
  <c r="I10" i="77"/>
  <c r="U10" i="77" s="1"/>
  <c r="E10" i="30"/>
  <c r="E10" i="154"/>
  <c r="I10" i="154" s="1"/>
  <c r="E10" i="32"/>
  <c r="J5" i="77"/>
  <c r="F5" i="154"/>
  <c r="J5" i="154" s="1"/>
  <c r="F5" i="32"/>
  <c r="F27" i="30"/>
  <c r="H27" i="76"/>
  <c r="H27" i="75"/>
  <c r="F27" i="28"/>
  <c r="N27" i="28" s="1"/>
  <c r="AS68" i="149"/>
  <c r="G116" i="75"/>
  <c r="E116" i="28"/>
  <c r="M116" i="28" s="1"/>
  <c r="CO11" i="67"/>
  <c r="G11" i="155"/>
  <c r="M11" i="155" s="1"/>
  <c r="O11" i="155" s="1"/>
  <c r="P11" i="155" s="1"/>
  <c r="Q11" i="155" s="1"/>
  <c r="E11" i="32"/>
  <c r="E11" i="154"/>
  <c r="I11" i="154" s="1"/>
  <c r="I11" i="77"/>
  <c r="U11" i="77" s="1"/>
  <c r="G11" i="76"/>
  <c r="E11" i="30"/>
  <c r="F6" i="154"/>
  <c r="J6" i="154" s="1"/>
  <c r="J6" i="77"/>
  <c r="F6" i="32"/>
  <c r="AS53" i="149"/>
  <c r="G101" i="75"/>
  <c r="E101" i="28"/>
  <c r="M101" i="28" s="1"/>
  <c r="BB46" i="149"/>
  <c r="F94" i="32"/>
  <c r="J94" i="77"/>
  <c r="F94" i="154"/>
  <c r="J94" i="154" s="1"/>
  <c r="F23" i="32"/>
  <c r="J23" i="77"/>
  <c r="F23" i="154"/>
  <c r="J23" i="154" s="1"/>
  <c r="F21" i="30"/>
  <c r="H21" i="76"/>
  <c r="H21" i="75"/>
  <c r="F21" i="28"/>
  <c r="N21" i="28" s="1"/>
  <c r="G12" i="155"/>
  <c r="M12" i="155" s="1"/>
  <c r="O12" i="155" s="1"/>
  <c r="P12" i="155" s="1"/>
  <c r="Q12" i="155" s="1"/>
  <c r="I12" i="77"/>
  <c r="U12" i="77" s="1"/>
  <c r="E12" i="154"/>
  <c r="I12" i="154" s="1"/>
  <c r="E12" i="32"/>
  <c r="G12" i="76"/>
  <c r="E12" i="30"/>
  <c r="F7" i="32"/>
  <c r="J7" i="77"/>
  <c r="F7" i="154"/>
  <c r="J7" i="154" s="1"/>
  <c r="F5" i="30"/>
  <c r="H5" i="75"/>
  <c r="H5" i="76"/>
  <c r="F5" i="28"/>
  <c r="N5" i="28" s="1"/>
  <c r="AQ68" i="149"/>
  <c r="G116" i="155"/>
  <c r="M116" i="155" s="1"/>
  <c r="I116" i="77"/>
  <c r="U116" i="77" s="1"/>
  <c r="E116" i="32"/>
  <c r="E116" i="154"/>
  <c r="I116" i="154" s="1"/>
  <c r="E116" i="30"/>
  <c r="G116" i="76"/>
  <c r="F22" i="30"/>
  <c r="H22" i="76"/>
  <c r="H22" i="75"/>
  <c r="F22" i="28"/>
  <c r="N22" i="28" s="1"/>
  <c r="G15" i="75"/>
  <c r="E15" i="28"/>
  <c r="M15" i="28" s="1"/>
  <c r="G13" i="155"/>
  <c r="M13" i="155" s="1"/>
  <c r="O13" i="155" s="1"/>
  <c r="P13" i="155" s="1"/>
  <c r="Q13" i="155" s="1"/>
  <c r="E13" i="154"/>
  <c r="I13" i="154" s="1"/>
  <c r="I13" i="77"/>
  <c r="U13" i="77" s="1"/>
  <c r="E13" i="32"/>
  <c r="E13" i="30"/>
  <c r="G13" i="76"/>
  <c r="F8" i="154"/>
  <c r="J8" i="154" s="1"/>
  <c r="J8" i="77"/>
  <c r="F8" i="32"/>
  <c r="H6" i="76"/>
  <c r="F6" i="30"/>
  <c r="H6" i="75"/>
  <c r="F6" i="28"/>
  <c r="N6" i="28" s="1"/>
  <c r="AS71" i="149"/>
  <c r="G119" i="75"/>
  <c r="E119" i="28"/>
  <c r="M119" i="28" s="1"/>
  <c r="H110" i="76"/>
  <c r="F110" i="30"/>
  <c r="H110" i="75"/>
  <c r="F110" i="28"/>
  <c r="N110" i="28" s="1"/>
  <c r="G21" i="75"/>
  <c r="E21" i="28"/>
  <c r="M21" i="28" s="1"/>
  <c r="J14" i="77"/>
  <c r="F14" i="154"/>
  <c r="J14" i="154" s="1"/>
  <c r="F14" i="32"/>
  <c r="H12" i="76"/>
  <c r="F12" i="30"/>
  <c r="H12" i="75"/>
  <c r="F12" i="28"/>
  <c r="N12" i="28" s="1"/>
  <c r="G5" i="75"/>
  <c r="E5" i="28"/>
  <c r="M5" i="28" s="1"/>
  <c r="CO27" i="67"/>
  <c r="G27" i="155"/>
  <c r="M27" i="155" s="1"/>
  <c r="O27" i="155" s="1"/>
  <c r="P27" i="155" s="1"/>
  <c r="Q27" i="155" s="1"/>
  <c r="E27" i="154"/>
  <c r="I27" i="154" s="1"/>
  <c r="E27" i="32"/>
  <c r="I27" i="77"/>
  <c r="U27" i="77" s="1"/>
  <c r="G27" i="76"/>
  <c r="E27" i="30"/>
  <c r="F118" i="154"/>
  <c r="J118" i="154" s="1"/>
  <c r="F118" i="32"/>
  <c r="J118" i="77"/>
  <c r="F116" i="30"/>
  <c r="H116" i="76"/>
  <c r="H116" i="75"/>
  <c r="F116" i="28"/>
  <c r="N116" i="28" s="1"/>
  <c r="G107" i="155"/>
  <c r="M107" i="155" s="1"/>
  <c r="E107" i="32"/>
  <c r="E107" i="154"/>
  <c r="I107" i="154" s="1"/>
  <c r="E107" i="30"/>
  <c r="G107" i="76"/>
  <c r="I107" i="77"/>
  <c r="U107" i="77" s="1"/>
  <c r="AZ69" i="149"/>
  <c r="H117" i="76"/>
  <c r="F117" i="30"/>
  <c r="H117" i="75"/>
  <c r="F117" i="28"/>
  <c r="N117" i="28" s="1"/>
  <c r="G108" i="155"/>
  <c r="M108" i="155" s="1"/>
  <c r="I108" i="77"/>
  <c r="U108" i="77" s="1"/>
  <c r="E108" i="154"/>
  <c r="I108" i="154" s="1"/>
  <c r="E108" i="32"/>
  <c r="E108" i="30"/>
  <c r="G108" i="76"/>
  <c r="BB55" i="149"/>
  <c r="F103" i="154"/>
  <c r="J103" i="154" s="1"/>
  <c r="J103" i="77"/>
  <c r="F103" i="32"/>
  <c r="AZ53" i="149"/>
  <c r="H101" i="76"/>
  <c r="F101" i="30"/>
  <c r="H101" i="75"/>
  <c r="F101" i="28"/>
  <c r="N101" i="28" s="1"/>
  <c r="J87" i="77"/>
  <c r="F87" i="154"/>
  <c r="J87" i="154" s="1"/>
  <c r="F87" i="32"/>
  <c r="AS30" i="149"/>
  <c r="G78" i="75"/>
  <c r="E78" i="28"/>
  <c r="M78" i="28" s="1"/>
  <c r="A4" i="67"/>
  <c r="A3" i="155"/>
  <c r="A3" i="154"/>
  <c r="G23" i="75"/>
  <c r="E23" i="28"/>
  <c r="M23" i="28" s="1"/>
  <c r="CO21" i="67"/>
  <c r="G21" i="155"/>
  <c r="M21" i="155" s="1"/>
  <c r="O21" i="155" s="1"/>
  <c r="P21" i="155" s="1"/>
  <c r="Q21" i="155" s="1"/>
  <c r="I21" i="77"/>
  <c r="U21" i="77" s="1"/>
  <c r="G21" i="76"/>
  <c r="E21" i="32"/>
  <c r="E21" i="154"/>
  <c r="I21" i="154" s="1"/>
  <c r="K21" i="154" s="1"/>
  <c r="E21" i="30"/>
  <c r="CZ16" i="67"/>
  <c r="F16" i="154"/>
  <c r="J16" i="154" s="1"/>
  <c r="J16" i="77"/>
  <c r="F16" i="32"/>
  <c r="H14" i="76"/>
  <c r="H14" i="75"/>
  <c r="F14" i="30"/>
  <c r="F14" i="28"/>
  <c r="N14" i="28" s="1"/>
  <c r="G7" i="75"/>
  <c r="E7" i="28"/>
  <c r="M7" i="28" s="1"/>
  <c r="CA5" i="67"/>
  <c r="G5" i="155"/>
  <c r="M5" i="155" s="1"/>
  <c r="O5" i="155" s="1"/>
  <c r="P5" i="155" s="1"/>
  <c r="Q5" i="155" s="1"/>
  <c r="I5" i="77"/>
  <c r="U5" i="77" s="1"/>
  <c r="E5" i="32"/>
  <c r="E5" i="154"/>
  <c r="I5" i="154" s="1"/>
  <c r="E5" i="30"/>
  <c r="G5" i="76"/>
  <c r="F120" i="32"/>
  <c r="J120" i="77"/>
  <c r="F120" i="154"/>
  <c r="J120" i="154" s="1"/>
  <c r="AZ70" i="149"/>
  <c r="H118" i="76"/>
  <c r="H118" i="75"/>
  <c r="F118" i="30"/>
  <c r="F118" i="28"/>
  <c r="N118" i="28" s="1"/>
  <c r="G111" i="75"/>
  <c r="E111" i="28"/>
  <c r="M111" i="28" s="1"/>
  <c r="G109" i="155"/>
  <c r="M109" i="155" s="1"/>
  <c r="I109" i="77"/>
  <c r="U109" i="77" s="1"/>
  <c r="E109" i="154"/>
  <c r="I109" i="154" s="1"/>
  <c r="E109" i="30"/>
  <c r="E109" i="32"/>
  <c r="G109" i="76"/>
  <c r="F104" i="32"/>
  <c r="J104" i="77"/>
  <c r="F104" i="154"/>
  <c r="J104" i="154" s="1"/>
  <c r="AZ54" i="149"/>
  <c r="F102" i="30"/>
  <c r="H102" i="75"/>
  <c r="H102" i="76"/>
  <c r="F102" i="28"/>
  <c r="N102" i="28" s="1"/>
  <c r="G95" i="75"/>
  <c r="E95" i="28"/>
  <c r="M95" i="28" s="1"/>
  <c r="G93" i="155"/>
  <c r="M93" i="155" s="1"/>
  <c r="I93" i="77"/>
  <c r="U93" i="77" s="1"/>
  <c r="E93" i="154"/>
  <c r="I93" i="154" s="1"/>
  <c r="E93" i="32"/>
  <c r="E93" i="30"/>
  <c r="G93" i="76"/>
  <c r="F88" i="154"/>
  <c r="J88" i="154" s="1"/>
  <c r="F88" i="32"/>
  <c r="J88" i="77"/>
  <c r="AZ38" i="149"/>
  <c r="F86" i="30"/>
  <c r="H86" i="76"/>
  <c r="H86" i="75"/>
  <c r="F86" i="28"/>
  <c r="N86" i="28" s="1"/>
  <c r="G79" i="75"/>
  <c r="E79" i="28"/>
  <c r="M79" i="28" s="1"/>
  <c r="G77" i="155"/>
  <c r="M77" i="155" s="1"/>
  <c r="I77" i="77"/>
  <c r="U77" i="77" s="1"/>
  <c r="E77" i="32"/>
  <c r="E77" i="30"/>
  <c r="G77" i="76"/>
  <c r="E77" i="154"/>
  <c r="I77" i="154" s="1"/>
  <c r="F72" i="154"/>
  <c r="J72" i="154" s="1"/>
  <c r="F72" i="32"/>
  <c r="J72" i="77"/>
  <c r="AZ22" i="149"/>
  <c r="F70" i="30"/>
  <c r="H70" i="76"/>
  <c r="H70" i="75"/>
  <c r="F70" i="28"/>
  <c r="N70" i="28" s="1"/>
  <c r="G63" i="75"/>
  <c r="E63" i="28"/>
  <c r="M63" i="28" s="1"/>
  <c r="G61" i="155"/>
  <c r="M61" i="155" s="1"/>
  <c r="O61" i="155" s="1"/>
  <c r="P61" i="155" s="1"/>
  <c r="Q61" i="155" s="1"/>
  <c r="I61" i="77"/>
  <c r="U61" i="77" s="1"/>
  <c r="E61" i="154"/>
  <c r="I61" i="154" s="1"/>
  <c r="E61" i="30"/>
  <c r="G61" i="76"/>
  <c r="E61" i="32"/>
  <c r="F56" i="32"/>
  <c r="J56" i="77"/>
  <c r="F56" i="154"/>
  <c r="J56" i="154" s="1"/>
  <c r="AZ6" i="149"/>
  <c r="F54" i="30"/>
  <c r="H54" i="76"/>
  <c r="H54" i="75"/>
  <c r="F54" i="28"/>
  <c r="N54" i="28" s="1"/>
  <c r="CQ47" i="67"/>
  <c r="G47" i="75"/>
  <c r="E47" i="28"/>
  <c r="M47" i="28" s="1"/>
  <c r="CO45" i="67"/>
  <c r="G45" i="155"/>
  <c r="M45" i="155" s="1"/>
  <c r="O45" i="155" s="1"/>
  <c r="P45" i="155" s="1"/>
  <c r="Q45" i="155" s="1"/>
  <c r="E45" i="154"/>
  <c r="I45" i="154" s="1"/>
  <c r="I45" i="77"/>
  <c r="U45" i="77" s="1"/>
  <c r="E45" i="30"/>
  <c r="G45" i="76"/>
  <c r="E45" i="32"/>
  <c r="CZ40" i="67"/>
  <c r="F40" i="154"/>
  <c r="J40" i="154" s="1"/>
  <c r="F40" i="32"/>
  <c r="J40" i="77"/>
  <c r="CX38" i="67"/>
  <c r="F38" i="30"/>
  <c r="H38" i="76"/>
  <c r="H38" i="75"/>
  <c r="F38" i="28"/>
  <c r="N38" i="28" s="1"/>
  <c r="G31" i="75"/>
  <c r="E31" i="28"/>
  <c r="M31" i="28" s="1"/>
  <c r="CO29" i="67"/>
  <c r="G29" i="155"/>
  <c r="M29" i="155" s="1"/>
  <c r="O29" i="155" s="1"/>
  <c r="P29" i="155" s="1"/>
  <c r="Q29" i="155" s="1"/>
  <c r="I29" i="77"/>
  <c r="U29" i="77" s="1"/>
  <c r="E29" i="32"/>
  <c r="E29" i="30"/>
  <c r="E29" i="154"/>
  <c r="I29" i="154" s="1"/>
  <c r="G29" i="76"/>
  <c r="F18" i="30"/>
  <c r="H18" i="76"/>
  <c r="H18" i="75"/>
  <c r="F18" i="28"/>
  <c r="N18" i="28" s="1"/>
  <c r="CO19" i="67"/>
  <c r="G19" i="155"/>
  <c r="M19" i="155" s="1"/>
  <c r="O19" i="155" s="1"/>
  <c r="P19" i="155" s="1"/>
  <c r="Q19" i="155" s="1"/>
  <c r="E19" i="32"/>
  <c r="I19" i="77"/>
  <c r="U19" i="77" s="1"/>
  <c r="E19" i="154"/>
  <c r="I19" i="154" s="1"/>
  <c r="E19" i="30"/>
  <c r="G19" i="76"/>
  <c r="G24" i="75"/>
  <c r="E24" i="28"/>
  <c r="M24" i="28" s="1"/>
  <c r="CO22" i="67"/>
  <c r="G22" i="155"/>
  <c r="M22" i="155" s="1"/>
  <c r="O22" i="155" s="1"/>
  <c r="P22" i="155" s="1"/>
  <c r="Q22" i="155" s="1"/>
  <c r="I22" i="77"/>
  <c r="U22" i="77" s="1"/>
  <c r="E22" i="154"/>
  <c r="I22" i="154" s="1"/>
  <c r="K22" i="154" s="1"/>
  <c r="G22" i="76"/>
  <c r="E22" i="32"/>
  <c r="E22" i="30"/>
  <c r="F17" i="32"/>
  <c r="J17" i="77"/>
  <c r="F17" i="154"/>
  <c r="J17" i="154" s="1"/>
  <c r="H15" i="76"/>
  <c r="F15" i="30"/>
  <c r="H15" i="75"/>
  <c r="F15" i="28"/>
  <c r="N15" i="28" s="1"/>
  <c r="G8" i="75"/>
  <c r="E8" i="28"/>
  <c r="M8" i="28" s="1"/>
  <c r="CA6" i="67"/>
  <c r="G6" i="155"/>
  <c r="M6" i="155" s="1"/>
  <c r="O6" i="155" s="1"/>
  <c r="P6" i="155" s="1"/>
  <c r="Q6" i="155" s="1"/>
  <c r="E6" i="154"/>
  <c r="I6" i="154" s="1"/>
  <c r="I6" i="77"/>
  <c r="U6" i="77" s="1"/>
  <c r="E6" i="30"/>
  <c r="E6" i="32"/>
  <c r="G6" i="76"/>
  <c r="F121" i="154"/>
  <c r="J121" i="154" s="1"/>
  <c r="J121" i="77"/>
  <c r="F121" i="32"/>
  <c r="F119" i="30"/>
  <c r="H119" i="76"/>
  <c r="H119" i="75"/>
  <c r="F119" i="28"/>
  <c r="N119" i="28" s="1"/>
  <c r="G112" i="75"/>
  <c r="E112" i="28"/>
  <c r="M112" i="28" s="1"/>
  <c r="G110" i="155"/>
  <c r="M110" i="155" s="1"/>
  <c r="E110" i="32"/>
  <c r="E110" i="154"/>
  <c r="I110" i="154" s="1"/>
  <c r="K110" i="154" s="1"/>
  <c r="G110" i="76"/>
  <c r="I110" i="77"/>
  <c r="U110" i="77" s="1"/>
  <c r="E110" i="30"/>
  <c r="F105" i="154"/>
  <c r="J105" i="154" s="1"/>
  <c r="J105" i="77"/>
  <c r="F105" i="32"/>
  <c r="H103" i="76"/>
  <c r="F103" i="30"/>
  <c r="H103" i="75"/>
  <c r="F103" i="28"/>
  <c r="N103" i="28" s="1"/>
  <c r="G96" i="75"/>
  <c r="E96" i="28"/>
  <c r="M96" i="28" s="1"/>
  <c r="G94" i="155"/>
  <c r="M94" i="155" s="1"/>
  <c r="E94" i="32"/>
  <c r="I94" i="77"/>
  <c r="U94" i="77" s="1"/>
  <c r="G94" i="76"/>
  <c r="E94" i="30"/>
  <c r="E94" i="154"/>
  <c r="I94" i="154" s="1"/>
  <c r="F89" i="154"/>
  <c r="J89" i="154" s="1"/>
  <c r="J89" i="77"/>
  <c r="F89" i="32"/>
  <c r="H87" i="76"/>
  <c r="H87" i="75"/>
  <c r="F87" i="28"/>
  <c r="N87" i="28" s="1"/>
  <c r="F87" i="30"/>
  <c r="G80" i="75"/>
  <c r="E80" i="28"/>
  <c r="M80" i="28" s="1"/>
  <c r="G78" i="155"/>
  <c r="M78" i="155" s="1"/>
  <c r="E78" i="32"/>
  <c r="E78" i="154"/>
  <c r="I78" i="154" s="1"/>
  <c r="K78" i="154" s="1"/>
  <c r="I78" i="77"/>
  <c r="U78" i="77" s="1"/>
  <c r="G78" i="76"/>
  <c r="E78" i="30"/>
  <c r="J73" i="77"/>
  <c r="F73" i="154"/>
  <c r="J73" i="154" s="1"/>
  <c r="F73" i="32"/>
  <c r="H71" i="76"/>
  <c r="F71" i="30"/>
  <c r="H71" i="75"/>
  <c r="F71" i="28"/>
  <c r="N71" i="28" s="1"/>
  <c r="E64" i="28"/>
  <c r="M64" i="28" s="1"/>
  <c r="G64" i="75"/>
  <c r="G62" i="155"/>
  <c r="M62" i="155" s="1"/>
  <c r="E62" i="32"/>
  <c r="I62" i="77"/>
  <c r="U62" i="77" s="1"/>
  <c r="E62" i="154"/>
  <c r="I62" i="154" s="1"/>
  <c r="K62" i="154" s="1"/>
  <c r="E62" i="30"/>
  <c r="G62" i="76"/>
  <c r="F57" i="154"/>
  <c r="J57" i="154" s="1"/>
  <c r="J57" i="77"/>
  <c r="F57" i="32"/>
  <c r="H55" i="76"/>
  <c r="H55" i="75"/>
  <c r="F55" i="30"/>
  <c r="F55" i="28"/>
  <c r="N55" i="28" s="1"/>
  <c r="CQ48" i="67"/>
  <c r="G48" i="75"/>
  <c r="E48" i="28"/>
  <c r="M48" i="28" s="1"/>
  <c r="CO46" i="67"/>
  <c r="G46" i="155"/>
  <c r="M46" i="155" s="1"/>
  <c r="O46" i="155" s="1"/>
  <c r="P46" i="155" s="1"/>
  <c r="Q46" i="155" s="1"/>
  <c r="E46" i="32"/>
  <c r="I46" i="77"/>
  <c r="U46" i="77" s="1"/>
  <c r="E46" i="154"/>
  <c r="I46" i="154" s="1"/>
  <c r="K46" i="154" s="1"/>
  <c r="G46" i="76"/>
  <c r="E46" i="30"/>
  <c r="CZ41" i="67"/>
  <c r="F41" i="154"/>
  <c r="J41" i="154" s="1"/>
  <c r="J41" i="77"/>
  <c r="F41" i="32"/>
  <c r="H39" i="76"/>
  <c r="F39" i="30"/>
  <c r="H39" i="75"/>
  <c r="F39" i="28"/>
  <c r="N39" i="28" s="1"/>
  <c r="G32" i="75"/>
  <c r="E32" i="28"/>
  <c r="M32" i="28" s="1"/>
  <c r="CO30" i="67"/>
  <c r="G30" i="155"/>
  <c r="M30" i="155" s="1"/>
  <c r="O30" i="155" s="1"/>
  <c r="P30" i="155" s="1"/>
  <c r="Q30" i="155" s="1"/>
  <c r="E30" i="32"/>
  <c r="E30" i="154"/>
  <c r="I30" i="154" s="1"/>
  <c r="K30" i="154" s="1"/>
  <c r="I30" i="77"/>
  <c r="U30" i="77" s="1"/>
  <c r="E30" i="30"/>
  <c r="G30" i="76"/>
  <c r="F109" i="154"/>
  <c r="J109" i="154" s="1"/>
  <c r="F109" i="32"/>
  <c r="J109" i="77"/>
  <c r="CO15" i="67"/>
  <c r="G15" i="155"/>
  <c r="M15" i="155" s="1"/>
  <c r="O15" i="155" s="1"/>
  <c r="P15" i="155" s="1"/>
  <c r="Q15" i="155" s="1"/>
  <c r="E15" i="32"/>
  <c r="I15" i="77"/>
  <c r="U15" i="77" s="1"/>
  <c r="E15" i="30"/>
  <c r="G15" i="76"/>
  <c r="E15" i="154"/>
  <c r="I15" i="154" s="1"/>
  <c r="G25" i="75"/>
  <c r="E25" i="28"/>
  <c r="M25" i="28" s="1"/>
  <c r="G23" i="155"/>
  <c r="M23" i="155" s="1"/>
  <c r="O23" i="155" s="1"/>
  <c r="P23" i="155" s="1"/>
  <c r="Q23" i="155" s="1"/>
  <c r="E23" i="32"/>
  <c r="E23" i="154"/>
  <c r="I23" i="154" s="1"/>
  <c r="I23" i="77"/>
  <c r="U23" i="77" s="1"/>
  <c r="G23" i="76"/>
  <c r="E23" i="30"/>
  <c r="F18" i="154"/>
  <c r="J18" i="154" s="1"/>
  <c r="J18" i="77"/>
  <c r="F18" i="32"/>
  <c r="F16" i="30"/>
  <c r="H16" i="75"/>
  <c r="H16" i="76"/>
  <c r="F16" i="28"/>
  <c r="N16" i="28" s="1"/>
  <c r="G9" i="75"/>
  <c r="E9" i="28"/>
  <c r="M9" i="28" s="1"/>
  <c r="CA7" i="67"/>
  <c r="G7" i="155"/>
  <c r="M7" i="155" s="1"/>
  <c r="O7" i="155" s="1"/>
  <c r="P7" i="155" s="1"/>
  <c r="Q7" i="155" s="1"/>
  <c r="E7" i="32"/>
  <c r="I7" i="77"/>
  <c r="U7" i="77" s="1"/>
  <c r="G7" i="76"/>
  <c r="E7" i="154"/>
  <c r="I7" i="154" s="1"/>
  <c r="E7" i="30"/>
  <c r="F26" i="154"/>
  <c r="J26" i="154" s="1"/>
  <c r="F26" i="32"/>
  <c r="J26" i="77"/>
  <c r="AZ56" i="149"/>
  <c r="H104" i="76"/>
  <c r="F104" i="30"/>
  <c r="H104" i="75"/>
  <c r="F104" i="28"/>
  <c r="N104" i="28" s="1"/>
  <c r="AQ47" i="149"/>
  <c r="G95" i="155"/>
  <c r="M95" i="155" s="1"/>
  <c r="E95" i="154"/>
  <c r="I95" i="154" s="1"/>
  <c r="K95" i="154" s="1"/>
  <c r="E95" i="32"/>
  <c r="E95" i="30"/>
  <c r="I95" i="77"/>
  <c r="U95" i="77" s="1"/>
  <c r="G95" i="76"/>
  <c r="F58" i="32"/>
  <c r="J58" i="77"/>
  <c r="F58" i="154"/>
  <c r="J58" i="154" s="1"/>
  <c r="H56" i="76"/>
  <c r="F56" i="30"/>
  <c r="H56" i="75"/>
  <c r="F56" i="28"/>
  <c r="N56" i="28" s="1"/>
  <c r="CQ49" i="67"/>
  <c r="G49" i="75"/>
  <c r="E49" i="28"/>
  <c r="M49" i="28" s="1"/>
  <c r="CA47" i="67"/>
  <c r="G47" i="155"/>
  <c r="M47" i="155" s="1"/>
  <c r="O47" i="155" s="1"/>
  <c r="P47" i="155" s="1"/>
  <c r="Q47" i="155" s="1"/>
  <c r="E47" i="32"/>
  <c r="I47" i="77"/>
  <c r="U47" i="77" s="1"/>
  <c r="E47" i="30"/>
  <c r="E47" i="154"/>
  <c r="I47" i="154" s="1"/>
  <c r="K47" i="154" s="1"/>
  <c r="G47" i="76"/>
  <c r="CZ42" i="67"/>
  <c r="F42" i="32"/>
  <c r="J42" i="77"/>
  <c r="F42" i="154"/>
  <c r="J42" i="154" s="1"/>
  <c r="CX40" i="67"/>
  <c r="H40" i="76"/>
  <c r="F40" i="30"/>
  <c r="H40" i="75"/>
  <c r="F40" i="28"/>
  <c r="N40" i="28" s="1"/>
  <c r="CQ33" i="67"/>
  <c r="G33" i="75"/>
  <c r="E33" i="28"/>
  <c r="M33" i="28" s="1"/>
  <c r="CO31" i="67"/>
  <c r="G31" i="155"/>
  <c r="M31" i="155" s="1"/>
  <c r="O31" i="155" s="1"/>
  <c r="P31" i="155" s="1"/>
  <c r="Q31" i="155" s="1"/>
  <c r="E31" i="32"/>
  <c r="I31" i="77"/>
  <c r="U31" i="77" s="1"/>
  <c r="E31" i="154"/>
  <c r="I31" i="154" s="1"/>
  <c r="K31" i="154" s="1"/>
  <c r="E31" i="30"/>
  <c r="G31" i="76"/>
  <c r="CQ12" i="67"/>
  <c r="G12" i="75"/>
  <c r="E12" i="28"/>
  <c r="M12" i="28" s="1"/>
  <c r="AQ51" i="149"/>
  <c r="G99" i="155"/>
  <c r="M99" i="155" s="1"/>
  <c r="E99" i="154"/>
  <c r="I99" i="154" s="1"/>
  <c r="K99" i="154" s="1"/>
  <c r="E99" i="32"/>
  <c r="I99" i="77"/>
  <c r="U99" i="77" s="1"/>
  <c r="E99" i="30"/>
  <c r="G99" i="76"/>
  <c r="AZ72" i="149"/>
  <c r="H120" i="76"/>
  <c r="F120" i="30"/>
  <c r="H120" i="75"/>
  <c r="F120" i="28"/>
  <c r="N120" i="28" s="1"/>
  <c r="AS65" i="149"/>
  <c r="G113" i="75"/>
  <c r="E113" i="28"/>
  <c r="M113" i="28" s="1"/>
  <c r="AQ63" i="149"/>
  <c r="G111" i="155"/>
  <c r="M111" i="155" s="1"/>
  <c r="E111" i="32"/>
  <c r="E111" i="154"/>
  <c r="I111" i="154" s="1"/>
  <c r="K111" i="154" s="1"/>
  <c r="G111" i="76"/>
  <c r="I111" i="77"/>
  <c r="U111" i="77" s="1"/>
  <c r="E111" i="30"/>
  <c r="F106" i="32"/>
  <c r="J106" i="77"/>
  <c r="F106" i="154"/>
  <c r="J106" i="154" s="1"/>
  <c r="AS49" i="149"/>
  <c r="G97" i="75"/>
  <c r="E97" i="28"/>
  <c r="M97" i="28" s="1"/>
  <c r="BB42" i="149"/>
  <c r="F90" i="32"/>
  <c r="F90" i="154"/>
  <c r="J90" i="154" s="1"/>
  <c r="J90" i="77"/>
  <c r="AZ40" i="149"/>
  <c r="H88" i="76"/>
  <c r="H88" i="75"/>
  <c r="F88" i="28"/>
  <c r="N88" i="28" s="1"/>
  <c r="F88" i="30"/>
  <c r="AS33" i="149"/>
  <c r="G81" i="75"/>
  <c r="E81" i="28"/>
  <c r="M81" i="28" s="1"/>
  <c r="AQ31" i="149"/>
  <c r="G79" i="155"/>
  <c r="M79" i="155" s="1"/>
  <c r="E79" i="32"/>
  <c r="E79" i="154"/>
  <c r="I79" i="154" s="1"/>
  <c r="K79" i="154" s="1"/>
  <c r="E79" i="30"/>
  <c r="G79" i="76"/>
  <c r="I79" i="77"/>
  <c r="U79" i="77" s="1"/>
  <c r="BB26" i="149"/>
  <c r="F74" i="32"/>
  <c r="J74" i="77"/>
  <c r="F74" i="154"/>
  <c r="J74" i="154" s="1"/>
  <c r="H72" i="76"/>
  <c r="F72" i="30"/>
  <c r="H72" i="75"/>
  <c r="F72" i="28"/>
  <c r="N72" i="28" s="1"/>
  <c r="G65" i="75"/>
  <c r="E65" i="28"/>
  <c r="M65" i="28" s="1"/>
  <c r="G63" i="155"/>
  <c r="M63" i="155" s="1"/>
  <c r="E63" i="32"/>
  <c r="I63" i="77"/>
  <c r="U63" i="77" s="1"/>
  <c r="E63" i="30"/>
  <c r="G63" i="76"/>
  <c r="E63" i="154"/>
  <c r="I63" i="154" s="1"/>
  <c r="K63" i="154" s="1"/>
  <c r="G24" i="155"/>
  <c r="M24" i="155" s="1"/>
  <c r="O24" i="155" s="1"/>
  <c r="P24" i="155" s="1"/>
  <c r="Q24" i="155" s="1"/>
  <c r="E24" i="154"/>
  <c r="I24" i="154" s="1"/>
  <c r="E24" i="32"/>
  <c r="I24" i="77"/>
  <c r="U24" i="77" s="1"/>
  <c r="E24" i="30"/>
  <c r="G24" i="76"/>
  <c r="F19" i="154"/>
  <c r="J19" i="154" s="1"/>
  <c r="F19" i="32"/>
  <c r="J19" i="77"/>
  <c r="F17" i="30"/>
  <c r="H17" i="76"/>
  <c r="H17" i="75"/>
  <c r="F17" i="28"/>
  <c r="N17" i="28" s="1"/>
  <c r="G10" i="75"/>
  <c r="E10" i="28"/>
  <c r="M10" i="28" s="1"/>
  <c r="CO8" i="67"/>
  <c r="G8" i="155"/>
  <c r="M8" i="155" s="1"/>
  <c r="O8" i="155" s="1"/>
  <c r="P8" i="155" s="1"/>
  <c r="Q8" i="155" s="1"/>
  <c r="E8" i="32"/>
  <c r="I8" i="77"/>
  <c r="U8" i="77" s="1"/>
  <c r="E8" i="154"/>
  <c r="I8" i="154" s="1"/>
  <c r="G8" i="76"/>
  <c r="E8" i="30"/>
  <c r="CZ27" i="67"/>
  <c r="F27" i="154"/>
  <c r="J27" i="154" s="1"/>
  <c r="F27" i="32"/>
  <c r="J27" i="77"/>
  <c r="H121" i="76"/>
  <c r="F121" i="30"/>
  <c r="H121" i="75"/>
  <c r="F121" i="28"/>
  <c r="N121" i="28" s="1"/>
  <c r="G114" i="75"/>
  <c r="E114" i="28"/>
  <c r="M114" i="28" s="1"/>
  <c r="G112" i="155"/>
  <c r="M112" i="155" s="1"/>
  <c r="E112" i="154"/>
  <c r="I112" i="154" s="1"/>
  <c r="K112" i="154" s="1"/>
  <c r="I112" i="77"/>
  <c r="U112" i="77" s="1"/>
  <c r="E112" i="32"/>
  <c r="E112" i="30"/>
  <c r="G112" i="76"/>
  <c r="F107" i="32"/>
  <c r="J107" i="77"/>
  <c r="F107" i="154"/>
  <c r="J107" i="154" s="1"/>
  <c r="F105" i="30"/>
  <c r="H105" i="75"/>
  <c r="H105" i="76"/>
  <c r="F105" i="28"/>
  <c r="N105" i="28" s="1"/>
  <c r="G98" i="75"/>
  <c r="E98" i="28"/>
  <c r="M98" i="28" s="1"/>
  <c r="G96" i="155"/>
  <c r="M96" i="155" s="1"/>
  <c r="I96" i="77"/>
  <c r="U96" i="77" s="1"/>
  <c r="E96" i="154"/>
  <c r="I96" i="154" s="1"/>
  <c r="K96" i="154" s="1"/>
  <c r="G96" i="76"/>
  <c r="E96" i="30"/>
  <c r="E96" i="32"/>
  <c r="F91" i="32"/>
  <c r="J91" i="77"/>
  <c r="F91" i="154"/>
  <c r="J91" i="154" s="1"/>
  <c r="H89" i="76"/>
  <c r="F89" i="30"/>
  <c r="H89" i="75"/>
  <c r="F89" i="28"/>
  <c r="N89" i="28" s="1"/>
  <c r="G82" i="75"/>
  <c r="E82" i="28"/>
  <c r="M82" i="28" s="1"/>
  <c r="G80" i="155"/>
  <c r="M80" i="155" s="1"/>
  <c r="I80" i="77"/>
  <c r="U80" i="77" s="1"/>
  <c r="E80" i="154"/>
  <c r="I80" i="154" s="1"/>
  <c r="K80" i="154" s="1"/>
  <c r="E80" i="30"/>
  <c r="E80" i="32"/>
  <c r="G80" i="76"/>
  <c r="F75" i="154"/>
  <c r="J75" i="154" s="1"/>
  <c r="F75" i="32"/>
  <c r="J75" i="77"/>
  <c r="H73" i="76"/>
  <c r="F73" i="30"/>
  <c r="H73" i="75"/>
  <c r="F73" i="28"/>
  <c r="N73" i="28" s="1"/>
  <c r="G66" i="75"/>
  <c r="E66" i="28"/>
  <c r="M66" i="28" s="1"/>
  <c r="G64" i="155"/>
  <c r="M64" i="155" s="1"/>
  <c r="I64" i="77"/>
  <c r="U64" i="77" s="1"/>
  <c r="E64" i="154"/>
  <c r="I64" i="154" s="1"/>
  <c r="K64" i="154" s="1"/>
  <c r="E64" i="30"/>
  <c r="G64" i="76"/>
  <c r="E64" i="32"/>
  <c r="F59" i="154"/>
  <c r="J59" i="154" s="1"/>
  <c r="F59" i="32"/>
  <c r="J59" i="77"/>
  <c r="F57" i="30"/>
  <c r="H57" i="76"/>
  <c r="H57" i="75"/>
  <c r="F57" i="28"/>
  <c r="N57" i="28" s="1"/>
  <c r="G50" i="75"/>
  <c r="E50" i="28"/>
  <c r="M50" i="28" s="1"/>
  <c r="CO48" i="67"/>
  <c r="G48" i="155"/>
  <c r="M48" i="155" s="1"/>
  <c r="O48" i="155" s="1"/>
  <c r="P48" i="155" s="1"/>
  <c r="Q48" i="155" s="1"/>
  <c r="I48" i="77"/>
  <c r="U48" i="77" s="1"/>
  <c r="G48" i="76"/>
  <c r="E48" i="154"/>
  <c r="I48" i="154" s="1"/>
  <c r="K48" i="154" s="1"/>
  <c r="E48" i="30"/>
  <c r="E48" i="32"/>
  <c r="F43" i="154"/>
  <c r="J43" i="154" s="1"/>
  <c r="F43" i="32"/>
  <c r="J43" i="77"/>
  <c r="H41" i="76"/>
  <c r="F41" i="30"/>
  <c r="H41" i="75"/>
  <c r="F41" i="28"/>
  <c r="N41" i="28" s="1"/>
  <c r="G34" i="75"/>
  <c r="E34" i="28"/>
  <c r="M34" i="28" s="1"/>
  <c r="CO32" i="67"/>
  <c r="G32" i="155"/>
  <c r="M32" i="155" s="1"/>
  <c r="O32" i="155" s="1"/>
  <c r="P32" i="155" s="1"/>
  <c r="Q32" i="155" s="1"/>
  <c r="I32" i="77"/>
  <c r="U32" i="77" s="1"/>
  <c r="E32" i="154"/>
  <c r="I32" i="154" s="1"/>
  <c r="K32" i="154" s="1"/>
  <c r="E32" i="32"/>
  <c r="E32" i="30"/>
  <c r="G32" i="76"/>
  <c r="G115" i="75"/>
  <c r="E115" i="28"/>
  <c r="M115" i="28" s="1"/>
  <c r="G113" i="155"/>
  <c r="M113" i="155" s="1"/>
  <c r="I113" i="77"/>
  <c r="U113" i="77" s="1"/>
  <c r="E113" i="32"/>
  <c r="E113" i="30"/>
  <c r="E113" i="154"/>
  <c r="I113" i="154" s="1"/>
  <c r="K113" i="154" s="1"/>
  <c r="G113" i="76"/>
  <c r="BB60" i="149"/>
  <c r="J108" i="77"/>
  <c r="F108" i="154"/>
  <c r="J108" i="154" s="1"/>
  <c r="F108" i="32"/>
  <c r="AZ58" i="149"/>
  <c r="H106" i="76"/>
  <c r="F106" i="30"/>
  <c r="H106" i="75"/>
  <c r="F106" i="28"/>
  <c r="N106" i="28" s="1"/>
  <c r="AS51" i="149"/>
  <c r="G99" i="75"/>
  <c r="E99" i="28"/>
  <c r="M99" i="28" s="1"/>
  <c r="AQ49" i="149"/>
  <c r="G97" i="155"/>
  <c r="M97" i="155" s="1"/>
  <c r="I97" i="77"/>
  <c r="U97" i="77" s="1"/>
  <c r="E97" i="154"/>
  <c r="I97" i="154" s="1"/>
  <c r="K97" i="154" s="1"/>
  <c r="E97" i="32"/>
  <c r="G97" i="76"/>
  <c r="E97" i="30"/>
  <c r="BB44" i="149"/>
  <c r="J92" i="77"/>
  <c r="F92" i="154"/>
  <c r="J92" i="154" s="1"/>
  <c r="F92" i="32"/>
  <c r="AZ42" i="149"/>
  <c r="H90" i="76"/>
  <c r="F90" i="30"/>
  <c r="H90" i="75"/>
  <c r="F90" i="28"/>
  <c r="N90" i="28" s="1"/>
  <c r="G83" i="75"/>
  <c r="E83" i="28"/>
  <c r="M83" i="28" s="1"/>
  <c r="AQ33" i="149"/>
  <c r="G81" i="155"/>
  <c r="M81" i="155" s="1"/>
  <c r="E81" i="154"/>
  <c r="I81" i="154" s="1"/>
  <c r="I81" i="77"/>
  <c r="U81" i="77" s="1"/>
  <c r="E81" i="30"/>
  <c r="E81" i="32"/>
  <c r="G81" i="76"/>
  <c r="BB28" i="149"/>
  <c r="J76" i="77"/>
  <c r="F76" i="154"/>
  <c r="J76" i="154" s="1"/>
  <c r="F76" i="32"/>
  <c r="AZ26" i="149"/>
  <c r="H74" i="76"/>
  <c r="F74" i="30"/>
  <c r="H74" i="75"/>
  <c r="F74" i="28"/>
  <c r="N74" i="28" s="1"/>
  <c r="AS19" i="149"/>
  <c r="G67" i="75"/>
  <c r="E67" i="28"/>
  <c r="M67" i="28" s="1"/>
  <c r="AQ17" i="149"/>
  <c r="G65" i="155"/>
  <c r="M65" i="155" s="1"/>
  <c r="I65" i="77"/>
  <c r="U65" i="77" s="1"/>
  <c r="E65" i="154"/>
  <c r="I65" i="154" s="1"/>
  <c r="K65" i="154" s="1"/>
  <c r="G65" i="76"/>
  <c r="E65" i="30"/>
  <c r="E65" i="32"/>
  <c r="BB12" i="149"/>
  <c r="J60" i="77"/>
  <c r="F60" i="154"/>
  <c r="J60" i="154" s="1"/>
  <c r="F60" i="32"/>
  <c r="AZ10" i="149"/>
  <c r="F58" i="30"/>
  <c r="H58" i="76"/>
  <c r="H58" i="75"/>
  <c r="F58" i="28"/>
  <c r="N58" i="28" s="1"/>
  <c r="AS3" i="149"/>
  <c r="G51" i="75"/>
  <c r="E51" i="28"/>
  <c r="M51" i="28" s="1"/>
  <c r="CA49" i="67"/>
  <c r="G49" i="155"/>
  <c r="M49" i="155" s="1"/>
  <c r="O49" i="155" s="1"/>
  <c r="P49" i="155" s="1"/>
  <c r="Q49" i="155" s="1"/>
  <c r="I49" i="77"/>
  <c r="U49" i="77" s="1"/>
  <c r="E49" i="32"/>
  <c r="G49" i="76"/>
  <c r="E49" i="154"/>
  <c r="I49" i="154" s="1"/>
  <c r="K49" i="154" s="1"/>
  <c r="E49" i="30"/>
  <c r="J44" i="77"/>
  <c r="F44" i="32"/>
  <c r="F44" i="154"/>
  <c r="J44" i="154" s="1"/>
  <c r="H42" i="76"/>
  <c r="F42" i="30"/>
  <c r="H42" i="75"/>
  <c r="F42" i="28"/>
  <c r="N42" i="28" s="1"/>
  <c r="CQ35" i="67"/>
  <c r="G35" i="75"/>
  <c r="E35" i="28"/>
  <c r="M35" i="28" s="1"/>
  <c r="G33" i="155"/>
  <c r="M33" i="155" s="1"/>
  <c r="O33" i="155" s="1"/>
  <c r="P33" i="155" s="1"/>
  <c r="Q33" i="155" s="1"/>
  <c r="E33" i="154"/>
  <c r="I33" i="154" s="1"/>
  <c r="K33" i="154" s="1"/>
  <c r="G33" i="76"/>
  <c r="I33" i="77"/>
  <c r="U33" i="77" s="1"/>
  <c r="E33" i="32"/>
  <c r="E33" i="30"/>
  <c r="J28" i="77"/>
  <c r="F28" i="154"/>
  <c r="J28" i="154" s="1"/>
  <c r="F28" i="32"/>
  <c r="AQ50" i="149"/>
  <c r="G98" i="155"/>
  <c r="M98" i="155" s="1"/>
  <c r="E98" i="154"/>
  <c r="I98" i="154" s="1"/>
  <c r="K98" i="154" s="1"/>
  <c r="E98" i="32"/>
  <c r="I98" i="77"/>
  <c r="U98" i="77" s="1"/>
  <c r="E98" i="30"/>
  <c r="G98" i="76"/>
  <c r="BB45" i="149"/>
  <c r="F93" i="154"/>
  <c r="J93" i="154" s="1"/>
  <c r="F93" i="32"/>
  <c r="J93" i="77"/>
  <c r="AZ43" i="149"/>
  <c r="H91" i="76"/>
  <c r="H91" i="75"/>
  <c r="F91" i="30"/>
  <c r="F91" i="28"/>
  <c r="N91" i="28" s="1"/>
  <c r="AS36" i="149"/>
  <c r="G84" i="75"/>
  <c r="E84" i="28"/>
  <c r="M84" i="28" s="1"/>
  <c r="AQ34" i="149"/>
  <c r="G82" i="155"/>
  <c r="M82" i="155" s="1"/>
  <c r="E82" i="32"/>
  <c r="E82" i="154"/>
  <c r="I82" i="154" s="1"/>
  <c r="K82" i="154" s="1"/>
  <c r="I82" i="77"/>
  <c r="U82" i="77" s="1"/>
  <c r="G82" i="76"/>
  <c r="E82" i="30"/>
  <c r="F77" i="32"/>
  <c r="F77" i="154"/>
  <c r="J77" i="154" s="1"/>
  <c r="J77" i="77"/>
  <c r="AZ27" i="149"/>
  <c r="H75" i="76"/>
  <c r="F75" i="30"/>
  <c r="H75" i="75"/>
  <c r="F75" i="28"/>
  <c r="N75" i="28" s="1"/>
  <c r="G68" i="75"/>
  <c r="E68" i="28"/>
  <c r="M68" i="28" s="1"/>
  <c r="AQ18" i="149"/>
  <c r="G66" i="155"/>
  <c r="M66" i="155" s="1"/>
  <c r="E66" i="154"/>
  <c r="I66" i="154" s="1"/>
  <c r="K66" i="154" s="1"/>
  <c r="E66" i="32"/>
  <c r="I66" i="77"/>
  <c r="U66" i="77" s="1"/>
  <c r="G66" i="76"/>
  <c r="E66" i="30"/>
  <c r="J61" i="77"/>
  <c r="F61" i="154"/>
  <c r="J61" i="154" s="1"/>
  <c r="F61" i="32"/>
  <c r="AZ11" i="149"/>
  <c r="H59" i="76"/>
  <c r="F59" i="30"/>
  <c r="H59" i="75"/>
  <c r="F59" i="28"/>
  <c r="N59" i="28" s="1"/>
  <c r="G52" i="75"/>
  <c r="E52" i="28"/>
  <c r="M52" i="28" s="1"/>
  <c r="AQ2" i="149"/>
  <c r="G50" i="155"/>
  <c r="M50" i="155" s="1"/>
  <c r="O50" i="155" s="1"/>
  <c r="P50" i="155" s="1"/>
  <c r="Q50" i="155" s="1"/>
  <c r="E50" i="32"/>
  <c r="E50" i="154"/>
  <c r="I50" i="154" s="1"/>
  <c r="K50" i="154" s="1"/>
  <c r="I50" i="77"/>
  <c r="U50" i="77" s="1"/>
  <c r="E50" i="30"/>
  <c r="G50" i="76"/>
  <c r="F45" i="154"/>
  <c r="J45" i="154" s="1"/>
  <c r="J45" i="77"/>
  <c r="F45" i="32"/>
  <c r="F43" i="30"/>
  <c r="H43" i="75"/>
  <c r="F43" i="28"/>
  <c r="N43" i="28" s="1"/>
  <c r="H43" i="76"/>
  <c r="CQ36" i="67"/>
  <c r="G36" i="75"/>
  <c r="E36" i="28"/>
  <c r="M36" i="28" s="1"/>
  <c r="G34" i="155"/>
  <c r="M34" i="155" s="1"/>
  <c r="O34" i="155" s="1"/>
  <c r="P34" i="155" s="1"/>
  <c r="Q34" i="155" s="1"/>
  <c r="E34" i="154"/>
  <c r="I34" i="154" s="1"/>
  <c r="K34" i="154" s="1"/>
  <c r="E34" i="32"/>
  <c r="I34" i="77"/>
  <c r="U34" i="77" s="1"/>
  <c r="G34" i="76"/>
  <c r="E34" i="30"/>
  <c r="J29" i="77"/>
  <c r="F29" i="32"/>
  <c r="F29" i="154"/>
  <c r="J29" i="154" s="1"/>
  <c r="T185" i="150"/>
  <c r="AR184" i="150"/>
  <c r="R185" i="150"/>
  <c r="AP184" i="150"/>
  <c r="S185" i="150"/>
  <c r="AQ184" i="150"/>
  <c r="Y185" i="150"/>
  <c r="AW184" i="150"/>
  <c r="V185" i="150"/>
  <c r="AT184" i="150"/>
  <c r="U185" i="150"/>
  <c r="AS184" i="150"/>
  <c r="X185" i="150"/>
  <c r="AV184" i="150"/>
  <c r="Z184" i="150"/>
  <c r="AX183" i="150"/>
  <c r="Q186" i="150"/>
  <c r="AO185" i="150"/>
  <c r="AA185" i="150"/>
  <c r="AY184" i="150"/>
  <c r="W185" i="150"/>
  <c r="AU184" i="150"/>
  <c r="CR117" i="67"/>
  <c r="CR69" i="149" s="1"/>
  <c r="AT69" i="149"/>
  <c r="CV105" i="67"/>
  <c r="CV57" i="149" s="1"/>
  <c r="AX57" i="149"/>
  <c r="DA94" i="67"/>
  <c r="DA46" i="149" s="1"/>
  <c r="BC46" i="149"/>
  <c r="CR86" i="67"/>
  <c r="CR38" i="149" s="1"/>
  <c r="AT38" i="149"/>
  <c r="CZ119" i="67"/>
  <c r="CZ71" i="149" s="1"/>
  <c r="BB71" i="149"/>
  <c r="CO108" i="67"/>
  <c r="CO60" i="149" s="1"/>
  <c r="AQ60" i="149"/>
  <c r="CW85" i="67"/>
  <c r="CW37" i="149" s="1"/>
  <c r="AY37" i="149"/>
  <c r="CV84" i="67"/>
  <c r="CV36" i="149" s="1"/>
  <c r="AX36" i="149"/>
  <c r="CU83" i="67"/>
  <c r="CU35" i="149" s="1"/>
  <c r="AW35" i="149"/>
  <c r="CT82" i="67"/>
  <c r="CT34" i="149" s="1"/>
  <c r="AV34" i="149"/>
  <c r="CS81" i="67"/>
  <c r="CS33" i="149" s="1"/>
  <c r="AU33" i="149"/>
  <c r="CR80" i="67"/>
  <c r="CR32" i="149" s="1"/>
  <c r="AT32" i="149"/>
  <c r="CQ79" i="67"/>
  <c r="AS31" i="149"/>
  <c r="CO77" i="67"/>
  <c r="CO29" i="149" s="1"/>
  <c r="AQ29" i="149"/>
  <c r="DB74" i="67"/>
  <c r="DB26" i="149" s="1"/>
  <c r="BD26" i="149"/>
  <c r="DA73" i="67"/>
  <c r="DA25" i="149" s="1"/>
  <c r="BC25" i="149"/>
  <c r="CZ72" i="67"/>
  <c r="CZ24" i="149" s="1"/>
  <c r="BB24" i="149"/>
  <c r="CY71" i="67"/>
  <c r="CY23" i="149" s="1"/>
  <c r="BA23" i="149"/>
  <c r="CW69" i="67"/>
  <c r="CW21" i="149" s="1"/>
  <c r="AY21" i="149"/>
  <c r="CV68" i="67"/>
  <c r="CV20" i="149" s="1"/>
  <c r="AX20" i="149"/>
  <c r="CU67" i="67"/>
  <c r="CU19" i="149" s="1"/>
  <c r="AW19" i="149"/>
  <c r="CT66" i="67"/>
  <c r="CT18" i="149" s="1"/>
  <c r="AV18" i="149"/>
  <c r="CS65" i="67"/>
  <c r="CS17" i="149" s="1"/>
  <c r="AU17" i="149"/>
  <c r="CR64" i="67"/>
  <c r="CR16" i="149" s="1"/>
  <c r="AT16" i="149"/>
  <c r="CQ63" i="67"/>
  <c r="AS15" i="149"/>
  <c r="CO61" i="67"/>
  <c r="CO13" i="149" s="1"/>
  <c r="AQ13" i="149"/>
  <c r="DB58" i="67"/>
  <c r="DB10" i="149" s="1"/>
  <c r="BD10" i="149"/>
  <c r="DA57" i="67"/>
  <c r="DA9" i="149" s="1"/>
  <c r="BC9" i="149"/>
  <c r="CZ56" i="67"/>
  <c r="CZ8" i="149" s="1"/>
  <c r="BB8" i="149"/>
  <c r="CY55" i="67"/>
  <c r="CY7" i="149" s="1"/>
  <c r="BA7" i="149"/>
  <c r="CV52" i="67"/>
  <c r="CV4" i="149" s="1"/>
  <c r="AX4" i="149"/>
  <c r="CU51" i="67"/>
  <c r="CU3" i="149" s="1"/>
  <c r="AW3" i="149"/>
  <c r="CT50" i="67"/>
  <c r="CT2" i="149" s="1"/>
  <c r="AV2" i="149"/>
  <c r="CS117" i="67"/>
  <c r="CS69" i="149" s="1"/>
  <c r="AU69" i="149"/>
  <c r="CQ115" i="67"/>
  <c r="AS67" i="149"/>
  <c r="CA113" i="67"/>
  <c r="CA65" i="149" s="1"/>
  <c r="AQ65" i="149"/>
  <c r="CS102" i="67"/>
  <c r="CS54" i="149" s="1"/>
  <c r="AU54" i="149"/>
  <c r="CU105" i="67"/>
  <c r="CU57" i="149" s="1"/>
  <c r="AW57" i="149"/>
  <c r="CS103" i="67"/>
  <c r="CS55" i="149" s="1"/>
  <c r="AU55" i="149"/>
  <c r="DA121" i="67"/>
  <c r="DA73" i="149" s="1"/>
  <c r="BC73" i="149"/>
  <c r="CZ120" i="67"/>
  <c r="CZ72" i="149" s="1"/>
  <c r="BB72" i="149"/>
  <c r="CY119" i="67"/>
  <c r="CY71" i="149" s="1"/>
  <c r="BA71" i="149"/>
  <c r="CW117" i="67"/>
  <c r="CW69" i="149" s="1"/>
  <c r="AY69" i="149"/>
  <c r="CH116" i="67"/>
  <c r="CH68" i="149" s="1"/>
  <c r="AX68" i="149"/>
  <c r="CU115" i="67"/>
  <c r="CU67" i="149" s="1"/>
  <c r="AW67" i="149"/>
  <c r="CT114" i="67"/>
  <c r="CT66" i="149" s="1"/>
  <c r="AV66" i="149"/>
  <c r="CS113" i="67"/>
  <c r="CS65" i="149" s="1"/>
  <c r="AU65" i="149"/>
  <c r="CR112" i="67"/>
  <c r="CR64" i="149" s="1"/>
  <c r="AT64" i="149"/>
  <c r="CQ111" i="67"/>
  <c r="AS63" i="149"/>
  <c r="CO109" i="67"/>
  <c r="CO61" i="149" s="1"/>
  <c r="AQ61" i="149"/>
  <c r="DB106" i="67"/>
  <c r="DB58" i="149" s="1"/>
  <c r="BD58" i="149"/>
  <c r="DA105" i="67"/>
  <c r="DA57" i="149" s="1"/>
  <c r="BC57" i="149"/>
  <c r="CZ104" i="67"/>
  <c r="CZ56" i="149" s="1"/>
  <c r="BB56" i="149"/>
  <c r="CY103" i="67"/>
  <c r="CY55" i="149" s="1"/>
  <c r="BA55" i="149"/>
  <c r="CW101" i="67"/>
  <c r="CW53" i="149" s="1"/>
  <c r="AY53" i="149"/>
  <c r="CV100" i="67"/>
  <c r="CV52" i="149" s="1"/>
  <c r="AX52" i="149"/>
  <c r="CU99" i="67"/>
  <c r="CU51" i="149" s="1"/>
  <c r="AW51" i="149"/>
  <c r="CT98" i="67"/>
  <c r="CT50" i="149" s="1"/>
  <c r="AV50" i="149"/>
  <c r="CS97" i="67"/>
  <c r="CS49" i="149" s="1"/>
  <c r="AU49" i="149"/>
  <c r="CR96" i="67"/>
  <c r="CR48" i="149" s="1"/>
  <c r="AT48" i="149"/>
  <c r="CQ95" i="67"/>
  <c r="AS47" i="149"/>
  <c r="CO93" i="67"/>
  <c r="CO45" i="149" s="1"/>
  <c r="AQ45" i="149"/>
  <c r="DB90" i="67"/>
  <c r="DB42" i="149" s="1"/>
  <c r="BD42" i="149"/>
  <c r="DA89" i="67"/>
  <c r="DA41" i="149" s="1"/>
  <c r="BC41" i="149"/>
  <c r="CZ88" i="67"/>
  <c r="CZ40" i="149" s="1"/>
  <c r="BB40" i="149"/>
  <c r="CY87" i="67"/>
  <c r="CY39" i="149" s="1"/>
  <c r="BA39" i="149"/>
  <c r="CZ121" i="67"/>
  <c r="CZ73" i="149" s="1"/>
  <c r="BB73" i="149"/>
  <c r="CY120" i="67"/>
  <c r="CY72" i="149" s="1"/>
  <c r="BA72" i="149"/>
  <c r="CX119" i="67"/>
  <c r="AZ71" i="149"/>
  <c r="CW118" i="67"/>
  <c r="CW70" i="149" s="1"/>
  <c r="AY70" i="149"/>
  <c r="CV117" i="67"/>
  <c r="CV69" i="149" s="1"/>
  <c r="AX69" i="149"/>
  <c r="CU116" i="67"/>
  <c r="CU68" i="149" s="1"/>
  <c r="AW68" i="149"/>
  <c r="CT115" i="67"/>
  <c r="CT67" i="149" s="1"/>
  <c r="AV67" i="149"/>
  <c r="CS114" i="67"/>
  <c r="CS66" i="149" s="1"/>
  <c r="AU66" i="149"/>
  <c r="CR113" i="67"/>
  <c r="CR65" i="149" s="1"/>
  <c r="AT65" i="149"/>
  <c r="CQ112" i="67"/>
  <c r="AS64" i="149"/>
  <c r="CP111" i="67"/>
  <c r="CP63" i="149" s="1"/>
  <c r="AR63" i="149"/>
  <c r="CO110" i="67"/>
  <c r="CO62" i="149" s="1"/>
  <c r="AQ62" i="149"/>
  <c r="DB107" i="67"/>
  <c r="DB59" i="149" s="1"/>
  <c r="BD59" i="149"/>
  <c r="DA106" i="67"/>
  <c r="DA58" i="149" s="1"/>
  <c r="BC58" i="149"/>
  <c r="CZ105" i="67"/>
  <c r="CZ57" i="149" s="1"/>
  <c r="BB57" i="149"/>
  <c r="CY104" i="67"/>
  <c r="CY56" i="149" s="1"/>
  <c r="BA56" i="149"/>
  <c r="CX103" i="67"/>
  <c r="AZ55" i="149"/>
  <c r="CW102" i="67"/>
  <c r="CW54" i="149" s="1"/>
  <c r="AY54" i="149"/>
  <c r="CV101" i="67"/>
  <c r="CV53" i="149" s="1"/>
  <c r="AX53" i="149"/>
  <c r="CU100" i="67"/>
  <c r="CU52" i="149" s="1"/>
  <c r="AW52" i="149"/>
  <c r="CT99" i="67"/>
  <c r="CT51" i="149" s="1"/>
  <c r="AV51" i="149"/>
  <c r="CE98" i="67"/>
  <c r="CE50" i="149" s="1"/>
  <c r="AU50" i="149"/>
  <c r="CR97" i="67"/>
  <c r="CR49" i="149" s="1"/>
  <c r="AT49" i="149"/>
  <c r="CQ96" i="67"/>
  <c r="AS48" i="149"/>
  <c r="CP95" i="67"/>
  <c r="CP47" i="149" s="1"/>
  <c r="AR47" i="149"/>
  <c r="CO94" i="67"/>
  <c r="CO46" i="149" s="1"/>
  <c r="AQ46" i="149"/>
  <c r="DB91" i="67"/>
  <c r="DB43" i="149" s="1"/>
  <c r="BD43" i="149"/>
  <c r="DA90" i="67"/>
  <c r="DA42" i="149" s="1"/>
  <c r="BC42" i="149"/>
  <c r="CZ89" i="67"/>
  <c r="CZ41" i="149" s="1"/>
  <c r="BB41" i="149"/>
  <c r="CY88" i="67"/>
  <c r="CY40" i="149" s="1"/>
  <c r="BA40" i="149"/>
  <c r="CX87" i="67"/>
  <c r="AZ39" i="149"/>
  <c r="CW86" i="67"/>
  <c r="CW38" i="149" s="1"/>
  <c r="AY38" i="149"/>
  <c r="CV85" i="67"/>
  <c r="CV37" i="149" s="1"/>
  <c r="AX37" i="149"/>
  <c r="CU84" i="67"/>
  <c r="CU36" i="149" s="1"/>
  <c r="AW36" i="149"/>
  <c r="CT83" i="67"/>
  <c r="CT35" i="149" s="1"/>
  <c r="AV35" i="149"/>
  <c r="CS82" i="67"/>
  <c r="CS34" i="149" s="1"/>
  <c r="AU34" i="149"/>
  <c r="CR81" i="67"/>
  <c r="CR33" i="149" s="1"/>
  <c r="AT33" i="149"/>
  <c r="CQ80" i="67"/>
  <c r="AS32" i="149"/>
  <c r="CP79" i="67"/>
  <c r="CP31" i="149" s="1"/>
  <c r="AR31" i="149"/>
  <c r="CO78" i="67"/>
  <c r="CO30" i="149" s="1"/>
  <c r="AQ30" i="149"/>
  <c r="DB75" i="67"/>
  <c r="DB27" i="149" s="1"/>
  <c r="BD27" i="149"/>
  <c r="DA74" i="67"/>
  <c r="DA26" i="149" s="1"/>
  <c r="BC26" i="149"/>
  <c r="CZ73" i="67"/>
  <c r="CZ25" i="149" s="1"/>
  <c r="BB25" i="149"/>
  <c r="CY72" i="67"/>
  <c r="CY24" i="149" s="1"/>
  <c r="BA24" i="149"/>
  <c r="CX71" i="67"/>
  <c r="AZ23" i="149"/>
  <c r="CW70" i="67"/>
  <c r="CW22" i="149" s="1"/>
  <c r="AY22" i="149"/>
  <c r="CV69" i="67"/>
  <c r="CV21" i="149" s="1"/>
  <c r="AX21" i="149"/>
  <c r="CU68" i="67"/>
  <c r="CU20" i="149" s="1"/>
  <c r="AW20" i="149"/>
  <c r="CT67" i="67"/>
  <c r="CT19" i="149" s="1"/>
  <c r="AV19" i="149"/>
  <c r="CS66" i="67"/>
  <c r="CS18" i="149" s="1"/>
  <c r="AU18" i="149"/>
  <c r="CR65" i="67"/>
  <c r="CR17" i="149" s="1"/>
  <c r="AT17" i="149"/>
  <c r="CQ64" i="67"/>
  <c r="AS16" i="149"/>
  <c r="CP63" i="67"/>
  <c r="CP15" i="149" s="1"/>
  <c r="AR15" i="149"/>
  <c r="CO62" i="67"/>
  <c r="CO14" i="149" s="1"/>
  <c r="AQ14" i="149"/>
  <c r="DB59" i="67"/>
  <c r="DB11" i="149" s="1"/>
  <c r="BD11" i="149"/>
  <c r="DA58" i="67"/>
  <c r="DA10" i="149" s="1"/>
  <c r="BC10" i="149"/>
  <c r="CZ57" i="67"/>
  <c r="CZ9" i="149" s="1"/>
  <c r="BB9" i="149"/>
  <c r="CY56" i="67"/>
  <c r="CY8" i="149" s="1"/>
  <c r="BA8" i="149"/>
  <c r="CX55" i="67"/>
  <c r="AZ7" i="149"/>
  <c r="CW54" i="67"/>
  <c r="CW6" i="149" s="1"/>
  <c r="AY6" i="149"/>
  <c r="CU52" i="67"/>
  <c r="CU4" i="149" s="1"/>
  <c r="AW4" i="149"/>
  <c r="CT51" i="67"/>
  <c r="CT3" i="149" s="1"/>
  <c r="AV3" i="149"/>
  <c r="CV118" i="67"/>
  <c r="CV70" i="149" s="1"/>
  <c r="AX70" i="149"/>
  <c r="CY89" i="67"/>
  <c r="CY41" i="149" s="1"/>
  <c r="BA41" i="149"/>
  <c r="CV86" i="67"/>
  <c r="CV38" i="149" s="1"/>
  <c r="AX38" i="149"/>
  <c r="CW71" i="67"/>
  <c r="CW23" i="149" s="1"/>
  <c r="AY23" i="149"/>
  <c r="CT68" i="67"/>
  <c r="CT20" i="149" s="1"/>
  <c r="AV20" i="149"/>
  <c r="CS67" i="67"/>
  <c r="CS19" i="149" s="1"/>
  <c r="AU19" i="149"/>
  <c r="CR66" i="67"/>
  <c r="CR18" i="149" s="1"/>
  <c r="AT18" i="149"/>
  <c r="CQ65" i="67"/>
  <c r="AS17" i="149"/>
  <c r="CP64" i="67"/>
  <c r="CP16" i="149" s="1"/>
  <c r="AR16" i="149"/>
  <c r="CO63" i="67"/>
  <c r="CO15" i="149" s="1"/>
  <c r="AQ15" i="149"/>
  <c r="DA59" i="67"/>
  <c r="DA11" i="149" s="1"/>
  <c r="BC11" i="149"/>
  <c r="CZ58" i="67"/>
  <c r="CZ10" i="149" s="1"/>
  <c r="BB10" i="149"/>
  <c r="CY57" i="67"/>
  <c r="CY9" i="149" s="1"/>
  <c r="BA9" i="149"/>
  <c r="CX56" i="67"/>
  <c r="AZ8" i="149"/>
  <c r="CW55" i="67"/>
  <c r="CW7" i="149" s="1"/>
  <c r="AY7" i="149"/>
  <c r="CV54" i="67"/>
  <c r="CV6" i="149" s="1"/>
  <c r="AX6" i="149"/>
  <c r="CS51" i="67"/>
  <c r="CS3" i="149" s="1"/>
  <c r="AU3" i="149"/>
  <c r="CR50" i="67"/>
  <c r="CR2" i="149" s="1"/>
  <c r="AT2" i="149"/>
  <c r="CP112" i="67"/>
  <c r="CP64" i="149" s="1"/>
  <c r="AR64" i="149"/>
  <c r="CZ106" i="67"/>
  <c r="CZ58" i="149" s="1"/>
  <c r="BB58" i="149"/>
  <c r="CW103" i="67"/>
  <c r="CW55" i="149" s="1"/>
  <c r="AY55" i="149"/>
  <c r="CX72" i="67"/>
  <c r="AZ24" i="149"/>
  <c r="CV70" i="67"/>
  <c r="CV22" i="149" s="1"/>
  <c r="AX22" i="149"/>
  <c r="CX121" i="67"/>
  <c r="AZ73" i="149"/>
  <c r="CW120" i="67"/>
  <c r="CW72" i="149" s="1"/>
  <c r="AY72" i="149"/>
  <c r="CV119" i="67"/>
  <c r="CV71" i="149" s="1"/>
  <c r="AX71" i="149"/>
  <c r="CU118" i="67"/>
  <c r="CU70" i="149" s="1"/>
  <c r="AW70" i="149"/>
  <c r="CT117" i="67"/>
  <c r="CT69" i="149" s="1"/>
  <c r="AV69" i="149"/>
  <c r="CS116" i="67"/>
  <c r="CS68" i="149" s="1"/>
  <c r="AU68" i="149"/>
  <c r="CR115" i="67"/>
  <c r="CR67" i="149" s="1"/>
  <c r="AT67" i="149"/>
  <c r="CQ114" i="67"/>
  <c r="AS66" i="149"/>
  <c r="CP113" i="67"/>
  <c r="CP65" i="149" s="1"/>
  <c r="AR65" i="149"/>
  <c r="CO112" i="67"/>
  <c r="CO64" i="149" s="1"/>
  <c r="AQ64" i="149"/>
  <c r="DB109" i="67"/>
  <c r="DB61" i="149" s="1"/>
  <c r="BD61" i="149"/>
  <c r="DA108" i="67"/>
  <c r="DA60" i="149" s="1"/>
  <c r="BC60" i="149"/>
  <c r="CZ107" i="67"/>
  <c r="CZ59" i="149" s="1"/>
  <c r="BB59" i="149"/>
  <c r="CY106" i="67"/>
  <c r="CY58" i="149" s="1"/>
  <c r="BA58" i="149"/>
  <c r="CX105" i="67"/>
  <c r="AZ57" i="149"/>
  <c r="CW104" i="67"/>
  <c r="CW56" i="149" s="1"/>
  <c r="AY56" i="149"/>
  <c r="CV103" i="67"/>
  <c r="CV55" i="149" s="1"/>
  <c r="AX55" i="149"/>
  <c r="CU102" i="67"/>
  <c r="CU54" i="149" s="1"/>
  <c r="AW54" i="149"/>
  <c r="CT101" i="67"/>
  <c r="CT53" i="149" s="1"/>
  <c r="AV53" i="149"/>
  <c r="CS100" i="67"/>
  <c r="CS52" i="149" s="1"/>
  <c r="AU52" i="149"/>
  <c r="CR99" i="67"/>
  <c r="CR51" i="149" s="1"/>
  <c r="AT51" i="149"/>
  <c r="CQ98" i="67"/>
  <c r="AS50" i="149"/>
  <c r="CP97" i="67"/>
  <c r="CP49" i="149" s="1"/>
  <c r="AR49" i="149"/>
  <c r="CO96" i="67"/>
  <c r="CO48" i="149" s="1"/>
  <c r="AQ48" i="149"/>
  <c r="DB93" i="67"/>
  <c r="DB45" i="149" s="1"/>
  <c r="BD45" i="149"/>
  <c r="DA92" i="67"/>
  <c r="DA44" i="149" s="1"/>
  <c r="BC44" i="149"/>
  <c r="CZ91" i="67"/>
  <c r="CZ43" i="149" s="1"/>
  <c r="BB43" i="149"/>
  <c r="CY90" i="67"/>
  <c r="CY42" i="149" s="1"/>
  <c r="BA42" i="149"/>
  <c r="CX89" i="67"/>
  <c r="AZ41" i="149"/>
  <c r="CW88" i="67"/>
  <c r="CW40" i="149" s="1"/>
  <c r="AY40" i="149"/>
  <c r="CV87" i="67"/>
  <c r="CV39" i="149" s="1"/>
  <c r="AX39" i="149"/>
  <c r="CU86" i="67"/>
  <c r="CU38" i="149" s="1"/>
  <c r="AW38" i="149"/>
  <c r="CT85" i="67"/>
  <c r="CT37" i="149" s="1"/>
  <c r="AV37" i="149"/>
  <c r="CS84" i="67"/>
  <c r="CS36" i="149" s="1"/>
  <c r="AU36" i="149"/>
  <c r="CR83" i="67"/>
  <c r="CR35" i="149" s="1"/>
  <c r="AT35" i="149"/>
  <c r="CQ82" i="67"/>
  <c r="AS34" i="149"/>
  <c r="CP81" i="67"/>
  <c r="CP33" i="149" s="1"/>
  <c r="AR33" i="149"/>
  <c r="CO80" i="67"/>
  <c r="CO32" i="149" s="1"/>
  <c r="AQ32" i="149"/>
  <c r="DB77" i="67"/>
  <c r="DB29" i="149" s="1"/>
  <c r="BD29" i="149"/>
  <c r="DA76" i="67"/>
  <c r="DA28" i="149" s="1"/>
  <c r="BC28" i="149"/>
  <c r="CZ75" i="67"/>
  <c r="CZ27" i="149" s="1"/>
  <c r="BB27" i="149"/>
  <c r="CY74" i="67"/>
  <c r="CY26" i="149" s="1"/>
  <c r="BA26" i="149"/>
  <c r="CX73" i="67"/>
  <c r="AZ25" i="149"/>
  <c r="CW72" i="67"/>
  <c r="CW24" i="149" s="1"/>
  <c r="AY24" i="149"/>
  <c r="CV71" i="67"/>
  <c r="CV23" i="149" s="1"/>
  <c r="AX23" i="149"/>
  <c r="CU70" i="67"/>
  <c r="CU22" i="149" s="1"/>
  <c r="AW22" i="149"/>
  <c r="CT69" i="67"/>
  <c r="CT21" i="149" s="1"/>
  <c r="AV21" i="149"/>
  <c r="CS68" i="67"/>
  <c r="CS20" i="149" s="1"/>
  <c r="AU20" i="149"/>
  <c r="CR67" i="67"/>
  <c r="CR19" i="149" s="1"/>
  <c r="AT19" i="149"/>
  <c r="CQ66" i="67"/>
  <c r="AS18" i="149"/>
  <c r="CP65" i="67"/>
  <c r="CP17" i="149" s="1"/>
  <c r="AR17" i="149"/>
  <c r="CO64" i="67"/>
  <c r="CO16" i="149" s="1"/>
  <c r="AQ16" i="149"/>
  <c r="DB61" i="67"/>
  <c r="DB13" i="149" s="1"/>
  <c r="BD13" i="149"/>
  <c r="CZ59" i="67"/>
  <c r="CZ11" i="149" s="1"/>
  <c r="BB11" i="149"/>
  <c r="CY58" i="67"/>
  <c r="CY10" i="149" s="1"/>
  <c r="BA10" i="149"/>
  <c r="CX57" i="67"/>
  <c r="AZ9" i="149"/>
  <c r="CW56" i="67"/>
  <c r="CW8" i="149" s="1"/>
  <c r="AY8" i="149"/>
  <c r="CV55" i="67"/>
  <c r="CV7" i="149" s="1"/>
  <c r="AX7" i="149"/>
  <c r="CU54" i="67"/>
  <c r="CU6" i="149" s="1"/>
  <c r="AW6" i="149"/>
  <c r="CT53" i="67"/>
  <c r="CT5" i="149" s="1"/>
  <c r="AV5" i="149"/>
  <c r="CE52" i="67"/>
  <c r="CE4" i="149" s="1"/>
  <c r="AU4" i="149"/>
  <c r="CR51" i="67"/>
  <c r="CR3" i="149" s="1"/>
  <c r="AT3" i="149"/>
  <c r="CQ50" i="67"/>
  <c r="AS2" i="149"/>
  <c r="CQ83" i="67"/>
  <c r="AS35" i="149"/>
  <c r="DA77" i="67"/>
  <c r="DA29" i="149" s="1"/>
  <c r="BC29" i="149"/>
  <c r="CY75" i="67"/>
  <c r="CY27" i="149" s="1"/>
  <c r="BA27" i="149"/>
  <c r="CP66" i="67"/>
  <c r="CP18" i="149" s="1"/>
  <c r="AR18" i="149"/>
  <c r="CP50" i="67"/>
  <c r="CP2" i="149" s="1"/>
  <c r="AR2" i="149"/>
  <c r="DB94" i="67"/>
  <c r="DB46" i="149" s="1"/>
  <c r="BD46" i="149"/>
  <c r="DB111" i="67"/>
  <c r="DB63" i="149" s="1"/>
  <c r="BD63" i="149"/>
  <c r="CY92" i="67"/>
  <c r="CY44" i="149" s="1"/>
  <c r="BA44" i="149"/>
  <c r="CU88" i="67"/>
  <c r="CU40" i="149" s="1"/>
  <c r="AW40" i="149"/>
  <c r="CR85" i="67"/>
  <c r="CR37" i="149" s="1"/>
  <c r="AT37" i="149"/>
  <c r="DB79" i="67"/>
  <c r="DB31" i="149" s="1"/>
  <c r="BD31" i="149"/>
  <c r="CZ77" i="67"/>
  <c r="CZ29" i="149" s="1"/>
  <c r="BB29" i="149"/>
  <c r="CT71" i="67"/>
  <c r="CT23" i="149" s="1"/>
  <c r="AV23" i="149"/>
  <c r="CQ68" i="67"/>
  <c r="AS20" i="149"/>
  <c r="DA62" i="67"/>
  <c r="DA14" i="149" s="1"/>
  <c r="BC14" i="149"/>
  <c r="CZ61" i="67"/>
  <c r="CZ13" i="149" s="1"/>
  <c r="BB13" i="149"/>
  <c r="CT55" i="67"/>
  <c r="CT7" i="149" s="1"/>
  <c r="AV7" i="149"/>
  <c r="CS54" i="67"/>
  <c r="CS6" i="149" s="1"/>
  <c r="AU6" i="149"/>
  <c r="CQ52" i="67"/>
  <c r="AS4" i="149"/>
  <c r="DB80" i="67"/>
  <c r="DB32" i="149" s="1"/>
  <c r="BD32" i="149"/>
  <c r="CU73" i="67"/>
  <c r="CU25" i="149" s="1"/>
  <c r="AW25" i="149"/>
  <c r="CS71" i="67"/>
  <c r="CS23" i="149" s="1"/>
  <c r="AU23" i="149"/>
  <c r="CQ69" i="67"/>
  <c r="AS21" i="149"/>
  <c r="DB64" i="67"/>
  <c r="DB16" i="149" s="1"/>
  <c r="BD16" i="149"/>
  <c r="CZ62" i="67"/>
  <c r="CZ14" i="149" s="1"/>
  <c r="BB14" i="149"/>
  <c r="CX60" i="67"/>
  <c r="AZ12" i="149"/>
  <c r="CU57" i="67"/>
  <c r="CU9" i="149" s="1"/>
  <c r="AW9" i="149"/>
  <c r="CS55" i="67"/>
  <c r="CS7" i="149" s="1"/>
  <c r="AU7" i="149"/>
  <c r="CQ53" i="67"/>
  <c r="AS5" i="149"/>
  <c r="CP98" i="67"/>
  <c r="CP50" i="149" s="1"/>
  <c r="AR50" i="149"/>
  <c r="CT119" i="67"/>
  <c r="CT71" i="149" s="1"/>
  <c r="AV71" i="149"/>
  <c r="CZ109" i="67"/>
  <c r="CZ61" i="149" s="1"/>
  <c r="BB61" i="149"/>
  <c r="CX93" i="67"/>
  <c r="AZ45" i="149"/>
  <c r="DB81" i="67"/>
  <c r="DB33" i="149" s="1"/>
  <c r="BD33" i="149"/>
  <c r="DA80" i="67"/>
  <c r="DA32" i="149" s="1"/>
  <c r="BC32" i="149"/>
  <c r="CZ79" i="67"/>
  <c r="CZ31" i="149" s="1"/>
  <c r="BB31" i="149"/>
  <c r="CY78" i="67"/>
  <c r="CY30" i="149" s="1"/>
  <c r="BA30" i="149"/>
  <c r="CX77" i="67"/>
  <c r="AZ29" i="149"/>
  <c r="CW76" i="67"/>
  <c r="CW28" i="149" s="1"/>
  <c r="AY28" i="149"/>
  <c r="CV75" i="67"/>
  <c r="CV27" i="149" s="1"/>
  <c r="AX27" i="149"/>
  <c r="CU74" i="67"/>
  <c r="CU26" i="149" s="1"/>
  <c r="AW26" i="149"/>
  <c r="CT73" i="67"/>
  <c r="CT25" i="149" s="1"/>
  <c r="AV25" i="149"/>
  <c r="CS72" i="67"/>
  <c r="CS24" i="149" s="1"/>
  <c r="AU24" i="149"/>
  <c r="CR71" i="67"/>
  <c r="CR23" i="149" s="1"/>
  <c r="AT23" i="149"/>
  <c r="CQ70" i="67"/>
  <c r="AS22" i="149"/>
  <c r="CP69" i="67"/>
  <c r="CP21" i="149" s="1"/>
  <c r="AR21" i="149"/>
  <c r="CO68" i="67"/>
  <c r="CO20" i="149" s="1"/>
  <c r="AQ20" i="149"/>
  <c r="DB65" i="67"/>
  <c r="DB17" i="149" s="1"/>
  <c r="BD17" i="149"/>
  <c r="DA64" i="67"/>
  <c r="DA16" i="149" s="1"/>
  <c r="BC16" i="149"/>
  <c r="CZ63" i="67"/>
  <c r="CZ15" i="149" s="1"/>
  <c r="BB15" i="149"/>
  <c r="CY62" i="67"/>
  <c r="CY14" i="149" s="1"/>
  <c r="BA14" i="149"/>
  <c r="CX61" i="67"/>
  <c r="AZ13" i="149"/>
  <c r="CW60" i="67"/>
  <c r="CW12" i="149" s="1"/>
  <c r="AY12" i="149"/>
  <c r="CV59" i="67"/>
  <c r="CV11" i="149" s="1"/>
  <c r="AX11" i="149"/>
  <c r="CT57" i="67"/>
  <c r="CT9" i="149" s="1"/>
  <c r="AV9" i="149"/>
  <c r="CS56" i="67"/>
  <c r="CS8" i="149" s="1"/>
  <c r="AU8" i="149"/>
  <c r="CR55" i="67"/>
  <c r="CR7" i="149" s="1"/>
  <c r="AT7" i="149"/>
  <c r="CQ54" i="67"/>
  <c r="AS6" i="149"/>
  <c r="CP53" i="67"/>
  <c r="CP5" i="149" s="1"/>
  <c r="AR5" i="149"/>
  <c r="CO52" i="67"/>
  <c r="CO4" i="149" s="1"/>
  <c r="AQ4" i="149"/>
  <c r="CV107" i="67"/>
  <c r="CV59" i="149" s="1"/>
  <c r="AX59" i="149"/>
  <c r="CO117" i="67"/>
  <c r="CO69" i="149" s="1"/>
  <c r="AQ69" i="149"/>
  <c r="CZ112" i="67"/>
  <c r="CZ64" i="149" s="1"/>
  <c r="BB64" i="149"/>
  <c r="CX110" i="67"/>
  <c r="AZ62" i="149"/>
  <c r="CV108" i="67"/>
  <c r="CV60" i="149" s="1"/>
  <c r="AX60" i="149"/>
  <c r="CO101" i="67"/>
  <c r="CO53" i="149" s="1"/>
  <c r="AQ53" i="149"/>
  <c r="CY95" i="67"/>
  <c r="CY47" i="149" s="1"/>
  <c r="BA47" i="149"/>
  <c r="CW93" i="67"/>
  <c r="CW45" i="149" s="1"/>
  <c r="AY45" i="149"/>
  <c r="CU91" i="67"/>
  <c r="CU43" i="149" s="1"/>
  <c r="AW43" i="149"/>
  <c r="CP70" i="67"/>
  <c r="CP22" i="149" s="1"/>
  <c r="AR22" i="149"/>
  <c r="CO69" i="67"/>
  <c r="CO21" i="149" s="1"/>
  <c r="AQ21" i="149"/>
  <c r="CO53" i="67"/>
  <c r="CO5" i="149" s="1"/>
  <c r="AQ5" i="149"/>
  <c r="CT88" i="67"/>
  <c r="CT40" i="149" s="1"/>
  <c r="AV40" i="149"/>
  <c r="CP118" i="67"/>
  <c r="CP70" i="149" s="1"/>
  <c r="AR70" i="149"/>
  <c r="CR104" i="67"/>
  <c r="CR56" i="149" s="1"/>
  <c r="AT56" i="149"/>
  <c r="CQ87" i="67"/>
  <c r="AS39" i="149"/>
  <c r="CO85" i="67"/>
  <c r="CO37" i="149" s="1"/>
  <c r="AQ37" i="149"/>
  <c r="DA81" i="67"/>
  <c r="DA33" i="149" s="1"/>
  <c r="BC33" i="149"/>
  <c r="CX78" i="67"/>
  <c r="AZ30" i="149"/>
  <c r="CV76" i="67"/>
  <c r="CV28" i="149" s="1"/>
  <c r="AX28" i="149"/>
  <c r="CR121" i="67"/>
  <c r="CR73" i="149" s="1"/>
  <c r="AT73" i="149"/>
  <c r="CC120" i="67"/>
  <c r="CC72" i="149" s="1"/>
  <c r="AS72" i="149"/>
  <c r="CP119" i="67"/>
  <c r="CP71" i="149" s="1"/>
  <c r="AR71" i="149"/>
  <c r="CO118" i="67"/>
  <c r="CO70" i="149" s="1"/>
  <c r="AQ70" i="149"/>
  <c r="DB115" i="67"/>
  <c r="DB67" i="149" s="1"/>
  <c r="BD67" i="149"/>
  <c r="DA114" i="67"/>
  <c r="DA66" i="149" s="1"/>
  <c r="BC66" i="149"/>
  <c r="CZ113" i="67"/>
  <c r="CZ65" i="149" s="1"/>
  <c r="BB65" i="149"/>
  <c r="CY112" i="67"/>
  <c r="CY64" i="149" s="1"/>
  <c r="BA64" i="149"/>
  <c r="CX111" i="67"/>
  <c r="AZ63" i="149"/>
  <c r="CW110" i="67"/>
  <c r="CW62" i="149" s="1"/>
  <c r="AY62" i="149"/>
  <c r="CV109" i="67"/>
  <c r="CV61" i="149" s="1"/>
  <c r="AX61" i="149"/>
  <c r="CU108" i="67"/>
  <c r="CU60" i="149" s="1"/>
  <c r="AW60" i="149"/>
  <c r="CT107" i="67"/>
  <c r="CT59" i="149" s="1"/>
  <c r="AV59" i="149"/>
  <c r="CS106" i="67"/>
  <c r="CS58" i="149" s="1"/>
  <c r="AU58" i="149"/>
  <c r="CR105" i="67"/>
  <c r="CR57" i="149" s="1"/>
  <c r="AT57" i="149"/>
  <c r="CQ104" i="67"/>
  <c r="AS56" i="149"/>
  <c r="CP103" i="67"/>
  <c r="CP55" i="149" s="1"/>
  <c r="AR55" i="149"/>
  <c r="CO102" i="67"/>
  <c r="CO54" i="149" s="1"/>
  <c r="AQ54" i="149"/>
  <c r="DB99" i="67"/>
  <c r="DB51" i="149" s="1"/>
  <c r="BD51" i="149"/>
  <c r="DA98" i="67"/>
  <c r="DA50" i="149" s="1"/>
  <c r="BC50" i="149"/>
  <c r="CZ97" i="67"/>
  <c r="CZ49" i="149" s="1"/>
  <c r="BB49" i="149"/>
  <c r="CY96" i="67"/>
  <c r="CY48" i="149" s="1"/>
  <c r="BA48" i="149"/>
  <c r="CX95" i="67"/>
  <c r="AZ47" i="149"/>
  <c r="CW94" i="67"/>
  <c r="CW46" i="149" s="1"/>
  <c r="AY46" i="149"/>
  <c r="CV93" i="67"/>
  <c r="CV45" i="149" s="1"/>
  <c r="AX45" i="149"/>
  <c r="CU92" i="67"/>
  <c r="CU44" i="149" s="1"/>
  <c r="AW44" i="149"/>
  <c r="CT91" i="67"/>
  <c r="CT43" i="149" s="1"/>
  <c r="AV43" i="149"/>
  <c r="CS90" i="67"/>
  <c r="CS42" i="149" s="1"/>
  <c r="AU42" i="149"/>
  <c r="CR89" i="67"/>
  <c r="CR41" i="149" s="1"/>
  <c r="AT41" i="149"/>
  <c r="CQ88" i="67"/>
  <c r="AS40" i="149"/>
  <c r="CP87" i="67"/>
  <c r="CP39" i="149" s="1"/>
  <c r="AR39" i="149"/>
  <c r="CO86" i="67"/>
  <c r="CO38" i="149" s="1"/>
  <c r="AQ38" i="149"/>
  <c r="DB83" i="67"/>
  <c r="DB35" i="149" s="1"/>
  <c r="BD35" i="149"/>
  <c r="CM82" i="67"/>
  <c r="CM34" i="149" s="1"/>
  <c r="BC34" i="149"/>
  <c r="CZ81" i="67"/>
  <c r="CZ33" i="149" s="1"/>
  <c r="BB33" i="149"/>
  <c r="CY80" i="67"/>
  <c r="CY32" i="149" s="1"/>
  <c r="BA32" i="149"/>
  <c r="CX79" i="67"/>
  <c r="AZ31" i="149"/>
  <c r="CW78" i="67"/>
  <c r="CW30" i="149" s="1"/>
  <c r="AY30" i="149"/>
  <c r="CV77" i="67"/>
  <c r="CV29" i="149" s="1"/>
  <c r="AX29" i="149"/>
  <c r="CU76" i="67"/>
  <c r="CU28" i="149" s="1"/>
  <c r="AW28" i="149"/>
  <c r="CT75" i="67"/>
  <c r="CT27" i="149" s="1"/>
  <c r="AV27" i="149"/>
  <c r="CS74" i="67"/>
  <c r="CS26" i="149" s="1"/>
  <c r="AU26" i="149"/>
  <c r="CR73" i="67"/>
  <c r="CR25" i="149" s="1"/>
  <c r="AT25" i="149"/>
  <c r="CQ72" i="67"/>
  <c r="AS24" i="149"/>
  <c r="CP71" i="67"/>
  <c r="CP23" i="149" s="1"/>
  <c r="AR23" i="149"/>
  <c r="CO70" i="67"/>
  <c r="CO22" i="149" s="1"/>
  <c r="AQ22" i="149"/>
  <c r="DB67" i="67"/>
  <c r="DB19" i="149" s="1"/>
  <c r="BD19" i="149"/>
  <c r="DA66" i="67"/>
  <c r="DA18" i="149" s="1"/>
  <c r="BC18" i="149"/>
  <c r="CY64" i="67"/>
  <c r="CY16" i="149" s="1"/>
  <c r="BA16" i="149"/>
  <c r="CX63" i="67"/>
  <c r="AZ15" i="149"/>
  <c r="CW62" i="67"/>
  <c r="CW14" i="149" s="1"/>
  <c r="AY14" i="149"/>
  <c r="CV61" i="67"/>
  <c r="CV13" i="149" s="1"/>
  <c r="AX13" i="149"/>
  <c r="CU60" i="67"/>
  <c r="CU12" i="149" s="1"/>
  <c r="AW12" i="149"/>
  <c r="CT59" i="67"/>
  <c r="CT11" i="149" s="1"/>
  <c r="AV11" i="149"/>
  <c r="CS58" i="67"/>
  <c r="CS10" i="149" s="1"/>
  <c r="AU10" i="149"/>
  <c r="CQ56" i="67"/>
  <c r="AS8" i="149"/>
  <c r="CP55" i="67"/>
  <c r="CP7" i="149" s="1"/>
  <c r="AR7" i="149"/>
  <c r="CO54" i="67"/>
  <c r="CO6" i="149" s="1"/>
  <c r="AQ6" i="149"/>
  <c r="DB51" i="67"/>
  <c r="DB3" i="149" s="1"/>
  <c r="BD3" i="149"/>
  <c r="DA50" i="67"/>
  <c r="DA2" i="149" s="1"/>
  <c r="BC2" i="149"/>
  <c r="CV90" i="67"/>
  <c r="CV42" i="149" s="1"/>
  <c r="AX42" i="149"/>
  <c r="CR106" i="67"/>
  <c r="CR58" i="149" s="1"/>
  <c r="AT58" i="149"/>
  <c r="CO103" i="67"/>
  <c r="CO55" i="149" s="1"/>
  <c r="AQ55" i="149"/>
  <c r="CZ98" i="67"/>
  <c r="CZ50" i="149" s="1"/>
  <c r="BB50" i="149"/>
  <c r="DA83" i="67"/>
  <c r="DA35" i="149" s="1"/>
  <c r="BC35" i="149"/>
  <c r="CS75" i="67"/>
  <c r="CS27" i="149" s="1"/>
  <c r="AU27" i="149"/>
  <c r="CP72" i="67"/>
  <c r="CP24" i="149" s="1"/>
  <c r="AR24" i="149"/>
  <c r="CO71" i="67"/>
  <c r="CO23" i="149" s="1"/>
  <c r="AQ23" i="149"/>
  <c r="DB68" i="67"/>
  <c r="DB20" i="149" s="1"/>
  <c r="BD20" i="149"/>
  <c r="DA67" i="67"/>
  <c r="DA19" i="149" s="1"/>
  <c r="BC19" i="149"/>
  <c r="CZ66" i="67"/>
  <c r="CZ18" i="149" s="1"/>
  <c r="BB18" i="149"/>
  <c r="CW63" i="67"/>
  <c r="CW15" i="149" s="1"/>
  <c r="AY15" i="149"/>
  <c r="CV62" i="67"/>
  <c r="CV14" i="149" s="1"/>
  <c r="AX14" i="149"/>
  <c r="CU61" i="67"/>
  <c r="CU13" i="149" s="1"/>
  <c r="AW13" i="149"/>
  <c r="CT60" i="67"/>
  <c r="CT12" i="149" s="1"/>
  <c r="AV12" i="149"/>
  <c r="CS59" i="67"/>
  <c r="CS11" i="149" s="1"/>
  <c r="AU11" i="149"/>
  <c r="CR58" i="67"/>
  <c r="CR10" i="149" s="1"/>
  <c r="AT10" i="149"/>
  <c r="CB56" i="67"/>
  <c r="CB8" i="149" s="1"/>
  <c r="AR8" i="149"/>
  <c r="CO55" i="67"/>
  <c r="CO7" i="149" s="1"/>
  <c r="AQ7" i="149"/>
  <c r="DB52" i="67"/>
  <c r="DB4" i="149" s="1"/>
  <c r="BD4" i="149"/>
  <c r="DA51" i="67"/>
  <c r="DA3" i="149" s="1"/>
  <c r="BC3" i="149"/>
  <c r="CZ50" i="67"/>
  <c r="CZ2" i="149" s="1"/>
  <c r="BB2" i="149"/>
  <c r="CV121" i="67"/>
  <c r="CV73" i="149" s="1"/>
  <c r="AX73" i="149"/>
  <c r="DB101" i="67"/>
  <c r="DB53" i="149" s="1"/>
  <c r="BD53" i="149"/>
  <c r="DB69" i="67"/>
  <c r="DB21" i="149" s="1"/>
  <c r="BD21" i="149"/>
  <c r="CZ67" i="67"/>
  <c r="CZ19" i="149" s="1"/>
  <c r="BB19" i="149"/>
  <c r="CY66" i="67"/>
  <c r="CY18" i="149" s="1"/>
  <c r="BA18" i="149"/>
  <c r="DA115" i="67"/>
  <c r="DA67" i="149" s="1"/>
  <c r="BC67" i="149"/>
  <c r="CT92" i="67"/>
  <c r="CT44" i="149" s="1"/>
  <c r="AV44" i="149"/>
  <c r="CO87" i="67"/>
  <c r="CO39" i="149" s="1"/>
  <c r="AQ39" i="149"/>
  <c r="CQ90" i="67"/>
  <c r="AS42" i="149"/>
  <c r="CT77" i="67"/>
  <c r="CT29" i="149" s="1"/>
  <c r="AV29" i="149"/>
  <c r="CR75" i="67"/>
  <c r="CR27" i="149" s="1"/>
  <c r="AT27" i="149"/>
  <c r="CP73" i="67"/>
  <c r="CP25" i="149" s="1"/>
  <c r="AR25" i="149"/>
  <c r="CV63" i="67"/>
  <c r="CV15" i="149" s="1"/>
  <c r="AX15" i="149"/>
  <c r="CX114" i="67"/>
  <c r="AZ66" i="149"/>
  <c r="CU111" i="67"/>
  <c r="CU63" i="149" s="1"/>
  <c r="AW63" i="149"/>
  <c r="CT110" i="67"/>
  <c r="CT62" i="149" s="1"/>
  <c r="AV62" i="149"/>
  <c r="CS109" i="67"/>
  <c r="CS61" i="149" s="1"/>
  <c r="AU61" i="149"/>
  <c r="CR108" i="67"/>
  <c r="CR60" i="149" s="1"/>
  <c r="AT60" i="149"/>
  <c r="CQ107" i="67"/>
  <c r="AS59" i="149"/>
  <c r="CO105" i="67"/>
  <c r="CO57" i="149" s="1"/>
  <c r="AQ57" i="149"/>
  <c r="CU95" i="67"/>
  <c r="CU47" i="149" s="1"/>
  <c r="AW47" i="149"/>
  <c r="CT94" i="67"/>
  <c r="CT46" i="149" s="1"/>
  <c r="AV46" i="149"/>
  <c r="CS93" i="67"/>
  <c r="CS45" i="149" s="1"/>
  <c r="AU45" i="149"/>
  <c r="CR92" i="67"/>
  <c r="CR44" i="149" s="1"/>
  <c r="AT44" i="149"/>
  <c r="CQ91" i="67"/>
  <c r="AS43" i="149"/>
  <c r="CP90" i="67"/>
  <c r="CP42" i="149" s="1"/>
  <c r="AR42" i="149"/>
  <c r="CO89" i="67"/>
  <c r="CO41" i="149" s="1"/>
  <c r="AQ41" i="149"/>
  <c r="DB86" i="67"/>
  <c r="DB38" i="149" s="1"/>
  <c r="BD38" i="149"/>
  <c r="DA85" i="67"/>
  <c r="DA37" i="149" s="1"/>
  <c r="BC37" i="149"/>
  <c r="CZ84" i="67"/>
  <c r="CZ36" i="149" s="1"/>
  <c r="BB36" i="149"/>
  <c r="CY83" i="67"/>
  <c r="CY35" i="149" s="1"/>
  <c r="BA35" i="149"/>
  <c r="CX82" i="67"/>
  <c r="AZ34" i="149"/>
  <c r="CW81" i="67"/>
  <c r="CW33" i="149" s="1"/>
  <c r="AY33" i="149"/>
  <c r="CU79" i="67"/>
  <c r="CU31" i="149" s="1"/>
  <c r="AW31" i="149"/>
  <c r="CT78" i="67"/>
  <c r="CT30" i="149" s="1"/>
  <c r="AV30" i="149"/>
  <c r="CS77" i="67"/>
  <c r="CS29" i="149" s="1"/>
  <c r="AU29" i="149"/>
  <c r="CR76" i="67"/>
  <c r="CR28" i="149" s="1"/>
  <c r="AT28" i="149"/>
  <c r="CQ75" i="67"/>
  <c r="AS27" i="149"/>
  <c r="CP74" i="67"/>
  <c r="CP26" i="149" s="1"/>
  <c r="AR26" i="149"/>
  <c r="CO73" i="67"/>
  <c r="CO25" i="149" s="1"/>
  <c r="AQ25" i="149"/>
  <c r="DB70" i="67"/>
  <c r="DB22" i="149" s="1"/>
  <c r="BD22" i="149"/>
  <c r="DA69" i="67"/>
  <c r="DA21" i="149" s="1"/>
  <c r="BC21" i="149"/>
  <c r="CZ68" i="67"/>
  <c r="CZ20" i="149" s="1"/>
  <c r="BB20" i="149"/>
  <c r="CY67" i="67"/>
  <c r="CY19" i="149" s="1"/>
  <c r="BA19" i="149"/>
  <c r="CX66" i="67"/>
  <c r="AZ18" i="149"/>
  <c r="CW65" i="67"/>
  <c r="CW17" i="149" s="1"/>
  <c r="AY17" i="149"/>
  <c r="CT62" i="67"/>
  <c r="CT14" i="149" s="1"/>
  <c r="AV14" i="149"/>
  <c r="CS61" i="67"/>
  <c r="CS13" i="149" s="1"/>
  <c r="AU13" i="149"/>
  <c r="CR60" i="67"/>
  <c r="CR12" i="149" s="1"/>
  <c r="AT12" i="149"/>
  <c r="CQ59" i="67"/>
  <c r="AS11" i="149"/>
  <c r="CP58" i="67"/>
  <c r="CP10" i="149" s="1"/>
  <c r="AR10" i="149"/>
  <c r="CO57" i="67"/>
  <c r="CO9" i="149" s="1"/>
  <c r="AQ9" i="149"/>
  <c r="DB54" i="67"/>
  <c r="DB6" i="149" s="1"/>
  <c r="BD6" i="149"/>
  <c r="DA53" i="67"/>
  <c r="DA5" i="149" s="1"/>
  <c r="BC5" i="149"/>
  <c r="CZ52" i="67"/>
  <c r="CZ4" i="149" s="1"/>
  <c r="BB4" i="149"/>
  <c r="CY51" i="67"/>
  <c r="CY3" i="149" s="1"/>
  <c r="BA3" i="149"/>
  <c r="CX50" i="67"/>
  <c r="AZ2" i="149"/>
  <c r="CQ117" i="67"/>
  <c r="AS69" i="149"/>
  <c r="CS120" i="67"/>
  <c r="CS72" i="149" s="1"/>
  <c r="AU72" i="149"/>
  <c r="CY110" i="67"/>
  <c r="CY62" i="149" s="1"/>
  <c r="BA62" i="149"/>
  <c r="CQ121" i="67"/>
  <c r="AS73" i="149"/>
  <c r="CO119" i="67"/>
  <c r="CO71" i="149" s="1"/>
  <c r="AQ71" i="149"/>
  <c r="CP121" i="67"/>
  <c r="CP73" i="149" s="1"/>
  <c r="AR73" i="149"/>
  <c r="CT109" i="67"/>
  <c r="CT61" i="149" s="1"/>
  <c r="AV61" i="149"/>
  <c r="CU94" i="67"/>
  <c r="CU46" i="149" s="1"/>
  <c r="AW46" i="149"/>
  <c r="CS44" i="149"/>
  <c r="AU44" i="149"/>
  <c r="DA84" i="67"/>
  <c r="DA36" i="149" s="1"/>
  <c r="BC36" i="149"/>
  <c r="CW80" i="67"/>
  <c r="CW32" i="149" s="1"/>
  <c r="AY32" i="149"/>
  <c r="CT61" i="67"/>
  <c r="CT13" i="149" s="1"/>
  <c r="AV13" i="149"/>
  <c r="CR59" i="67"/>
  <c r="CR11" i="149" s="1"/>
  <c r="AT11" i="149"/>
  <c r="CO121" i="67"/>
  <c r="CO73" i="149" s="1"/>
  <c r="AQ73" i="149"/>
  <c r="CN118" i="67"/>
  <c r="CN70" i="149" s="1"/>
  <c r="BD70" i="149"/>
  <c r="DA117" i="67"/>
  <c r="DA69" i="149" s="1"/>
  <c r="BC69" i="149"/>
  <c r="CZ116" i="67"/>
  <c r="CZ68" i="149" s="1"/>
  <c r="BB68" i="149"/>
  <c r="CY115" i="67"/>
  <c r="CY67" i="149" s="1"/>
  <c r="BA67" i="149"/>
  <c r="CW113" i="67"/>
  <c r="CW65" i="149" s="1"/>
  <c r="AY65" i="149"/>
  <c r="CP106" i="67"/>
  <c r="CP58" i="149" s="1"/>
  <c r="AR58" i="149"/>
  <c r="DB102" i="67"/>
  <c r="DB54" i="149" s="1"/>
  <c r="BD54" i="149"/>
  <c r="DA101" i="67"/>
  <c r="DA53" i="149" s="1"/>
  <c r="BC53" i="149"/>
  <c r="CZ100" i="67"/>
  <c r="CZ52" i="149" s="1"/>
  <c r="BB52" i="149"/>
  <c r="CY99" i="67"/>
  <c r="CY51" i="149" s="1"/>
  <c r="BA51" i="149"/>
  <c r="CX98" i="67"/>
  <c r="AZ50" i="149"/>
  <c r="CW97" i="67"/>
  <c r="CW49" i="149" s="1"/>
  <c r="AY49" i="149"/>
  <c r="DB119" i="67"/>
  <c r="DB71" i="149" s="1"/>
  <c r="BD71" i="149"/>
  <c r="DA118" i="67"/>
  <c r="DA70" i="149" s="1"/>
  <c r="BC70" i="149"/>
  <c r="CZ117" i="67"/>
  <c r="CZ69" i="149" s="1"/>
  <c r="BB69" i="149"/>
  <c r="CY116" i="67"/>
  <c r="CY68" i="149" s="1"/>
  <c r="BA68" i="149"/>
  <c r="CX115" i="67"/>
  <c r="AZ67" i="149"/>
  <c r="CW114" i="67"/>
  <c r="CW66" i="149" s="1"/>
  <c r="AY66" i="149"/>
  <c r="CV113" i="67"/>
  <c r="CV65" i="149" s="1"/>
  <c r="AX65" i="149"/>
  <c r="CU112" i="67"/>
  <c r="CU64" i="149" s="1"/>
  <c r="AW64" i="149"/>
  <c r="CT111" i="67"/>
  <c r="CT63" i="149" s="1"/>
  <c r="AV63" i="149"/>
  <c r="CS110" i="67"/>
  <c r="CS62" i="149" s="1"/>
  <c r="AU62" i="149"/>
  <c r="CR109" i="67"/>
  <c r="CR61" i="149" s="1"/>
  <c r="AT61" i="149"/>
  <c r="CQ108" i="67"/>
  <c r="AS60" i="149"/>
  <c r="CP107" i="67"/>
  <c r="CP59" i="149" s="1"/>
  <c r="AR59" i="149"/>
  <c r="CO106" i="67"/>
  <c r="CO58" i="149" s="1"/>
  <c r="AQ58" i="149"/>
  <c r="DB103" i="67"/>
  <c r="DB55" i="149" s="1"/>
  <c r="BD55" i="149"/>
  <c r="DA102" i="67"/>
  <c r="DA54" i="149" s="1"/>
  <c r="BC54" i="149"/>
  <c r="CZ101" i="67"/>
  <c r="CZ53" i="149" s="1"/>
  <c r="BB53" i="149"/>
  <c r="CY100" i="67"/>
  <c r="CY52" i="149" s="1"/>
  <c r="BA52" i="149"/>
  <c r="CJ99" i="67"/>
  <c r="CJ51" i="149" s="1"/>
  <c r="AZ51" i="149"/>
  <c r="CW98" i="67"/>
  <c r="CW50" i="149" s="1"/>
  <c r="AY50" i="149"/>
  <c r="CV97" i="67"/>
  <c r="CV49" i="149" s="1"/>
  <c r="AX49" i="149"/>
  <c r="CU96" i="67"/>
  <c r="CU48" i="149" s="1"/>
  <c r="AW48" i="149"/>
  <c r="CT95" i="67"/>
  <c r="CT47" i="149" s="1"/>
  <c r="AV47" i="149"/>
  <c r="CS94" i="67"/>
  <c r="CS46" i="149" s="1"/>
  <c r="AU46" i="149"/>
  <c r="CR93" i="67"/>
  <c r="CR45" i="149" s="1"/>
  <c r="AT45" i="149"/>
  <c r="CQ92" i="67"/>
  <c r="AS44" i="149"/>
  <c r="CP91" i="67"/>
  <c r="CP43" i="149" s="1"/>
  <c r="AR43" i="149"/>
  <c r="CO90" i="67"/>
  <c r="CO42" i="149" s="1"/>
  <c r="AQ42" i="149"/>
  <c r="DB87" i="67"/>
  <c r="DB39" i="149" s="1"/>
  <c r="BD39" i="149"/>
  <c r="DA86" i="67"/>
  <c r="DA38" i="149" s="1"/>
  <c r="BC38" i="149"/>
  <c r="CZ85" i="67"/>
  <c r="CZ37" i="149" s="1"/>
  <c r="BB37" i="149"/>
  <c r="CY84" i="67"/>
  <c r="CY36" i="149" s="1"/>
  <c r="BA36" i="149"/>
  <c r="CX83" i="67"/>
  <c r="AZ35" i="149"/>
  <c r="CW82" i="67"/>
  <c r="CW34" i="149" s="1"/>
  <c r="AY34" i="149"/>
  <c r="CV81" i="67"/>
  <c r="CV33" i="149" s="1"/>
  <c r="AX33" i="149"/>
  <c r="CU80" i="67"/>
  <c r="CU32" i="149" s="1"/>
  <c r="AW32" i="149"/>
  <c r="CT79" i="67"/>
  <c r="CT31" i="149" s="1"/>
  <c r="AV31" i="149"/>
  <c r="CS78" i="67"/>
  <c r="CS30" i="149" s="1"/>
  <c r="AU30" i="149"/>
  <c r="CR77" i="67"/>
  <c r="CR29" i="149" s="1"/>
  <c r="AT29" i="149"/>
  <c r="CQ76" i="67"/>
  <c r="AS28" i="149"/>
  <c r="CP75" i="67"/>
  <c r="CP27" i="149" s="1"/>
  <c r="AR27" i="149"/>
  <c r="CO74" i="67"/>
  <c r="CO26" i="149" s="1"/>
  <c r="AQ26" i="149"/>
  <c r="DB71" i="67"/>
  <c r="DB23" i="149" s="1"/>
  <c r="BD23" i="149"/>
  <c r="DA70" i="67"/>
  <c r="DA22" i="149" s="1"/>
  <c r="BC22" i="149"/>
  <c r="CZ69" i="67"/>
  <c r="CZ21" i="149" s="1"/>
  <c r="BB21" i="149"/>
  <c r="CY68" i="67"/>
  <c r="CY20" i="149" s="1"/>
  <c r="BA20" i="149"/>
  <c r="CX67" i="67"/>
  <c r="AZ19" i="149"/>
  <c r="CW66" i="67"/>
  <c r="CW18" i="149" s="1"/>
  <c r="AY18" i="149"/>
  <c r="CV65" i="67"/>
  <c r="CV17" i="149" s="1"/>
  <c r="AX17" i="149"/>
  <c r="CU64" i="67"/>
  <c r="CU16" i="149" s="1"/>
  <c r="AW16" i="149"/>
  <c r="CS62" i="67"/>
  <c r="CS14" i="149" s="1"/>
  <c r="AU14" i="149"/>
  <c r="CR61" i="67"/>
  <c r="CR13" i="149" s="1"/>
  <c r="AT13" i="149"/>
  <c r="CQ60" i="67"/>
  <c r="AS12" i="149"/>
  <c r="CP59" i="67"/>
  <c r="CP11" i="149" s="1"/>
  <c r="AR11" i="149"/>
  <c r="CO58" i="67"/>
  <c r="CO10" i="149" s="1"/>
  <c r="AQ10" i="149"/>
  <c r="CN55" i="67"/>
  <c r="CN7" i="149" s="1"/>
  <c r="BD7" i="149"/>
  <c r="DA54" i="67"/>
  <c r="DA6" i="149" s="1"/>
  <c r="BC6" i="149"/>
  <c r="CZ53" i="67"/>
  <c r="CZ5" i="149" s="1"/>
  <c r="BB5" i="149"/>
  <c r="CY52" i="67"/>
  <c r="CY4" i="149" s="1"/>
  <c r="BA4" i="149"/>
  <c r="CX51" i="67"/>
  <c r="AZ3" i="149"/>
  <c r="CW50" i="67"/>
  <c r="CW2" i="149" s="1"/>
  <c r="AY2" i="149"/>
  <c r="CU109" i="67"/>
  <c r="CU61" i="149" s="1"/>
  <c r="AW61" i="149"/>
  <c r="DB100" i="67"/>
  <c r="DB52" i="149" s="1"/>
  <c r="BD52" i="149"/>
  <c r="CV111" i="67"/>
  <c r="CV63" i="149" s="1"/>
  <c r="AX63" i="149"/>
  <c r="CR107" i="67"/>
  <c r="CR59" i="149" s="1"/>
  <c r="AT59" i="149"/>
  <c r="DB120" i="67"/>
  <c r="DB72" i="149" s="1"/>
  <c r="BD72" i="149"/>
  <c r="DA119" i="67"/>
  <c r="DA71" i="149" s="1"/>
  <c r="BC71" i="149"/>
  <c r="CZ118" i="67"/>
  <c r="CZ70" i="149" s="1"/>
  <c r="BB70" i="149"/>
  <c r="CY117" i="67"/>
  <c r="CY69" i="149" s="1"/>
  <c r="BA69" i="149"/>
  <c r="CX116" i="67"/>
  <c r="AZ68" i="149"/>
  <c r="CW115" i="67"/>
  <c r="CW67" i="149" s="1"/>
  <c r="AY67" i="149"/>
  <c r="CV114" i="67"/>
  <c r="CV66" i="149" s="1"/>
  <c r="AX66" i="149"/>
  <c r="CU113" i="67"/>
  <c r="CU65" i="149" s="1"/>
  <c r="AW65" i="149"/>
  <c r="CT112" i="67"/>
  <c r="CT64" i="149" s="1"/>
  <c r="AV64" i="149"/>
  <c r="CR110" i="67"/>
  <c r="CR62" i="149" s="1"/>
  <c r="AT62" i="149"/>
  <c r="CC109" i="67"/>
  <c r="CC61" i="149" s="1"/>
  <c r="AS61" i="149"/>
  <c r="CP108" i="67"/>
  <c r="CP60" i="149" s="1"/>
  <c r="AR60" i="149"/>
  <c r="CO107" i="67"/>
  <c r="CO59" i="149" s="1"/>
  <c r="AQ59" i="149"/>
  <c r="DB104" i="67"/>
  <c r="DB56" i="149" s="1"/>
  <c r="BD56" i="149"/>
  <c r="CZ102" i="67"/>
  <c r="CZ54" i="149" s="1"/>
  <c r="BB54" i="149"/>
  <c r="CY101" i="67"/>
  <c r="CY53" i="149" s="1"/>
  <c r="BA53" i="149"/>
  <c r="CX100" i="67"/>
  <c r="AZ52" i="149"/>
  <c r="CW99" i="67"/>
  <c r="CW51" i="149" s="1"/>
  <c r="AY51" i="149"/>
  <c r="CV98" i="67"/>
  <c r="CV50" i="149" s="1"/>
  <c r="AX50" i="149"/>
  <c r="CU97" i="67"/>
  <c r="CU49" i="149" s="1"/>
  <c r="AW49" i="149"/>
  <c r="CT96" i="67"/>
  <c r="CT48" i="149" s="1"/>
  <c r="AV48" i="149"/>
  <c r="CR94" i="67"/>
  <c r="CR46" i="149" s="1"/>
  <c r="AT46" i="149"/>
  <c r="CQ93" i="67"/>
  <c r="AS45" i="149"/>
  <c r="CP92" i="67"/>
  <c r="CP44" i="149" s="1"/>
  <c r="AR44" i="149"/>
  <c r="CO91" i="67"/>
  <c r="CO43" i="149" s="1"/>
  <c r="AQ43" i="149"/>
  <c r="DB88" i="67"/>
  <c r="DB40" i="149" s="1"/>
  <c r="BD40" i="149"/>
  <c r="CZ86" i="67"/>
  <c r="CZ38" i="149" s="1"/>
  <c r="BB38" i="149"/>
  <c r="CY85" i="67"/>
  <c r="CY37" i="149" s="1"/>
  <c r="BA37" i="149"/>
  <c r="CX84" i="67"/>
  <c r="AZ36" i="149"/>
  <c r="CW83" i="67"/>
  <c r="CW35" i="149" s="1"/>
  <c r="AY35" i="149"/>
  <c r="CV82" i="67"/>
  <c r="CV34" i="149" s="1"/>
  <c r="AX34" i="149"/>
  <c r="CU81" i="67"/>
  <c r="CU33" i="149" s="1"/>
  <c r="AW33" i="149"/>
  <c r="CT80" i="67"/>
  <c r="CT32" i="149" s="1"/>
  <c r="AV32" i="149"/>
  <c r="CR78" i="67"/>
  <c r="CR30" i="149" s="1"/>
  <c r="AT30" i="149"/>
  <c r="CQ77" i="67"/>
  <c r="AS29" i="149"/>
  <c r="CP76" i="67"/>
  <c r="CP28" i="149" s="1"/>
  <c r="AR28" i="149"/>
  <c r="CO75" i="67"/>
  <c r="CO27" i="149" s="1"/>
  <c r="AQ27" i="149"/>
  <c r="DB72" i="67"/>
  <c r="DB24" i="149" s="1"/>
  <c r="BD24" i="149"/>
  <c r="CZ70" i="67"/>
  <c r="CZ22" i="149" s="1"/>
  <c r="BB22" i="149"/>
  <c r="CY69" i="67"/>
  <c r="CY21" i="149" s="1"/>
  <c r="BA21" i="149"/>
  <c r="CX68" i="67"/>
  <c r="AZ20" i="149"/>
  <c r="CW67" i="67"/>
  <c r="CW19" i="149" s="1"/>
  <c r="AY19" i="149"/>
  <c r="CV66" i="67"/>
  <c r="CV18" i="149" s="1"/>
  <c r="AX18" i="149"/>
  <c r="CU65" i="67"/>
  <c r="CU17" i="149" s="1"/>
  <c r="AW17" i="149"/>
  <c r="CT64" i="67"/>
  <c r="CT16" i="149" s="1"/>
  <c r="AV16" i="149"/>
  <c r="CQ61" i="67"/>
  <c r="AS13" i="149"/>
  <c r="CP60" i="67"/>
  <c r="CP12" i="149" s="1"/>
  <c r="AR12" i="149"/>
  <c r="CO59" i="67"/>
  <c r="CO11" i="149" s="1"/>
  <c r="AQ11" i="149"/>
  <c r="DB56" i="67"/>
  <c r="DB8" i="149" s="1"/>
  <c r="BD8" i="149"/>
  <c r="CY53" i="67"/>
  <c r="CY5" i="149" s="1"/>
  <c r="BA5" i="149"/>
  <c r="CX52" i="67"/>
  <c r="AZ4" i="149"/>
  <c r="CW51" i="67"/>
  <c r="CW3" i="149" s="1"/>
  <c r="AY3" i="149"/>
  <c r="CV50" i="67"/>
  <c r="CV2" i="149" s="1"/>
  <c r="AX2" i="149"/>
  <c r="CQ100" i="67"/>
  <c r="AS52" i="149"/>
  <c r="CT113" i="67"/>
  <c r="CT65" i="149" s="1"/>
  <c r="AV65" i="149"/>
  <c r="DA104" i="67"/>
  <c r="DA56" i="149" s="1"/>
  <c r="BC56" i="149"/>
  <c r="CS96" i="67"/>
  <c r="CS48" i="149" s="1"/>
  <c r="AU48" i="149"/>
  <c r="CQ94" i="67"/>
  <c r="AS46" i="149"/>
  <c r="CO92" i="67"/>
  <c r="CO44" i="149" s="1"/>
  <c r="AQ44" i="149"/>
  <c r="CZ87" i="67"/>
  <c r="CZ39" i="149" s="1"/>
  <c r="BB39" i="149"/>
  <c r="CR79" i="67"/>
  <c r="CR31" i="149" s="1"/>
  <c r="AT31" i="149"/>
  <c r="CP77" i="67"/>
  <c r="CP29" i="149" s="1"/>
  <c r="AR29" i="149"/>
  <c r="DB73" i="67"/>
  <c r="DB25" i="149" s="1"/>
  <c r="BD25" i="149"/>
  <c r="CU66" i="67"/>
  <c r="CU18" i="149" s="1"/>
  <c r="AW18" i="149"/>
  <c r="CS64" i="67"/>
  <c r="CS16" i="149" s="1"/>
  <c r="AU16" i="149"/>
  <c r="CA85" i="67"/>
  <c r="CA37" i="149" s="1"/>
  <c r="CN40" i="67"/>
  <c r="CM105" i="67"/>
  <c r="CM57" i="149" s="1"/>
  <c r="CI101" i="67"/>
  <c r="CI53" i="149" s="1"/>
  <c r="CB91" i="67"/>
  <c r="CB43" i="149" s="1"/>
  <c r="CH87" i="67"/>
  <c r="CH39" i="149" s="1"/>
  <c r="CI82" i="67"/>
  <c r="CI34" i="149" s="1"/>
  <c r="CJ79" i="67"/>
  <c r="CJ31" i="149" s="1"/>
  <c r="CB76" i="67"/>
  <c r="CB28" i="149" s="1"/>
  <c r="CL73" i="67"/>
  <c r="CL25" i="149" s="1"/>
  <c r="CF60" i="67"/>
  <c r="CF12" i="149" s="1"/>
  <c r="CD58" i="67"/>
  <c r="CD10" i="149" s="1"/>
  <c r="CL52" i="67"/>
  <c r="CL4" i="149" s="1"/>
  <c r="CH50" i="67"/>
  <c r="CH2" i="149" s="1"/>
  <c r="CF44" i="67"/>
  <c r="CA53" i="67"/>
  <c r="CA5" i="149" s="1"/>
  <c r="CN35" i="67"/>
  <c r="CA37" i="67"/>
  <c r="CH32" i="67"/>
  <c r="CA63" i="67"/>
  <c r="CA15" i="149" s="1"/>
  <c r="CC121" i="67"/>
  <c r="CC73" i="149" s="1"/>
  <c r="CJ114" i="67"/>
  <c r="CJ66" i="149" s="1"/>
  <c r="CB108" i="67"/>
  <c r="CB60" i="149" s="1"/>
  <c r="CM98" i="67"/>
  <c r="CM50" i="149" s="1"/>
  <c r="CD92" i="67"/>
  <c r="CD44" i="149" s="1"/>
  <c r="CM83" i="67"/>
  <c r="CM35" i="149" s="1"/>
  <c r="CB77" i="67"/>
  <c r="CB29" i="149" s="1"/>
  <c r="CB70" i="67"/>
  <c r="CB22" i="149" s="1"/>
  <c r="CF62" i="67"/>
  <c r="CF14" i="149" s="1"/>
  <c r="CM53" i="67"/>
  <c r="CM5" i="149" s="1"/>
  <c r="CG46" i="67"/>
  <c r="CK37" i="67"/>
  <c r="CN16" i="67"/>
  <c r="CA59" i="67"/>
  <c r="CA11" i="149" s="1"/>
  <c r="CB121" i="67"/>
  <c r="CB73" i="149" s="1"/>
  <c r="CI114" i="67"/>
  <c r="CI66" i="149" s="1"/>
  <c r="CN107" i="67"/>
  <c r="CN59" i="149" s="1"/>
  <c r="CF98" i="67"/>
  <c r="CF50" i="149" s="1"/>
  <c r="CL91" i="67"/>
  <c r="CL43" i="149" s="1"/>
  <c r="CI83" i="67"/>
  <c r="CI35" i="149" s="1"/>
  <c r="CI76" i="67"/>
  <c r="CI28" i="149" s="1"/>
  <c r="CN69" i="67"/>
  <c r="CN21" i="149" s="1"/>
  <c r="CG61" i="67"/>
  <c r="CG13" i="149" s="1"/>
  <c r="CL53" i="67"/>
  <c r="CL5" i="149" s="1"/>
  <c r="CE45" i="67"/>
  <c r="CK36" i="67"/>
  <c r="CL16" i="67"/>
  <c r="CA54" i="67"/>
  <c r="CA6" i="149" s="1"/>
  <c r="CN120" i="67"/>
  <c r="CN72" i="149" s="1"/>
  <c r="CH114" i="67"/>
  <c r="CH66" i="149" s="1"/>
  <c r="CK106" i="67"/>
  <c r="CK58" i="149" s="1"/>
  <c r="CB98" i="67"/>
  <c r="CB50" i="149" s="1"/>
  <c r="CG91" i="67"/>
  <c r="CG43" i="149" s="1"/>
  <c r="CD83" i="67"/>
  <c r="CD35" i="149" s="1"/>
  <c r="CG76" i="67"/>
  <c r="CG28" i="149" s="1"/>
  <c r="CM69" i="67"/>
  <c r="CM21" i="149" s="1"/>
  <c r="CE61" i="67"/>
  <c r="CE13" i="149" s="1"/>
  <c r="CK53" i="67"/>
  <c r="CK5" i="149" s="1"/>
  <c r="CD45" i="67"/>
  <c r="CF36" i="67"/>
  <c r="CE13" i="67"/>
  <c r="CA118" i="67"/>
  <c r="CA70" i="149" s="1"/>
  <c r="CI120" i="67"/>
  <c r="CI72" i="149" s="1"/>
  <c r="CC114" i="67"/>
  <c r="CC66" i="149" s="1"/>
  <c r="CI97" i="67"/>
  <c r="CI49" i="149" s="1"/>
  <c r="CH69" i="67"/>
  <c r="CH21" i="149" s="1"/>
  <c r="CG8" i="67"/>
  <c r="CA112" i="67"/>
  <c r="CA64" i="149" s="1"/>
  <c r="CA52" i="67"/>
  <c r="CA4" i="149" s="1"/>
  <c r="CM119" i="67"/>
  <c r="CM71" i="149" s="1"/>
  <c r="CL113" i="67"/>
  <c r="CL65" i="149" s="1"/>
  <c r="CI104" i="67"/>
  <c r="CI56" i="149" s="1"/>
  <c r="CH97" i="67"/>
  <c r="CH49" i="149" s="1"/>
  <c r="CN90" i="67"/>
  <c r="CN42" i="149" s="1"/>
  <c r="CE82" i="67"/>
  <c r="CE34" i="149" s="1"/>
  <c r="CD75" i="67"/>
  <c r="CD27" i="149" s="1"/>
  <c r="CK68" i="67"/>
  <c r="CK20" i="149" s="1"/>
  <c r="CN59" i="67"/>
  <c r="CN11" i="149" s="1"/>
  <c r="CG52" i="67"/>
  <c r="CG4" i="149" s="1"/>
  <c r="CN43" i="67"/>
  <c r="CD35" i="67"/>
  <c r="CF8" i="67"/>
  <c r="CA108" i="67"/>
  <c r="CA60" i="149" s="1"/>
  <c r="CA48" i="67"/>
  <c r="CL119" i="67"/>
  <c r="CL71" i="149" s="1"/>
  <c r="CE113" i="67"/>
  <c r="CE65" i="149" s="1"/>
  <c r="CC104" i="67"/>
  <c r="CC56" i="149" s="1"/>
  <c r="CG97" i="67"/>
  <c r="CG49" i="149" s="1"/>
  <c r="CM90" i="67"/>
  <c r="CM42" i="149" s="1"/>
  <c r="CL81" i="67"/>
  <c r="CL33" i="149" s="1"/>
  <c r="CC75" i="67"/>
  <c r="CC27" i="149" s="1"/>
  <c r="CJ68" i="67"/>
  <c r="CJ20" i="149" s="1"/>
  <c r="CM59" i="67"/>
  <c r="CM11" i="149" s="1"/>
  <c r="CJ51" i="67"/>
  <c r="CJ3" i="149" s="1"/>
  <c r="CC43" i="67"/>
  <c r="CI34" i="67"/>
  <c r="CO47" i="67"/>
  <c r="CA102" i="67"/>
  <c r="CA54" i="149" s="1"/>
  <c r="CK119" i="67"/>
  <c r="CK71" i="149" s="1"/>
  <c r="CD113" i="67"/>
  <c r="CD65" i="149" s="1"/>
  <c r="CE103" i="67"/>
  <c r="CE55" i="149" s="1"/>
  <c r="CB97" i="67"/>
  <c r="CB49" i="149" s="1"/>
  <c r="CJ89" i="67"/>
  <c r="CJ41" i="149" s="1"/>
  <c r="CE81" i="67"/>
  <c r="CE33" i="149" s="1"/>
  <c r="CK74" i="67"/>
  <c r="CK26" i="149" s="1"/>
  <c r="CL67" i="67"/>
  <c r="CL19" i="149" s="1"/>
  <c r="CL59" i="67"/>
  <c r="CL11" i="149" s="1"/>
  <c r="CE51" i="67"/>
  <c r="CE3" i="149" s="1"/>
  <c r="CB43" i="67"/>
  <c r="CJ33" i="67"/>
  <c r="CV116" i="67"/>
  <c r="CV68" i="149" s="1"/>
  <c r="CA96" i="67"/>
  <c r="CA48" i="149" s="1"/>
  <c r="CA43" i="67"/>
  <c r="CB119" i="67"/>
  <c r="CB71" i="149" s="1"/>
  <c r="CG112" i="67"/>
  <c r="CG64" i="149" s="1"/>
  <c r="CM102" i="67"/>
  <c r="CM54" i="149" s="1"/>
  <c r="CK96" i="67"/>
  <c r="CK48" i="149" s="1"/>
  <c r="CD89" i="67"/>
  <c r="CD41" i="149" s="1"/>
  <c r="CG80" i="67"/>
  <c r="CG32" i="149" s="1"/>
  <c r="CG74" i="67"/>
  <c r="CG26" i="149" s="1"/>
  <c r="CG67" i="67"/>
  <c r="CG19" i="149" s="1"/>
  <c r="CM58" i="67"/>
  <c r="CM10" i="149" s="1"/>
  <c r="CJ50" i="67"/>
  <c r="CJ2" i="149" s="1"/>
  <c r="CD42" i="67"/>
  <c r="CI33" i="67"/>
  <c r="CQ109" i="67"/>
  <c r="CA86" i="67"/>
  <c r="CA38" i="149" s="1"/>
  <c r="CA38" i="67"/>
  <c r="CI118" i="67"/>
  <c r="CI70" i="149" s="1"/>
  <c r="CB112" i="67"/>
  <c r="CB64" i="149" s="1"/>
  <c r="CL102" i="67"/>
  <c r="CL54" i="149" s="1"/>
  <c r="CD96" i="67"/>
  <c r="CD48" i="149" s="1"/>
  <c r="CL88" i="67"/>
  <c r="CL40" i="149" s="1"/>
  <c r="CF80" i="67"/>
  <c r="CF32" i="149" s="1"/>
  <c r="CM73" i="67"/>
  <c r="CM25" i="149" s="1"/>
  <c r="CF67" i="67"/>
  <c r="CF19" i="149" s="1"/>
  <c r="CE58" i="67"/>
  <c r="CE10" i="149" s="1"/>
  <c r="CI50" i="67"/>
  <c r="CI2" i="149" s="1"/>
  <c r="CM41" i="67"/>
  <c r="CH33" i="67"/>
  <c r="CX99" i="67"/>
  <c r="CG118" i="67"/>
  <c r="CG70" i="149" s="1"/>
  <c r="CC111" i="67"/>
  <c r="CC63" i="149" s="1"/>
  <c r="CC96" i="67"/>
  <c r="CC48" i="149" s="1"/>
  <c r="CN65" i="67"/>
  <c r="CN17" i="149" s="1"/>
  <c r="CS98" i="67"/>
  <c r="CS50" i="149" s="1"/>
  <c r="CA80" i="67"/>
  <c r="CA32" i="149" s="1"/>
  <c r="CA36" i="67"/>
  <c r="CK117" i="67"/>
  <c r="CK69" i="149" s="1"/>
  <c r="CK110" i="67"/>
  <c r="CK62" i="149" s="1"/>
  <c r="CH101" i="67"/>
  <c r="CH53" i="149" s="1"/>
  <c r="CG95" i="67"/>
  <c r="CG47" i="149" s="1"/>
  <c r="CB87" i="67"/>
  <c r="CB39" i="149" s="1"/>
  <c r="CD79" i="67"/>
  <c r="CD31" i="149" s="1"/>
  <c r="CJ72" i="67"/>
  <c r="CJ24" i="149" s="1"/>
  <c r="CE65" i="67"/>
  <c r="CE17" i="149" s="1"/>
  <c r="CK57" i="67"/>
  <c r="CK9" i="149" s="1"/>
  <c r="CG49" i="67"/>
  <c r="CM40" i="67"/>
  <c r="CG32" i="67"/>
  <c r="DA82" i="67"/>
  <c r="DA34" i="149" s="1"/>
  <c r="CA75" i="67"/>
  <c r="CA27" i="149" s="1"/>
  <c r="CA32" i="67"/>
  <c r="CC117" i="67"/>
  <c r="CC69" i="149" s="1"/>
  <c r="CI110" i="67"/>
  <c r="CI62" i="149" s="1"/>
  <c r="CF101" i="67"/>
  <c r="CF53" i="149" s="1"/>
  <c r="CJ93" i="67"/>
  <c r="CJ45" i="149" s="1"/>
  <c r="CN86" i="67"/>
  <c r="CN38" i="149" s="1"/>
  <c r="CC79" i="67"/>
  <c r="CC31" i="149" s="1"/>
  <c r="CI72" i="67"/>
  <c r="CI24" i="149" s="1"/>
  <c r="CN64" i="67"/>
  <c r="CN16" i="149" s="1"/>
  <c r="CL56" i="67"/>
  <c r="CL8" i="149" s="1"/>
  <c r="CM48" i="67"/>
  <c r="CL40" i="67"/>
  <c r="CM31" i="67"/>
  <c r="CP56" i="67"/>
  <c r="CP8" i="149" s="1"/>
  <c r="CA70" i="67"/>
  <c r="CA22" i="149" s="1"/>
  <c r="CA31" i="67"/>
  <c r="CK116" i="67"/>
  <c r="CK68" i="149" s="1"/>
  <c r="CD110" i="67"/>
  <c r="CD62" i="149" s="1"/>
  <c r="CJ100" i="67"/>
  <c r="CJ52" i="149" s="1"/>
  <c r="CI93" i="67"/>
  <c r="CI45" i="149" s="1"/>
  <c r="CL85" i="67"/>
  <c r="CL37" i="149" s="1"/>
  <c r="CB79" i="67"/>
  <c r="CB31" i="149" s="1"/>
  <c r="CC72" i="67"/>
  <c r="CC24" i="149" s="1"/>
  <c r="CF64" i="67"/>
  <c r="CF16" i="149" s="1"/>
  <c r="CK56" i="67"/>
  <c r="CK8" i="149" s="1"/>
  <c r="CL48" i="67"/>
  <c r="CD40" i="67"/>
  <c r="CF30" i="67"/>
  <c r="CS7" i="67"/>
  <c r="CA69" i="67"/>
  <c r="CA21" i="149" s="1"/>
  <c r="CA27" i="67"/>
  <c r="CG116" i="67"/>
  <c r="CG68" i="149" s="1"/>
  <c r="CE109" i="67"/>
  <c r="CE61" i="149" s="1"/>
  <c r="CE100" i="67"/>
  <c r="CE52" i="149" s="1"/>
  <c r="CH93" i="67"/>
  <c r="CH45" i="149" s="1"/>
  <c r="CK85" i="67"/>
  <c r="CK37" i="149" s="1"/>
  <c r="CJ78" i="67"/>
  <c r="CJ30" i="149" s="1"/>
  <c r="CK71" i="67"/>
  <c r="CK23" i="149" s="1"/>
  <c r="CD64" i="67"/>
  <c r="CD16" i="149" s="1"/>
  <c r="CE56" i="67"/>
  <c r="CE8" i="149" s="1"/>
  <c r="CC48" i="67"/>
  <c r="CL38" i="67"/>
  <c r="CE30" i="67"/>
  <c r="CA68" i="67"/>
  <c r="CA20" i="149" s="1"/>
  <c r="CA22" i="67"/>
  <c r="CN115" i="67"/>
  <c r="CN67" i="149" s="1"/>
  <c r="CM108" i="67"/>
  <c r="CM60" i="149" s="1"/>
  <c r="CC93" i="67"/>
  <c r="CC45" i="149" s="1"/>
  <c r="CH84" i="67"/>
  <c r="CH36" i="149" s="1"/>
  <c r="CF78" i="67"/>
  <c r="CF30" i="149" s="1"/>
  <c r="CL70" i="67"/>
  <c r="CL22" i="149" s="1"/>
  <c r="CL63" i="67"/>
  <c r="CL15" i="149" s="1"/>
  <c r="CK55" i="67"/>
  <c r="CK7" i="149" s="1"/>
  <c r="CK47" i="67"/>
  <c r="CJ38" i="67"/>
  <c r="CD30" i="67"/>
  <c r="CA64" i="67"/>
  <c r="CA16" i="149" s="1"/>
  <c r="CA15" i="67"/>
  <c r="CG115" i="67"/>
  <c r="CG67" i="149" s="1"/>
  <c r="CC108" i="67"/>
  <c r="CC60" i="149" s="1"/>
  <c r="CF99" i="67"/>
  <c r="CF51" i="149" s="1"/>
  <c r="CE92" i="67"/>
  <c r="CE44" i="149" s="1"/>
  <c r="CG84" i="67"/>
  <c r="CG36" i="149" s="1"/>
  <c r="CM77" i="67"/>
  <c r="CM29" i="149" s="1"/>
  <c r="CG70" i="67"/>
  <c r="CG22" i="149" s="1"/>
  <c r="CH63" i="67"/>
  <c r="CH15" i="149" s="1"/>
  <c r="CI54" i="67"/>
  <c r="CI6" i="149" s="1"/>
  <c r="CB47" i="67"/>
  <c r="CL37" i="67"/>
  <c r="CG20" i="67"/>
  <c r="J137" i="65"/>
  <c r="K137" i="65"/>
  <c r="L137" i="65"/>
  <c r="J136" i="65"/>
  <c r="M137" i="65"/>
  <c r="K136" i="65"/>
  <c r="L136" i="65"/>
  <c r="M136" i="65"/>
  <c r="I59" i="148"/>
  <c r="CT25" i="67"/>
  <c r="CF25" i="67"/>
  <c r="CS24" i="67"/>
  <c r="CE24" i="67"/>
  <c r="CR23" i="67"/>
  <c r="CD23" i="67"/>
  <c r="CQ22" i="67"/>
  <c r="CC22" i="67"/>
  <c r="CB21" i="67"/>
  <c r="CP21" i="67"/>
  <c r="DB17" i="67"/>
  <c r="CN17" i="67"/>
  <c r="DA16" i="67"/>
  <c r="CM16" i="67"/>
  <c r="CZ15" i="67"/>
  <c r="CL15" i="67"/>
  <c r="CY14" i="67"/>
  <c r="CK14" i="67"/>
  <c r="CJ13" i="67"/>
  <c r="CX13" i="67"/>
  <c r="CW12" i="67"/>
  <c r="CI12" i="67"/>
  <c r="CV11" i="67"/>
  <c r="CH11" i="67"/>
  <c r="CU10" i="67"/>
  <c r="CG10" i="67"/>
  <c r="CT9" i="67"/>
  <c r="CF9" i="67"/>
  <c r="CS8" i="67"/>
  <c r="CE8" i="67"/>
  <c r="CR7" i="67"/>
  <c r="CD7" i="67"/>
  <c r="CQ6" i="67"/>
  <c r="CC6" i="67"/>
  <c r="CB5" i="67"/>
  <c r="CP5" i="67"/>
  <c r="DB121" i="67"/>
  <c r="DB73" i="149" s="1"/>
  <c r="CN121" i="67"/>
  <c r="CN73" i="149" s="1"/>
  <c r="DA120" i="67"/>
  <c r="DA72" i="149" s="1"/>
  <c r="CM120" i="67"/>
  <c r="CM72" i="149" s="1"/>
  <c r="CY118" i="67"/>
  <c r="CY70" i="149" s="1"/>
  <c r="CK118" i="67"/>
  <c r="CK70" i="149" s="1"/>
  <c r="CX117" i="67"/>
  <c r="CJ117" i="67"/>
  <c r="CJ69" i="149" s="1"/>
  <c r="CW116" i="67"/>
  <c r="CW68" i="149" s="1"/>
  <c r="CI116" i="67"/>
  <c r="CI68" i="149" s="1"/>
  <c r="CV115" i="67"/>
  <c r="CV67" i="149" s="1"/>
  <c r="CH115" i="67"/>
  <c r="CH67" i="149" s="1"/>
  <c r="CU114" i="67"/>
  <c r="CU66" i="149" s="1"/>
  <c r="CG114" i="67"/>
  <c r="CG66" i="149" s="1"/>
  <c r="CS112" i="67"/>
  <c r="CS64" i="149" s="1"/>
  <c r="CE112" i="67"/>
  <c r="CE64" i="149" s="1"/>
  <c r="CR111" i="67"/>
  <c r="CR63" i="149" s="1"/>
  <c r="CD111" i="67"/>
  <c r="CD63" i="149" s="1"/>
  <c r="CQ110" i="67"/>
  <c r="CC110" i="67"/>
  <c r="CC62" i="149" s="1"/>
  <c r="CP109" i="67"/>
  <c r="CP61" i="149" s="1"/>
  <c r="CB109" i="67"/>
  <c r="CB61" i="149" s="1"/>
  <c r="DB105" i="67"/>
  <c r="DB57" i="149" s="1"/>
  <c r="CN105" i="67"/>
  <c r="CN57" i="149" s="1"/>
  <c r="CZ103" i="67"/>
  <c r="CZ55" i="149" s="1"/>
  <c r="CL103" i="67"/>
  <c r="CL55" i="149" s="1"/>
  <c r="CY102" i="67"/>
  <c r="CY54" i="149" s="1"/>
  <c r="CK102" i="67"/>
  <c r="CK54" i="149" s="1"/>
  <c r="CX101" i="67"/>
  <c r="CJ101" i="67"/>
  <c r="CJ53" i="149" s="1"/>
  <c r="CW100" i="67"/>
  <c r="CW52" i="149" s="1"/>
  <c r="CI100" i="67"/>
  <c r="CI52" i="149" s="1"/>
  <c r="CV99" i="67"/>
  <c r="CV51" i="149" s="1"/>
  <c r="CH99" i="67"/>
  <c r="CH51" i="149" s="1"/>
  <c r="CU98" i="67"/>
  <c r="CU50" i="149" s="1"/>
  <c r="CG98" i="67"/>
  <c r="CG50" i="149" s="1"/>
  <c r="CT97" i="67"/>
  <c r="CT49" i="149" s="1"/>
  <c r="CF97" i="67"/>
  <c r="CF49" i="149" s="1"/>
  <c r="CD95" i="67"/>
  <c r="CD47" i="149" s="1"/>
  <c r="CR95" i="67"/>
  <c r="CR47" i="149" s="1"/>
  <c r="CP93" i="67"/>
  <c r="CP45" i="149" s="1"/>
  <c r="CB93" i="67"/>
  <c r="CB45" i="149" s="1"/>
  <c r="DB89" i="67"/>
  <c r="DB41" i="149" s="1"/>
  <c r="CN89" i="67"/>
  <c r="CN41" i="149" s="1"/>
  <c r="DA88" i="67"/>
  <c r="DA40" i="149" s="1"/>
  <c r="CM88" i="67"/>
  <c r="CM40" i="149" s="1"/>
  <c r="CY86" i="67"/>
  <c r="CY38" i="149" s="1"/>
  <c r="CK86" i="67"/>
  <c r="CK38" i="149" s="1"/>
  <c r="CX85" i="67"/>
  <c r="CJ85" i="67"/>
  <c r="CJ37" i="149" s="1"/>
  <c r="CW84" i="67"/>
  <c r="CW36" i="149" s="1"/>
  <c r="CI84" i="67"/>
  <c r="CI36" i="149" s="1"/>
  <c r="CV83" i="67"/>
  <c r="CV35" i="149" s="1"/>
  <c r="CH83" i="67"/>
  <c r="CH35" i="149" s="1"/>
  <c r="CU82" i="67"/>
  <c r="CU34" i="149" s="1"/>
  <c r="CG82" i="67"/>
  <c r="CG34" i="149" s="1"/>
  <c r="CT81" i="67"/>
  <c r="CT33" i="149" s="1"/>
  <c r="CF81" i="67"/>
  <c r="CF33" i="149" s="1"/>
  <c r="CS80" i="67"/>
  <c r="CS32" i="149" s="1"/>
  <c r="CE80" i="67"/>
  <c r="CE32" i="149" s="1"/>
  <c r="CQ78" i="67"/>
  <c r="CC78" i="67"/>
  <c r="CC30" i="149" s="1"/>
  <c r="CO76" i="67"/>
  <c r="CO28" i="149" s="1"/>
  <c r="CA76" i="67"/>
  <c r="CA28" i="149" s="1"/>
  <c r="DA72" i="67"/>
  <c r="DA24" i="149" s="1"/>
  <c r="CM72" i="67"/>
  <c r="CM24" i="149" s="1"/>
  <c r="CZ71" i="67"/>
  <c r="CZ23" i="149" s="1"/>
  <c r="CL71" i="67"/>
  <c r="CL23" i="149" s="1"/>
  <c r="CY70" i="67"/>
  <c r="CY22" i="149" s="1"/>
  <c r="CK70" i="67"/>
  <c r="CK22" i="149" s="1"/>
  <c r="CX69" i="67"/>
  <c r="CJ69" i="67"/>
  <c r="CJ21" i="149" s="1"/>
  <c r="CW68" i="67"/>
  <c r="CW20" i="149" s="1"/>
  <c r="CI68" i="67"/>
  <c r="CI20" i="149" s="1"/>
  <c r="CV67" i="67"/>
  <c r="CV19" i="149" s="1"/>
  <c r="CH67" i="67"/>
  <c r="CH19" i="149" s="1"/>
  <c r="CT65" i="67"/>
  <c r="CT17" i="149" s="1"/>
  <c r="CF65" i="67"/>
  <c r="CF17" i="149" s="1"/>
  <c r="CR63" i="67"/>
  <c r="CR15" i="149" s="1"/>
  <c r="CD63" i="67"/>
  <c r="CD15" i="149" s="1"/>
  <c r="CQ62" i="67"/>
  <c r="CC62" i="67"/>
  <c r="CC14" i="149" s="1"/>
  <c r="CP61" i="67"/>
  <c r="CP13" i="149" s="1"/>
  <c r="CB61" i="67"/>
  <c r="CB13" i="149" s="1"/>
  <c r="CO60" i="67"/>
  <c r="CO12" i="149" s="1"/>
  <c r="CA60" i="67"/>
  <c r="CA12" i="149" s="1"/>
  <c r="DB57" i="67"/>
  <c r="DB9" i="149" s="1"/>
  <c r="CN57" i="67"/>
  <c r="CN9" i="149" s="1"/>
  <c r="DA56" i="67"/>
  <c r="DA8" i="149" s="1"/>
  <c r="CM56" i="67"/>
  <c r="CM8" i="149" s="1"/>
  <c r="CZ55" i="67"/>
  <c r="CZ7" i="149" s="1"/>
  <c r="CL55" i="67"/>
  <c r="CL7" i="149" s="1"/>
  <c r="CY54" i="67"/>
  <c r="CY6" i="149" s="1"/>
  <c r="CK54" i="67"/>
  <c r="CK6" i="149" s="1"/>
  <c r="CX53" i="67"/>
  <c r="CJ53" i="67"/>
  <c r="CJ5" i="149" s="1"/>
  <c r="CW52" i="67"/>
  <c r="CW4" i="149" s="1"/>
  <c r="CI52" i="67"/>
  <c r="CI4" i="149" s="1"/>
  <c r="CV51" i="67"/>
  <c r="CV3" i="149" s="1"/>
  <c r="CH51" i="67"/>
  <c r="CH3" i="149" s="1"/>
  <c r="CU50" i="67"/>
  <c r="CU2" i="149" s="1"/>
  <c r="CG50" i="67"/>
  <c r="CG2" i="149" s="1"/>
  <c r="CT49" i="67"/>
  <c r="CF49" i="67"/>
  <c r="CS48" i="67"/>
  <c r="CE48" i="67"/>
  <c r="CR47" i="67"/>
  <c r="CD47" i="67"/>
  <c r="CQ46" i="67"/>
  <c r="CC46" i="67"/>
  <c r="CP45" i="67"/>
  <c r="CB45" i="67"/>
  <c r="CO44" i="67"/>
  <c r="CA44" i="67"/>
  <c r="DB41" i="67"/>
  <c r="CN41" i="67"/>
  <c r="CZ39" i="67"/>
  <c r="CL39" i="67"/>
  <c r="CY38" i="67"/>
  <c r="CK38" i="67"/>
  <c r="CX37" i="67"/>
  <c r="CJ37" i="67"/>
  <c r="CW36" i="67"/>
  <c r="CI36" i="67"/>
  <c r="CV35" i="67"/>
  <c r="CH35" i="67"/>
  <c r="CU34" i="67"/>
  <c r="CG34" i="67"/>
  <c r="CT33" i="67"/>
  <c r="CF33" i="67"/>
  <c r="CS32" i="67"/>
  <c r="CE32" i="67"/>
  <c r="CR31" i="67"/>
  <c r="CD31" i="67"/>
  <c r="CQ30" i="67"/>
  <c r="CC30" i="67"/>
  <c r="CP29" i="67"/>
  <c r="CB29" i="67"/>
  <c r="CO28" i="67"/>
  <c r="CA28" i="67"/>
  <c r="CN111" i="67"/>
  <c r="CN63" i="149" s="1"/>
  <c r="CH107" i="67"/>
  <c r="CH59" i="149" s="1"/>
  <c r="CE102" i="67"/>
  <c r="CE54" i="149" s="1"/>
  <c r="CG88" i="67"/>
  <c r="CG40" i="149" s="1"/>
  <c r="CE64" i="67"/>
  <c r="CE16" i="149" s="1"/>
  <c r="CD59" i="67"/>
  <c r="CD11" i="149" s="1"/>
  <c r="CC12" i="67"/>
  <c r="CS23" i="67"/>
  <c r="CE23" i="67"/>
  <c r="CS25" i="67"/>
  <c r="CE25" i="67"/>
  <c r="CR24" i="67"/>
  <c r="CD24" i="67"/>
  <c r="CQ23" i="67"/>
  <c r="CC23" i="67"/>
  <c r="CP22" i="67"/>
  <c r="CB22" i="67"/>
  <c r="DB18" i="67"/>
  <c r="CN18" i="67"/>
  <c r="DA17" i="67"/>
  <c r="CM17" i="67"/>
  <c r="CY15" i="67"/>
  <c r="CK15" i="67"/>
  <c r="CX14" i="67"/>
  <c r="CJ14" i="67"/>
  <c r="CW13" i="67"/>
  <c r="CI13" i="67"/>
  <c r="CV12" i="67"/>
  <c r="CH12" i="67"/>
  <c r="CU11" i="67"/>
  <c r="CG11" i="67"/>
  <c r="CT10" i="67"/>
  <c r="CF10" i="67"/>
  <c r="CS9" i="67"/>
  <c r="CE9" i="67"/>
  <c r="CR8" i="67"/>
  <c r="CD8" i="67"/>
  <c r="CQ7" i="67"/>
  <c r="CC7" i="67"/>
  <c r="CP6" i="67"/>
  <c r="CB6" i="67"/>
  <c r="DB26" i="67"/>
  <c r="CN26" i="67"/>
  <c r="CE120" i="67"/>
  <c r="CE72" i="149" s="1"/>
  <c r="CH111" i="67"/>
  <c r="CH63" i="149" s="1"/>
  <c r="CD107" i="67"/>
  <c r="CD59" i="149" s="1"/>
  <c r="CN101" i="67"/>
  <c r="CN53" i="149" s="1"/>
  <c r="CK92" i="67"/>
  <c r="CK44" i="149" s="1"/>
  <c r="CF88" i="67"/>
  <c r="CF40" i="149" s="1"/>
  <c r="CN73" i="67"/>
  <c r="CN25" i="149" s="1"/>
  <c r="CC53" i="67"/>
  <c r="CC5" i="149" s="1"/>
  <c r="CU25" i="67"/>
  <c r="CG25" i="67"/>
  <c r="CR22" i="67"/>
  <c r="CD22" i="67"/>
  <c r="CR25" i="67"/>
  <c r="CD25" i="67"/>
  <c r="CQ24" i="67"/>
  <c r="CC24" i="67"/>
  <c r="CP23" i="67"/>
  <c r="CB23" i="67"/>
  <c r="DB19" i="67"/>
  <c r="CN19" i="67"/>
  <c r="DA18" i="67"/>
  <c r="CM18" i="67"/>
  <c r="CZ17" i="67"/>
  <c r="CL17" i="67"/>
  <c r="CY16" i="67"/>
  <c r="CK16" i="67"/>
  <c r="CX15" i="67"/>
  <c r="CJ15" i="67"/>
  <c r="CW14" i="67"/>
  <c r="CI14" i="67"/>
  <c r="CV13" i="67"/>
  <c r="CH13" i="67"/>
  <c r="CU12" i="67"/>
  <c r="CG12" i="67"/>
  <c r="CT11" i="67"/>
  <c r="CF11" i="67"/>
  <c r="CS10" i="67"/>
  <c r="CE10" i="67"/>
  <c r="CR9" i="67"/>
  <c r="CD9" i="67"/>
  <c r="CQ8" i="67"/>
  <c r="CC8" i="67"/>
  <c r="CP7" i="67"/>
  <c r="CB7" i="67"/>
  <c r="DB27" i="67"/>
  <c r="CN27" i="67"/>
  <c r="CA119" i="67"/>
  <c r="CA71" i="149" s="1"/>
  <c r="CM115" i="67"/>
  <c r="CM67" i="149" s="1"/>
  <c r="CL106" i="67"/>
  <c r="CL58" i="149" s="1"/>
  <c r="CF92" i="67"/>
  <c r="CF44" i="149" s="1"/>
  <c r="CL87" i="67"/>
  <c r="CL39" i="149" s="1"/>
  <c r="CC83" i="67"/>
  <c r="CC35" i="149" s="1"/>
  <c r="CC69" i="67"/>
  <c r="CC21" i="149" s="1"/>
  <c r="CN46" i="67"/>
  <c r="CG39" i="67"/>
  <c r="CT24" i="67"/>
  <c r="CF24" i="67"/>
  <c r="CQ25" i="67"/>
  <c r="CC25" i="67"/>
  <c r="CP24" i="67"/>
  <c r="CB24" i="67"/>
  <c r="CO23" i="67"/>
  <c r="CA23" i="67"/>
  <c r="DB20" i="67"/>
  <c r="CN20" i="67"/>
  <c r="DA19" i="67"/>
  <c r="CM19" i="67"/>
  <c r="CZ18" i="67"/>
  <c r="CL18" i="67"/>
  <c r="CY17" i="67"/>
  <c r="CK17" i="67"/>
  <c r="CX16" i="67"/>
  <c r="CJ16" i="67"/>
  <c r="CW15" i="67"/>
  <c r="CI15" i="67"/>
  <c r="CV14" i="67"/>
  <c r="CH14" i="67"/>
  <c r="CU13" i="67"/>
  <c r="CG13" i="67"/>
  <c r="CT12" i="67"/>
  <c r="CF12" i="67"/>
  <c r="CS11" i="67"/>
  <c r="CE11" i="67"/>
  <c r="CR10" i="67"/>
  <c r="CD10" i="67"/>
  <c r="CQ9" i="67"/>
  <c r="CC9" i="67"/>
  <c r="CP8" i="67"/>
  <c r="CB8" i="67"/>
  <c r="DB4" i="67"/>
  <c r="CN4" i="67"/>
  <c r="CZ26" i="67"/>
  <c r="CL26" i="67"/>
  <c r="CY121" i="67"/>
  <c r="CY73" i="149" s="1"/>
  <c r="CK121" i="67"/>
  <c r="CK73" i="149" s="1"/>
  <c r="CX120" i="67"/>
  <c r="CJ120" i="67"/>
  <c r="CJ72" i="149" s="1"/>
  <c r="CW119" i="67"/>
  <c r="CW71" i="149" s="1"/>
  <c r="CI119" i="67"/>
  <c r="CI71" i="149" s="1"/>
  <c r="CU117" i="67"/>
  <c r="CU69" i="149" s="1"/>
  <c r="CG117" i="67"/>
  <c r="CG69" i="149" s="1"/>
  <c r="CT116" i="67"/>
  <c r="CT68" i="149" s="1"/>
  <c r="CF116" i="67"/>
  <c r="CF68" i="149" s="1"/>
  <c r="CS115" i="67"/>
  <c r="CS67" i="149" s="1"/>
  <c r="CE115" i="67"/>
  <c r="CE67" i="149" s="1"/>
  <c r="CR114" i="67"/>
  <c r="CR66" i="149" s="1"/>
  <c r="CD114" i="67"/>
  <c r="CD66" i="149" s="1"/>
  <c r="CQ113" i="67"/>
  <c r="CC113" i="67"/>
  <c r="CC65" i="149" s="1"/>
  <c r="CO111" i="67"/>
  <c r="CO63" i="149" s="1"/>
  <c r="CA111" i="67"/>
  <c r="CA63" i="149" s="1"/>
  <c r="DB108" i="67"/>
  <c r="DB60" i="149" s="1"/>
  <c r="CN108" i="67"/>
  <c r="CN60" i="149" s="1"/>
  <c r="DA107" i="67"/>
  <c r="DA59" i="149" s="1"/>
  <c r="CM107" i="67"/>
  <c r="CM59" i="149" s="1"/>
  <c r="CY105" i="67"/>
  <c r="CY57" i="149" s="1"/>
  <c r="CK105" i="67"/>
  <c r="CK57" i="149" s="1"/>
  <c r="CX104" i="67"/>
  <c r="CJ104" i="67"/>
  <c r="CJ56" i="149" s="1"/>
  <c r="CV102" i="67"/>
  <c r="CV54" i="149" s="1"/>
  <c r="CH102" i="67"/>
  <c r="CH54" i="149" s="1"/>
  <c r="CU101" i="67"/>
  <c r="CU53" i="149" s="1"/>
  <c r="CG101" i="67"/>
  <c r="CG53" i="149" s="1"/>
  <c r="CT100" i="67"/>
  <c r="CT52" i="149" s="1"/>
  <c r="CF100" i="67"/>
  <c r="CF52" i="149" s="1"/>
  <c r="CS99" i="67"/>
  <c r="CS51" i="149" s="1"/>
  <c r="CE99" i="67"/>
  <c r="CE51" i="149" s="1"/>
  <c r="CR98" i="67"/>
  <c r="CR50" i="149" s="1"/>
  <c r="CD98" i="67"/>
  <c r="CD50" i="149" s="1"/>
  <c r="CQ97" i="67"/>
  <c r="CC97" i="67"/>
  <c r="CC49" i="149" s="1"/>
  <c r="CP96" i="67"/>
  <c r="CP48" i="149" s="1"/>
  <c r="CB96" i="67"/>
  <c r="CB48" i="149" s="1"/>
  <c r="CO95" i="67"/>
  <c r="CO47" i="149" s="1"/>
  <c r="CA95" i="67"/>
  <c r="CA47" i="149" s="1"/>
  <c r="DB92" i="67"/>
  <c r="DB44" i="149" s="1"/>
  <c r="CN92" i="67"/>
  <c r="CN44" i="149" s="1"/>
  <c r="DA91" i="67"/>
  <c r="DA43" i="149" s="1"/>
  <c r="CM91" i="67"/>
  <c r="CM43" i="149" s="1"/>
  <c r="CZ90" i="67"/>
  <c r="CZ42" i="149" s="1"/>
  <c r="CL90" i="67"/>
  <c r="CL42" i="149" s="1"/>
  <c r="CX88" i="67"/>
  <c r="CJ88" i="67"/>
  <c r="CJ40" i="149" s="1"/>
  <c r="CW87" i="67"/>
  <c r="CW39" i="149" s="1"/>
  <c r="CI87" i="67"/>
  <c r="CI39" i="149" s="1"/>
  <c r="CG85" i="67"/>
  <c r="CG37" i="149" s="1"/>
  <c r="CU85" i="67"/>
  <c r="CU37" i="149" s="1"/>
  <c r="CT84" i="67"/>
  <c r="CT36" i="149" s="1"/>
  <c r="CF84" i="67"/>
  <c r="CF36" i="149" s="1"/>
  <c r="CS83" i="67"/>
  <c r="CS35" i="149" s="1"/>
  <c r="CE83" i="67"/>
  <c r="CE35" i="149" s="1"/>
  <c r="CR82" i="67"/>
  <c r="CR34" i="149" s="1"/>
  <c r="CD82" i="67"/>
  <c r="CD34" i="149" s="1"/>
  <c r="CQ81" i="67"/>
  <c r="CC81" i="67"/>
  <c r="CC33" i="149" s="1"/>
  <c r="CP80" i="67"/>
  <c r="CP32" i="149" s="1"/>
  <c r="CB80" i="67"/>
  <c r="CB32" i="149" s="1"/>
  <c r="CO79" i="67"/>
  <c r="CO31" i="149" s="1"/>
  <c r="CA79" i="67"/>
  <c r="CA31" i="149" s="1"/>
  <c r="DB76" i="67"/>
  <c r="DB28" i="149" s="1"/>
  <c r="CN76" i="67"/>
  <c r="CN28" i="149" s="1"/>
  <c r="DA75" i="67"/>
  <c r="DA27" i="149" s="1"/>
  <c r="CM75" i="67"/>
  <c r="CM27" i="149" s="1"/>
  <c r="CZ74" i="67"/>
  <c r="CZ26" i="149" s="1"/>
  <c r="CL74" i="67"/>
  <c r="CL26" i="149" s="1"/>
  <c r="CY73" i="67"/>
  <c r="CY25" i="149" s="1"/>
  <c r="CK73" i="67"/>
  <c r="CK25" i="149" s="1"/>
  <c r="CP25" i="67"/>
  <c r="CB25" i="67"/>
  <c r="CO24" i="67"/>
  <c r="CA24" i="67"/>
  <c r="DB21" i="67"/>
  <c r="CN21" i="67"/>
  <c r="DA20" i="67"/>
  <c r="CM20" i="67"/>
  <c r="CL19" i="67"/>
  <c r="CZ19" i="67"/>
  <c r="CY18" i="67"/>
  <c r="CK18" i="67"/>
  <c r="CX17" i="67"/>
  <c r="CJ17" i="67"/>
  <c r="CI16" i="67"/>
  <c r="CW16" i="67"/>
  <c r="CV15" i="67"/>
  <c r="CH15" i="67"/>
  <c r="CU14" i="67"/>
  <c r="CG14" i="67"/>
  <c r="CT13" i="67"/>
  <c r="CF13" i="67"/>
  <c r="CS12" i="67"/>
  <c r="CE12" i="67"/>
  <c r="CD11" i="67"/>
  <c r="CR11" i="67"/>
  <c r="CQ10" i="67"/>
  <c r="CC10" i="67"/>
  <c r="CP9" i="67"/>
  <c r="CB9" i="67"/>
  <c r="CA117" i="67"/>
  <c r="CA69" i="149" s="1"/>
  <c r="CA21" i="67"/>
  <c r="CC115" i="67"/>
  <c r="CC67" i="149" s="1"/>
  <c r="CJ110" i="67"/>
  <c r="CJ62" i="149" s="1"/>
  <c r="CD106" i="67"/>
  <c r="CD58" i="149" s="1"/>
  <c r="CE96" i="67"/>
  <c r="CE48" i="149" s="1"/>
  <c r="CC87" i="67"/>
  <c r="CC39" i="149" s="1"/>
  <c r="CL77" i="67"/>
  <c r="CL29" i="149" s="1"/>
  <c r="CG73" i="67"/>
  <c r="CG25" i="149" s="1"/>
  <c r="CM62" i="67"/>
  <c r="CM14" i="149" s="1"/>
  <c r="CC52" i="67"/>
  <c r="CC4" i="149" s="1"/>
  <c r="CK45" i="67"/>
  <c r="CO113" i="67"/>
  <c r="CO65" i="149" s="1"/>
  <c r="CO25" i="67"/>
  <c r="CA25" i="67"/>
  <c r="DB22" i="67"/>
  <c r="CN22" i="67"/>
  <c r="DA21" i="67"/>
  <c r="CM21" i="67"/>
  <c r="CY19" i="67"/>
  <c r="CK19" i="67"/>
  <c r="CX18" i="67"/>
  <c r="CJ18" i="67"/>
  <c r="CW17" i="67"/>
  <c r="CI17" i="67"/>
  <c r="CV16" i="67"/>
  <c r="CH16" i="67"/>
  <c r="CU15" i="67"/>
  <c r="CG15" i="67"/>
  <c r="CT14" i="67"/>
  <c r="CF14" i="67"/>
  <c r="CR12" i="67"/>
  <c r="CD12" i="67"/>
  <c r="CQ11" i="67"/>
  <c r="CC11" i="67"/>
  <c r="CP10" i="67"/>
  <c r="CB10" i="67"/>
  <c r="CO9" i="67"/>
  <c r="CA9" i="67"/>
  <c r="DB6" i="67"/>
  <c r="CN6" i="67"/>
  <c r="DA5" i="67"/>
  <c r="CM5" i="67"/>
  <c r="CZ4" i="67"/>
  <c r="CL4" i="67"/>
  <c r="CY27" i="67"/>
  <c r="CK27" i="67"/>
  <c r="CX26" i="67"/>
  <c r="CJ26" i="67"/>
  <c r="CW121" i="67"/>
  <c r="CW73" i="149" s="1"/>
  <c r="CI121" i="67"/>
  <c r="CI73" i="149" s="1"/>
  <c r="CV120" i="67"/>
  <c r="CV72" i="149" s="1"/>
  <c r="CH120" i="67"/>
  <c r="CH72" i="149" s="1"/>
  <c r="CU119" i="67"/>
  <c r="CU71" i="149" s="1"/>
  <c r="CG119" i="67"/>
  <c r="CG71" i="149" s="1"/>
  <c r="CT118" i="67"/>
  <c r="CT70" i="149" s="1"/>
  <c r="CF118" i="67"/>
  <c r="CF70" i="149" s="1"/>
  <c r="CR116" i="67"/>
  <c r="CR68" i="149" s="1"/>
  <c r="CD116" i="67"/>
  <c r="CD68" i="149" s="1"/>
  <c r="CP114" i="67"/>
  <c r="CP66" i="149" s="1"/>
  <c r="CB114" i="67"/>
  <c r="CB66" i="149" s="1"/>
  <c r="DB110" i="67"/>
  <c r="DB62" i="149" s="1"/>
  <c r="CN110" i="67"/>
  <c r="CN62" i="149" s="1"/>
  <c r="DA109" i="67"/>
  <c r="DA61" i="149" s="1"/>
  <c r="CM109" i="67"/>
  <c r="CM61" i="149" s="1"/>
  <c r="CZ108" i="67"/>
  <c r="CZ60" i="149" s="1"/>
  <c r="CL108" i="67"/>
  <c r="CL60" i="149" s="1"/>
  <c r="CY107" i="67"/>
  <c r="CY59" i="149" s="1"/>
  <c r="CK107" i="67"/>
  <c r="CK59" i="149" s="1"/>
  <c r="CX106" i="67"/>
  <c r="CJ106" i="67"/>
  <c r="CJ58" i="149" s="1"/>
  <c r="CW105" i="67"/>
  <c r="CW57" i="149" s="1"/>
  <c r="CI105" i="67"/>
  <c r="CI57" i="149" s="1"/>
  <c r="CV104" i="67"/>
  <c r="CV56" i="149" s="1"/>
  <c r="CH104" i="67"/>
  <c r="CH56" i="149" s="1"/>
  <c r="CU103" i="67"/>
  <c r="CU55" i="149" s="1"/>
  <c r="CG103" i="67"/>
  <c r="CG55" i="149" s="1"/>
  <c r="CT102" i="67"/>
  <c r="CT54" i="149" s="1"/>
  <c r="CF102" i="67"/>
  <c r="CF54" i="149" s="1"/>
  <c r="CS101" i="67"/>
  <c r="CS53" i="149" s="1"/>
  <c r="CE101" i="67"/>
  <c r="CE53" i="149" s="1"/>
  <c r="CR100" i="67"/>
  <c r="CR52" i="149" s="1"/>
  <c r="CD100" i="67"/>
  <c r="CD52" i="149" s="1"/>
  <c r="CQ99" i="67"/>
  <c r="CC99" i="67"/>
  <c r="CC51" i="149" s="1"/>
  <c r="CO97" i="67"/>
  <c r="CO49" i="149" s="1"/>
  <c r="CA97" i="67"/>
  <c r="CA49" i="149" s="1"/>
  <c r="DA93" i="67"/>
  <c r="DA45" i="149" s="1"/>
  <c r="CM93" i="67"/>
  <c r="CM45" i="149" s="1"/>
  <c r="CZ92" i="67"/>
  <c r="CZ44" i="149" s="1"/>
  <c r="CL92" i="67"/>
  <c r="CL44" i="149" s="1"/>
  <c r="CY91" i="67"/>
  <c r="CY43" i="149" s="1"/>
  <c r="CK91" i="67"/>
  <c r="CK43" i="149" s="1"/>
  <c r="CX90" i="67"/>
  <c r="CJ90" i="67"/>
  <c r="CJ42" i="149" s="1"/>
  <c r="CW89" i="67"/>
  <c r="CW41" i="149" s="1"/>
  <c r="CI89" i="67"/>
  <c r="CI41" i="149" s="1"/>
  <c r="CV88" i="67"/>
  <c r="CV40" i="149" s="1"/>
  <c r="CH88" i="67"/>
  <c r="CH40" i="149" s="1"/>
  <c r="CU87" i="67"/>
  <c r="CU39" i="149" s="1"/>
  <c r="CG87" i="67"/>
  <c r="CG39" i="149" s="1"/>
  <c r="CT86" i="67"/>
  <c r="CT38" i="149" s="1"/>
  <c r="CF86" i="67"/>
  <c r="CF38" i="149" s="1"/>
  <c r="CS85" i="67"/>
  <c r="CS37" i="149" s="1"/>
  <c r="CE85" i="67"/>
  <c r="CE37" i="149" s="1"/>
  <c r="CR84" i="67"/>
  <c r="CR36" i="149" s="1"/>
  <c r="CD84" i="67"/>
  <c r="CD36" i="149" s="1"/>
  <c r="CP82" i="67"/>
  <c r="CP34" i="149" s="1"/>
  <c r="CB82" i="67"/>
  <c r="CB34" i="149" s="1"/>
  <c r="CO81" i="67"/>
  <c r="CO33" i="149" s="1"/>
  <c r="CA81" i="67"/>
  <c r="CA33" i="149" s="1"/>
  <c r="DB78" i="67"/>
  <c r="DB30" i="149" s="1"/>
  <c r="CN78" i="67"/>
  <c r="CN30" i="149" s="1"/>
  <c r="CZ76" i="67"/>
  <c r="CZ28" i="149" s="1"/>
  <c r="CL76" i="67"/>
  <c r="CL28" i="149" s="1"/>
  <c r="CX74" i="67"/>
  <c r="CJ74" i="67"/>
  <c r="CJ26" i="149" s="1"/>
  <c r="CW73" i="67"/>
  <c r="CW25" i="149" s="1"/>
  <c r="CI73" i="67"/>
  <c r="CI25" i="149" s="1"/>
  <c r="CV72" i="67"/>
  <c r="CV24" i="149" s="1"/>
  <c r="CH72" i="67"/>
  <c r="CH24" i="149" s="1"/>
  <c r="CU71" i="67"/>
  <c r="CU23" i="149" s="1"/>
  <c r="CG71" i="67"/>
  <c r="CG23" i="149" s="1"/>
  <c r="CT70" i="67"/>
  <c r="CT22" i="149" s="1"/>
  <c r="CF70" i="67"/>
  <c r="CF22" i="149" s="1"/>
  <c r="CS69" i="67"/>
  <c r="CS21" i="149" s="1"/>
  <c r="CE69" i="67"/>
  <c r="CE21" i="149" s="1"/>
  <c r="CR68" i="67"/>
  <c r="CR20" i="149" s="1"/>
  <c r="CD68" i="67"/>
  <c r="CD20" i="149" s="1"/>
  <c r="CQ67" i="67"/>
  <c r="CC67" i="67"/>
  <c r="CC19" i="149" s="1"/>
  <c r="CO65" i="67"/>
  <c r="CO17" i="149" s="1"/>
  <c r="CA65" i="67"/>
  <c r="CA17" i="149" s="1"/>
  <c r="DB62" i="67"/>
  <c r="DB14" i="149" s="1"/>
  <c r="CN62" i="67"/>
  <c r="CN14" i="149" s="1"/>
  <c r="DA61" i="67"/>
  <c r="DA13" i="149" s="1"/>
  <c r="CM61" i="67"/>
  <c r="CM13" i="149" s="1"/>
  <c r="CZ60" i="67"/>
  <c r="CZ12" i="149" s="1"/>
  <c r="CL60" i="67"/>
  <c r="CL12" i="149" s="1"/>
  <c r="CK59" i="67"/>
  <c r="CK11" i="149" s="1"/>
  <c r="CY59" i="67"/>
  <c r="CY11" i="149" s="1"/>
  <c r="CX58" i="67"/>
  <c r="CJ58" i="67"/>
  <c r="CJ10" i="149" s="1"/>
  <c r="CW57" i="67"/>
  <c r="CW9" i="149" s="1"/>
  <c r="CI57" i="67"/>
  <c r="CI9" i="149" s="1"/>
  <c r="CV56" i="67"/>
  <c r="CV8" i="149" s="1"/>
  <c r="CH56" i="67"/>
  <c r="CH8" i="149" s="1"/>
  <c r="CU55" i="67"/>
  <c r="CU7" i="149" s="1"/>
  <c r="CG55" i="67"/>
  <c r="CG7" i="149" s="1"/>
  <c r="CT54" i="67"/>
  <c r="CT6" i="149" s="1"/>
  <c r="CF54" i="67"/>
  <c r="CF6" i="149" s="1"/>
  <c r="CS53" i="67"/>
  <c r="CS5" i="149" s="1"/>
  <c r="CE53" i="67"/>
  <c r="CE5" i="149" s="1"/>
  <c r="CR52" i="67"/>
  <c r="CR4" i="149" s="1"/>
  <c r="CD52" i="67"/>
  <c r="CD4" i="149" s="1"/>
  <c r="CQ51" i="67"/>
  <c r="CC51" i="67"/>
  <c r="CC3" i="149" s="1"/>
  <c r="DA45" i="67"/>
  <c r="CM45" i="67"/>
  <c r="CZ44" i="67"/>
  <c r="CL44" i="67"/>
  <c r="CY43" i="67"/>
  <c r="CK43" i="67"/>
  <c r="CX42" i="67"/>
  <c r="CJ42" i="67"/>
  <c r="CW41" i="67"/>
  <c r="CI41" i="67"/>
  <c r="CV40" i="67"/>
  <c r="CH40" i="67"/>
  <c r="CT38" i="67"/>
  <c r="CF38" i="67"/>
  <c r="CS37" i="67"/>
  <c r="CE37" i="67"/>
  <c r="CR36" i="67"/>
  <c r="CD36" i="67"/>
  <c r="CP34" i="67"/>
  <c r="CB34" i="67"/>
  <c r="CO33" i="67"/>
  <c r="CA33" i="67"/>
  <c r="DB30" i="67"/>
  <c r="CN30" i="67"/>
  <c r="DA29" i="67"/>
  <c r="CM29" i="67"/>
  <c r="CZ28" i="67"/>
  <c r="CL28" i="67"/>
  <c r="CA20" i="67"/>
  <c r="CF119" i="67"/>
  <c r="CF71" i="149" s="1"/>
  <c r="CN100" i="67"/>
  <c r="CN52" i="149" s="1"/>
  <c r="CM81" i="67"/>
  <c r="CM33" i="149" s="1"/>
  <c r="CF77" i="67"/>
  <c r="CF29" i="149" s="1"/>
  <c r="CB73" i="67"/>
  <c r="CB25" i="149" s="1"/>
  <c r="CC68" i="67"/>
  <c r="CC20" i="149" s="1"/>
  <c r="CL62" i="67"/>
  <c r="CL14" i="149" s="1"/>
  <c r="CG57" i="67"/>
  <c r="CG9" i="149" s="1"/>
  <c r="CO49" i="67"/>
  <c r="DB23" i="67"/>
  <c r="CN23" i="67"/>
  <c r="DA22" i="67"/>
  <c r="CM22" i="67"/>
  <c r="CZ21" i="67"/>
  <c r="CL21" i="67"/>
  <c r="CY20" i="67"/>
  <c r="CK20" i="67"/>
  <c r="CX19" i="67"/>
  <c r="CJ19" i="67"/>
  <c r="CI18" i="67"/>
  <c r="CW18" i="67"/>
  <c r="CV17" i="67"/>
  <c r="CH17" i="67"/>
  <c r="CU16" i="67"/>
  <c r="CG16" i="67"/>
  <c r="CT15" i="67"/>
  <c r="CF15" i="67"/>
  <c r="CS14" i="67"/>
  <c r="CE14" i="67"/>
  <c r="CR13" i="67"/>
  <c r="CD13" i="67"/>
  <c r="CP11" i="67"/>
  <c r="CB11" i="67"/>
  <c r="CO10" i="67"/>
  <c r="CA10" i="67"/>
  <c r="DB7" i="67"/>
  <c r="CN7" i="67"/>
  <c r="DA6" i="67"/>
  <c r="CM6" i="67"/>
  <c r="CZ5" i="67"/>
  <c r="CL5" i="67"/>
  <c r="CY4" i="67"/>
  <c r="CK4" i="67"/>
  <c r="CX27" i="67"/>
  <c r="CJ27" i="67"/>
  <c r="CW26" i="67"/>
  <c r="CI26" i="67"/>
  <c r="CU120" i="67"/>
  <c r="CU72" i="149" s="1"/>
  <c r="CG120" i="67"/>
  <c r="CG72" i="149" s="1"/>
  <c r="CS118" i="67"/>
  <c r="CS70" i="149" s="1"/>
  <c r="CE118" i="67"/>
  <c r="CE70" i="149" s="1"/>
  <c r="CQ116" i="67"/>
  <c r="CC116" i="67"/>
  <c r="CC68" i="149" s="1"/>
  <c r="CP115" i="67"/>
  <c r="CP67" i="149" s="1"/>
  <c r="CB115" i="67"/>
  <c r="CB67" i="149" s="1"/>
  <c r="CO114" i="67"/>
  <c r="CO66" i="149" s="1"/>
  <c r="CA114" i="67"/>
  <c r="CA66" i="149" s="1"/>
  <c r="DA110" i="67"/>
  <c r="DA62" i="149" s="1"/>
  <c r="CM110" i="67"/>
  <c r="CM62" i="149" s="1"/>
  <c r="CY108" i="67"/>
  <c r="CY60" i="149" s="1"/>
  <c r="CK108" i="67"/>
  <c r="CK60" i="149" s="1"/>
  <c r="CX107" i="67"/>
  <c r="CJ107" i="67"/>
  <c r="CJ59" i="149" s="1"/>
  <c r="CW106" i="67"/>
  <c r="CW58" i="149" s="1"/>
  <c r="CI106" i="67"/>
  <c r="CI58" i="149" s="1"/>
  <c r="CU104" i="67"/>
  <c r="CU56" i="149" s="1"/>
  <c r="CG104" i="67"/>
  <c r="CG56" i="149" s="1"/>
  <c r="CT103" i="67"/>
  <c r="CT55" i="149" s="1"/>
  <c r="CF103" i="67"/>
  <c r="CF55" i="149" s="1"/>
  <c r="CR101" i="67"/>
  <c r="CR53" i="149" s="1"/>
  <c r="CD101" i="67"/>
  <c r="CD53" i="149" s="1"/>
  <c r="CP99" i="67"/>
  <c r="CP51" i="149" s="1"/>
  <c r="CB99" i="67"/>
  <c r="CB51" i="149" s="1"/>
  <c r="CO98" i="67"/>
  <c r="CO50" i="149" s="1"/>
  <c r="CA98" i="67"/>
  <c r="CA50" i="149" s="1"/>
  <c r="DB95" i="67"/>
  <c r="DB47" i="149" s="1"/>
  <c r="CN95" i="67"/>
  <c r="CN47" i="149" s="1"/>
  <c r="CZ93" i="67"/>
  <c r="CZ45" i="149" s="1"/>
  <c r="CL93" i="67"/>
  <c r="CL45" i="149" s="1"/>
  <c r="CX91" i="67"/>
  <c r="CJ91" i="67"/>
  <c r="CJ43" i="149" s="1"/>
  <c r="CW90" i="67"/>
  <c r="CW42" i="149" s="1"/>
  <c r="CI90" i="67"/>
  <c r="CI42" i="149" s="1"/>
  <c r="CV89" i="67"/>
  <c r="CV41" i="149" s="1"/>
  <c r="CH89" i="67"/>
  <c r="CH41" i="149" s="1"/>
  <c r="CT87" i="67"/>
  <c r="CT39" i="149" s="1"/>
  <c r="CF87" i="67"/>
  <c r="CF39" i="149" s="1"/>
  <c r="CS86" i="67"/>
  <c r="CS38" i="149" s="1"/>
  <c r="CE86" i="67"/>
  <c r="CE38" i="149" s="1"/>
  <c r="CQ84" i="67"/>
  <c r="CC84" i="67"/>
  <c r="CC36" i="149" s="1"/>
  <c r="CP83" i="67"/>
  <c r="CP35" i="149" s="1"/>
  <c r="CB83" i="67"/>
  <c r="CB35" i="149" s="1"/>
  <c r="CO82" i="67"/>
  <c r="CO34" i="149" s="1"/>
  <c r="CA82" i="67"/>
  <c r="CA34" i="149" s="1"/>
  <c r="DA78" i="67"/>
  <c r="DA30" i="149" s="1"/>
  <c r="CM78" i="67"/>
  <c r="CM30" i="149" s="1"/>
  <c r="CY76" i="67"/>
  <c r="CY28" i="149" s="1"/>
  <c r="CK76" i="67"/>
  <c r="CK28" i="149" s="1"/>
  <c r="CX75" i="67"/>
  <c r="CJ75" i="67"/>
  <c r="CJ27" i="149" s="1"/>
  <c r="CW74" i="67"/>
  <c r="CW26" i="149" s="1"/>
  <c r="CI74" i="67"/>
  <c r="CI26" i="149" s="1"/>
  <c r="CV73" i="67"/>
  <c r="CV25" i="149" s="1"/>
  <c r="CH73" i="67"/>
  <c r="CH25" i="149" s="1"/>
  <c r="CU72" i="67"/>
  <c r="CU24" i="149" s="1"/>
  <c r="CG72" i="67"/>
  <c r="CG24" i="149" s="1"/>
  <c r="CS70" i="67"/>
  <c r="CS22" i="149" s="1"/>
  <c r="CE70" i="67"/>
  <c r="CE22" i="149" s="1"/>
  <c r="CR69" i="67"/>
  <c r="CR21" i="149" s="1"/>
  <c r="CD69" i="67"/>
  <c r="CD21" i="149" s="1"/>
  <c r="CP67" i="67"/>
  <c r="CP19" i="149" s="1"/>
  <c r="CB67" i="67"/>
  <c r="CB19" i="149" s="1"/>
  <c r="CO66" i="67"/>
  <c r="CO18" i="149" s="1"/>
  <c r="CA66" i="67"/>
  <c r="CA18" i="149" s="1"/>
  <c r="DB63" i="67"/>
  <c r="DB15" i="149" s="1"/>
  <c r="CN63" i="67"/>
  <c r="CN15" i="149" s="1"/>
  <c r="CY60" i="67"/>
  <c r="CY12" i="149" s="1"/>
  <c r="CK60" i="67"/>
  <c r="CK12" i="149" s="1"/>
  <c r="CX59" i="67"/>
  <c r="CJ59" i="67"/>
  <c r="CJ11" i="149" s="1"/>
  <c r="CW58" i="67"/>
  <c r="CW10" i="149" s="1"/>
  <c r="CI58" i="67"/>
  <c r="CI10" i="149" s="1"/>
  <c r="CV57" i="67"/>
  <c r="CV9" i="149" s="1"/>
  <c r="CH57" i="67"/>
  <c r="CH9" i="149" s="1"/>
  <c r="CU56" i="67"/>
  <c r="CU8" i="149" s="1"/>
  <c r="CG56" i="67"/>
  <c r="CG8" i="149" s="1"/>
  <c r="CR53" i="67"/>
  <c r="CR5" i="149" s="1"/>
  <c r="CD53" i="67"/>
  <c r="CD5" i="149" s="1"/>
  <c r="CP51" i="67"/>
  <c r="CP3" i="149" s="1"/>
  <c r="CB51" i="67"/>
  <c r="CB3" i="149" s="1"/>
  <c r="CO50" i="67"/>
  <c r="CO2" i="149" s="1"/>
  <c r="CA50" i="67"/>
  <c r="CA2" i="149" s="1"/>
  <c r="DB47" i="67"/>
  <c r="CN47" i="67"/>
  <c r="DA46" i="67"/>
  <c r="CM46" i="67"/>
  <c r="CZ45" i="67"/>
  <c r="CL45" i="67"/>
  <c r="CY44" i="67"/>
  <c r="CK44" i="67"/>
  <c r="CX43" i="67"/>
  <c r="CJ43" i="67"/>
  <c r="CW42" i="67"/>
  <c r="CI42" i="67"/>
  <c r="CV41" i="67"/>
  <c r="CH41" i="67"/>
  <c r="CT39" i="67"/>
  <c r="CF39" i="67"/>
  <c r="CR37" i="67"/>
  <c r="CD37" i="67"/>
  <c r="CB35" i="67"/>
  <c r="CP35" i="67"/>
  <c r="CO34" i="67"/>
  <c r="CA34" i="67"/>
  <c r="DB31" i="67"/>
  <c r="CN31" i="67"/>
  <c r="CM30" i="67"/>
  <c r="DA30" i="67"/>
  <c r="CZ29" i="67"/>
  <c r="CL29" i="67"/>
  <c r="CY28" i="67"/>
  <c r="CK28" i="67"/>
  <c r="CH105" i="67"/>
  <c r="CH57" i="149" s="1"/>
  <c r="CS38" i="67"/>
  <c r="CE38" i="67"/>
  <c r="DB24" i="67"/>
  <c r="CN24" i="67"/>
  <c r="DA23" i="67"/>
  <c r="CM23" i="67"/>
  <c r="CZ22" i="67"/>
  <c r="CL22" i="67"/>
  <c r="CY21" i="67"/>
  <c r="CK21" i="67"/>
  <c r="CX20" i="67"/>
  <c r="CJ20" i="67"/>
  <c r="CW19" i="67"/>
  <c r="CI19" i="67"/>
  <c r="CV18" i="67"/>
  <c r="CH18" i="67"/>
  <c r="CU17" i="67"/>
  <c r="CG17" i="67"/>
  <c r="CT16" i="67"/>
  <c r="CF16" i="67"/>
  <c r="CS15" i="67"/>
  <c r="CE15" i="67"/>
  <c r="CR14" i="67"/>
  <c r="CD14" i="67"/>
  <c r="CQ13" i="67"/>
  <c r="CC13" i="67"/>
  <c r="CP12" i="67"/>
  <c r="CB12" i="67"/>
  <c r="DB8" i="67"/>
  <c r="CN8" i="67"/>
  <c r="DA7" i="67"/>
  <c r="CM7" i="67"/>
  <c r="CZ6" i="67"/>
  <c r="CL6" i="67"/>
  <c r="CY5" i="67"/>
  <c r="CK5" i="67"/>
  <c r="CX4" i="67"/>
  <c r="CJ4" i="67"/>
  <c r="CW27" i="67"/>
  <c r="CI27" i="67"/>
  <c r="CV26" i="67"/>
  <c r="CH26" i="67"/>
  <c r="CU121" i="67"/>
  <c r="CU73" i="149" s="1"/>
  <c r="CG121" i="67"/>
  <c r="CG73" i="149" s="1"/>
  <c r="CT120" i="67"/>
  <c r="CT72" i="149" s="1"/>
  <c r="CF120" i="67"/>
  <c r="CF72" i="149" s="1"/>
  <c r="CS119" i="67"/>
  <c r="CS71" i="149" s="1"/>
  <c r="CE119" i="67"/>
  <c r="CE71" i="149" s="1"/>
  <c r="CR118" i="67"/>
  <c r="CR70" i="149" s="1"/>
  <c r="CD118" i="67"/>
  <c r="CD70" i="149" s="1"/>
  <c r="CP116" i="67"/>
  <c r="CP68" i="149" s="1"/>
  <c r="CB116" i="67"/>
  <c r="CB68" i="149" s="1"/>
  <c r="CO115" i="67"/>
  <c r="CO67" i="149" s="1"/>
  <c r="CA115" i="67"/>
  <c r="CA67" i="149" s="1"/>
  <c r="DB112" i="67"/>
  <c r="DB64" i="149" s="1"/>
  <c r="CN112" i="67"/>
  <c r="CN64" i="149" s="1"/>
  <c r="DA111" i="67"/>
  <c r="DA63" i="149" s="1"/>
  <c r="CM111" i="67"/>
  <c r="CM63" i="149" s="1"/>
  <c r="CZ110" i="67"/>
  <c r="CZ62" i="149" s="1"/>
  <c r="CL110" i="67"/>
  <c r="CL62" i="149" s="1"/>
  <c r="CY109" i="67"/>
  <c r="CY61" i="149" s="1"/>
  <c r="CK109" i="67"/>
  <c r="CK61" i="149" s="1"/>
  <c r="CX108" i="67"/>
  <c r="CJ108" i="67"/>
  <c r="CJ60" i="149" s="1"/>
  <c r="CW107" i="67"/>
  <c r="CW59" i="149" s="1"/>
  <c r="CI107" i="67"/>
  <c r="CI59" i="149" s="1"/>
  <c r="CV106" i="67"/>
  <c r="CV58" i="149" s="1"/>
  <c r="CH106" i="67"/>
  <c r="CH58" i="149" s="1"/>
  <c r="CT104" i="67"/>
  <c r="CT56" i="149" s="1"/>
  <c r="CF104" i="67"/>
  <c r="CF56" i="149" s="1"/>
  <c r="CR102" i="67"/>
  <c r="CR54" i="149" s="1"/>
  <c r="CD102" i="67"/>
  <c r="CD54" i="149" s="1"/>
  <c r="CQ101" i="67"/>
  <c r="CC101" i="67"/>
  <c r="CC53" i="149" s="1"/>
  <c r="CP100" i="67"/>
  <c r="CP52" i="149" s="1"/>
  <c r="CB100" i="67"/>
  <c r="CB52" i="149" s="1"/>
  <c r="CO99" i="67"/>
  <c r="CO51" i="149" s="1"/>
  <c r="CA99" i="67"/>
  <c r="CA51" i="149" s="1"/>
  <c r="DB96" i="67"/>
  <c r="DB48" i="149" s="1"/>
  <c r="CN96" i="67"/>
  <c r="CN48" i="149" s="1"/>
  <c r="DA95" i="67"/>
  <c r="DA47" i="149" s="1"/>
  <c r="CM95" i="67"/>
  <c r="CM47" i="149" s="1"/>
  <c r="CZ94" i="67"/>
  <c r="CZ46" i="149" s="1"/>
  <c r="CL94" i="67"/>
  <c r="CL46" i="149" s="1"/>
  <c r="CY93" i="67"/>
  <c r="CY45" i="149" s="1"/>
  <c r="CK93" i="67"/>
  <c r="CK45" i="149" s="1"/>
  <c r="CX92" i="67"/>
  <c r="CJ92" i="67"/>
  <c r="CJ44" i="149" s="1"/>
  <c r="CW91" i="67"/>
  <c r="CW43" i="149" s="1"/>
  <c r="CI91" i="67"/>
  <c r="CI43" i="149" s="1"/>
  <c r="CU89" i="67"/>
  <c r="CU41" i="149" s="1"/>
  <c r="CG89" i="67"/>
  <c r="CG41" i="149" s="1"/>
  <c r="CS87" i="67"/>
  <c r="CS39" i="149" s="1"/>
  <c r="CE87" i="67"/>
  <c r="CE39" i="149" s="1"/>
  <c r="CQ85" i="67"/>
  <c r="CC85" i="67"/>
  <c r="CC37" i="149" s="1"/>
  <c r="CP84" i="67"/>
  <c r="CP36" i="149" s="1"/>
  <c r="CB84" i="67"/>
  <c r="CB36" i="149" s="1"/>
  <c r="CO83" i="67"/>
  <c r="CO35" i="149" s="1"/>
  <c r="CA83" i="67"/>
  <c r="CA35" i="149" s="1"/>
  <c r="DA79" i="67"/>
  <c r="DA31" i="149" s="1"/>
  <c r="CM79" i="67"/>
  <c r="CM31" i="149" s="1"/>
  <c r="CZ78" i="67"/>
  <c r="CZ30" i="149" s="1"/>
  <c r="CL78" i="67"/>
  <c r="CL30" i="149" s="1"/>
  <c r="CY77" i="67"/>
  <c r="CY29" i="149" s="1"/>
  <c r="CK77" i="67"/>
  <c r="CK29" i="149" s="1"/>
  <c r="CX76" i="67"/>
  <c r="CJ76" i="67"/>
  <c r="CJ28" i="149" s="1"/>
  <c r="CW75" i="67"/>
  <c r="CW27" i="149" s="1"/>
  <c r="CI75" i="67"/>
  <c r="CI27" i="149" s="1"/>
  <c r="CV74" i="67"/>
  <c r="CV26" i="149" s="1"/>
  <c r="CH74" i="67"/>
  <c r="CH26" i="149" s="1"/>
  <c r="CT72" i="67"/>
  <c r="CT24" i="149" s="1"/>
  <c r="CF72" i="67"/>
  <c r="CF24" i="149" s="1"/>
  <c r="CR70" i="67"/>
  <c r="CR22" i="149" s="1"/>
  <c r="CD70" i="67"/>
  <c r="CD22" i="149" s="1"/>
  <c r="CP68" i="67"/>
  <c r="CP20" i="149" s="1"/>
  <c r="CB68" i="67"/>
  <c r="CB20" i="149" s="1"/>
  <c r="CO67" i="67"/>
  <c r="CO19" i="149" s="1"/>
  <c r="CA67" i="67"/>
  <c r="CA19" i="149" s="1"/>
  <c r="DA63" i="67"/>
  <c r="DA15" i="149" s="1"/>
  <c r="CM63" i="67"/>
  <c r="CM15" i="149" s="1"/>
  <c r="CY61" i="67"/>
  <c r="CY13" i="149" s="1"/>
  <c r="CK61" i="67"/>
  <c r="CK13" i="149" s="1"/>
  <c r="CW59" i="67"/>
  <c r="CW11" i="149" s="1"/>
  <c r="CI59" i="67"/>
  <c r="CI11" i="149" s="1"/>
  <c r="CV58" i="67"/>
  <c r="CV10" i="149" s="1"/>
  <c r="CH58" i="67"/>
  <c r="CH10" i="149" s="1"/>
  <c r="CT56" i="67"/>
  <c r="CT8" i="149" s="1"/>
  <c r="CF56" i="67"/>
  <c r="CF8" i="149" s="1"/>
  <c r="CR54" i="67"/>
  <c r="CR6" i="149" s="1"/>
  <c r="CD54" i="67"/>
  <c r="CD6" i="149" s="1"/>
  <c r="CP52" i="67"/>
  <c r="CP4" i="149" s="1"/>
  <c r="CB52" i="67"/>
  <c r="CB4" i="149" s="1"/>
  <c r="CO51" i="67"/>
  <c r="CO3" i="149" s="1"/>
  <c r="CA51" i="67"/>
  <c r="CA3" i="149" s="1"/>
  <c r="DA47" i="67"/>
  <c r="CM47" i="67"/>
  <c r="CZ46" i="67"/>
  <c r="CL46" i="67"/>
  <c r="CX44" i="67"/>
  <c r="CJ44" i="67"/>
  <c r="CW43" i="67"/>
  <c r="CI43" i="67"/>
  <c r="CV42" i="67"/>
  <c r="CH42" i="67"/>
  <c r="CU41" i="67"/>
  <c r="CG41" i="67"/>
  <c r="CT40" i="67"/>
  <c r="CF40" i="67"/>
  <c r="CS39" i="67"/>
  <c r="CE39" i="67"/>
  <c r="CR38" i="67"/>
  <c r="CD38" i="67"/>
  <c r="CQ37" i="67"/>
  <c r="CC37" i="67"/>
  <c r="CP36" i="67"/>
  <c r="CB36" i="67"/>
  <c r="CO35" i="67"/>
  <c r="CA35" i="67"/>
  <c r="DB32" i="67"/>
  <c r="CN32" i="67"/>
  <c r="CZ30" i="67"/>
  <c r="CL30" i="67"/>
  <c r="CY29" i="67"/>
  <c r="CK29" i="67"/>
  <c r="CX28" i="67"/>
  <c r="CJ28" i="67"/>
  <c r="CA103" i="67"/>
  <c r="CA55" i="149" s="1"/>
  <c r="CA11" i="67"/>
  <c r="CL109" i="67"/>
  <c r="CL61" i="149" s="1"/>
  <c r="CG105" i="67"/>
  <c r="CG57" i="149" s="1"/>
  <c r="CK95" i="67"/>
  <c r="CK47" i="149" s="1"/>
  <c r="CH86" i="67"/>
  <c r="CH38" i="149" s="1"/>
  <c r="CL61" i="67"/>
  <c r="CL13" i="149" s="1"/>
  <c r="CM27" i="67"/>
  <c r="CU40" i="67"/>
  <c r="CG40" i="67"/>
  <c r="CN25" i="67"/>
  <c r="DB25" i="67"/>
  <c r="DA24" i="67"/>
  <c r="CM24" i="67"/>
  <c r="CZ23" i="67"/>
  <c r="CL23" i="67"/>
  <c r="CY22" i="67"/>
  <c r="CK22" i="67"/>
  <c r="CX21" i="67"/>
  <c r="CJ21" i="67"/>
  <c r="CW20" i="67"/>
  <c r="CI20" i="67"/>
  <c r="CV19" i="67"/>
  <c r="CH19" i="67"/>
  <c r="CU18" i="67"/>
  <c r="CG18" i="67"/>
  <c r="CT17" i="67"/>
  <c r="CF17" i="67"/>
  <c r="CS16" i="67"/>
  <c r="CE16" i="67"/>
  <c r="CR15" i="67"/>
  <c r="CD15" i="67"/>
  <c r="CQ14" i="67"/>
  <c r="CC14" i="67"/>
  <c r="CP13" i="67"/>
  <c r="CB13" i="67"/>
  <c r="CO12" i="67"/>
  <c r="CA12" i="67"/>
  <c r="CN9" i="67"/>
  <c r="DB9" i="67"/>
  <c r="DA8" i="67"/>
  <c r="CM8" i="67"/>
  <c r="CZ7" i="67"/>
  <c r="CL7" i="67"/>
  <c r="CK6" i="67"/>
  <c r="CY6" i="67"/>
  <c r="CX5" i="67"/>
  <c r="CJ5" i="67"/>
  <c r="CW4" i="67"/>
  <c r="CI4" i="67"/>
  <c r="CV27" i="67"/>
  <c r="CH27" i="67"/>
  <c r="CG26" i="67"/>
  <c r="CU26" i="67"/>
  <c r="CT121" i="67"/>
  <c r="CT73" i="149" s="1"/>
  <c r="CF121" i="67"/>
  <c r="CF73" i="149" s="1"/>
  <c r="CR119" i="67"/>
  <c r="CR71" i="149" s="1"/>
  <c r="CD119" i="67"/>
  <c r="CD71" i="149" s="1"/>
  <c r="CQ118" i="67"/>
  <c r="CC118" i="67"/>
  <c r="CC70" i="149" s="1"/>
  <c r="CP117" i="67"/>
  <c r="CP69" i="149" s="1"/>
  <c r="CB117" i="67"/>
  <c r="CB69" i="149" s="1"/>
  <c r="CO116" i="67"/>
  <c r="CO68" i="149" s="1"/>
  <c r="CA116" i="67"/>
  <c r="CA68" i="149" s="1"/>
  <c r="DB113" i="67"/>
  <c r="DB65" i="149" s="1"/>
  <c r="CN113" i="67"/>
  <c r="CN65" i="149" s="1"/>
  <c r="DA112" i="67"/>
  <c r="DA64" i="149" s="1"/>
  <c r="CM112" i="67"/>
  <c r="CM64" i="149" s="1"/>
  <c r="CZ111" i="67"/>
  <c r="CZ63" i="149" s="1"/>
  <c r="CL111" i="67"/>
  <c r="CL63" i="149" s="1"/>
  <c r="CX109" i="67"/>
  <c r="CJ109" i="67"/>
  <c r="CJ61" i="149" s="1"/>
  <c r="CW108" i="67"/>
  <c r="CW60" i="149" s="1"/>
  <c r="CI108" i="67"/>
  <c r="CI60" i="149" s="1"/>
  <c r="CU106" i="67"/>
  <c r="CU58" i="149" s="1"/>
  <c r="CG106" i="67"/>
  <c r="CG58" i="149" s="1"/>
  <c r="CT105" i="67"/>
  <c r="CT57" i="149" s="1"/>
  <c r="CF105" i="67"/>
  <c r="CF57" i="149" s="1"/>
  <c r="CS104" i="67"/>
  <c r="CS56" i="149" s="1"/>
  <c r="CE104" i="67"/>
  <c r="CE56" i="149" s="1"/>
  <c r="CR103" i="67"/>
  <c r="CR55" i="149" s="1"/>
  <c r="CD103" i="67"/>
  <c r="CD55" i="149" s="1"/>
  <c r="CQ102" i="67"/>
  <c r="CC102" i="67"/>
  <c r="CC54" i="149" s="1"/>
  <c r="CP101" i="67"/>
  <c r="CP53" i="149" s="1"/>
  <c r="CB101" i="67"/>
  <c r="CB53" i="149" s="1"/>
  <c r="CO100" i="67"/>
  <c r="CO52" i="149" s="1"/>
  <c r="CA100" i="67"/>
  <c r="CA52" i="149" s="1"/>
  <c r="DB97" i="67"/>
  <c r="DB49" i="149" s="1"/>
  <c r="CN97" i="67"/>
  <c r="CN49" i="149" s="1"/>
  <c r="DA96" i="67"/>
  <c r="DA48" i="149" s="1"/>
  <c r="CM96" i="67"/>
  <c r="CM48" i="149" s="1"/>
  <c r="CZ95" i="67"/>
  <c r="CZ47" i="149" s="1"/>
  <c r="CL95" i="67"/>
  <c r="CL47" i="149" s="1"/>
  <c r="CY94" i="67"/>
  <c r="CY46" i="149" s="1"/>
  <c r="CK94" i="67"/>
  <c r="CK46" i="149" s="1"/>
  <c r="CW92" i="67"/>
  <c r="CW44" i="149" s="1"/>
  <c r="CI92" i="67"/>
  <c r="CI44" i="149" s="1"/>
  <c r="CV91" i="67"/>
  <c r="CV43" i="149" s="1"/>
  <c r="CH91" i="67"/>
  <c r="CH43" i="149" s="1"/>
  <c r="CU90" i="67"/>
  <c r="CU42" i="149" s="1"/>
  <c r="CG90" i="67"/>
  <c r="CG42" i="149" s="1"/>
  <c r="CT89" i="67"/>
  <c r="CT41" i="149" s="1"/>
  <c r="CF89" i="67"/>
  <c r="CF41" i="149" s="1"/>
  <c r="CS88" i="67"/>
  <c r="CS40" i="149" s="1"/>
  <c r="CE88" i="67"/>
  <c r="CE40" i="149" s="1"/>
  <c r="CR87" i="67"/>
  <c r="CR39" i="149" s="1"/>
  <c r="CD87" i="67"/>
  <c r="CD39" i="149" s="1"/>
  <c r="CQ86" i="67"/>
  <c r="CC86" i="67"/>
  <c r="CC38" i="149" s="1"/>
  <c r="CP85" i="67"/>
  <c r="CP37" i="149" s="1"/>
  <c r="CB85" i="67"/>
  <c r="CB37" i="149" s="1"/>
  <c r="CO84" i="67"/>
  <c r="CO36" i="149" s="1"/>
  <c r="CA84" i="67"/>
  <c r="CA36" i="149" s="1"/>
  <c r="CH118" i="67"/>
  <c r="CH70" i="149" s="1"/>
  <c r="CG109" i="67"/>
  <c r="CG61" i="149" s="1"/>
  <c r="CM104" i="67"/>
  <c r="CM56" i="149" s="1"/>
  <c r="CC100" i="67"/>
  <c r="CC52" i="149" s="1"/>
  <c r="CD86" i="67"/>
  <c r="CD38" i="149" s="1"/>
  <c r="CN80" i="67"/>
  <c r="CN32" i="149" s="1"/>
  <c r="CH76" i="67"/>
  <c r="CH28" i="149" s="1"/>
  <c r="CM26" i="67"/>
  <c r="DB98" i="67"/>
  <c r="DB50" i="149" s="1"/>
  <c r="CN98" i="67"/>
  <c r="CN50" i="149" s="1"/>
  <c r="DA97" i="67"/>
  <c r="DA49" i="149" s="1"/>
  <c r="CM97" i="67"/>
  <c r="CM49" i="149" s="1"/>
  <c r="CZ96" i="67"/>
  <c r="CZ48" i="149" s="1"/>
  <c r="CL96" i="67"/>
  <c r="CL48" i="149" s="1"/>
  <c r="CX94" i="67"/>
  <c r="CJ94" i="67"/>
  <c r="CJ46" i="149" s="1"/>
  <c r="CV92" i="67"/>
  <c r="CV44" i="149" s="1"/>
  <c r="CH92" i="67"/>
  <c r="CH44" i="149" s="1"/>
  <c r="CF90" i="67"/>
  <c r="CF42" i="149" s="1"/>
  <c r="CT90" i="67"/>
  <c r="CT42" i="149" s="1"/>
  <c r="CS89" i="67"/>
  <c r="CS41" i="149" s="1"/>
  <c r="CE89" i="67"/>
  <c r="CE41" i="149" s="1"/>
  <c r="CR88" i="67"/>
  <c r="CR40" i="149" s="1"/>
  <c r="CD88" i="67"/>
  <c r="CD40" i="149" s="1"/>
  <c r="CP86" i="67"/>
  <c r="CP38" i="149" s="1"/>
  <c r="CB86" i="67"/>
  <c r="CB38" i="149" s="1"/>
  <c r="DB82" i="67"/>
  <c r="DB34" i="149" s="1"/>
  <c r="CN82" i="67"/>
  <c r="CN34" i="149" s="1"/>
  <c r="CZ80" i="67"/>
  <c r="CZ32" i="149" s="1"/>
  <c r="CL80" i="67"/>
  <c r="CL32" i="149" s="1"/>
  <c r="CY79" i="67"/>
  <c r="CY31" i="149" s="1"/>
  <c r="CK79" i="67"/>
  <c r="CK31" i="149" s="1"/>
  <c r="CW77" i="67"/>
  <c r="CW29" i="149" s="1"/>
  <c r="CI77" i="67"/>
  <c r="CI29" i="149" s="1"/>
  <c r="CU75" i="67"/>
  <c r="CU27" i="149" s="1"/>
  <c r="CG75" i="67"/>
  <c r="CG27" i="149" s="1"/>
  <c r="CT74" i="67"/>
  <c r="CT26" i="149" s="1"/>
  <c r="CF74" i="67"/>
  <c r="CF26" i="149" s="1"/>
  <c r="CS73" i="67"/>
  <c r="CS25" i="149" s="1"/>
  <c r="CE73" i="67"/>
  <c r="CE25" i="149" s="1"/>
  <c r="CR72" i="67"/>
  <c r="CR24" i="149" s="1"/>
  <c r="CD72" i="67"/>
  <c r="CD24" i="149" s="1"/>
  <c r="CQ71" i="67"/>
  <c r="CC71" i="67"/>
  <c r="CC23" i="149" s="1"/>
  <c r="DB66" i="67"/>
  <c r="DB18" i="149" s="1"/>
  <c r="CN66" i="67"/>
  <c r="CN18" i="149" s="1"/>
  <c r="DA65" i="67"/>
  <c r="DA17" i="149" s="1"/>
  <c r="CM65" i="67"/>
  <c r="CM17" i="149" s="1"/>
  <c r="CZ64" i="67"/>
  <c r="CZ16" i="149" s="1"/>
  <c r="CL64" i="67"/>
  <c r="CL16" i="149" s="1"/>
  <c r="CY63" i="67"/>
  <c r="CY15" i="149" s="1"/>
  <c r="CK63" i="67"/>
  <c r="CK15" i="149" s="1"/>
  <c r="CX62" i="67"/>
  <c r="CJ62" i="67"/>
  <c r="CJ14" i="149" s="1"/>
  <c r="CW61" i="67"/>
  <c r="CW13" i="149" s="1"/>
  <c r="CI61" i="67"/>
  <c r="CI13" i="149" s="1"/>
  <c r="CV60" i="67"/>
  <c r="CV12" i="149" s="1"/>
  <c r="CH60" i="67"/>
  <c r="CH12" i="149" s="1"/>
  <c r="CU59" i="67"/>
  <c r="CU11" i="149" s="1"/>
  <c r="CG59" i="67"/>
  <c r="CG11" i="149" s="1"/>
  <c r="CT58" i="67"/>
  <c r="CT10" i="149" s="1"/>
  <c r="CF58" i="67"/>
  <c r="CF10" i="149" s="1"/>
  <c r="CS57" i="67"/>
  <c r="CS9" i="149" s="1"/>
  <c r="CE57" i="67"/>
  <c r="CE9" i="149" s="1"/>
  <c r="CR56" i="67"/>
  <c r="CR8" i="149" s="1"/>
  <c r="CD56" i="67"/>
  <c r="CD8" i="149" s="1"/>
  <c r="CQ55" i="67"/>
  <c r="CC55" i="67"/>
  <c r="CC7" i="149" s="1"/>
  <c r="CP54" i="67"/>
  <c r="CP6" i="149" s="1"/>
  <c r="CB54" i="67"/>
  <c r="CB6" i="149" s="1"/>
  <c r="CA101" i="67"/>
  <c r="CA53" i="149" s="1"/>
  <c r="CF109" i="67"/>
  <c r="CF61" i="149" s="1"/>
  <c r="CN94" i="67"/>
  <c r="CN46" i="149" s="1"/>
  <c r="CI80" i="67"/>
  <c r="CI32" i="149" s="1"/>
  <c r="CK66" i="67"/>
  <c r="CK18" i="149" s="1"/>
  <c r="CF61" i="67"/>
  <c r="CF13" i="149" s="1"/>
  <c r="CD43" i="67"/>
  <c r="CC36" i="67"/>
  <c r="CH24" i="67"/>
  <c r="CZ24" i="67"/>
  <c r="CL24" i="67"/>
  <c r="CW21" i="67"/>
  <c r="CI21" i="67"/>
  <c r="CT18" i="67"/>
  <c r="CF18" i="67"/>
  <c r="CQ15" i="67"/>
  <c r="CC15" i="67"/>
  <c r="DB10" i="67"/>
  <c r="CN10" i="67"/>
  <c r="CY7" i="67"/>
  <c r="CK7" i="67"/>
  <c r="CV4" i="67"/>
  <c r="CH4" i="67"/>
  <c r="CE121" i="67"/>
  <c r="CE73" i="149" s="1"/>
  <c r="CS121" i="67"/>
  <c r="CS73" i="149" s="1"/>
  <c r="CQ119" i="67"/>
  <c r="CC119" i="67"/>
  <c r="CC71" i="149" s="1"/>
  <c r="CW109" i="67"/>
  <c r="CW61" i="149" s="1"/>
  <c r="CI109" i="67"/>
  <c r="CI61" i="149" s="1"/>
  <c r="CZ25" i="67"/>
  <c r="CL25" i="67"/>
  <c r="CK24" i="67"/>
  <c r="CY24" i="67"/>
  <c r="CX23" i="67"/>
  <c r="CJ23" i="67"/>
  <c r="CW22" i="67"/>
  <c r="CI22" i="67"/>
  <c r="CB118" i="67"/>
  <c r="CB70" i="149" s="1"/>
  <c r="CF113" i="67"/>
  <c r="CF65" i="149" s="1"/>
  <c r="CD104" i="67"/>
  <c r="CD56" i="149" s="1"/>
  <c r="CM94" i="67"/>
  <c r="CM46" i="149" s="1"/>
  <c r="CH90" i="67"/>
  <c r="CH42" i="149" s="1"/>
  <c r="CF71" i="67"/>
  <c r="CF23" i="149" s="1"/>
  <c r="CG66" i="67"/>
  <c r="CG18" i="149" s="1"/>
  <c r="CF55" i="67"/>
  <c r="CF7" i="149" s="1"/>
  <c r="CB50" i="67"/>
  <c r="CB2" i="149" s="1"/>
  <c r="CG24" i="67"/>
  <c r="CY23" i="67"/>
  <c r="CK23" i="67"/>
  <c r="CU19" i="67"/>
  <c r="CG19" i="67"/>
  <c r="CR16" i="67"/>
  <c r="CD16" i="67"/>
  <c r="CO13" i="67"/>
  <c r="CA13" i="67"/>
  <c r="DA9" i="67"/>
  <c r="CM9" i="67"/>
  <c r="CW5" i="67"/>
  <c r="CI5" i="67"/>
  <c r="CT26" i="67"/>
  <c r="CF26" i="67"/>
  <c r="DB114" i="67"/>
  <c r="DB66" i="149" s="1"/>
  <c r="CN114" i="67"/>
  <c r="CN66" i="149" s="1"/>
  <c r="CY111" i="67"/>
  <c r="CY63" i="149" s="1"/>
  <c r="CK111" i="67"/>
  <c r="CK63" i="149" s="1"/>
  <c r="CU107" i="67"/>
  <c r="CU59" i="149" s="1"/>
  <c r="CG107" i="67"/>
  <c r="CG59" i="149" s="1"/>
  <c r="CY25" i="67"/>
  <c r="CK25" i="67"/>
  <c r="CX24" i="67"/>
  <c r="CJ24" i="67"/>
  <c r="CW23" i="67"/>
  <c r="CI23" i="67"/>
  <c r="CV22" i="67"/>
  <c r="CH22" i="67"/>
  <c r="CU21" i="67"/>
  <c r="CG21" i="67"/>
  <c r="CT20" i="67"/>
  <c r="CF20" i="67"/>
  <c r="CS19" i="67"/>
  <c r="CE19" i="67"/>
  <c r="CR18" i="67"/>
  <c r="CD18" i="67"/>
  <c r="CQ17" i="67"/>
  <c r="CC17" i="67"/>
  <c r="CP16" i="67"/>
  <c r="CB16" i="67"/>
  <c r="DB12" i="67"/>
  <c r="CN12" i="67"/>
  <c r="DA11" i="67"/>
  <c r="CM11" i="67"/>
  <c r="CZ10" i="67"/>
  <c r="CL10" i="67"/>
  <c r="CY9" i="67"/>
  <c r="CK9" i="67"/>
  <c r="CX8" i="67"/>
  <c r="CJ8" i="67"/>
  <c r="CW7" i="67"/>
  <c r="CI7" i="67"/>
  <c r="CV6" i="67"/>
  <c r="CH6" i="67"/>
  <c r="CU5" i="67"/>
  <c r="CG5" i="67"/>
  <c r="CT4" i="67"/>
  <c r="CF4" i="67"/>
  <c r="CS27" i="67"/>
  <c r="CE27" i="67"/>
  <c r="CR26" i="67"/>
  <c r="CD26" i="67"/>
  <c r="CP120" i="67"/>
  <c r="CP72" i="149" s="1"/>
  <c r="CB120" i="67"/>
  <c r="CB72" i="149" s="1"/>
  <c r="DB116" i="67"/>
  <c r="DB68" i="149" s="1"/>
  <c r="CN116" i="67"/>
  <c r="CN68" i="149" s="1"/>
  <c r="CZ114" i="67"/>
  <c r="CZ66" i="149" s="1"/>
  <c r="CL114" i="67"/>
  <c r="CL66" i="149" s="1"/>
  <c r="CY113" i="67"/>
  <c r="CY65" i="149" s="1"/>
  <c r="CK113" i="67"/>
  <c r="CK65" i="149" s="1"/>
  <c r="CX112" i="67"/>
  <c r="CJ112" i="67"/>
  <c r="CJ64" i="149" s="1"/>
  <c r="CW111" i="67"/>
  <c r="CW63" i="149" s="1"/>
  <c r="CI111" i="67"/>
  <c r="CI63" i="149" s="1"/>
  <c r="CV110" i="67"/>
  <c r="CV62" i="149" s="1"/>
  <c r="CH110" i="67"/>
  <c r="CH62" i="149" s="1"/>
  <c r="CT108" i="67"/>
  <c r="CT60" i="149" s="1"/>
  <c r="CF108" i="67"/>
  <c r="CF60" i="149" s="1"/>
  <c r="CS107" i="67"/>
  <c r="CS59" i="149" s="1"/>
  <c r="CE107" i="67"/>
  <c r="CE59" i="149" s="1"/>
  <c r="CQ105" i="67"/>
  <c r="CC105" i="67"/>
  <c r="CC57" i="149" s="1"/>
  <c r="CP104" i="67"/>
  <c r="CP56" i="149" s="1"/>
  <c r="CB104" i="67"/>
  <c r="CB56" i="149" s="1"/>
  <c r="DA99" i="67"/>
  <c r="DA51" i="149" s="1"/>
  <c r="CM99" i="67"/>
  <c r="CM51" i="149" s="1"/>
  <c r="CY97" i="67"/>
  <c r="CY49" i="149" s="1"/>
  <c r="CK97" i="67"/>
  <c r="CK49" i="149" s="1"/>
  <c r="CJ96" i="67"/>
  <c r="CJ48" i="149" s="1"/>
  <c r="CX96" i="67"/>
  <c r="CW95" i="67"/>
  <c r="CW47" i="149" s="1"/>
  <c r="CI95" i="67"/>
  <c r="CI47" i="149" s="1"/>
  <c r="CV94" i="67"/>
  <c r="CV46" i="149" s="1"/>
  <c r="CH94" i="67"/>
  <c r="CH46" i="149" s="1"/>
  <c r="CU93" i="67"/>
  <c r="CU45" i="149" s="1"/>
  <c r="CG93" i="67"/>
  <c r="CG45" i="149" s="1"/>
  <c r="CS91" i="67"/>
  <c r="CS43" i="149" s="1"/>
  <c r="CE91" i="67"/>
  <c r="CE43" i="149" s="1"/>
  <c r="CR90" i="67"/>
  <c r="CR42" i="149" s="1"/>
  <c r="CD90" i="67"/>
  <c r="CD42" i="149" s="1"/>
  <c r="CQ89" i="67"/>
  <c r="CC89" i="67"/>
  <c r="CC41" i="149" s="1"/>
  <c r="CB88" i="67"/>
  <c r="CB40" i="149" s="1"/>
  <c r="CP88" i="67"/>
  <c r="CP40" i="149" s="1"/>
  <c r="DB84" i="67"/>
  <c r="DB36" i="149" s="1"/>
  <c r="CN84" i="67"/>
  <c r="CN36" i="149" s="1"/>
  <c r="CZ82" i="67"/>
  <c r="CZ34" i="149" s="1"/>
  <c r="CL82" i="67"/>
  <c r="CL34" i="149" s="1"/>
  <c r="CY81" i="67"/>
  <c r="CY33" i="149" s="1"/>
  <c r="CK81" i="67"/>
  <c r="CK33" i="149" s="1"/>
  <c r="CX80" i="67"/>
  <c r="CJ80" i="67"/>
  <c r="CJ32" i="149" s="1"/>
  <c r="CI79" i="67"/>
  <c r="CI31" i="149" s="1"/>
  <c r="CW79" i="67"/>
  <c r="CW31" i="149" s="1"/>
  <c r="CV78" i="67"/>
  <c r="CV30" i="149" s="1"/>
  <c r="CH78" i="67"/>
  <c r="CH30" i="149" s="1"/>
  <c r="CU77" i="67"/>
  <c r="CU29" i="149" s="1"/>
  <c r="CG77" i="67"/>
  <c r="CG29" i="149" s="1"/>
  <c r="CT76" i="67"/>
  <c r="CT28" i="149" s="1"/>
  <c r="CF76" i="67"/>
  <c r="CF28" i="149" s="1"/>
  <c r="CR74" i="67"/>
  <c r="CR26" i="149" s="1"/>
  <c r="CD74" i="67"/>
  <c r="CD26" i="149" s="1"/>
  <c r="CQ73" i="67"/>
  <c r="CC73" i="67"/>
  <c r="CC25" i="149" s="1"/>
  <c r="CA92" i="67"/>
  <c r="CA44" i="149" s="1"/>
  <c r="CL121" i="67"/>
  <c r="CL73" i="149" s="1"/>
  <c r="CG94" i="67"/>
  <c r="CG46" i="149" s="1"/>
  <c r="CC90" i="67"/>
  <c r="CC42" i="149" s="1"/>
  <c r="CD85" i="67"/>
  <c r="CD37" i="149" s="1"/>
  <c r="CK75" i="67"/>
  <c r="CK27" i="149" s="1"/>
  <c r="CE71" i="67"/>
  <c r="CE23" i="149" s="1"/>
  <c r="CB66" i="67"/>
  <c r="CB18" i="149" s="1"/>
  <c r="CJ60" i="67"/>
  <c r="CJ12" i="149" s="1"/>
  <c r="CE55" i="67"/>
  <c r="CE7" i="149" s="1"/>
  <c r="CL20" i="67"/>
  <c r="DA25" i="67"/>
  <c r="CM25" i="67"/>
  <c r="CX22" i="67"/>
  <c r="CJ22" i="67"/>
  <c r="CV20" i="67"/>
  <c r="CH20" i="67"/>
  <c r="CS17" i="67"/>
  <c r="CE17" i="67"/>
  <c r="CP14" i="67"/>
  <c r="CB14" i="67"/>
  <c r="CZ8" i="67"/>
  <c r="CL8" i="67"/>
  <c r="CX6" i="67"/>
  <c r="CJ6" i="67"/>
  <c r="CU27" i="67"/>
  <c r="CG27" i="67"/>
  <c r="CD120" i="67"/>
  <c r="CD72" i="149" s="1"/>
  <c r="CR120" i="67"/>
  <c r="CR72" i="149" s="1"/>
  <c r="DA113" i="67"/>
  <c r="DA65" i="149" s="1"/>
  <c r="CM113" i="67"/>
  <c r="CM65" i="149" s="1"/>
  <c r="CT106" i="67"/>
  <c r="CT58" i="149" s="1"/>
  <c r="CF106" i="67"/>
  <c r="CF58" i="149" s="1"/>
  <c r="CS105" i="67"/>
  <c r="CS57" i="149" s="1"/>
  <c r="CE105" i="67"/>
  <c r="CE57" i="149" s="1"/>
  <c r="CQ103" i="67"/>
  <c r="CC103" i="67"/>
  <c r="CC55" i="149" s="1"/>
  <c r="CP102" i="67"/>
  <c r="CP54" i="149" s="1"/>
  <c r="CB102" i="67"/>
  <c r="CB54" i="149" s="1"/>
  <c r="CX25" i="67"/>
  <c r="CJ25" i="67"/>
  <c r="CW24" i="67"/>
  <c r="CI24" i="67"/>
  <c r="CH23" i="67"/>
  <c r="CV23" i="67"/>
  <c r="CU22" i="67"/>
  <c r="CG22" i="67"/>
  <c r="CT21" i="67"/>
  <c r="CF21" i="67"/>
  <c r="CS20" i="67"/>
  <c r="CE20" i="67"/>
  <c r="CR19" i="67"/>
  <c r="CD19" i="67"/>
  <c r="CQ18" i="67"/>
  <c r="CC18" i="67"/>
  <c r="CP17" i="67"/>
  <c r="CB17" i="67"/>
  <c r="CO16" i="67"/>
  <c r="CA16" i="67"/>
  <c r="DB13" i="67"/>
  <c r="CN13" i="67"/>
  <c r="DA12" i="67"/>
  <c r="CM12" i="67"/>
  <c r="CZ11" i="67"/>
  <c r="CL11" i="67"/>
  <c r="CY10" i="67"/>
  <c r="CK10" i="67"/>
  <c r="CX9" i="67"/>
  <c r="CJ9" i="67"/>
  <c r="CW8" i="67"/>
  <c r="CI8" i="67"/>
  <c r="CV7" i="67"/>
  <c r="CH7" i="67"/>
  <c r="CU6" i="67"/>
  <c r="CG6" i="67"/>
  <c r="CT5" i="67"/>
  <c r="CF5" i="67"/>
  <c r="CS4" i="67"/>
  <c r="CE4" i="67"/>
  <c r="CR27" i="67"/>
  <c r="CD27" i="67"/>
  <c r="CQ26" i="67"/>
  <c r="CC26" i="67"/>
  <c r="CO120" i="67"/>
  <c r="CO72" i="149" s="1"/>
  <c r="CA120" i="67"/>
  <c r="CA72" i="149" s="1"/>
  <c r="DB117" i="67"/>
  <c r="DB69" i="149" s="1"/>
  <c r="CN117" i="67"/>
  <c r="CN69" i="149" s="1"/>
  <c r="DA116" i="67"/>
  <c r="DA68" i="149" s="1"/>
  <c r="CM116" i="67"/>
  <c r="CM68" i="149" s="1"/>
  <c r="CZ115" i="67"/>
  <c r="CZ67" i="149" s="1"/>
  <c r="CL115" i="67"/>
  <c r="CL67" i="149" s="1"/>
  <c r="CY114" i="67"/>
  <c r="CY66" i="149" s="1"/>
  <c r="CK114" i="67"/>
  <c r="CK66" i="149" s="1"/>
  <c r="CX113" i="67"/>
  <c r="CJ113" i="67"/>
  <c r="CJ65" i="149" s="1"/>
  <c r="CW112" i="67"/>
  <c r="CW64" i="149" s="1"/>
  <c r="CI112" i="67"/>
  <c r="CI64" i="149" s="1"/>
  <c r="CU110" i="67"/>
  <c r="CU62" i="149" s="1"/>
  <c r="CG110" i="67"/>
  <c r="CG62" i="149" s="1"/>
  <c r="CS108" i="67"/>
  <c r="CS60" i="149" s="1"/>
  <c r="CE108" i="67"/>
  <c r="CE60" i="149" s="1"/>
  <c r="CQ106" i="67"/>
  <c r="CC106" i="67"/>
  <c r="CC58" i="149" s="1"/>
  <c r="CP105" i="67"/>
  <c r="CP57" i="149" s="1"/>
  <c r="CB105" i="67"/>
  <c r="CB57" i="149" s="1"/>
  <c r="CO104" i="67"/>
  <c r="CO56" i="149" s="1"/>
  <c r="CA104" i="67"/>
  <c r="CA56" i="149" s="1"/>
  <c r="DA100" i="67"/>
  <c r="DA52" i="149" s="1"/>
  <c r="CM100" i="67"/>
  <c r="CM52" i="149" s="1"/>
  <c r="CZ99" i="67"/>
  <c r="CZ51" i="149" s="1"/>
  <c r="CL99" i="67"/>
  <c r="CL51" i="149" s="1"/>
  <c r="CY98" i="67"/>
  <c r="CY50" i="149" s="1"/>
  <c r="CK98" i="67"/>
  <c r="CK50" i="149" s="1"/>
  <c r="CX97" i="67"/>
  <c r="CJ97" i="67"/>
  <c r="CJ49" i="149" s="1"/>
  <c r="CW96" i="67"/>
  <c r="CW48" i="149" s="1"/>
  <c r="CI96" i="67"/>
  <c r="CI48" i="149" s="1"/>
  <c r="CV95" i="67"/>
  <c r="CV47" i="149" s="1"/>
  <c r="CH95" i="67"/>
  <c r="CH47" i="149" s="1"/>
  <c r="CT93" i="67"/>
  <c r="CT45" i="149" s="1"/>
  <c r="CF93" i="67"/>
  <c r="CF45" i="149" s="1"/>
  <c r="CR91" i="67"/>
  <c r="CR43" i="149" s="1"/>
  <c r="CD91" i="67"/>
  <c r="CD43" i="149" s="1"/>
  <c r="CP89" i="67"/>
  <c r="CP41" i="149" s="1"/>
  <c r="CB89" i="67"/>
  <c r="CB41" i="149" s="1"/>
  <c r="CO88" i="67"/>
  <c r="CO40" i="149" s="1"/>
  <c r="CA88" i="67"/>
  <c r="CA40" i="149" s="1"/>
  <c r="DB85" i="67"/>
  <c r="DB37" i="149" s="1"/>
  <c r="CN85" i="67"/>
  <c r="CN37" i="149" s="1"/>
  <c r="CZ83" i="67"/>
  <c r="CZ35" i="149" s="1"/>
  <c r="CL83" i="67"/>
  <c r="CL35" i="149" s="1"/>
  <c r="CY82" i="67"/>
  <c r="CY34" i="149" s="1"/>
  <c r="CK82" i="67"/>
  <c r="CK34" i="149" s="1"/>
  <c r="CX81" i="67"/>
  <c r="CJ81" i="67"/>
  <c r="CJ33" i="149" s="1"/>
  <c r="CV79" i="67"/>
  <c r="CV31" i="149" s="1"/>
  <c r="CH79" i="67"/>
  <c r="CH31" i="149" s="1"/>
  <c r="CU78" i="67"/>
  <c r="CU30" i="149" s="1"/>
  <c r="CG78" i="67"/>
  <c r="CG30" i="149" s="1"/>
  <c r="CS76" i="67"/>
  <c r="CS28" i="149" s="1"/>
  <c r="CE76" i="67"/>
  <c r="CE28" i="149" s="1"/>
  <c r="CQ74" i="67"/>
  <c r="CC74" i="67"/>
  <c r="CC26" i="149" s="1"/>
  <c r="CO72" i="67"/>
  <c r="CO24" i="149" s="1"/>
  <c r="CA72" i="67"/>
  <c r="CA24" i="149" s="1"/>
  <c r="DA68" i="67"/>
  <c r="DA20" i="149" s="1"/>
  <c r="CM68" i="67"/>
  <c r="CM20" i="149" s="1"/>
  <c r="CX65" i="67"/>
  <c r="CJ65" i="67"/>
  <c r="CJ17" i="149" s="1"/>
  <c r="CW64" i="67"/>
  <c r="CW16" i="149" s="1"/>
  <c r="CI64" i="67"/>
  <c r="CI16" i="149" s="1"/>
  <c r="CU62" i="67"/>
  <c r="CU14" i="149" s="1"/>
  <c r="CG62" i="67"/>
  <c r="CG14" i="149" s="1"/>
  <c r="CS60" i="67"/>
  <c r="CS12" i="149" s="1"/>
  <c r="CE60" i="67"/>
  <c r="CE12" i="149" s="1"/>
  <c r="CQ58" i="67"/>
  <c r="CC58" i="67"/>
  <c r="CC10" i="149" s="1"/>
  <c r="CP57" i="67"/>
  <c r="CP9" i="149" s="1"/>
  <c r="CB57" i="67"/>
  <c r="CB9" i="149" s="1"/>
  <c r="CO56" i="67"/>
  <c r="CO8" i="149" s="1"/>
  <c r="CA56" i="67"/>
  <c r="CA8" i="149" s="1"/>
  <c r="DB53" i="67"/>
  <c r="DB5" i="149" s="1"/>
  <c r="CN53" i="67"/>
  <c r="CN5" i="149" s="1"/>
  <c r="DA52" i="67"/>
  <c r="DA4" i="149" s="1"/>
  <c r="CM52" i="67"/>
  <c r="CM4" i="149" s="1"/>
  <c r="CZ51" i="67"/>
  <c r="CZ3" i="149" s="1"/>
  <c r="CL51" i="67"/>
  <c r="CL3" i="149" s="1"/>
  <c r="CY50" i="67"/>
  <c r="CY2" i="149" s="1"/>
  <c r="CK50" i="67"/>
  <c r="CK2" i="149" s="1"/>
  <c r="CX49" i="67"/>
  <c r="CJ49" i="67"/>
  <c r="CW48" i="67"/>
  <c r="CI48" i="67"/>
  <c r="CV47" i="67"/>
  <c r="CH47" i="67"/>
  <c r="CT45" i="67"/>
  <c r="CF45" i="67"/>
  <c r="CS44" i="67"/>
  <c r="CE44" i="67"/>
  <c r="CQ42" i="67"/>
  <c r="CC42" i="67"/>
  <c r="CP41" i="67"/>
  <c r="CB41" i="67"/>
  <c r="CO40" i="67"/>
  <c r="CA40" i="67"/>
  <c r="DB37" i="67"/>
  <c r="CN37" i="67"/>
  <c r="DA36" i="67"/>
  <c r="CM36" i="67"/>
  <c r="CZ35" i="67"/>
  <c r="CL35" i="67"/>
  <c r="CY34" i="67"/>
  <c r="CK34" i="67"/>
  <c r="CW32" i="67"/>
  <c r="CI32" i="67"/>
  <c r="CV31" i="67"/>
  <c r="CH31" i="67"/>
  <c r="CU30" i="67"/>
  <c r="CG30" i="67"/>
  <c r="CT29" i="67"/>
  <c r="CF29" i="67"/>
  <c r="CS28" i="67"/>
  <c r="CE28" i="67"/>
  <c r="CA87" i="67"/>
  <c r="CA39" i="149" s="1"/>
  <c r="CH121" i="67"/>
  <c r="CH73" i="149" s="1"/>
  <c r="CE117" i="67"/>
  <c r="CE69" i="149" s="1"/>
  <c r="CH108" i="67"/>
  <c r="CH60" i="149" s="1"/>
  <c r="CI103" i="67"/>
  <c r="CI55" i="149" s="1"/>
  <c r="CL98" i="67"/>
  <c r="CL50" i="149" s="1"/>
  <c r="CC94" i="67"/>
  <c r="CC46" i="149" s="1"/>
  <c r="CK89" i="67"/>
  <c r="CK41" i="149" s="1"/>
  <c r="CM84" i="67"/>
  <c r="CM36" i="149" s="1"/>
  <c r="CN79" i="67"/>
  <c r="CN31" i="149" s="1"/>
  <c r="CE75" i="67"/>
  <c r="CE27" i="149" s="1"/>
  <c r="CN48" i="67"/>
  <c r="CC35" i="67"/>
  <c r="CW25" i="67"/>
  <c r="CI25" i="67"/>
  <c r="CU23" i="67"/>
  <c r="CG23" i="67"/>
  <c r="CT22" i="67"/>
  <c r="CF22" i="67"/>
  <c r="CS21" i="67"/>
  <c r="CE21" i="67"/>
  <c r="CR20" i="67"/>
  <c r="CD20" i="67"/>
  <c r="CQ19" i="67"/>
  <c r="CC19" i="67"/>
  <c r="CP18" i="67"/>
  <c r="CB18" i="67"/>
  <c r="CO17" i="67"/>
  <c r="CA17" i="67"/>
  <c r="DB14" i="67"/>
  <c r="CN14" i="67"/>
  <c r="DA13" i="67"/>
  <c r="CM13" i="67"/>
  <c r="CZ12" i="67"/>
  <c r="CL12" i="67"/>
  <c r="CY11" i="67"/>
  <c r="CK11" i="67"/>
  <c r="CX10" i="67"/>
  <c r="CJ10" i="67"/>
  <c r="CW9" i="67"/>
  <c r="CI9" i="67"/>
  <c r="CV8" i="67"/>
  <c r="CH8" i="67"/>
  <c r="CU7" i="67"/>
  <c r="CG7" i="67"/>
  <c r="CT6" i="67"/>
  <c r="CF6" i="67"/>
  <c r="CS5" i="67"/>
  <c r="CE5" i="67"/>
  <c r="CR4" i="67"/>
  <c r="CD4" i="67"/>
  <c r="CQ27" i="67"/>
  <c r="CC27" i="67"/>
  <c r="CP26" i="67"/>
  <c r="CB26" i="67"/>
  <c r="CD117" i="67"/>
  <c r="CD69" i="149" s="1"/>
  <c r="CL112" i="67"/>
  <c r="CL64" i="149" s="1"/>
  <c r="CE54" i="67"/>
  <c r="CE6" i="149" s="1"/>
  <c r="CV25" i="67"/>
  <c r="CH25" i="67"/>
  <c r="CT23" i="67"/>
  <c r="CF23" i="67"/>
  <c r="CE22" i="67"/>
  <c r="CR21" i="67"/>
  <c r="CD21" i="67"/>
  <c r="CQ20" i="67"/>
  <c r="CC20" i="67"/>
  <c r="CD71" i="67"/>
  <c r="CD23" i="149" s="1"/>
  <c r="CE67" i="67"/>
  <c r="CE19" i="149" s="1"/>
  <c r="CK62" i="67"/>
  <c r="CK14" i="149" s="1"/>
  <c r="CJ56" i="67"/>
  <c r="CJ8" i="149" s="1"/>
  <c r="CD55" i="67"/>
  <c r="CD7" i="149" s="1"/>
  <c r="CU58" i="67"/>
  <c r="CU10" i="149" s="1"/>
  <c r="CG58" i="67"/>
  <c r="CG10" i="149" s="1"/>
  <c r="DB49" i="67"/>
  <c r="CN49" i="67"/>
  <c r="CZ47" i="67"/>
  <c r="CL47" i="67"/>
  <c r="CU42" i="67"/>
  <c r="CG42" i="67"/>
  <c r="CT41" i="67"/>
  <c r="CF41" i="67"/>
  <c r="CS40" i="67"/>
  <c r="CE40" i="67"/>
  <c r="CQ38" i="67"/>
  <c r="CC38" i="67"/>
  <c r="CP37" i="67"/>
  <c r="CB37" i="67"/>
  <c r="DA32" i="67"/>
  <c r="CM32" i="67"/>
  <c r="CZ31" i="67"/>
  <c r="CL31" i="67"/>
  <c r="CY30" i="67"/>
  <c r="CK30" i="67"/>
  <c r="CJ29" i="67"/>
  <c r="CX29" i="67"/>
  <c r="CW28" i="67"/>
  <c r="CI28" i="67"/>
  <c r="CA19" i="67"/>
  <c r="CJ119" i="67"/>
  <c r="CJ71" i="149" s="1"/>
  <c r="CK115" i="67"/>
  <c r="CK67" i="149" s="1"/>
  <c r="CD109" i="67"/>
  <c r="CD61" i="149" s="1"/>
  <c r="CN103" i="67"/>
  <c r="CN55" i="149" s="1"/>
  <c r="CI102" i="67"/>
  <c r="CI54" i="149" s="1"/>
  <c r="CN99" i="67"/>
  <c r="CN51" i="149" s="1"/>
  <c r="CJ98" i="67"/>
  <c r="CJ50" i="149" s="1"/>
  <c r="CC92" i="67"/>
  <c r="CC44" i="149" s="1"/>
  <c r="CM86" i="67"/>
  <c r="CM38" i="149" s="1"/>
  <c r="CI85" i="67"/>
  <c r="CI37" i="149" s="1"/>
  <c r="CE84" i="67"/>
  <c r="CE36" i="149" s="1"/>
  <c r="CI81" i="67"/>
  <c r="CI33" i="149" s="1"/>
  <c r="CJ77" i="67"/>
  <c r="CJ29" i="149" s="1"/>
  <c r="CB75" i="67"/>
  <c r="CB27" i="149" s="1"/>
  <c r="CL69" i="67"/>
  <c r="CL21" i="149" s="1"/>
  <c r="CH68" i="67"/>
  <c r="CH20" i="149" s="1"/>
  <c r="CD67" i="67"/>
  <c r="CD19" i="149" s="1"/>
  <c r="CI65" i="67"/>
  <c r="CI17" i="149" s="1"/>
  <c r="CC64" i="67"/>
  <c r="CC16" i="149" s="1"/>
  <c r="CD61" i="67"/>
  <c r="CD13" i="149" s="1"/>
  <c r="CH59" i="67"/>
  <c r="CH11" i="149" s="1"/>
  <c r="CB58" i="67"/>
  <c r="CB10" i="149" s="1"/>
  <c r="CI56" i="67"/>
  <c r="CI8" i="149" s="1"/>
  <c r="CN51" i="67"/>
  <c r="CN3" i="149" s="1"/>
  <c r="CG48" i="67"/>
  <c r="CN42" i="67"/>
  <c r="CK40" i="67"/>
  <c r="CB38" i="67"/>
  <c r="CM35" i="67"/>
  <c r="CB30" i="67"/>
  <c r="CM15" i="67"/>
  <c r="DB50" i="67"/>
  <c r="DB2" i="149" s="1"/>
  <c r="CN50" i="67"/>
  <c r="CN2" i="149" s="1"/>
  <c r="DA49" i="67"/>
  <c r="CM49" i="67"/>
  <c r="CT42" i="67"/>
  <c r="CF42" i="67"/>
  <c r="CS41" i="67"/>
  <c r="CE41" i="67"/>
  <c r="CZ32" i="67"/>
  <c r="CL32" i="67"/>
  <c r="CX30" i="67"/>
  <c r="CJ30" i="67"/>
  <c r="CW29" i="67"/>
  <c r="CI29" i="67"/>
  <c r="CV28" i="67"/>
  <c r="CH28" i="67"/>
  <c r="CA18" i="67"/>
  <c r="CL120" i="67"/>
  <c r="CL72" i="149" s="1"/>
  <c r="CJ115" i="67"/>
  <c r="CJ67" i="149" s="1"/>
  <c r="CF114" i="67"/>
  <c r="CF66" i="149" s="1"/>
  <c r="CB113" i="67"/>
  <c r="CB65" i="149" s="1"/>
  <c r="CL107" i="67"/>
  <c r="CL59" i="149" s="1"/>
  <c r="CD105" i="67"/>
  <c r="CD57" i="149" s="1"/>
  <c r="CI98" i="67"/>
  <c r="CI50" i="149" s="1"/>
  <c r="CE97" i="67"/>
  <c r="CE49" i="149" s="1"/>
  <c r="CB92" i="67"/>
  <c r="CB44" i="149" s="1"/>
  <c r="CK90" i="67"/>
  <c r="CK42" i="149" s="1"/>
  <c r="CC88" i="67"/>
  <c r="CC40" i="149" s="1"/>
  <c r="CL86" i="67"/>
  <c r="CL38" i="149" s="1"/>
  <c r="CH85" i="67"/>
  <c r="CH37" i="149" s="1"/>
  <c r="CH81" i="67"/>
  <c r="CH33" i="149" s="1"/>
  <c r="CD80" i="67"/>
  <c r="CD32" i="149" s="1"/>
  <c r="CN74" i="67"/>
  <c r="CN26" i="149" s="1"/>
  <c r="CJ73" i="67"/>
  <c r="CJ25" i="149" s="1"/>
  <c r="CB71" i="67"/>
  <c r="CB23" i="149" s="1"/>
  <c r="CK69" i="67"/>
  <c r="CK21" i="149" s="1"/>
  <c r="CG68" i="67"/>
  <c r="CG20" i="149" s="1"/>
  <c r="CH65" i="67"/>
  <c r="CH17" i="149" s="1"/>
  <c r="CB64" i="67"/>
  <c r="CB16" i="149" s="1"/>
  <c r="CI62" i="67"/>
  <c r="CI14" i="149" s="1"/>
  <c r="CC61" i="67"/>
  <c r="CC13" i="149" s="1"/>
  <c r="CB55" i="67"/>
  <c r="CB7" i="149" s="1"/>
  <c r="CF53" i="67"/>
  <c r="CF5" i="149" s="1"/>
  <c r="CM51" i="67"/>
  <c r="CM3" i="149" s="1"/>
  <c r="CF50" i="67"/>
  <c r="CF2" i="149" s="1"/>
  <c r="CF48" i="67"/>
  <c r="CK46" i="67"/>
  <c r="CI44" i="67"/>
  <c r="CL42" i="67"/>
  <c r="CJ40" i="67"/>
  <c r="CF35" i="67"/>
  <c r="CC33" i="67"/>
  <c r="CQ120" i="67"/>
  <c r="CH21" i="67"/>
  <c r="CV21" i="67"/>
  <c r="CT19" i="67"/>
  <c r="CF19" i="67"/>
  <c r="CS18" i="67"/>
  <c r="CE18" i="67"/>
  <c r="CR17" i="67"/>
  <c r="CD17" i="67"/>
  <c r="CC16" i="67"/>
  <c r="CQ16" i="67"/>
  <c r="CP15" i="67"/>
  <c r="CB15" i="67"/>
  <c r="DB11" i="67"/>
  <c r="CN11" i="67"/>
  <c r="DA10" i="67"/>
  <c r="CM10" i="67"/>
  <c r="CZ9" i="67"/>
  <c r="CL9" i="67"/>
  <c r="CK8" i="67"/>
  <c r="CY8" i="67"/>
  <c r="CX7" i="67"/>
  <c r="CJ7" i="67"/>
  <c r="CW6" i="67"/>
  <c r="CI6" i="67"/>
  <c r="CV5" i="67"/>
  <c r="CH5" i="67"/>
  <c r="CU4" i="67"/>
  <c r="CG4" i="67"/>
  <c r="CT27" i="67"/>
  <c r="CF27" i="67"/>
  <c r="CS26" i="67"/>
  <c r="CE26" i="67"/>
  <c r="CZ65" i="67"/>
  <c r="CZ17" i="149" s="1"/>
  <c r="CL65" i="67"/>
  <c r="CL17" i="149" s="1"/>
  <c r="CR57" i="67"/>
  <c r="CR9" i="149" s="1"/>
  <c r="CD57" i="67"/>
  <c r="CD9" i="149" s="1"/>
  <c r="CZ49" i="67"/>
  <c r="CL49" i="67"/>
  <c r="CY48" i="67"/>
  <c r="CK48" i="67"/>
  <c r="CW46" i="67"/>
  <c r="CI46" i="67"/>
  <c r="CR41" i="67"/>
  <c r="CD41" i="67"/>
  <c r="CP39" i="67"/>
  <c r="CB39" i="67"/>
  <c r="CZ33" i="67"/>
  <c r="CL33" i="67"/>
  <c r="CY32" i="67"/>
  <c r="CK32" i="67"/>
  <c r="CX31" i="67"/>
  <c r="CJ31" i="67"/>
  <c r="CW30" i="67"/>
  <c r="CI30" i="67"/>
  <c r="CV29" i="67"/>
  <c r="CH29" i="67"/>
  <c r="CG28" i="67"/>
  <c r="CU28" i="67"/>
  <c r="CK120" i="67"/>
  <c r="CK72" i="149" s="1"/>
  <c r="CH119" i="67"/>
  <c r="CH71" i="149" s="1"/>
  <c r="CI115" i="67"/>
  <c r="CI67" i="149" s="1"/>
  <c r="CE114" i="67"/>
  <c r="CE66" i="149" s="1"/>
  <c r="CJ111" i="67"/>
  <c r="CJ63" i="149" s="1"/>
  <c r="CF110" i="67"/>
  <c r="CF62" i="149" s="1"/>
  <c r="CK103" i="67"/>
  <c r="CK55" i="149" s="1"/>
  <c r="CG102" i="67"/>
  <c r="CG54" i="149" s="1"/>
  <c r="CH98" i="67"/>
  <c r="CH50" i="149" s="1"/>
  <c r="CD97" i="67"/>
  <c r="CD49" i="149" s="1"/>
  <c r="CI94" i="67"/>
  <c r="CI46" i="149" s="1"/>
  <c r="CE93" i="67"/>
  <c r="CE45" i="149" s="1"/>
  <c r="CN91" i="67"/>
  <c r="CN43" i="149" s="1"/>
  <c r="CF85" i="67"/>
  <c r="CF37" i="149" s="1"/>
  <c r="CG81" i="67"/>
  <c r="CG33" i="149" s="1"/>
  <c r="CC80" i="67"/>
  <c r="CC32" i="149" s="1"/>
  <c r="CH77" i="67"/>
  <c r="CH29" i="149" s="1"/>
  <c r="CD76" i="67"/>
  <c r="CD28" i="149" s="1"/>
  <c r="CM74" i="67"/>
  <c r="CM26" i="149" s="1"/>
  <c r="CE72" i="67"/>
  <c r="CE24" i="149" s="1"/>
  <c r="CN70" i="67"/>
  <c r="CN22" i="149" s="1"/>
  <c r="CF68" i="67"/>
  <c r="CF20" i="149" s="1"/>
  <c r="CM66" i="67"/>
  <c r="CM18" i="149" s="1"/>
  <c r="CG65" i="67"/>
  <c r="CG17" i="149" s="1"/>
  <c r="CH62" i="67"/>
  <c r="CH14" i="149" s="1"/>
  <c r="CF59" i="67"/>
  <c r="CF11" i="149" s="1"/>
  <c r="CM57" i="67"/>
  <c r="CM9" i="149" s="1"/>
  <c r="CN54" i="67"/>
  <c r="CN6" i="149" s="1"/>
  <c r="CD50" i="67"/>
  <c r="CD2" i="149" s="1"/>
  <c r="CJ46" i="67"/>
  <c r="CH44" i="67"/>
  <c r="CK42" i="67"/>
  <c r="CM37" i="67"/>
  <c r="CE35" i="67"/>
  <c r="CB33" i="67"/>
  <c r="CD29" i="67"/>
  <c r="DB118" i="67"/>
  <c r="DB70" i="149" s="1"/>
  <c r="CY65" i="67"/>
  <c r="CY17" i="149" s="1"/>
  <c r="CK65" i="67"/>
  <c r="CK17" i="149" s="1"/>
  <c r="CX64" i="67"/>
  <c r="CJ64" i="67"/>
  <c r="CJ16" i="149" s="1"/>
  <c r="CQ57" i="67"/>
  <c r="CC57" i="67"/>
  <c r="CC9" i="149" s="1"/>
  <c r="CY49" i="67"/>
  <c r="CK49" i="67"/>
  <c r="CX48" i="67"/>
  <c r="CJ48" i="67"/>
  <c r="CQ41" i="67"/>
  <c r="CC41" i="67"/>
  <c r="CB40" i="67"/>
  <c r="CP40" i="67"/>
  <c r="DB36" i="67"/>
  <c r="CN36" i="67"/>
  <c r="CZ34" i="67"/>
  <c r="CL34" i="67"/>
  <c r="CX32" i="67"/>
  <c r="CJ32" i="67"/>
  <c r="CU29" i="67"/>
  <c r="CG29" i="67"/>
  <c r="CT28" i="67"/>
  <c r="CF28" i="67"/>
  <c r="CM121" i="67"/>
  <c r="CM73" i="149" s="1"/>
  <c r="CL116" i="67"/>
  <c r="CL68" i="149" s="1"/>
  <c r="CE110" i="67"/>
  <c r="CE62" i="149" s="1"/>
  <c r="CE106" i="67"/>
  <c r="CE58" i="149" s="1"/>
  <c r="CN104" i="67"/>
  <c r="CN56" i="149" s="1"/>
  <c r="CJ103" i="67"/>
  <c r="CJ55" i="149" s="1"/>
  <c r="CK99" i="67"/>
  <c r="CK51" i="149" s="1"/>
  <c r="CD93" i="67"/>
  <c r="CD45" i="149" s="1"/>
  <c r="CN87" i="67"/>
  <c r="CN39" i="149" s="1"/>
  <c r="CI86" i="67"/>
  <c r="CI38" i="149" s="1"/>
  <c r="CN83" i="67"/>
  <c r="CN35" i="149" s="1"/>
  <c r="CJ82" i="67"/>
  <c r="CJ34" i="149" s="1"/>
  <c r="CK78" i="67"/>
  <c r="CK30" i="149" s="1"/>
  <c r="CC76" i="67"/>
  <c r="CC28" i="149" s="1"/>
  <c r="CM70" i="67"/>
  <c r="CM22" i="149" s="1"/>
  <c r="CI69" i="67"/>
  <c r="CI21" i="149" s="1"/>
  <c r="CE68" i="67"/>
  <c r="CE20" i="149" s="1"/>
  <c r="CL66" i="67"/>
  <c r="CL18" i="149" s="1"/>
  <c r="CE59" i="67"/>
  <c r="CE11" i="149" s="1"/>
  <c r="CL57" i="67"/>
  <c r="CL9" i="149" s="1"/>
  <c r="CM54" i="67"/>
  <c r="CM6" i="149" s="1"/>
  <c r="CK51" i="67"/>
  <c r="CK3" i="149" s="1"/>
  <c r="CC50" i="67"/>
  <c r="CC2" i="149" s="1"/>
  <c r="CD48" i="67"/>
  <c r="CH46" i="67"/>
  <c r="CG44" i="67"/>
  <c r="CE42" i="67"/>
  <c r="CV112" i="67"/>
  <c r="CV64" i="149" s="1"/>
  <c r="CH112" i="67"/>
  <c r="CH64" i="149" s="1"/>
  <c r="CV96" i="67"/>
  <c r="CV48" i="149" s="1"/>
  <c r="CH96" i="67"/>
  <c r="CH48" i="149" s="1"/>
  <c r="CV80" i="67"/>
  <c r="CV32" i="149" s="1"/>
  <c r="CH80" i="67"/>
  <c r="CH32" i="149" s="1"/>
  <c r="CV64" i="67"/>
  <c r="CV16" i="149" s="1"/>
  <c r="CH64" i="67"/>
  <c r="CH16" i="149" s="1"/>
  <c r="CU63" i="67"/>
  <c r="CU15" i="149" s="1"/>
  <c r="CG63" i="67"/>
  <c r="CG15" i="149" s="1"/>
  <c r="CV48" i="67"/>
  <c r="CH48" i="67"/>
  <c r="CU47" i="67"/>
  <c r="CG47" i="67"/>
  <c r="CT46" i="67"/>
  <c r="CF46" i="67"/>
  <c r="CZ36" i="67"/>
  <c r="CL36" i="67"/>
  <c r="CY35" i="67"/>
  <c r="CK35" i="67"/>
  <c r="CX34" i="67"/>
  <c r="CJ34" i="67"/>
  <c r="CU31" i="67"/>
  <c r="CG31" i="67"/>
  <c r="CS29" i="67"/>
  <c r="CE29" i="67"/>
  <c r="CR28" i="67"/>
  <c r="CD28" i="67"/>
  <c r="CA62" i="67"/>
  <c r="CA14" i="149" s="1"/>
  <c r="CA46" i="67"/>
  <c r="CA30" i="67"/>
  <c r="CA14" i="67"/>
  <c r="CJ116" i="67"/>
  <c r="CJ68" i="149" s="1"/>
  <c r="CF115" i="67"/>
  <c r="CF67" i="149" s="1"/>
  <c r="CK112" i="67"/>
  <c r="CK64" i="149" s="1"/>
  <c r="CG111" i="67"/>
  <c r="CG63" i="149" s="1"/>
  <c r="CL104" i="67"/>
  <c r="CL56" i="149" s="1"/>
  <c r="CH103" i="67"/>
  <c r="CH55" i="149" s="1"/>
  <c r="CI99" i="67"/>
  <c r="CI51" i="149" s="1"/>
  <c r="CJ95" i="67"/>
  <c r="CJ47" i="149" s="1"/>
  <c r="CF94" i="67"/>
  <c r="CF46" i="149" s="1"/>
  <c r="CK87" i="67"/>
  <c r="CK39" i="149" s="1"/>
  <c r="CG86" i="67"/>
  <c r="CG38" i="149" s="1"/>
  <c r="CH82" i="67"/>
  <c r="CH34" i="149" s="1"/>
  <c r="CD81" i="67"/>
  <c r="CD33" i="149" s="1"/>
  <c r="CI78" i="67"/>
  <c r="CI30" i="149" s="1"/>
  <c r="CE77" i="67"/>
  <c r="CE29" i="149" s="1"/>
  <c r="CN75" i="67"/>
  <c r="CN27" i="149" s="1"/>
  <c r="CF73" i="67"/>
  <c r="CF25" i="149" s="1"/>
  <c r="CB72" i="67"/>
  <c r="CB24" i="149" s="1"/>
  <c r="CF69" i="67"/>
  <c r="CF21" i="149" s="1"/>
  <c r="CJ66" i="67"/>
  <c r="CJ18" i="149" s="1"/>
  <c r="CD65" i="67"/>
  <c r="CD17" i="149" s="1"/>
  <c r="CE62" i="67"/>
  <c r="CE14" i="149" s="1"/>
  <c r="CI60" i="67"/>
  <c r="CI12" i="149" s="1"/>
  <c r="CC59" i="67"/>
  <c r="CC11" i="149" s="1"/>
  <c r="CJ57" i="67"/>
  <c r="CJ9" i="149" s="1"/>
  <c r="CH54" i="67"/>
  <c r="CH6" i="149" s="1"/>
  <c r="CB53" i="67"/>
  <c r="CB5" i="149" s="1"/>
  <c r="CI51" i="67"/>
  <c r="CI3" i="149" s="1"/>
  <c r="CB48" i="67"/>
  <c r="CN45" i="67"/>
  <c r="CC40" i="67"/>
  <c r="CI37" i="67"/>
  <c r="CN34" i="67"/>
  <c r="CF32" i="67"/>
  <c r="CL27" i="67"/>
  <c r="CP19" i="67"/>
  <c r="CB19" i="67"/>
  <c r="DB15" i="67"/>
  <c r="CN15" i="67"/>
  <c r="CM14" i="67"/>
  <c r="DA14" i="67"/>
  <c r="CZ13" i="67"/>
  <c r="CL13" i="67"/>
  <c r="CY12" i="67"/>
  <c r="CK12" i="67"/>
  <c r="CJ11" i="67"/>
  <c r="CX11" i="67"/>
  <c r="CW10" i="67"/>
  <c r="CI10" i="67"/>
  <c r="CV9" i="67"/>
  <c r="CH9" i="67"/>
  <c r="CT7" i="67"/>
  <c r="CF7" i="67"/>
  <c r="CE6" i="67"/>
  <c r="CS6" i="67"/>
  <c r="CR5" i="67"/>
  <c r="CD5" i="67"/>
  <c r="CQ4" i="67"/>
  <c r="CC4" i="67"/>
  <c r="CP27" i="67"/>
  <c r="CB27" i="67"/>
  <c r="CT63" i="67"/>
  <c r="CT15" i="149" s="1"/>
  <c r="CF63" i="67"/>
  <c r="CF15" i="149" s="1"/>
  <c r="CT47" i="67"/>
  <c r="CF47" i="67"/>
  <c r="CS46" i="67"/>
  <c r="CE46" i="67"/>
  <c r="CQ44" i="67"/>
  <c r="CC44" i="67"/>
  <c r="CN39" i="67"/>
  <c r="DB39" i="67"/>
  <c r="DA38" i="67"/>
  <c r="CM38" i="67"/>
  <c r="CX35" i="67"/>
  <c r="CJ35" i="67"/>
  <c r="CF31" i="67"/>
  <c r="CT31" i="67"/>
  <c r="CQ28" i="67"/>
  <c r="CC28" i="67"/>
  <c r="CA110" i="67"/>
  <c r="CA62" i="149" s="1"/>
  <c r="CA94" i="67"/>
  <c r="CA46" i="149" s="1"/>
  <c r="CA78" i="67"/>
  <c r="CA30" i="149" s="1"/>
  <c r="CA61" i="67"/>
  <c r="CA13" i="149" s="1"/>
  <c r="CA45" i="67"/>
  <c r="CA29" i="67"/>
  <c r="CJ121" i="67"/>
  <c r="CJ73" i="149" s="1"/>
  <c r="CM117" i="67"/>
  <c r="CM69" i="149" s="1"/>
  <c r="CF111" i="67"/>
  <c r="CF63" i="149" s="1"/>
  <c r="CN109" i="67"/>
  <c r="CN61" i="149" s="1"/>
  <c r="CF107" i="67"/>
  <c r="CF59" i="149" s="1"/>
  <c r="CB106" i="67"/>
  <c r="CB58" i="149" s="1"/>
  <c r="CK104" i="67"/>
  <c r="CK56" i="149" s="1"/>
  <c r="CL100" i="67"/>
  <c r="CL52" i="149" s="1"/>
  <c r="CE94" i="67"/>
  <c r="CE46" i="149" s="1"/>
  <c r="CE90" i="67"/>
  <c r="CE42" i="149" s="1"/>
  <c r="CN88" i="67"/>
  <c r="CN40" i="149" s="1"/>
  <c r="CJ87" i="67"/>
  <c r="CJ39" i="149" s="1"/>
  <c r="CK83" i="67"/>
  <c r="CK35" i="149" s="1"/>
  <c r="CL79" i="67"/>
  <c r="CL31" i="149" s="1"/>
  <c r="CD77" i="67"/>
  <c r="CD29" i="149" s="1"/>
  <c r="CN71" i="67"/>
  <c r="CN23" i="149" s="1"/>
  <c r="CI70" i="67"/>
  <c r="CI22" i="149" s="1"/>
  <c r="CN67" i="67"/>
  <c r="CN19" i="149" s="1"/>
  <c r="CI66" i="67"/>
  <c r="CI18" i="149" s="1"/>
  <c r="CC65" i="67"/>
  <c r="CC17" i="149" s="1"/>
  <c r="CJ63" i="67"/>
  <c r="CJ15" i="149" s="1"/>
  <c r="CN61" i="67"/>
  <c r="CN13" i="149" s="1"/>
  <c r="CB59" i="67"/>
  <c r="CB11" i="149" s="1"/>
  <c r="CC56" i="67"/>
  <c r="CC8" i="149" s="1"/>
  <c r="CG54" i="67"/>
  <c r="CG6" i="149" s="1"/>
  <c r="CN52" i="67"/>
  <c r="CN4" i="149" s="1"/>
  <c r="CG51" i="67"/>
  <c r="CG3" i="149" s="1"/>
  <c r="CI49" i="67"/>
  <c r="CD44" i="67"/>
  <c r="CB42" i="67"/>
  <c r="CI39" i="67"/>
  <c r="CF37" i="67"/>
  <c r="CM34" i="67"/>
  <c r="CQ21" i="67"/>
  <c r="CC21" i="67"/>
  <c r="CP20" i="67"/>
  <c r="CB20" i="67"/>
  <c r="CZ14" i="67"/>
  <c r="CL14" i="67"/>
  <c r="CY13" i="67"/>
  <c r="CK13" i="67"/>
  <c r="CX12" i="67"/>
  <c r="CJ12" i="67"/>
  <c r="CW11" i="67"/>
  <c r="CI11" i="67"/>
  <c r="CV10" i="67"/>
  <c r="CH10" i="67"/>
  <c r="CR6" i="67"/>
  <c r="CD6" i="67"/>
  <c r="CQ5" i="67"/>
  <c r="CC5" i="67"/>
  <c r="CP4" i="67"/>
  <c r="CB4" i="67"/>
  <c r="CS111" i="67"/>
  <c r="CS63" i="149" s="1"/>
  <c r="CE111" i="67"/>
  <c r="CE63" i="149" s="1"/>
  <c r="CM103" i="67"/>
  <c r="CM55" i="149" s="1"/>
  <c r="DA103" i="67"/>
  <c r="DA55" i="149" s="1"/>
  <c r="CS95" i="67"/>
  <c r="CS47" i="149" s="1"/>
  <c r="CE95" i="67"/>
  <c r="CE47" i="149" s="1"/>
  <c r="DA87" i="67"/>
  <c r="DA39" i="149" s="1"/>
  <c r="CM87" i="67"/>
  <c r="CM39" i="149" s="1"/>
  <c r="CS79" i="67"/>
  <c r="CS31" i="149" s="1"/>
  <c r="CE79" i="67"/>
  <c r="CE31" i="149" s="1"/>
  <c r="DA71" i="67"/>
  <c r="DA23" i="149" s="1"/>
  <c r="CM71" i="67"/>
  <c r="CM23" i="149" s="1"/>
  <c r="CS63" i="67"/>
  <c r="CS15" i="149" s="1"/>
  <c r="CE63" i="67"/>
  <c r="CE15" i="149" s="1"/>
  <c r="CR62" i="67"/>
  <c r="CR14" i="149" s="1"/>
  <c r="CD62" i="67"/>
  <c r="CD14" i="149" s="1"/>
  <c r="DA55" i="67"/>
  <c r="DA7" i="149" s="1"/>
  <c r="CM55" i="67"/>
  <c r="CM7" i="149" s="1"/>
  <c r="CZ54" i="67"/>
  <c r="CZ6" i="149" s="1"/>
  <c r="CL54" i="67"/>
  <c r="CL6" i="149" s="1"/>
  <c r="CS47" i="67"/>
  <c r="CE47" i="67"/>
  <c r="CR46" i="67"/>
  <c r="CD46" i="67"/>
  <c r="CQ45" i="67"/>
  <c r="CC45" i="67"/>
  <c r="DA39" i="67"/>
  <c r="CM39" i="67"/>
  <c r="CW35" i="67"/>
  <c r="CI35" i="67"/>
  <c r="CU33" i="67"/>
  <c r="CG33" i="67"/>
  <c r="CS31" i="67"/>
  <c r="CE31" i="67"/>
  <c r="CQ29" i="67"/>
  <c r="CC29" i="67"/>
  <c r="CP28" i="67"/>
  <c r="CB28" i="67"/>
  <c r="CA109" i="67"/>
  <c r="CA61" i="149" s="1"/>
  <c r="CA93" i="67"/>
  <c r="CA45" i="149" s="1"/>
  <c r="CA77" i="67"/>
  <c r="CA29" i="149" s="1"/>
  <c r="CL117" i="67"/>
  <c r="CL69" i="149" s="1"/>
  <c r="CD115" i="67"/>
  <c r="CD67" i="149" s="1"/>
  <c r="CK100" i="67"/>
  <c r="CK52" i="149" s="1"/>
  <c r="CG99" i="67"/>
  <c r="CG51" i="149" s="1"/>
  <c r="CC98" i="67"/>
  <c r="CC50" i="149" s="1"/>
  <c r="CD94" i="67"/>
  <c r="CD46" i="149" s="1"/>
  <c r="CM92" i="67"/>
  <c r="CM44" i="149" s="1"/>
  <c r="CJ83" i="67"/>
  <c r="CJ35" i="149" s="1"/>
  <c r="CF82" i="67"/>
  <c r="CF34" i="149" s="1"/>
  <c r="CB81" i="67"/>
  <c r="CB33" i="149" s="1"/>
  <c r="CC77" i="67"/>
  <c r="CC29" i="149" s="1"/>
  <c r="CL75" i="67"/>
  <c r="CL27" i="149" s="1"/>
  <c r="CD73" i="67"/>
  <c r="CD25" i="149" s="1"/>
  <c r="CH70" i="67"/>
  <c r="CH22" i="149" s="1"/>
  <c r="CM67" i="67"/>
  <c r="CM19" i="149" s="1"/>
  <c r="CH66" i="67"/>
  <c r="CH18" i="149" s="1"/>
  <c r="CB65" i="67"/>
  <c r="CB17" i="149" s="1"/>
  <c r="CI63" i="67"/>
  <c r="CI15" i="149" s="1"/>
  <c r="CG60" i="67"/>
  <c r="CG12" i="149" s="1"/>
  <c r="CN58" i="67"/>
  <c r="CN10" i="149" s="1"/>
  <c r="CF51" i="67"/>
  <c r="CF3" i="149" s="1"/>
  <c r="CH49" i="67"/>
  <c r="CB44" i="67"/>
  <c r="CH39" i="67"/>
  <c r="CD32" i="67"/>
  <c r="CX118" i="67"/>
  <c r="CJ118" i="67"/>
  <c r="CJ70" i="149" s="1"/>
  <c r="CP110" i="67"/>
  <c r="CP62" i="149" s="1"/>
  <c r="CB110" i="67"/>
  <c r="CB62" i="149" s="1"/>
  <c r="CX102" i="67"/>
  <c r="CJ102" i="67"/>
  <c r="CJ54" i="149" s="1"/>
  <c r="CP94" i="67"/>
  <c r="CP46" i="149" s="1"/>
  <c r="CB94" i="67"/>
  <c r="CB46" i="149" s="1"/>
  <c r="CX86" i="67"/>
  <c r="CJ86" i="67"/>
  <c r="CJ38" i="149" s="1"/>
  <c r="CP78" i="67"/>
  <c r="CP30" i="149" s="1"/>
  <c r="CB78" i="67"/>
  <c r="CB30" i="149" s="1"/>
  <c r="CX70" i="67"/>
  <c r="CJ70" i="67"/>
  <c r="CJ22" i="149" s="1"/>
  <c r="CP62" i="67"/>
  <c r="CP14" i="149" s="1"/>
  <c r="CB62" i="67"/>
  <c r="CB14" i="149" s="1"/>
  <c r="CX54" i="67"/>
  <c r="CJ54" i="67"/>
  <c r="CJ6" i="149" s="1"/>
  <c r="CW53" i="67"/>
  <c r="CW5" i="149" s="1"/>
  <c r="CI53" i="67"/>
  <c r="CI5" i="149" s="1"/>
  <c r="CP46" i="67"/>
  <c r="CB46" i="67"/>
  <c r="CY39" i="67"/>
  <c r="CK39" i="67"/>
  <c r="CU35" i="67"/>
  <c r="CG35" i="67"/>
  <c r="CT34" i="67"/>
  <c r="CF34" i="67"/>
  <c r="CS33" i="67"/>
  <c r="CE33" i="67"/>
  <c r="CQ31" i="67"/>
  <c r="CC31" i="67"/>
  <c r="CA107" i="67"/>
  <c r="CA59" i="149" s="1"/>
  <c r="CA91" i="67"/>
  <c r="CA43" i="149" s="1"/>
  <c r="CA74" i="67"/>
  <c r="CA26" i="149" s="1"/>
  <c r="CA58" i="67"/>
  <c r="CA10" i="149" s="1"/>
  <c r="CA42" i="67"/>
  <c r="CA26" i="67"/>
  <c r="CF112" i="67"/>
  <c r="CF64" i="149" s="1"/>
  <c r="CB111" i="67"/>
  <c r="CB63" i="149" s="1"/>
  <c r="CG108" i="67"/>
  <c r="CG60" i="149" s="1"/>
  <c r="CC107" i="67"/>
  <c r="CC59" i="149" s="1"/>
  <c r="CL105" i="67"/>
  <c r="CL57" i="149" s="1"/>
  <c r="CM101" i="67"/>
  <c r="CM53" i="149" s="1"/>
  <c r="CF95" i="67"/>
  <c r="CF47" i="149" s="1"/>
  <c r="CN93" i="67"/>
  <c r="CN45" i="149" s="1"/>
  <c r="CF91" i="67"/>
  <c r="CF43" i="149" s="1"/>
  <c r="CB90" i="67"/>
  <c r="CB42" i="149" s="1"/>
  <c r="CK88" i="67"/>
  <c r="CK40" i="149" s="1"/>
  <c r="CL84" i="67"/>
  <c r="CL36" i="149" s="1"/>
  <c r="CM80" i="67"/>
  <c r="CM32" i="149" s="1"/>
  <c r="CE78" i="67"/>
  <c r="CE30" i="149" s="1"/>
  <c r="CE74" i="67"/>
  <c r="CE26" i="149" s="1"/>
  <c r="CN72" i="67"/>
  <c r="CN24" i="149" s="1"/>
  <c r="CJ71" i="67"/>
  <c r="CJ23" i="149" s="1"/>
  <c r="CB69" i="67"/>
  <c r="CB21" i="149" s="1"/>
  <c r="CK67" i="67"/>
  <c r="CK19" i="149" s="1"/>
  <c r="CF66" i="67"/>
  <c r="CF18" i="149" s="1"/>
  <c r="CM64" i="67"/>
  <c r="CM16" i="149" s="1"/>
  <c r="CL58" i="67"/>
  <c r="CL10" i="149" s="1"/>
  <c r="CF57" i="67"/>
  <c r="CF9" i="149" s="1"/>
  <c r="CJ55" i="67"/>
  <c r="CJ7" i="149" s="1"/>
  <c r="CK52" i="67"/>
  <c r="CK4" i="149" s="1"/>
  <c r="CD51" i="67"/>
  <c r="CD3" i="149" s="1"/>
  <c r="CJ47" i="67"/>
  <c r="CJ45" i="67"/>
  <c r="CH43" i="67"/>
  <c r="CL41" i="67"/>
  <c r="CJ36" i="67"/>
  <c r="CH34" i="67"/>
  <c r="CK31" i="67"/>
  <c r="CK26" i="67"/>
  <c r="DB55" i="67"/>
  <c r="DB7" i="149" s="1"/>
  <c r="CV53" i="67"/>
  <c r="CV5" i="149" s="1"/>
  <c r="CH53" i="67"/>
  <c r="CH5" i="149" s="1"/>
  <c r="CS50" i="67"/>
  <c r="CS2" i="149" s="1"/>
  <c r="CE50" i="67"/>
  <c r="CE2" i="149" s="1"/>
  <c r="DA42" i="67"/>
  <c r="CM42" i="67"/>
  <c r="CX39" i="67"/>
  <c r="CJ39" i="67"/>
  <c r="CW38" i="67"/>
  <c r="CI38" i="67"/>
  <c r="CV37" i="67"/>
  <c r="CH37" i="67"/>
  <c r="CS34" i="67"/>
  <c r="CE34" i="67"/>
  <c r="CR33" i="67"/>
  <c r="CD33" i="67"/>
  <c r="CQ32" i="67"/>
  <c r="CC32" i="67"/>
  <c r="CP31" i="67"/>
  <c r="CB31" i="67"/>
  <c r="CA106" i="67"/>
  <c r="CA58" i="149" s="1"/>
  <c r="CA90" i="67"/>
  <c r="CA42" i="149" s="1"/>
  <c r="CA73" i="67"/>
  <c r="CA25" i="149" s="1"/>
  <c r="CA57" i="67"/>
  <c r="CA9" i="149" s="1"/>
  <c r="CA41" i="67"/>
  <c r="CM118" i="67"/>
  <c r="CM70" i="149" s="1"/>
  <c r="CI117" i="67"/>
  <c r="CI69" i="149" s="1"/>
  <c r="CE116" i="67"/>
  <c r="CE68" i="149" s="1"/>
  <c r="CM114" i="67"/>
  <c r="CM66" i="149" s="1"/>
  <c r="CI113" i="67"/>
  <c r="CI65" i="149" s="1"/>
  <c r="CB107" i="67"/>
  <c r="CB59" i="149" s="1"/>
  <c r="CL101" i="67"/>
  <c r="CL53" i="149" s="1"/>
  <c r="CH100" i="67"/>
  <c r="CH52" i="149" s="1"/>
  <c r="CD99" i="67"/>
  <c r="CD51" i="149" s="1"/>
  <c r="CK84" i="67"/>
  <c r="CK36" i="149" s="1"/>
  <c r="CG83" i="67"/>
  <c r="CG35" i="149" s="1"/>
  <c r="CC82" i="67"/>
  <c r="CC34" i="149" s="1"/>
  <c r="CD78" i="67"/>
  <c r="CD30" i="149" s="1"/>
  <c r="CM76" i="67"/>
  <c r="CM28" i="149" s="1"/>
  <c r="CH75" i="67"/>
  <c r="CH27" i="149" s="1"/>
  <c r="CI71" i="67"/>
  <c r="CI23" i="149" s="1"/>
  <c r="CN68" i="67"/>
  <c r="CN20" i="149" s="1"/>
  <c r="CJ67" i="67"/>
  <c r="CJ19" i="149" s="1"/>
  <c r="CE66" i="67"/>
  <c r="CE18" i="149" s="1"/>
  <c r="CC63" i="67"/>
  <c r="CC15" i="149" s="1"/>
  <c r="CJ61" i="67"/>
  <c r="CJ13" i="149" s="1"/>
  <c r="CD60" i="67"/>
  <c r="CD12" i="149" s="1"/>
  <c r="CK58" i="67"/>
  <c r="CK10" i="149" s="1"/>
  <c r="CI55" i="67"/>
  <c r="CI7" i="149" s="1"/>
  <c r="CC54" i="67"/>
  <c r="CC6" i="149" s="1"/>
  <c r="CJ52" i="67"/>
  <c r="CJ4" i="149" s="1"/>
  <c r="CM50" i="67"/>
  <c r="CM2" i="149" s="1"/>
  <c r="CE49" i="67"/>
  <c r="CI47" i="67"/>
  <c r="CI45" i="67"/>
  <c r="CG43" i="67"/>
  <c r="CK41" i="67"/>
  <c r="CD39" i="67"/>
  <c r="CN33" i="67"/>
  <c r="CI31" i="67"/>
  <c r="CS52" i="67"/>
  <c r="CS4" i="149" s="1"/>
  <c r="CU69" i="67"/>
  <c r="CU21" i="149" s="1"/>
  <c r="CG69" i="67"/>
  <c r="CG21" i="149" s="1"/>
  <c r="DB60" i="67"/>
  <c r="DB12" i="149" s="1"/>
  <c r="CN60" i="67"/>
  <c r="CN12" i="149" s="1"/>
  <c r="CU53" i="67"/>
  <c r="CU5" i="149" s="1"/>
  <c r="CG53" i="67"/>
  <c r="CG5" i="149" s="1"/>
  <c r="CT52" i="67"/>
  <c r="CT4" i="149" s="1"/>
  <c r="CF52" i="67"/>
  <c r="CF4" i="149" s="1"/>
  <c r="DB44" i="67"/>
  <c r="CN44" i="67"/>
  <c r="CM43" i="67"/>
  <c r="DA43" i="67"/>
  <c r="CV38" i="67"/>
  <c r="CH38" i="67"/>
  <c r="CU37" i="67"/>
  <c r="CG37" i="67"/>
  <c r="CR34" i="67"/>
  <c r="CD34" i="67"/>
  <c r="CP32" i="67"/>
  <c r="CB32" i="67"/>
  <c r="DB28" i="67"/>
  <c r="CN28" i="67"/>
  <c r="CA121" i="67"/>
  <c r="CA73" i="149" s="1"/>
  <c r="CA105" i="67"/>
  <c r="CA57" i="149" s="1"/>
  <c r="CA89" i="67"/>
  <c r="CA41" i="149" s="1"/>
  <c r="CA8" i="67"/>
  <c r="CL118" i="67"/>
  <c r="CL70" i="149" s="1"/>
  <c r="CH117" i="67"/>
  <c r="CH69" i="149" s="1"/>
  <c r="CH113" i="67"/>
  <c r="CH65" i="149" s="1"/>
  <c r="CD112" i="67"/>
  <c r="CD64" i="149" s="1"/>
  <c r="CN106" i="67"/>
  <c r="CN58" i="149" s="1"/>
  <c r="CJ105" i="67"/>
  <c r="CJ57" i="149" s="1"/>
  <c r="CB103" i="67"/>
  <c r="CB55" i="149" s="1"/>
  <c r="CK101" i="67"/>
  <c r="CK53" i="149" s="1"/>
  <c r="CG100" i="67"/>
  <c r="CG52" i="149" s="1"/>
  <c r="CL97" i="67"/>
  <c r="CL49" i="149" s="1"/>
  <c r="CG96" i="67"/>
  <c r="CG48" i="149" s="1"/>
  <c r="CC95" i="67"/>
  <c r="CC47" i="149" s="1"/>
  <c r="CM89" i="67"/>
  <c r="CM41" i="149" s="1"/>
  <c r="CI88" i="67"/>
  <c r="CI40" i="149" s="1"/>
  <c r="CJ84" i="67"/>
  <c r="CJ36" i="149" s="1"/>
  <c r="CF83" i="67"/>
  <c r="CF35" i="149" s="1"/>
  <c r="CK80" i="67"/>
  <c r="CK32" i="149" s="1"/>
  <c r="CG79" i="67"/>
  <c r="CG31" i="149" s="1"/>
  <c r="CL72" i="67"/>
  <c r="CL24" i="149" s="1"/>
  <c r="CH71" i="67"/>
  <c r="CH23" i="149" s="1"/>
  <c r="CI67" i="67"/>
  <c r="CI19" i="149" s="1"/>
  <c r="CD66" i="67"/>
  <c r="CD18" i="149" s="1"/>
  <c r="CK64" i="67"/>
  <c r="CK16" i="149" s="1"/>
  <c r="CB63" i="67"/>
  <c r="CB15" i="149" s="1"/>
  <c r="CC60" i="67"/>
  <c r="CC12" i="149" s="1"/>
  <c r="CN56" i="67"/>
  <c r="CN8" i="149" s="1"/>
  <c r="CH55" i="67"/>
  <c r="CH7" i="149" s="1"/>
  <c r="CL50" i="67"/>
  <c r="CL2" i="149" s="1"/>
  <c r="CD49" i="67"/>
  <c r="CH45" i="67"/>
  <c r="CF43" i="67"/>
  <c r="CC39" i="67"/>
  <c r="CH36" i="67"/>
  <c r="CM33" i="67"/>
  <c r="CH30" i="67"/>
  <c r="CG9" i="67"/>
  <c r="DB5" i="67"/>
  <c r="CN5" i="67"/>
  <c r="DA4" i="67"/>
  <c r="CM4" i="67"/>
  <c r="DA60" i="67"/>
  <c r="DA12" i="149" s="1"/>
  <c r="CM60" i="67"/>
  <c r="CM12" i="149" s="1"/>
  <c r="CP49" i="67"/>
  <c r="CB49" i="67"/>
  <c r="DA44" i="67"/>
  <c r="CM44" i="67"/>
  <c r="CZ43" i="67"/>
  <c r="CL43" i="67"/>
  <c r="CX41" i="67"/>
  <c r="CJ41" i="67"/>
  <c r="CW40" i="67"/>
  <c r="CI40" i="67"/>
  <c r="CU38" i="67"/>
  <c r="CG38" i="67"/>
  <c r="CE36" i="67"/>
  <c r="CS36" i="67"/>
  <c r="CQ34" i="67"/>
  <c r="CC34" i="67"/>
  <c r="DB29" i="67"/>
  <c r="CN29" i="67"/>
  <c r="DA28" i="67"/>
  <c r="CM28" i="67"/>
  <c r="CA71" i="67"/>
  <c r="CA23" i="149" s="1"/>
  <c r="CA55" i="67"/>
  <c r="CA7" i="149" s="1"/>
  <c r="CA39" i="67"/>
  <c r="CD121" i="67"/>
  <c r="CD73" i="149" s="1"/>
  <c r="CN119" i="67"/>
  <c r="CN71" i="149" s="1"/>
  <c r="CF117" i="67"/>
  <c r="CF69" i="149" s="1"/>
  <c r="CG113" i="67"/>
  <c r="CG65" i="149" s="1"/>
  <c r="CC112" i="67"/>
  <c r="CC64" i="149" s="1"/>
  <c r="CH109" i="67"/>
  <c r="CH61" i="149" s="1"/>
  <c r="CD108" i="67"/>
  <c r="CD60" i="149" s="1"/>
  <c r="CM106" i="67"/>
  <c r="CM58" i="149" s="1"/>
  <c r="CN102" i="67"/>
  <c r="CN54" i="149" s="1"/>
  <c r="CF96" i="67"/>
  <c r="CF48" i="149" s="1"/>
  <c r="CB95" i="67"/>
  <c r="CB47" i="149" s="1"/>
  <c r="CG92" i="67"/>
  <c r="CG44" i="149" s="1"/>
  <c r="CC91" i="67"/>
  <c r="CC43" i="149" s="1"/>
  <c r="CL89" i="67"/>
  <c r="CL41" i="149" s="1"/>
  <c r="CM85" i="67"/>
  <c r="CM37" i="149" s="1"/>
  <c r="CN81" i="67"/>
  <c r="CN33" i="149" s="1"/>
  <c r="CF79" i="67"/>
  <c r="CF31" i="149" s="1"/>
  <c r="CN77" i="67"/>
  <c r="CN29" i="149" s="1"/>
  <c r="CF75" i="67"/>
  <c r="CF27" i="149" s="1"/>
  <c r="CB74" i="67"/>
  <c r="CB26" i="149" s="1"/>
  <c r="CK72" i="67"/>
  <c r="CK24" i="149" s="1"/>
  <c r="CC70" i="67"/>
  <c r="CC22" i="149" s="1"/>
  <c r="CL68" i="67"/>
  <c r="CL20" i="149" s="1"/>
  <c r="CC66" i="67"/>
  <c r="CC18" i="149" s="1"/>
  <c r="CG64" i="67"/>
  <c r="CG16" i="149" s="1"/>
  <c r="CH61" i="67"/>
  <c r="CH13" i="149" s="1"/>
  <c r="CB60" i="67"/>
  <c r="CB12" i="149" s="1"/>
  <c r="CH52" i="67"/>
  <c r="CH4" i="149" s="1"/>
  <c r="CC49" i="67"/>
  <c r="CC47" i="67"/>
  <c r="CG45" i="67"/>
  <c r="CE43" i="67"/>
  <c r="CN38" i="67"/>
  <c r="CG36" i="67"/>
  <c r="CK33" i="67"/>
  <c r="X1" i="4"/>
  <c r="K81" i="154" l="1"/>
  <c r="K11" i="154"/>
  <c r="K24" i="154"/>
  <c r="K116" i="154"/>
  <c r="K10" i="154"/>
  <c r="K8" i="154"/>
  <c r="K15" i="154"/>
  <c r="K115" i="154"/>
  <c r="K114" i="154"/>
  <c r="K87" i="154"/>
  <c r="K23" i="154"/>
  <c r="K4" i="154"/>
  <c r="K19" i="154"/>
  <c r="K60" i="154"/>
  <c r="K7" i="154"/>
  <c r="K94" i="154"/>
  <c r="K9" i="154"/>
  <c r="K25" i="154"/>
  <c r="K12" i="154"/>
  <c r="K117" i="154"/>
  <c r="CX54" i="149"/>
  <c r="N102" i="75"/>
  <c r="J102" i="28"/>
  <c r="R102" i="28" s="1"/>
  <c r="J102" i="38"/>
  <c r="R102" i="38" s="1"/>
  <c r="N12" i="75"/>
  <c r="V12" i="75" s="1"/>
  <c r="J12" i="38"/>
  <c r="R12" i="38" s="1"/>
  <c r="J12" i="28"/>
  <c r="R12" i="28" s="1"/>
  <c r="N11" i="75"/>
  <c r="V11" i="75" s="1"/>
  <c r="J11" i="38"/>
  <c r="R11" i="38" s="1"/>
  <c r="J11" i="28"/>
  <c r="R11" i="28" s="1"/>
  <c r="I19" i="38"/>
  <c r="M19" i="75"/>
  <c r="U19" i="75" s="1"/>
  <c r="I19" i="28"/>
  <c r="Q19" i="28" s="1"/>
  <c r="CX32" i="149"/>
  <c r="N80" i="75"/>
  <c r="J80" i="38"/>
  <c r="R80" i="38" s="1"/>
  <c r="J80" i="28"/>
  <c r="R80" i="28" s="1"/>
  <c r="N19" i="75"/>
  <c r="V19" i="75" s="1"/>
  <c r="J19" i="38"/>
  <c r="R19" i="38" s="1"/>
  <c r="J19" i="28"/>
  <c r="R19" i="28" s="1"/>
  <c r="CQ3" i="149"/>
  <c r="I51" i="38"/>
  <c r="M51" i="75"/>
  <c r="U51" i="75" s="1"/>
  <c r="I51" i="28"/>
  <c r="Q51" i="28" s="1"/>
  <c r="N40" i="75"/>
  <c r="V40" i="75" s="1"/>
  <c r="J40" i="38"/>
  <c r="R40" i="38" s="1"/>
  <c r="J40" i="28"/>
  <c r="R40" i="28" s="1"/>
  <c r="K61" i="154"/>
  <c r="K93" i="154"/>
  <c r="K109" i="154"/>
  <c r="K41" i="154"/>
  <c r="K57" i="154"/>
  <c r="CQ12" i="149"/>
  <c r="M60" i="75"/>
  <c r="I60" i="38"/>
  <c r="I60" i="28"/>
  <c r="Q60" i="28" s="1"/>
  <c r="CX67" i="149"/>
  <c r="N115" i="75"/>
  <c r="J115" i="38"/>
  <c r="R115" i="38" s="1"/>
  <c r="J115" i="28"/>
  <c r="R115" i="28" s="1"/>
  <c r="CX34" i="149"/>
  <c r="N82" i="75"/>
  <c r="J82" i="38"/>
  <c r="R82" i="38" s="1"/>
  <c r="J82" i="28"/>
  <c r="R82" i="28" s="1"/>
  <c r="CX15" i="149"/>
  <c r="N63" i="75"/>
  <c r="J63" i="38"/>
  <c r="R63" i="38" s="1"/>
  <c r="J63" i="28"/>
  <c r="R63" i="28" s="1"/>
  <c r="CQ6" i="149"/>
  <c r="M54" i="75"/>
  <c r="I54" i="38"/>
  <c r="I54" i="28"/>
  <c r="Q54" i="28" s="1"/>
  <c r="CX12" i="149"/>
  <c r="N60" i="75"/>
  <c r="J60" i="38"/>
  <c r="R60" i="38" s="1"/>
  <c r="J60" i="28"/>
  <c r="R60" i="28" s="1"/>
  <c r="CX73" i="149"/>
  <c r="N121" i="75"/>
  <c r="J121" i="38"/>
  <c r="R121" i="38" s="1"/>
  <c r="J121" i="28"/>
  <c r="R121" i="28" s="1"/>
  <c r="CQ17" i="149"/>
  <c r="M65" i="75"/>
  <c r="I65" i="38"/>
  <c r="I65" i="28"/>
  <c r="Q65" i="28" s="1"/>
  <c r="CQ32" i="149"/>
  <c r="M80" i="75"/>
  <c r="I80" i="38"/>
  <c r="I80" i="28"/>
  <c r="Q80" i="28" s="1"/>
  <c r="CQ15" i="149"/>
  <c r="M63" i="75"/>
  <c r="I63" i="38"/>
  <c r="I63" i="28"/>
  <c r="Q63" i="28" s="1"/>
  <c r="M12" i="75"/>
  <c r="U12" i="75" s="1"/>
  <c r="I12" i="38"/>
  <c r="I12" i="28"/>
  <c r="Q12" i="28" s="1"/>
  <c r="M48" i="75"/>
  <c r="U48" i="75" s="1"/>
  <c r="I48" i="38"/>
  <c r="I48" i="28"/>
  <c r="Q48" i="28" s="1"/>
  <c r="K44" i="154"/>
  <c r="K92" i="154"/>
  <c r="K43" i="154"/>
  <c r="K75" i="154"/>
  <c r="K83" i="154"/>
  <c r="M28" i="75"/>
  <c r="U28" i="75" s="1"/>
  <c r="I28" i="38"/>
  <c r="I28" i="28"/>
  <c r="Q28" i="28" s="1"/>
  <c r="CQ7" i="149"/>
  <c r="I55" i="28"/>
  <c r="Q55" i="28" s="1"/>
  <c r="M55" i="75"/>
  <c r="I55" i="38"/>
  <c r="N41" i="75"/>
  <c r="V41" i="75" s="1"/>
  <c r="J41" i="38"/>
  <c r="R41" i="38" s="1"/>
  <c r="J41" i="28"/>
  <c r="R41" i="28" s="1"/>
  <c r="CX6" i="149"/>
  <c r="N54" i="75"/>
  <c r="J54" i="38"/>
  <c r="R54" i="38" s="1"/>
  <c r="J54" i="28"/>
  <c r="R54" i="28" s="1"/>
  <c r="CX70" i="149"/>
  <c r="N118" i="75"/>
  <c r="J118" i="38"/>
  <c r="R118" i="38" s="1"/>
  <c r="J118" i="28"/>
  <c r="R118" i="28" s="1"/>
  <c r="M29" i="75"/>
  <c r="U29" i="75" s="1"/>
  <c r="I29" i="38"/>
  <c r="I29" i="28"/>
  <c r="Q29" i="28" s="1"/>
  <c r="J10" i="38"/>
  <c r="R10" i="38" s="1"/>
  <c r="N10" i="75"/>
  <c r="V10" i="75" s="1"/>
  <c r="J10" i="28"/>
  <c r="R10" i="28" s="1"/>
  <c r="CX43" i="149"/>
  <c r="N91" i="75"/>
  <c r="J91" i="38"/>
  <c r="R91" i="38" s="1"/>
  <c r="J91" i="28"/>
  <c r="R91" i="28" s="1"/>
  <c r="M24" i="75"/>
  <c r="U24" i="75" s="1"/>
  <c r="I24" i="38"/>
  <c r="I24" i="28"/>
  <c r="Q24" i="28" s="1"/>
  <c r="M35" i="75"/>
  <c r="U35" i="75" s="1"/>
  <c r="I35" i="38"/>
  <c r="I35" i="28"/>
  <c r="Q35" i="28" s="1"/>
  <c r="K28" i="154"/>
  <c r="K59" i="154"/>
  <c r="K26" i="154"/>
  <c r="N33" i="75"/>
  <c r="V33" i="75" s="1"/>
  <c r="J33" i="38"/>
  <c r="R33" i="38" s="1"/>
  <c r="J33" i="28"/>
  <c r="R33" i="28" s="1"/>
  <c r="N47" i="75"/>
  <c r="V47" i="75" s="1"/>
  <c r="J47" i="38"/>
  <c r="R47" i="38" s="1"/>
  <c r="J47" i="28"/>
  <c r="R47" i="28" s="1"/>
  <c r="J46" i="38"/>
  <c r="R46" i="38" s="1"/>
  <c r="N46" i="75"/>
  <c r="V46" i="75" s="1"/>
  <c r="J46" i="28"/>
  <c r="R46" i="28" s="1"/>
  <c r="K84" i="154"/>
  <c r="CX49" i="149"/>
  <c r="N97" i="75"/>
  <c r="J97" i="28"/>
  <c r="R97" i="28" s="1"/>
  <c r="J97" i="38"/>
  <c r="R97" i="38" s="1"/>
  <c r="M26" i="75"/>
  <c r="U26" i="75" s="1"/>
  <c r="I26" i="38"/>
  <c r="I26" i="28"/>
  <c r="Q26" i="28" s="1"/>
  <c r="I30" i="38"/>
  <c r="I30" i="28"/>
  <c r="Q30" i="28" s="1"/>
  <c r="M30" i="75"/>
  <c r="U30" i="75" s="1"/>
  <c r="CX21" i="149"/>
  <c r="N69" i="75"/>
  <c r="J69" i="38"/>
  <c r="R69" i="38" s="1"/>
  <c r="J69" i="28"/>
  <c r="R69" i="28" s="1"/>
  <c r="CX69" i="149"/>
  <c r="N117" i="75"/>
  <c r="J117" i="38"/>
  <c r="R117" i="38" s="1"/>
  <c r="J117" i="28"/>
  <c r="R117" i="28" s="1"/>
  <c r="M38" i="75"/>
  <c r="U38" i="75" s="1"/>
  <c r="I38" i="38"/>
  <c r="I38" i="28"/>
  <c r="Q38" i="28" s="1"/>
  <c r="CQ54" i="149"/>
  <c r="M102" i="75"/>
  <c r="I102" i="38"/>
  <c r="I102" i="28"/>
  <c r="Q102" i="28" s="1"/>
  <c r="N21" i="75"/>
  <c r="V21" i="75" s="1"/>
  <c r="J21" i="38"/>
  <c r="R21" i="38" s="1"/>
  <c r="J21" i="28"/>
  <c r="R21" i="28" s="1"/>
  <c r="M37" i="75"/>
  <c r="U37" i="75" s="1"/>
  <c r="I37" i="38"/>
  <c r="I37" i="28"/>
  <c r="Q37" i="28" s="1"/>
  <c r="CX28" i="149"/>
  <c r="N76" i="75"/>
  <c r="J76" i="38"/>
  <c r="R76" i="38" s="1"/>
  <c r="J76" i="28"/>
  <c r="R76" i="28" s="1"/>
  <c r="N20" i="75"/>
  <c r="V20" i="75" s="1"/>
  <c r="J20" i="38"/>
  <c r="R20" i="38" s="1"/>
  <c r="J20" i="28"/>
  <c r="R20" i="28" s="1"/>
  <c r="CX40" i="149"/>
  <c r="N88" i="75"/>
  <c r="J88" i="38"/>
  <c r="R88" i="38" s="1"/>
  <c r="J88" i="28"/>
  <c r="R88" i="28" s="1"/>
  <c r="CX4" i="149"/>
  <c r="N52" i="75"/>
  <c r="J52" i="38"/>
  <c r="R52" i="38" s="1"/>
  <c r="J52" i="28"/>
  <c r="R52" i="28" s="1"/>
  <c r="CQ29" i="149"/>
  <c r="M77" i="75"/>
  <c r="I77" i="38"/>
  <c r="I77" i="28"/>
  <c r="Q77" i="28" s="1"/>
  <c r="CX3" i="149"/>
  <c r="N51" i="75"/>
  <c r="V51" i="75" s="1"/>
  <c r="J51" i="38"/>
  <c r="R51" i="38" s="1"/>
  <c r="J51" i="28"/>
  <c r="R51" i="28" s="1"/>
  <c r="CQ60" i="149"/>
  <c r="M108" i="75"/>
  <c r="I108" i="38"/>
  <c r="I108" i="28"/>
  <c r="Q108" i="28" s="1"/>
  <c r="CX63" i="149"/>
  <c r="N111" i="75"/>
  <c r="J111" i="38"/>
  <c r="R111" i="38" s="1"/>
  <c r="J111" i="28"/>
  <c r="R111" i="28" s="1"/>
  <c r="CX45" i="149"/>
  <c r="N93" i="75"/>
  <c r="J93" i="38"/>
  <c r="R93" i="38" s="1"/>
  <c r="J93" i="28"/>
  <c r="R93" i="28" s="1"/>
  <c r="CQ35" i="149"/>
  <c r="I83" i="38"/>
  <c r="M83" i="75"/>
  <c r="I83" i="28"/>
  <c r="Q83" i="28" s="1"/>
  <c r="CX9" i="149"/>
  <c r="N57" i="75"/>
  <c r="J57" i="38"/>
  <c r="R57" i="38" s="1"/>
  <c r="J57" i="28"/>
  <c r="R57" i="28" s="1"/>
  <c r="CQ66" i="149"/>
  <c r="I114" i="38"/>
  <c r="M114" i="75"/>
  <c r="I114" i="28"/>
  <c r="Q114" i="28" s="1"/>
  <c r="CX23" i="149"/>
  <c r="N71" i="75"/>
  <c r="J71" i="38"/>
  <c r="R71" i="38" s="1"/>
  <c r="J71" i="28"/>
  <c r="R71" i="28" s="1"/>
  <c r="M36" i="75"/>
  <c r="U36" i="75" s="1"/>
  <c r="I36" i="38"/>
  <c r="I36" i="28"/>
  <c r="Q36" i="28" s="1"/>
  <c r="K106" i="154"/>
  <c r="N39" i="75"/>
  <c r="V39" i="75" s="1"/>
  <c r="J39" i="38"/>
  <c r="R39" i="38" s="1"/>
  <c r="J39" i="28"/>
  <c r="R39" i="28" s="1"/>
  <c r="M31" i="75"/>
  <c r="U31" i="75" s="1"/>
  <c r="I31" i="38"/>
  <c r="I31" i="28"/>
  <c r="Q31" i="28" s="1"/>
  <c r="M27" i="75"/>
  <c r="U27" i="75" s="1"/>
  <c r="I27" i="38"/>
  <c r="I27" i="28"/>
  <c r="Q27" i="28" s="1"/>
  <c r="CQ25" i="149"/>
  <c r="M73" i="75"/>
  <c r="I73" i="38"/>
  <c r="I73" i="28"/>
  <c r="Q73" i="28" s="1"/>
  <c r="CQ71" i="149"/>
  <c r="M119" i="75"/>
  <c r="I119" i="28"/>
  <c r="Q119" i="28" s="1"/>
  <c r="I119" i="38"/>
  <c r="N43" i="75"/>
  <c r="V43" i="75" s="1"/>
  <c r="J43" i="38"/>
  <c r="R43" i="38" s="1"/>
  <c r="J43" i="28"/>
  <c r="R43" i="28" s="1"/>
  <c r="CX59" i="149"/>
  <c r="N107" i="75"/>
  <c r="J107" i="28"/>
  <c r="R107" i="28" s="1"/>
  <c r="J107" i="38"/>
  <c r="R107" i="38" s="1"/>
  <c r="J14" i="38"/>
  <c r="R14" i="38" s="1"/>
  <c r="N14" i="75"/>
  <c r="V14" i="75" s="1"/>
  <c r="J14" i="28"/>
  <c r="R14" i="28" s="1"/>
  <c r="M47" i="75"/>
  <c r="U47" i="75" s="1"/>
  <c r="I47" i="38"/>
  <c r="I47" i="28"/>
  <c r="Q47" i="28" s="1"/>
  <c r="K76" i="154"/>
  <c r="K37" i="154"/>
  <c r="K36" i="154"/>
  <c r="K68" i="154"/>
  <c r="N35" i="75"/>
  <c r="V35" i="75" s="1"/>
  <c r="J35" i="38"/>
  <c r="R35" i="38" s="1"/>
  <c r="J35" i="28"/>
  <c r="R35" i="28" s="1"/>
  <c r="CX46" i="149"/>
  <c r="J94" i="38"/>
  <c r="R94" i="38" s="1"/>
  <c r="N94" i="75"/>
  <c r="J94" i="28"/>
  <c r="R94" i="28" s="1"/>
  <c r="I14" i="38"/>
  <c r="M14" i="75"/>
  <c r="U14" i="75" s="1"/>
  <c r="I14" i="28"/>
  <c r="Q14" i="28" s="1"/>
  <c r="CQ53" i="149"/>
  <c r="M101" i="75"/>
  <c r="I101" i="38"/>
  <c r="I101" i="28"/>
  <c r="Q101" i="28" s="1"/>
  <c r="M13" i="75"/>
  <c r="U13" i="75" s="1"/>
  <c r="I13" i="38"/>
  <c r="I13" i="28"/>
  <c r="Q13" i="28" s="1"/>
  <c r="CQ65" i="149"/>
  <c r="M113" i="75"/>
  <c r="I113" i="38"/>
  <c r="I113" i="28"/>
  <c r="Q113" i="28" s="1"/>
  <c r="CQ62" i="149"/>
  <c r="I110" i="38"/>
  <c r="M110" i="75"/>
  <c r="I110" i="28"/>
  <c r="Q110" i="28" s="1"/>
  <c r="M22" i="75"/>
  <c r="U22" i="75" s="1"/>
  <c r="I22" i="38"/>
  <c r="I22" i="28"/>
  <c r="Q22" i="28" s="1"/>
  <c r="CQ46" i="149"/>
  <c r="I94" i="38"/>
  <c r="M94" i="75"/>
  <c r="I94" i="28"/>
  <c r="Q94" i="28" s="1"/>
  <c r="CQ27" i="149"/>
  <c r="M75" i="75"/>
  <c r="I75" i="38"/>
  <c r="I75" i="28"/>
  <c r="Q75" i="28" s="1"/>
  <c r="CX66" i="149"/>
  <c r="N114" i="75"/>
  <c r="J114" i="38"/>
  <c r="R114" i="38" s="1"/>
  <c r="J114" i="28"/>
  <c r="R114" i="28" s="1"/>
  <c r="CQ8" i="149"/>
  <c r="M56" i="75"/>
  <c r="I56" i="38"/>
  <c r="I56" i="28"/>
  <c r="Q56" i="28" s="1"/>
  <c r="CQ56" i="149"/>
  <c r="M104" i="75"/>
  <c r="I104" i="38"/>
  <c r="I104" i="28"/>
  <c r="Q104" i="28" s="1"/>
  <c r="CX62" i="149"/>
  <c r="J110" i="38"/>
  <c r="R110" i="38" s="1"/>
  <c r="N110" i="75"/>
  <c r="J110" i="28"/>
  <c r="R110" i="28" s="1"/>
  <c r="CQ2" i="149"/>
  <c r="I50" i="38"/>
  <c r="M50" i="75"/>
  <c r="U50" i="75" s="1"/>
  <c r="I50" i="28"/>
  <c r="Q50" i="28" s="1"/>
  <c r="CX57" i="149"/>
  <c r="N105" i="75"/>
  <c r="J105" i="38"/>
  <c r="R105" i="38" s="1"/>
  <c r="J105" i="28"/>
  <c r="R105" i="28" s="1"/>
  <c r="CX24" i="149"/>
  <c r="N72" i="75"/>
  <c r="J72" i="38"/>
  <c r="R72" i="38" s="1"/>
  <c r="J72" i="28"/>
  <c r="R72" i="28" s="1"/>
  <c r="CX8" i="149"/>
  <c r="N56" i="75"/>
  <c r="J56" i="38"/>
  <c r="R56" i="38" s="1"/>
  <c r="J56" i="28"/>
  <c r="R56" i="28" s="1"/>
  <c r="CQ16" i="149"/>
  <c r="M64" i="75"/>
  <c r="I64" i="38"/>
  <c r="I64" i="28"/>
  <c r="Q64" i="28" s="1"/>
  <c r="K27" i="154"/>
  <c r="K13" i="154"/>
  <c r="K42" i="154"/>
  <c r="K74" i="154"/>
  <c r="K90" i="154"/>
  <c r="K18" i="154"/>
  <c r="M43" i="75"/>
  <c r="U43" i="75" s="1"/>
  <c r="I43" i="38"/>
  <c r="I43" i="28"/>
  <c r="Q43" i="28" s="1"/>
  <c r="K38" i="154"/>
  <c r="K14" i="154"/>
  <c r="K52" i="154"/>
  <c r="CX65" i="149"/>
  <c r="N113" i="75"/>
  <c r="J113" i="38"/>
  <c r="R113" i="38" s="1"/>
  <c r="J113" i="28"/>
  <c r="R113" i="28" s="1"/>
  <c r="N22" i="75"/>
  <c r="V22" i="75" s="1"/>
  <c r="J22" i="38"/>
  <c r="R22" i="38" s="1"/>
  <c r="J22" i="28"/>
  <c r="R22" i="28" s="1"/>
  <c r="CX22" i="149"/>
  <c r="N70" i="75"/>
  <c r="J70" i="38"/>
  <c r="R70" i="38" s="1"/>
  <c r="J70" i="28"/>
  <c r="R70" i="28" s="1"/>
  <c r="M20" i="75"/>
  <c r="U20" i="75" s="1"/>
  <c r="I20" i="38"/>
  <c r="I20" i="28"/>
  <c r="Q20" i="28" s="1"/>
  <c r="N27" i="75"/>
  <c r="V27" i="75" s="1"/>
  <c r="J27" i="38"/>
  <c r="R27" i="38" s="1"/>
  <c r="J27" i="28"/>
  <c r="R27" i="28" s="1"/>
  <c r="CX58" i="149"/>
  <c r="J106" i="38"/>
  <c r="R106" i="38" s="1"/>
  <c r="N106" i="75"/>
  <c r="J106" i="28"/>
  <c r="R106" i="28" s="1"/>
  <c r="N18" i="75"/>
  <c r="V18" i="75" s="1"/>
  <c r="J18" i="38"/>
  <c r="R18" i="38" s="1"/>
  <c r="J18" i="28"/>
  <c r="R18" i="28" s="1"/>
  <c r="N15" i="75"/>
  <c r="V15" i="75" s="1"/>
  <c r="J15" i="38"/>
  <c r="R15" i="38" s="1"/>
  <c r="J15" i="28"/>
  <c r="R15" i="28" s="1"/>
  <c r="M7" i="75"/>
  <c r="U7" i="75" s="1"/>
  <c r="I7" i="28"/>
  <c r="Q7" i="28" s="1"/>
  <c r="I7" i="38"/>
  <c r="N38" i="75"/>
  <c r="V38" i="75" s="1"/>
  <c r="J38" i="38"/>
  <c r="R38" i="38" s="1"/>
  <c r="J38" i="28"/>
  <c r="R38" i="28" s="1"/>
  <c r="K39" i="154"/>
  <c r="K55" i="154"/>
  <c r="K118" i="154"/>
  <c r="CQ72" i="149"/>
  <c r="M120" i="75"/>
  <c r="I120" i="38"/>
  <c r="I120" i="28"/>
  <c r="Q120" i="28" s="1"/>
  <c r="N44" i="75"/>
  <c r="V44" i="75" s="1"/>
  <c r="J44" i="38"/>
  <c r="R44" i="38" s="1"/>
  <c r="J44" i="28"/>
  <c r="R44" i="28" s="1"/>
  <c r="CX48" i="149"/>
  <c r="N96" i="75"/>
  <c r="J96" i="38"/>
  <c r="R96" i="38" s="1"/>
  <c r="J96" i="28"/>
  <c r="R96" i="28" s="1"/>
  <c r="CQ33" i="149"/>
  <c r="M81" i="75"/>
  <c r="I81" i="38"/>
  <c r="I81" i="28"/>
  <c r="Q81" i="28" s="1"/>
  <c r="M25" i="75"/>
  <c r="U25" i="75" s="1"/>
  <c r="I25" i="38"/>
  <c r="I25" i="28"/>
  <c r="Q25" i="28" s="1"/>
  <c r="CQ14" i="149"/>
  <c r="I62" i="38"/>
  <c r="M62" i="75"/>
  <c r="I62" i="28"/>
  <c r="Q62" i="28" s="1"/>
  <c r="CX37" i="149"/>
  <c r="N85" i="75"/>
  <c r="J85" i="38"/>
  <c r="R85" i="38" s="1"/>
  <c r="J85" i="28"/>
  <c r="R85" i="28" s="1"/>
  <c r="CQ73" i="149"/>
  <c r="M121" i="75"/>
  <c r="I121" i="38"/>
  <c r="I121" i="28"/>
  <c r="Q121" i="28" s="1"/>
  <c r="CX18" i="149"/>
  <c r="N66" i="75"/>
  <c r="J66" i="38"/>
  <c r="R66" i="38" s="1"/>
  <c r="J66" i="28"/>
  <c r="R66" i="28" s="1"/>
  <c r="CX47" i="149"/>
  <c r="N95" i="75"/>
  <c r="J95" i="38"/>
  <c r="R95" i="38" s="1"/>
  <c r="J95" i="28"/>
  <c r="R95" i="28" s="1"/>
  <c r="CX30" i="149"/>
  <c r="J78" i="38"/>
  <c r="R78" i="38" s="1"/>
  <c r="N78" i="75"/>
  <c r="J78" i="28"/>
  <c r="R78" i="28" s="1"/>
  <c r="CQ21" i="149"/>
  <c r="M69" i="75"/>
  <c r="I69" i="38"/>
  <c r="I69" i="28"/>
  <c r="Q69" i="28" s="1"/>
  <c r="CQ50" i="149"/>
  <c r="I98" i="38"/>
  <c r="M98" i="75"/>
  <c r="I98" i="28"/>
  <c r="Q98" i="28" s="1"/>
  <c r="CX7" i="149"/>
  <c r="N55" i="75"/>
  <c r="J55" i="38"/>
  <c r="R55" i="38" s="1"/>
  <c r="J55" i="28"/>
  <c r="R55" i="28" s="1"/>
  <c r="S55" i="28" s="1"/>
  <c r="CX71" i="149"/>
  <c r="N119" i="75"/>
  <c r="J119" i="38"/>
  <c r="R119" i="38" s="1"/>
  <c r="J119" i="28"/>
  <c r="R119" i="28" s="1"/>
  <c r="CQ47" i="149"/>
  <c r="M95" i="75"/>
  <c r="I95" i="38"/>
  <c r="I95" i="28"/>
  <c r="Q95" i="28" s="1"/>
  <c r="C3" i="154"/>
  <c r="B3" i="154"/>
  <c r="K107" i="154"/>
  <c r="K56" i="154"/>
  <c r="K71" i="154"/>
  <c r="K70" i="154"/>
  <c r="K86" i="154"/>
  <c r="K102" i="154"/>
  <c r="CQ10" i="149"/>
  <c r="M58" i="75"/>
  <c r="I58" i="38"/>
  <c r="I58" i="28"/>
  <c r="Q58" i="28" s="1"/>
  <c r="N5" i="75"/>
  <c r="V5" i="75" s="1"/>
  <c r="J5" i="38"/>
  <c r="R5" i="38" s="1"/>
  <c r="J5" i="28"/>
  <c r="R5" i="28" s="1"/>
  <c r="N28" i="75"/>
  <c r="V28" i="75" s="1"/>
  <c r="J28" i="38"/>
  <c r="R28" i="38" s="1"/>
  <c r="J28" i="28"/>
  <c r="R28" i="28" s="1"/>
  <c r="S28" i="28" s="1"/>
  <c r="CX44" i="149"/>
  <c r="N92" i="75"/>
  <c r="J92" i="38"/>
  <c r="R92" i="38" s="1"/>
  <c r="J92" i="28"/>
  <c r="R92" i="28" s="1"/>
  <c r="CX20" i="149"/>
  <c r="N68" i="75"/>
  <c r="J68" i="38"/>
  <c r="R68" i="38" s="1"/>
  <c r="J68" i="28"/>
  <c r="R68" i="28" s="1"/>
  <c r="CX52" i="149"/>
  <c r="N100" i="75"/>
  <c r="J100" i="38"/>
  <c r="R100" i="38" s="1"/>
  <c r="J100" i="28"/>
  <c r="R100" i="28" s="1"/>
  <c r="CQ44" i="149"/>
  <c r="M92" i="75"/>
  <c r="I92" i="38"/>
  <c r="I92" i="28"/>
  <c r="Q92" i="28" s="1"/>
  <c r="M5" i="75"/>
  <c r="U5" i="75" s="1"/>
  <c r="I5" i="38"/>
  <c r="I5" i="28"/>
  <c r="Q5" i="28" s="1"/>
  <c r="M21" i="75"/>
  <c r="U21" i="75" s="1"/>
  <c r="I21" i="38"/>
  <c r="I21" i="28"/>
  <c r="Q21" i="28" s="1"/>
  <c r="N29" i="75"/>
  <c r="V29" i="75" s="1"/>
  <c r="J29" i="28"/>
  <c r="R29" i="28" s="1"/>
  <c r="J29" i="38"/>
  <c r="R29" i="38" s="1"/>
  <c r="CX64" i="149"/>
  <c r="N112" i="75"/>
  <c r="J112" i="38"/>
  <c r="R112" i="38" s="1"/>
  <c r="J112" i="28"/>
  <c r="R112" i="28" s="1"/>
  <c r="N24" i="75"/>
  <c r="V24" i="75" s="1"/>
  <c r="J24" i="38"/>
  <c r="R24" i="38" s="1"/>
  <c r="J24" i="28"/>
  <c r="R24" i="28" s="1"/>
  <c r="S24" i="28" s="1"/>
  <c r="CQ36" i="149"/>
  <c r="I84" i="38"/>
  <c r="M84" i="75"/>
  <c r="I84" i="28"/>
  <c r="Q84" i="28" s="1"/>
  <c r="J42" i="38"/>
  <c r="R42" i="38" s="1"/>
  <c r="N42" i="75"/>
  <c r="V42" i="75" s="1"/>
  <c r="J42" i="28"/>
  <c r="R42" i="28" s="1"/>
  <c r="CX26" i="149"/>
  <c r="J74" i="38"/>
  <c r="R74" i="38" s="1"/>
  <c r="N74" i="75"/>
  <c r="J74" i="28"/>
  <c r="R74" i="28" s="1"/>
  <c r="CQ51" i="149"/>
  <c r="M99" i="75"/>
  <c r="I99" i="38"/>
  <c r="I99" i="28"/>
  <c r="Q99" i="28" s="1"/>
  <c r="M8" i="75"/>
  <c r="U8" i="75" s="1"/>
  <c r="I8" i="38"/>
  <c r="I8" i="28"/>
  <c r="Q8" i="28" s="1"/>
  <c r="N13" i="75"/>
  <c r="V13" i="75" s="1"/>
  <c r="J13" i="28"/>
  <c r="R13" i="28" s="1"/>
  <c r="J13" i="38"/>
  <c r="R13" i="38" s="1"/>
  <c r="CQ61" i="149"/>
  <c r="M109" i="75"/>
  <c r="I109" i="38"/>
  <c r="I109" i="28"/>
  <c r="Q109" i="28" s="1"/>
  <c r="C3" i="155"/>
  <c r="B3" i="155"/>
  <c r="N36" i="75"/>
  <c r="V36" i="75" s="1"/>
  <c r="J36" i="38"/>
  <c r="R36" i="38" s="1"/>
  <c r="J36" i="28"/>
  <c r="R36" i="28" s="1"/>
  <c r="K58" i="154"/>
  <c r="K54" i="154"/>
  <c r="S54" i="28"/>
  <c r="M41" i="75"/>
  <c r="U41" i="75" s="1"/>
  <c r="I41" i="38"/>
  <c r="I41" i="28"/>
  <c r="Q41" i="28" s="1"/>
  <c r="M16" i="75"/>
  <c r="U16" i="75" s="1"/>
  <c r="I16" i="38"/>
  <c r="I16" i="28"/>
  <c r="Q16" i="28" s="1"/>
  <c r="M32" i="75"/>
  <c r="U32" i="75" s="1"/>
  <c r="I32" i="38"/>
  <c r="I32" i="28"/>
  <c r="Q32" i="28" s="1"/>
  <c r="N48" i="75"/>
  <c r="V48" i="75" s="1"/>
  <c r="J48" i="38"/>
  <c r="R48" i="38" s="1"/>
  <c r="J48" i="28"/>
  <c r="R48" i="28" s="1"/>
  <c r="S48" i="28" s="1"/>
  <c r="CQ38" i="149"/>
  <c r="M86" i="75"/>
  <c r="I86" i="38"/>
  <c r="I86" i="28"/>
  <c r="Q86" i="28" s="1"/>
  <c r="N4" i="75"/>
  <c r="V4" i="75" s="1"/>
  <c r="J4" i="38"/>
  <c r="R4" i="38" s="1"/>
  <c r="J4" i="28"/>
  <c r="R4" i="28" s="1"/>
  <c r="N16" i="75"/>
  <c r="V16" i="75" s="1"/>
  <c r="J16" i="38"/>
  <c r="R16" i="38" s="1"/>
  <c r="J16" i="28"/>
  <c r="R16" i="28" s="1"/>
  <c r="CX5" i="149"/>
  <c r="N53" i="75"/>
  <c r="J53" i="38"/>
  <c r="R53" i="38" s="1"/>
  <c r="J53" i="28"/>
  <c r="R53" i="28" s="1"/>
  <c r="CX51" i="149"/>
  <c r="N99" i="75"/>
  <c r="J99" i="38"/>
  <c r="R99" i="38" s="1"/>
  <c r="J99" i="28"/>
  <c r="R99" i="28" s="1"/>
  <c r="CX35" i="149"/>
  <c r="N83" i="75"/>
  <c r="J83" i="38"/>
  <c r="R83" i="38" s="1"/>
  <c r="J83" i="28"/>
  <c r="R83" i="28" s="1"/>
  <c r="CQ40" i="149"/>
  <c r="M88" i="75"/>
  <c r="I88" i="38"/>
  <c r="I88" i="28"/>
  <c r="Q88" i="28" s="1"/>
  <c r="CX29" i="149"/>
  <c r="N77" i="75"/>
  <c r="J77" i="38"/>
  <c r="R77" i="38" s="1"/>
  <c r="J77" i="28"/>
  <c r="R77" i="28" s="1"/>
  <c r="CQ20" i="149"/>
  <c r="M68" i="75"/>
  <c r="I68" i="38"/>
  <c r="I68" i="28"/>
  <c r="Q68" i="28" s="1"/>
  <c r="CX41" i="149"/>
  <c r="N89" i="75"/>
  <c r="J89" i="38"/>
  <c r="R89" i="38" s="1"/>
  <c r="J89" i="28"/>
  <c r="R89" i="28" s="1"/>
  <c r="CQ64" i="149"/>
  <c r="M112" i="75"/>
  <c r="I112" i="38"/>
  <c r="I112" i="28"/>
  <c r="Q112" i="28" s="1"/>
  <c r="CQ31" i="149"/>
  <c r="M79" i="75"/>
  <c r="I79" i="38"/>
  <c r="I79" i="28"/>
  <c r="Q79" i="28" s="1"/>
  <c r="K6" i="154"/>
  <c r="A5" i="67"/>
  <c r="A4" i="155"/>
  <c r="A4" i="154"/>
  <c r="K17" i="154"/>
  <c r="K40" i="154"/>
  <c r="K85" i="154"/>
  <c r="K53" i="154"/>
  <c r="CX72" i="149"/>
  <c r="N120" i="75"/>
  <c r="J120" i="28"/>
  <c r="R120" i="28" s="1"/>
  <c r="J120" i="38"/>
  <c r="R120" i="38" s="1"/>
  <c r="I4" i="38"/>
  <c r="M4" i="75"/>
  <c r="U4" i="75" s="1"/>
  <c r="I4" i="28"/>
  <c r="Q4" i="28" s="1"/>
  <c r="CQ26" i="149"/>
  <c r="M74" i="75"/>
  <c r="I74" i="38"/>
  <c r="I74" i="28"/>
  <c r="Q74" i="28" s="1"/>
  <c r="N49" i="75"/>
  <c r="V49" i="75" s="1"/>
  <c r="J49" i="28"/>
  <c r="R49" i="28" s="1"/>
  <c r="J49" i="38"/>
  <c r="R49" i="38" s="1"/>
  <c r="CQ23" i="149"/>
  <c r="M71" i="75"/>
  <c r="I71" i="38"/>
  <c r="I71" i="28"/>
  <c r="Q71" i="28" s="1"/>
  <c r="I34" i="38"/>
  <c r="M34" i="75"/>
  <c r="U34" i="75" s="1"/>
  <c r="I34" i="28"/>
  <c r="Q34" i="28" s="1"/>
  <c r="CX38" i="149"/>
  <c r="N86" i="75"/>
  <c r="J86" i="38"/>
  <c r="R86" i="38" s="1"/>
  <c r="J86" i="28"/>
  <c r="R86" i="28" s="1"/>
  <c r="N34" i="75"/>
  <c r="V34" i="75" s="1"/>
  <c r="J34" i="38"/>
  <c r="R34" i="38" s="1"/>
  <c r="J34" i="28"/>
  <c r="R34" i="28" s="1"/>
  <c r="CQ41" i="149"/>
  <c r="M89" i="75"/>
  <c r="I89" i="38"/>
  <c r="I89" i="28"/>
  <c r="Q89" i="28" s="1"/>
  <c r="M17" i="75"/>
  <c r="U17" i="75" s="1"/>
  <c r="I17" i="38"/>
  <c r="I17" i="28"/>
  <c r="Q17" i="28" s="1"/>
  <c r="CX11" i="149"/>
  <c r="N59" i="75"/>
  <c r="J59" i="38"/>
  <c r="R59" i="38" s="1"/>
  <c r="J59" i="28"/>
  <c r="R59" i="28" s="1"/>
  <c r="CQ19" i="149"/>
  <c r="M67" i="75"/>
  <c r="I67" i="28"/>
  <c r="Q67" i="28" s="1"/>
  <c r="I67" i="38"/>
  <c r="M11" i="75"/>
  <c r="U11" i="75" s="1"/>
  <c r="I11" i="38"/>
  <c r="I11" i="28"/>
  <c r="Q11" i="28" s="1"/>
  <c r="S11" i="28" s="1"/>
  <c r="K29" i="154"/>
  <c r="K16" i="154"/>
  <c r="K103" i="154"/>
  <c r="K119" i="154"/>
  <c r="J30" i="38"/>
  <c r="R30" i="38" s="1"/>
  <c r="N30" i="75"/>
  <c r="V30" i="75" s="1"/>
  <c r="J30" i="28"/>
  <c r="R30" i="28" s="1"/>
  <c r="N25" i="75"/>
  <c r="V25" i="75" s="1"/>
  <c r="J25" i="38"/>
  <c r="R25" i="38" s="1"/>
  <c r="J25" i="28"/>
  <c r="R25" i="28" s="1"/>
  <c r="S25" i="28" s="1"/>
  <c r="N6" i="75"/>
  <c r="V6" i="75" s="1"/>
  <c r="J6" i="38"/>
  <c r="R6" i="38" s="1"/>
  <c r="J6" i="28"/>
  <c r="R6" i="28" s="1"/>
  <c r="CQ70" i="149"/>
  <c r="M118" i="75"/>
  <c r="I118" i="38"/>
  <c r="I118" i="28"/>
  <c r="Q118" i="28" s="1"/>
  <c r="CX56" i="149"/>
  <c r="N104" i="75"/>
  <c r="J104" i="38"/>
  <c r="R104" i="38" s="1"/>
  <c r="J104" i="28"/>
  <c r="R104" i="28" s="1"/>
  <c r="M9" i="75"/>
  <c r="U9" i="75" s="1"/>
  <c r="I9" i="38"/>
  <c r="I9" i="28"/>
  <c r="Q9" i="28" s="1"/>
  <c r="I46" i="38"/>
  <c r="M46" i="75"/>
  <c r="U46" i="75" s="1"/>
  <c r="I46" i="28"/>
  <c r="Q46" i="28" s="1"/>
  <c r="CQ30" i="149"/>
  <c r="I78" i="38"/>
  <c r="M78" i="75"/>
  <c r="I78" i="28"/>
  <c r="Q78" i="28" s="1"/>
  <c r="CX53" i="149"/>
  <c r="N101" i="75"/>
  <c r="J101" i="38"/>
  <c r="R101" i="38" s="1"/>
  <c r="J101" i="28"/>
  <c r="R101" i="28" s="1"/>
  <c r="M6" i="75"/>
  <c r="U6" i="75" s="1"/>
  <c r="I6" i="38"/>
  <c r="I6" i="28"/>
  <c r="Q6" i="28" s="1"/>
  <c r="CQ45" i="149"/>
  <c r="M93" i="75"/>
  <c r="I93" i="38"/>
  <c r="I93" i="28"/>
  <c r="Q93" i="28" s="1"/>
  <c r="CQ28" i="149"/>
  <c r="M76" i="75"/>
  <c r="I76" i="38"/>
  <c r="I76" i="28"/>
  <c r="Q76" i="28" s="1"/>
  <c r="CQ59" i="149"/>
  <c r="M107" i="75"/>
  <c r="I107" i="38"/>
  <c r="I107" i="28"/>
  <c r="Q107" i="28" s="1"/>
  <c r="CX31" i="149"/>
  <c r="N79" i="75"/>
  <c r="J79" i="38"/>
  <c r="R79" i="38" s="1"/>
  <c r="J79" i="28"/>
  <c r="R79" i="28" s="1"/>
  <c r="CQ22" i="149"/>
  <c r="M70" i="75"/>
  <c r="I70" i="38"/>
  <c r="I70" i="28"/>
  <c r="Q70" i="28" s="1"/>
  <c r="CQ5" i="149"/>
  <c r="M53" i="75"/>
  <c r="I53" i="38"/>
  <c r="I53" i="28"/>
  <c r="Q53" i="28" s="1"/>
  <c r="CQ34" i="149"/>
  <c r="I82" i="38"/>
  <c r="M82" i="75"/>
  <c r="I82" i="28"/>
  <c r="Q82" i="28" s="1"/>
  <c r="CX55" i="149"/>
  <c r="N103" i="75"/>
  <c r="J103" i="38"/>
  <c r="R103" i="38" s="1"/>
  <c r="J103" i="28"/>
  <c r="R103" i="28" s="1"/>
  <c r="M33" i="75"/>
  <c r="U33" i="75" s="1"/>
  <c r="I33" i="38"/>
  <c r="I33" i="28"/>
  <c r="Q33" i="28" s="1"/>
  <c r="S33" i="28" s="1"/>
  <c r="S60" i="28"/>
  <c r="K120" i="154"/>
  <c r="K101" i="154"/>
  <c r="K69" i="154"/>
  <c r="K51" i="154"/>
  <c r="CX33" i="149"/>
  <c r="N81" i="75"/>
  <c r="J81" i="38"/>
  <c r="R81" i="38" s="1"/>
  <c r="J81" i="28"/>
  <c r="R81" i="28" s="1"/>
  <c r="CQ58" i="149"/>
  <c r="M106" i="75"/>
  <c r="I106" i="38"/>
  <c r="I106" i="28"/>
  <c r="Q106" i="28" s="1"/>
  <c r="M44" i="75"/>
  <c r="U44" i="75" s="1"/>
  <c r="I44" i="38"/>
  <c r="I44" i="28"/>
  <c r="Q44" i="28" s="1"/>
  <c r="S44" i="28" s="1"/>
  <c r="M45" i="75"/>
  <c r="U45" i="75" s="1"/>
  <c r="I45" i="38"/>
  <c r="I45" i="28"/>
  <c r="Q45" i="28" s="1"/>
  <c r="N7" i="75"/>
  <c r="V7" i="75" s="1"/>
  <c r="J7" i="38"/>
  <c r="R7" i="38" s="1"/>
  <c r="J7" i="28"/>
  <c r="R7" i="28" s="1"/>
  <c r="N23" i="75"/>
  <c r="V23" i="75" s="1"/>
  <c r="J23" i="38"/>
  <c r="R23" i="38" s="1"/>
  <c r="J23" i="28"/>
  <c r="R23" i="28" s="1"/>
  <c r="J26" i="38"/>
  <c r="R26" i="38" s="1"/>
  <c r="N26" i="75"/>
  <c r="V26" i="75" s="1"/>
  <c r="J26" i="28"/>
  <c r="R26" i="28" s="1"/>
  <c r="S26" i="28" s="1"/>
  <c r="K108" i="154"/>
  <c r="K88" i="154"/>
  <c r="K72" i="154"/>
  <c r="I18" i="38"/>
  <c r="I18" i="28"/>
  <c r="Q18" i="28" s="1"/>
  <c r="M18" i="75"/>
  <c r="U18" i="75" s="1"/>
  <c r="N17" i="75"/>
  <c r="V17" i="75" s="1"/>
  <c r="J17" i="38"/>
  <c r="R17" i="38" s="1"/>
  <c r="J17" i="28"/>
  <c r="R17" i="28" s="1"/>
  <c r="CQ52" i="149"/>
  <c r="I100" i="38"/>
  <c r="I100" i="28"/>
  <c r="Q100" i="28" s="1"/>
  <c r="M100" i="75"/>
  <c r="CQ13" i="149"/>
  <c r="M61" i="75"/>
  <c r="I61" i="38"/>
  <c r="I61" i="28"/>
  <c r="Q61" i="28" s="1"/>
  <c r="CX19" i="149"/>
  <c r="N67" i="75"/>
  <c r="J67" i="38"/>
  <c r="R67" i="38" s="1"/>
  <c r="J67" i="28"/>
  <c r="R67" i="28" s="1"/>
  <c r="CX50" i="149"/>
  <c r="N98" i="75"/>
  <c r="J98" i="38"/>
  <c r="R98" i="38" s="1"/>
  <c r="J98" i="28"/>
  <c r="R98" i="28" s="1"/>
  <c r="CQ69" i="149"/>
  <c r="M117" i="75"/>
  <c r="I117" i="38"/>
  <c r="I117" i="28"/>
  <c r="Q117" i="28" s="1"/>
  <c r="CQ11" i="149"/>
  <c r="M59" i="75"/>
  <c r="I59" i="38"/>
  <c r="I59" i="28"/>
  <c r="Q59" i="28" s="1"/>
  <c r="CQ24" i="149"/>
  <c r="M72" i="75"/>
  <c r="I72" i="38"/>
  <c r="I72" i="28"/>
  <c r="Q72" i="28" s="1"/>
  <c r="CQ39" i="149"/>
  <c r="I87" i="28"/>
  <c r="Q87" i="28" s="1"/>
  <c r="I87" i="38"/>
  <c r="M87" i="75"/>
  <c r="CX13" i="149"/>
  <c r="N61" i="75"/>
  <c r="J61" i="28"/>
  <c r="R61" i="28" s="1"/>
  <c r="J61" i="38"/>
  <c r="R61" i="38" s="1"/>
  <c r="CX25" i="149"/>
  <c r="N73" i="75"/>
  <c r="J73" i="38"/>
  <c r="R73" i="38" s="1"/>
  <c r="J73" i="28"/>
  <c r="R73" i="28" s="1"/>
  <c r="CQ48" i="149"/>
  <c r="M96" i="75"/>
  <c r="I96" i="38"/>
  <c r="I96" i="28"/>
  <c r="Q96" i="28" s="1"/>
  <c r="CQ67" i="149"/>
  <c r="I115" i="38"/>
  <c r="M115" i="75"/>
  <c r="I115" i="28"/>
  <c r="Q115" i="28" s="1"/>
  <c r="K77" i="154"/>
  <c r="K105" i="154"/>
  <c r="K121" i="154"/>
  <c r="M40" i="75"/>
  <c r="U40" i="75" s="1"/>
  <c r="I40" i="38"/>
  <c r="I40" i="28"/>
  <c r="Q40" i="28" s="1"/>
  <c r="S40" i="28" s="1"/>
  <c r="I39" i="38"/>
  <c r="I39" i="28"/>
  <c r="Q39" i="28" s="1"/>
  <c r="S39" i="28" s="1"/>
  <c r="M39" i="75"/>
  <c r="U39" i="75" s="1"/>
  <c r="N31" i="75"/>
  <c r="V31" i="75" s="1"/>
  <c r="J31" i="38"/>
  <c r="R31" i="38" s="1"/>
  <c r="J31" i="28"/>
  <c r="R31" i="28" s="1"/>
  <c r="CQ57" i="149"/>
  <c r="M105" i="75"/>
  <c r="I105" i="38"/>
  <c r="I105" i="28"/>
  <c r="Q105" i="28" s="1"/>
  <c r="N8" i="75"/>
  <c r="V8" i="75" s="1"/>
  <c r="J8" i="38"/>
  <c r="R8" i="38" s="1"/>
  <c r="J8" i="28"/>
  <c r="R8" i="28" s="1"/>
  <c r="M15" i="75"/>
  <c r="U15" i="75" s="1"/>
  <c r="I15" i="38"/>
  <c r="I15" i="28"/>
  <c r="Q15" i="28" s="1"/>
  <c r="CX27" i="149"/>
  <c r="N75" i="75"/>
  <c r="J75" i="28"/>
  <c r="R75" i="28" s="1"/>
  <c r="J75" i="38"/>
  <c r="R75" i="38" s="1"/>
  <c r="CQ68" i="149"/>
  <c r="I116" i="38"/>
  <c r="I116" i="28"/>
  <c r="Q116" i="28" s="1"/>
  <c r="M116" i="75"/>
  <c r="CX10" i="149"/>
  <c r="J58" i="38"/>
  <c r="R58" i="38" s="1"/>
  <c r="N58" i="75"/>
  <c r="J58" i="28"/>
  <c r="R58" i="28" s="1"/>
  <c r="CX42" i="149"/>
  <c r="N90" i="75"/>
  <c r="J90" i="38"/>
  <c r="R90" i="38" s="1"/>
  <c r="J90" i="28"/>
  <c r="R90" i="28" s="1"/>
  <c r="I23" i="38"/>
  <c r="I23" i="28"/>
  <c r="Q23" i="28" s="1"/>
  <c r="M23" i="75"/>
  <c r="U23" i="75" s="1"/>
  <c r="M49" i="75"/>
  <c r="U49" i="75" s="1"/>
  <c r="I49" i="38"/>
  <c r="I49" i="28"/>
  <c r="Q49" i="28" s="1"/>
  <c r="K91" i="154"/>
  <c r="S51" i="28"/>
  <c r="K104" i="154"/>
  <c r="N45" i="75"/>
  <c r="V45" i="75" s="1"/>
  <c r="J45" i="28"/>
  <c r="R45" i="28" s="1"/>
  <c r="J45" i="38"/>
  <c r="R45" i="38" s="1"/>
  <c r="K67" i="154"/>
  <c r="CQ9" i="149"/>
  <c r="M57" i="75"/>
  <c r="I57" i="38"/>
  <c r="I57" i="28"/>
  <c r="Q57" i="28" s="1"/>
  <c r="S57" i="28" s="1"/>
  <c r="N32" i="75"/>
  <c r="V32" i="75" s="1"/>
  <c r="J32" i="38"/>
  <c r="R32" i="38" s="1"/>
  <c r="J32" i="28"/>
  <c r="R32" i="28" s="1"/>
  <c r="CX16" i="149"/>
  <c r="N64" i="75"/>
  <c r="J64" i="38"/>
  <c r="R64" i="38" s="1"/>
  <c r="J64" i="28"/>
  <c r="R64" i="28" s="1"/>
  <c r="M42" i="75"/>
  <c r="U42" i="75" s="1"/>
  <c r="I42" i="38"/>
  <c r="I42" i="28"/>
  <c r="Q42" i="28" s="1"/>
  <c r="CX17" i="149"/>
  <c r="N65" i="75"/>
  <c r="J65" i="38"/>
  <c r="R65" i="38" s="1"/>
  <c r="J65" i="28"/>
  <c r="R65" i="28" s="1"/>
  <c r="N9" i="75"/>
  <c r="V9" i="75" s="1"/>
  <c r="J9" i="38"/>
  <c r="R9" i="38" s="1"/>
  <c r="J9" i="28"/>
  <c r="R9" i="28" s="1"/>
  <c r="CQ55" i="149"/>
  <c r="I103" i="38"/>
  <c r="I103" i="28"/>
  <c r="Q103" i="28" s="1"/>
  <c r="M103" i="75"/>
  <c r="CX14" i="149"/>
  <c r="J62" i="38"/>
  <c r="R62" i="38" s="1"/>
  <c r="N62" i="75"/>
  <c r="J62" i="28"/>
  <c r="R62" i="28" s="1"/>
  <c r="CX61" i="149"/>
  <c r="N109" i="75"/>
  <c r="J109" i="38"/>
  <c r="R109" i="38" s="1"/>
  <c r="J109" i="28"/>
  <c r="R109" i="28" s="1"/>
  <c r="CQ37" i="149"/>
  <c r="M85" i="75"/>
  <c r="I85" i="38"/>
  <c r="I85" i="28"/>
  <c r="Q85" i="28" s="1"/>
  <c r="CX60" i="149"/>
  <c r="N108" i="75"/>
  <c r="J108" i="38"/>
  <c r="R108" i="38" s="1"/>
  <c r="J108" i="28"/>
  <c r="R108" i="28" s="1"/>
  <c r="M10" i="75"/>
  <c r="U10" i="75" s="1"/>
  <c r="I10" i="28"/>
  <c r="Q10" i="28" s="1"/>
  <c r="S10" i="28" s="1"/>
  <c r="I10" i="38"/>
  <c r="CQ49" i="149"/>
  <c r="M97" i="75"/>
  <c r="I97" i="38"/>
  <c r="I97" i="28"/>
  <c r="Q97" i="28" s="1"/>
  <c r="N37" i="75"/>
  <c r="V37" i="75" s="1"/>
  <c r="J37" i="38"/>
  <c r="R37" i="38" s="1"/>
  <c r="J37" i="28"/>
  <c r="R37" i="28" s="1"/>
  <c r="S37" i="28" s="1"/>
  <c r="CX36" i="149"/>
  <c r="N84" i="75"/>
  <c r="J84" i="38"/>
  <c r="R84" i="38" s="1"/>
  <c r="J84" i="28"/>
  <c r="R84" i="28" s="1"/>
  <c r="CX68" i="149"/>
  <c r="N116" i="75"/>
  <c r="J116" i="38"/>
  <c r="R116" i="38" s="1"/>
  <c r="J116" i="28"/>
  <c r="R116" i="28" s="1"/>
  <c r="CX2" i="149"/>
  <c r="N50" i="75"/>
  <c r="V50" i="75" s="1"/>
  <c r="J50" i="38"/>
  <c r="R50" i="38" s="1"/>
  <c r="J50" i="28"/>
  <c r="R50" i="28" s="1"/>
  <c r="CQ43" i="149"/>
  <c r="M91" i="75"/>
  <c r="I91" i="38"/>
  <c r="I91" i="28"/>
  <c r="Q91" i="28" s="1"/>
  <c r="CQ42" i="149"/>
  <c r="M90" i="75"/>
  <c r="I90" i="28"/>
  <c r="Q90" i="28" s="1"/>
  <c r="I90" i="38"/>
  <c r="CQ4" i="149"/>
  <c r="M52" i="75"/>
  <c r="I52" i="38"/>
  <c r="I52" i="28"/>
  <c r="Q52" i="28" s="1"/>
  <c r="S52" i="28" s="1"/>
  <c r="CQ18" i="149"/>
  <c r="I66" i="38"/>
  <c r="M66" i="75"/>
  <c r="I66" i="28"/>
  <c r="Q66" i="28" s="1"/>
  <c r="CX39" i="149"/>
  <c r="N87" i="75"/>
  <c r="J87" i="38"/>
  <c r="R87" i="38" s="1"/>
  <c r="J87" i="28"/>
  <c r="R87" i="28" s="1"/>
  <c r="CQ63" i="149"/>
  <c r="M111" i="75"/>
  <c r="I111" i="38"/>
  <c r="I111" i="28"/>
  <c r="Q111" i="28" s="1"/>
  <c r="S12" i="28"/>
  <c r="K45" i="154"/>
  <c r="K5" i="154"/>
  <c r="K73" i="154"/>
  <c r="K89" i="154"/>
  <c r="K35" i="154"/>
  <c r="Z185" i="150"/>
  <c r="AX184" i="150"/>
  <c r="X186" i="150"/>
  <c r="AV185" i="150"/>
  <c r="U186" i="150"/>
  <c r="AS185" i="150"/>
  <c r="V186" i="150"/>
  <c r="AT185" i="150"/>
  <c r="Y186" i="150"/>
  <c r="AW185" i="150"/>
  <c r="W186" i="150"/>
  <c r="AU185" i="150"/>
  <c r="S186" i="150"/>
  <c r="AQ185" i="150"/>
  <c r="AA186" i="150"/>
  <c r="AY185" i="150"/>
  <c r="R186" i="150"/>
  <c r="AP185" i="150"/>
  <c r="Q187" i="150"/>
  <c r="AO186" i="150"/>
  <c r="T186" i="150"/>
  <c r="AR185" i="150"/>
  <c r="Y1" i="4"/>
  <c r="S27" i="28" l="1"/>
  <c r="S35" i="28"/>
  <c r="S7" i="28"/>
  <c r="S15" i="28"/>
  <c r="S41" i="28"/>
  <c r="S19" i="28"/>
  <c r="S20" i="28"/>
  <c r="S8" i="28"/>
  <c r="S61" i="28"/>
  <c r="S16" i="28"/>
  <c r="S32" i="28"/>
  <c r="S13" i="28"/>
  <c r="S49" i="28"/>
  <c r="S46" i="28"/>
  <c r="S5" i="28"/>
  <c r="S38" i="28"/>
  <c r="S56" i="28"/>
  <c r="S6" i="28"/>
  <c r="S42" i="28"/>
  <c r="S4" i="28"/>
  <c r="S47" i="28"/>
  <c r="S45" i="28"/>
  <c r="S29" i="28"/>
  <c r="S59" i="28"/>
  <c r="S36" i="28"/>
  <c r="S22" i="28"/>
  <c r="S14" i="28"/>
  <c r="S50" i="28"/>
  <c r="S31" i="28"/>
  <c r="S58" i="28"/>
  <c r="S9" i="28"/>
  <c r="S23" i="28"/>
  <c r="S17" i="28"/>
  <c r="S43" i="28"/>
  <c r="S30" i="28"/>
  <c r="S53" i="28"/>
  <c r="S21" i="28"/>
  <c r="C4" i="154"/>
  <c r="B4" i="154"/>
  <c r="B4" i="155"/>
  <c r="C4" i="155"/>
  <c r="A6" i="67"/>
  <c r="A5" i="155"/>
  <c r="A5" i="154"/>
  <c r="S18" i="28"/>
  <c r="S34" i="28"/>
  <c r="AA187" i="150"/>
  <c r="AY186" i="150"/>
  <c r="S187" i="150"/>
  <c r="AQ186" i="150"/>
  <c r="W187" i="150"/>
  <c r="AU186" i="150"/>
  <c r="Y187" i="150"/>
  <c r="AW186" i="150"/>
  <c r="V187" i="150"/>
  <c r="AT186" i="150"/>
  <c r="U187" i="150"/>
  <c r="AS186" i="150"/>
  <c r="T187" i="150"/>
  <c r="AR186" i="150"/>
  <c r="Q188" i="150"/>
  <c r="AO187" i="150"/>
  <c r="X187" i="150"/>
  <c r="AV186" i="150"/>
  <c r="R187" i="150"/>
  <c r="AP186" i="150"/>
  <c r="Z186" i="150"/>
  <c r="AX185" i="150"/>
  <c r="Z1" i="4"/>
  <c r="V49" i="28" l="1"/>
  <c r="V37" i="28"/>
  <c r="V25" i="28"/>
  <c r="C5" i="154"/>
  <c r="B5" i="154"/>
  <c r="B5" i="155"/>
  <c r="C5" i="155"/>
  <c r="A7" i="67"/>
  <c r="A6" i="155"/>
  <c r="A6" i="154"/>
  <c r="Y188" i="150"/>
  <c r="AW187" i="150"/>
  <c r="S188" i="150"/>
  <c r="AQ187" i="150"/>
  <c r="Q189" i="150"/>
  <c r="AO188" i="150"/>
  <c r="T188" i="150"/>
  <c r="AR187" i="150"/>
  <c r="U188" i="150"/>
  <c r="AS187" i="150"/>
  <c r="W188" i="150"/>
  <c r="AU187" i="150"/>
  <c r="V188" i="150"/>
  <c r="AT187" i="150"/>
  <c r="Z187" i="150"/>
  <c r="AX186" i="150"/>
  <c r="R188" i="150"/>
  <c r="AP187" i="150"/>
  <c r="X188" i="150"/>
  <c r="AV187" i="150"/>
  <c r="AA188" i="150"/>
  <c r="AY187" i="150"/>
  <c r="AA1" i="4"/>
  <c r="C6" i="154" l="1"/>
  <c r="B6" i="154"/>
  <c r="C6" i="155"/>
  <c r="B6" i="155"/>
  <c r="A8" i="67"/>
  <c r="A7" i="155"/>
  <c r="A7" i="154"/>
  <c r="W189" i="150"/>
  <c r="AU188" i="150"/>
  <c r="Z188" i="150"/>
  <c r="AX187" i="150"/>
  <c r="V189" i="150"/>
  <c r="AT188" i="150"/>
  <c r="U189" i="150"/>
  <c r="AS188" i="150"/>
  <c r="T189" i="150"/>
  <c r="AR188" i="150"/>
  <c r="AA189" i="150"/>
  <c r="AY188" i="150"/>
  <c r="Q190" i="150"/>
  <c r="AO189" i="150"/>
  <c r="X189" i="150"/>
  <c r="AV188" i="150"/>
  <c r="S189" i="150"/>
  <c r="AQ188" i="150"/>
  <c r="R189" i="150"/>
  <c r="AP188" i="150"/>
  <c r="Y189" i="150"/>
  <c r="AW188" i="150"/>
  <c r="AB1" i="4"/>
  <c r="A9" i="67" l="1"/>
  <c r="A8" i="155"/>
  <c r="A8" i="154"/>
  <c r="C7" i="155"/>
  <c r="B7" i="155"/>
  <c r="C7" i="154"/>
  <c r="B7" i="154"/>
  <c r="Q191" i="150"/>
  <c r="AO190" i="150"/>
  <c r="X190" i="150"/>
  <c r="AV189" i="150"/>
  <c r="AA190" i="150"/>
  <c r="AY189" i="150"/>
  <c r="T190" i="150"/>
  <c r="AR189" i="150"/>
  <c r="U190" i="150"/>
  <c r="AS189" i="150"/>
  <c r="Y190" i="150"/>
  <c r="AW189" i="150"/>
  <c r="V190" i="150"/>
  <c r="AT189" i="150"/>
  <c r="R190" i="150"/>
  <c r="AP189" i="150"/>
  <c r="Z189" i="150"/>
  <c r="AX188" i="150"/>
  <c r="S190" i="150"/>
  <c r="AQ189" i="150"/>
  <c r="W190" i="150"/>
  <c r="AU189" i="150"/>
  <c r="AC1" i="4"/>
  <c r="C8" i="154" l="1"/>
  <c r="B8" i="154"/>
  <c r="A10" i="67"/>
  <c r="A9" i="155"/>
  <c r="A9" i="154"/>
  <c r="C8" i="155"/>
  <c r="B8" i="155"/>
  <c r="R191" i="150"/>
  <c r="AP190" i="150"/>
  <c r="V191" i="150"/>
  <c r="AT190" i="150"/>
  <c r="Y191" i="150"/>
  <c r="AW190" i="150"/>
  <c r="U191" i="150"/>
  <c r="AS190" i="150"/>
  <c r="T191" i="150"/>
  <c r="AR190" i="150"/>
  <c r="W191" i="150"/>
  <c r="AU190" i="150"/>
  <c r="AA191" i="150"/>
  <c r="AY190" i="150"/>
  <c r="S191" i="150"/>
  <c r="AQ190" i="150"/>
  <c r="X191" i="150"/>
  <c r="AV190" i="150"/>
  <c r="Z190" i="150"/>
  <c r="AX189" i="150"/>
  <c r="Q192" i="150"/>
  <c r="AO191" i="150"/>
  <c r="AD1" i="4"/>
  <c r="C9" i="154" l="1"/>
  <c r="B9" i="154"/>
  <c r="B9" i="155"/>
  <c r="C9" i="155"/>
  <c r="A11" i="67"/>
  <c r="A10" i="155"/>
  <c r="A10" i="154"/>
  <c r="AA192" i="150"/>
  <c r="AY191" i="150"/>
  <c r="U192" i="150"/>
  <c r="AS191" i="150"/>
  <c r="S192" i="150"/>
  <c r="AQ191" i="150"/>
  <c r="Y192" i="150"/>
  <c r="AW191" i="150"/>
  <c r="W192" i="150"/>
  <c r="AU191" i="150"/>
  <c r="T192" i="150"/>
  <c r="AR191" i="150"/>
  <c r="Q193" i="150"/>
  <c r="AO192" i="150"/>
  <c r="Z191" i="150"/>
  <c r="AX190" i="150"/>
  <c r="V192" i="150"/>
  <c r="AT191" i="150"/>
  <c r="X192" i="150"/>
  <c r="AV191" i="150"/>
  <c r="R192" i="150"/>
  <c r="AP191" i="150"/>
  <c r="AE1" i="4"/>
  <c r="C10" i="154" l="1"/>
  <c r="B10" i="154"/>
  <c r="C10" i="155"/>
  <c r="B10" i="155"/>
  <c r="A12" i="67"/>
  <c r="A11" i="155"/>
  <c r="A11" i="154"/>
  <c r="T193" i="150"/>
  <c r="AR192" i="150"/>
  <c r="Z192" i="150"/>
  <c r="AX191" i="150"/>
  <c r="Q194" i="150"/>
  <c r="AO193" i="150"/>
  <c r="Y193" i="150"/>
  <c r="AW192" i="150"/>
  <c r="S193" i="150"/>
  <c r="AQ192" i="150"/>
  <c r="W193" i="150"/>
  <c r="AU192" i="150"/>
  <c r="R193" i="150"/>
  <c r="AP192" i="150"/>
  <c r="X193" i="150"/>
  <c r="AV192" i="150"/>
  <c r="U193" i="150"/>
  <c r="AS192" i="150"/>
  <c r="V193" i="150"/>
  <c r="AT192" i="150"/>
  <c r="AA193" i="150"/>
  <c r="AY192" i="150"/>
  <c r="AF1" i="4"/>
  <c r="DR1" i="4"/>
  <c r="DQ1" i="4"/>
  <c r="DP1" i="4"/>
  <c r="W25" i="23"/>
  <c r="W26" i="23"/>
  <c r="W27" i="23"/>
  <c r="W28" i="23"/>
  <c r="W29" i="23"/>
  <c r="W30" i="23"/>
  <c r="W31" i="23"/>
  <c r="W32" i="23"/>
  <c r="W33" i="23"/>
  <c r="W34" i="23"/>
  <c r="W35" i="23"/>
  <c r="O25" i="23"/>
  <c r="O26" i="23"/>
  <c r="O27" i="23"/>
  <c r="O28" i="23"/>
  <c r="O29" i="23"/>
  <c r="O30" i="23"/>
  <c r="O31" i="23"/>
  <c r="O32" i="23"/>
  <c r="O33" i="23"/>
  <c r="O34" i="23"/>
  <c r="O35" i="23"/>
  <c r="K25" i="23"/>
  <c r="K26" i="23"/>
  <c r="K27" i="23"/>
  <c r="K28" i="23"/>
  <c r="K29" i="23"/>
  <c r="K30" i="23"/>
  <c r="K31" i="23"/>
  <c r="K32" i="23"/>
  <c r="K33" i="23"/>
  <c r="K34" i="23"/>
  <c r="K35" i="23"/>
  <c r="G25" i="23"/>
  <c r="G26" i="23"/>
  <c r="G27" i="23"/>
  <c r="G28" i="23"/>
  <c r="G29" i="23"/>
  <c r="G30" i="23"/>
  <c r="G31" i="23"/>
  <c r="G32" i="23"/>
  <c r="G33" i="23"/>
  <c r="G34" i="23"/>
  <c r="G35" i="23"/>
  <c r="C25" i="23"/>
  <c r="C26" i="23"/>
  <c r="C27" i="23"/>
  <c r="C28" i="23"/>
  <c r="C29" i="23"/>
  <c r="C30" i="23"/>
  <c r="C31" i="23"/>
  <c r="C32" i="23"/>
  <c r="C33" i="23"/>
  <c r="C34" i="23"/>
  <c r="C35" i="23"/>
  <c r="W24" i="23"/>
  <c r="O24" i="23"/>
  <c r="K24" i="23"/>
  <c r="G24" i="23"/>
  <c r="C24" i="23"/>
  <c r="A6" i="77"/>
  <c r="B6" i="77" s="1"/>
  <c r="A7" i="77"/>
  <c r="A8" i="77"/>
  <c r="B8" i="77" s="1"/>
  <c r="A9" i="77"/>
  <c r="B9" i="77" s="1"/>
  <c r="A10" i="77"/>
  <c r="B10" i="77" s="1"/>
  <c r="A11" i="77"/>
  <c r="C11" i="77" s="1"/>
  <c r="A12" i="77"/>
  <c r="B12" i="77" s="1"/>
  <c r="A5" i="77"/>
  <c r="C5" i="77" s="1"/>
  <c r="A4" i="77"/>
  <c r="B4" i="77" s="1"/>
  <c r="A3" i="77"/>
  <c r="B3" i="77" s="1"/>
  <c r="A2" i="77"/>
  <c r="C2" i="77" s="1"/>
  <c r="H1" i="77"/>
  <c r="N1" i="77" s="1"/>
  <c r="G1" i="77"/>
  <c r="A1" i="77"/>
  <c r="A4" i="76"/>
  <c r="B4" i="76" s="1"/>
  <c r="A5" i="76"/>
  <c r="B5" i="76" s="1"/>
  <c r="A6" i="76"/>
  <c r="B6" i="76" s="1"/>
  <c r="A7" i="76"/>
  <c r="C7" i="76" s="1"/>
  <c r="A8" i="76"/>
  <c r="B8" i="76" s="1"/>
  <c r="A9" i="76"/>
  <c r="B9" i="76" s="1"/>
  <c r="A10" i="76"/>
  <c r="B10" i="76" s="1"/>
  <c r="A11" i="76"/>
  <c r="B11" i="76" s="1"/>
  <c r="A12" i="76"/>
  <c r="B12" i="76" s="1"/>
  <c r="A3" i="76"/>
  <c r="C3" i="76" s="1"/>
  <c r="A2" i="76"/>
  <c r="C2" i="76" s="1"/>
  <c r="F1" i="76"/>
  <c r="E1" i="76"/>
  <c r="D1" i="76"/>
  <c r="A1" i="76"/>
  <c r="A8" i="75"/>
  <c r="B8" i="75" s="1"/>
  <c r="A9" i="75"/>
  <c r="B9" i="75" s="1"/>
  <c r="A10" i="75"/>
  <c r="B10" i="75" s="1"/>
  <c r="A11" i="75"/>
  <c r="B11" i="75" s="1"/>
  <c r="A12" i="75"/>
  <c r="B12" i="75" s="1"/>
  <c r="A7" i="75"/>
  <c r="C7" i="75" s="1"/>
  <c r="A6" i="75"/>
  <c r="C6" i="75" s="1"/>
  <c r="A5" i="75"/>
  <c r="C5" i="75" s="1"/>
  <c r="A4" i="75"/>
  <c r="C4" i="75" s="1"/>
  <c r="A3" i="75"/>
  <c r="C3" i="75" s="1"/>
  <c r="A2" i="75"/>
  <c r="C2" i="75" s="1"/>
  <c r="F1" i="75"/>
  <c r="E1" i="75"/>
  <c r="D1" i="75"/>
  <c r="A1" i="75"/>
  <c r="A10" i="36"/>
  <c r="B10" i="36" s="1"/>
  <c r="A11" i="36"/>
  <c r="B11" i="36" s="1"/>
  <c r="A8" i="36"/>
  <c r="A9" i="36"/>
  <c r="B9" i="36" s="1"/>
  <c r="A7" i="36"/>
  <c r="C7" i="36" s="1"/>
  <c r="A6" i="36"/>
  <c r="C6" i="36" s="1"/>
  <c r="A5" i="36"/>
  <c r="B5" i="36" s="1"/>
  <c r="A4" i="36"/>
  <c r="C4" i="36" s="1"/>
  <c r="A3" i="36"/>
  <c r="C3" i="36" s="1"/>
  <c r="A2" i="36"/>
  <c r="C2" i="36" s="1"/>
  <c r="A1" i="36"/>
  <c r="A9" i="34"/>
  <c r="B9" i="34" s="1"/>
  <c r="A10" i="34"/>
  <c r="B10" i="34" s="1"/>
  <c r="A11" i="34"/>
  <c r="B11" i="34" s="1"/>
  <c r="A12" i="34"/>
  <c r="C12" i="34" s="1"/>
  <c r="A8" i="34"/>
  <c r="C8" i="34" s="1"/>
  <c r="A7" i="34"/>
  <c r="C7" i="34" s="1"/>
  <c r="A6" i="34"/>
  <c r="B6" i="34" s="1"/>
  <c r="A5" i="34"/>
  <c r="B5" i="34" s="1"/>
  <c r="A4" i="34"/>
  <c r="C4" i="34" s="1"/>
  <c r="A3" i="34"/>
  <c r="C3" i="34" s="1"/>
  <c r="A2" i="34"/>
  <c r="C2" i="34" s="1"/>
  <c r="D1" i="34"/>
  <c r="A1" i="34"/>
  <c r="A5" i="38"/>
  <c r="C5" i="38" s="1"/>
  <c r="A6" i="38"/>
  <c r="A7" i="38"/>
  <c r="A8" i="38"/>
  <c r="A9" i="38"/>
  <c r="A10" i="38"/>
  <c r="A11" i="38"/>
  <c r="A12" i="38"/>
  <c r="A4" i="38"/>
  <c r="C4" i="38" s="1"/>
  <c r="A3" i="38"/>
  <c r="C3" i="38" s="1"/>
  <c r="A2" i="38"/>
  <c r="C2" i="38" s="1"/>
  <c r="A1" i="38"/>
  <c r="A11" i="32"/>
  <c r="B11" i="32" s="1"/>
  <c r="A12" i="32"/>
  <c r="B12" i="32" s="1"/>
  <c r="A10" i="32"/>
  <c r="C10" i="32" s="1"/>
  <c r="A9" i="32"/>
  <c r="C9" i="32" s="1"/>
  <c r="A8" i="32"/>
  <c r="C8" i="32" s="1"/>
  <c r="A7" i="32"/>
  <c r="C7" i="32" s="1"/>
  <c r="A6" i="32"/>
  <c r="C6" i="32" s="1"/>
  <c r="A5" i="32"/>
  <c r="C5" i="32" s="1"/>
  <c r="A4" i="32"/>
  <c r="C4" i="32" s="1"/>
  <c r="A3" i="32"/>
  <c r="C3" i="32" s="1"/>
  <c r="A2" i="32"/>
  <c r="C2" i="32" s="1"/>
  <c r="D1" i="32"/>
  <c r="A1" i="32"/>
  <c r="A8" i="30"/>
  <c r="C8" i="30" s="1"/>
  <c r="A9" i="30"/>
  <c r="C9" i="30" s="1"/>
  <c r="A10" i="30"/>
  <c r="C10" i="30" s="1"/>
  <c r="A11" i="30"/>
  <c r="C11" i="30" s="1"/>
  <c r="A12" i="30"/>
  <c r="C12" i="30" s="1"/>
  <c r="A7" i="30"/>
  <c r="C7" i="30" s="1"/>
  <c r="A6" i="30"/>
  <c r="C6" i="30" s="1"/>
  <c r="A5" i="30"/>
  <c r="B5" i="30" s="1"/>
  <c r="A4" i="30"/>
  <c r="C4" i="30" s="1"/>
  <c r="A3" i="30"/>
  <c r="B3" i="30" s="1"/>
  <c r="A2" i="30"/>
  <c r="C2" i="30" s="1"/>
  <c r="D1" i="30"/>
  <c r="A1" i="30"/>
  <c r="A5" i="28"/>
  <c r="B5" i="28" s="1"/>
  <c r="A6" i="28"/>
  <c r="A7" i="28"/>
  <c r="B7" i="28" s="1"/>
  <c r="A8" i="28"/>
  <c r="C8" i="28" s="1"/>
  <c r="A9" i="28"/>
  <c r="B9" i="28" s="1"/>
  <c r="A10" i="28"/>
  <c r="B10" i="28" s="1"/>
  <c r="A11" i="28"/>
  <c r="B11" i="28" s="1"/>
  <c r="A12" i="28"/>
  <c r="B12" i="28" s="1"/>
  <c r="A4" i="28"/>
  <c r="C4" i="28" s="1"/>
  <c r="A3" i="28"/>
  <c r="C3" i="28" s="1"/>
  <c r="A2" i="28"/>
  <c r="C2" i="28" s="1"/>
  <c r="D1" i="28"/>
  <c r="A1" i="28"/>
  <c r="C11" i="154" l="1"/>
  <c r="B11" i="154"/>
  <c r="C11" i="155"/>
  <c r="B11" i="155"/>
  <c r="A13" i="67"/>
  <c r="A12" i="155"/>
  <c r="A12" i="154"/>
  <c r="A12" i="36"/>
  <c r="B12" i="36" s="1"/>
  <c r="X194" i="150"/>
  <c r="AV193" i="150"/>
  <c r="R194" i="150"/>
  <c r="AP193" i="150"/>
  <c r="W194" i="150"/>
  <c r="AU193" i="150"/>
  <c r="S194" i="150"/>
  <c r="AQ193" i="150"/>
  <c r="Y194" i="150"/>
  <c r="AW193" i="150"/>
  <c r="AA194" i="150"/>
  <c r="AY193" i="150"/>
  <c r="Q195" i="150"/>
  <c r="AO194" i="150"/>
  <c r="V194" i="150"/>
  <c r="AT193" i="150"/>
  <c r="Z193" i="150"/>
  <c r="AX192" i="150"/>
  <c r="U194" i="150"/>
  <c r="AS193" i="150"/>
  <c r="T194" i="150"/>
  <c r="AR193" i="150"/>
  <c r="T1" i="77"/>
  <c r="AA1" i="77" s="1"/>
  <c r="M1" i="77"/>
  <c r="AG1" i="4"/>
  <c r="B4" i="38"/>
  <c r="C10" i="75"/>
  <c r="B8" i="28"/>
  <c r="B12" i="30"/>
  <c r="C11" i="34"/>
  <c r="C9" i="28"/>
  <c r="B9" i="30"/>
  <c r="B12" i="34"/>
  <c r="C10" i="77"/>
  <c r="C8" i="77"/>
  <c r="C11" i="75"/>
  <c r="C11" i="76"/>
  <c r="C12" i="32"/>
  <c r="C11" i="28"/>
  <c r="B11" i="77"/>
  <c r="B8" i="30"/>
  <c r="C9" i="76"/>
  <c r="B11" i="30"/>
  <c r="C11" i="32"/>
  <c r="C10" i="34"/>
  <c r="C9" i="77"/>
  <c r="B7" i="76"/>
  <c r="C3" i="30"/>
  <c r="C5" i="76"/>
  <c r="C12" i="77"/>
  <c r="B10" i="30"/>
  <c r="C7" i="28"/>
  <c r="C8" i="36"/>
  <c r="B8" i="36"/>
  <c r="C10" i="36"/>
  <c r="C9" i="75"/>
  <c r="B7" i="77"/>
  <c r="C7" i="77"/>
  <c r="C6" i="77"/>
  <c r="B6" i="28"/>
  <c r="C6" i="28"/>
  <c r="B5" i="77"/>
  <c r="C4" i="77"/>
  <c r="C3" i="77"/>
  <c r="B2" i="77"/>
  <c r="C10" i="76"/>
  <c r="C6" i="76"/>
  <c r="C12" i="76"/>
  <c r="C8" i="76"/>
  <c r="C4" i="76"/>
  <c r="B2" i="76"/>
  <c r="B3" i="76"/>
  <c r="C12" i="75"/>
  <c r="C8" i="75"/>
  <c r="B4" i="75"/>
  <c r="B2" i="75"/>
  <c r="B3" i="75"/>
  <c r="B5" i="75"/>
  <c r="B7" i="75"/>
  <c r="B6" i="75"/>
  <c r="C11" i="36"/>
  <c r="B7" i="36"/>
  <c r="B4" i="36"/>
  <c r="B3" i="36"/>
  <c r="B6" i="36"/>
  <c r="C5" i="36"/>
  <c r="B2" i="36"/>
  <c r="C9" i="36"/>
  <c r="C9" i="34"/>
  <c r="B4" i="34"/>
  <c r="B8" i="34"/>
  <c r="B2" i="34"/>
  <c r="C6" i="34"/>
  <c r="C5" i="34"/>
  <c r="B3" i="34"/>
  <c r="B7" i="34"/>
  <c r="B2" i="38"/>
  <c r="B5" i="38"/>
  <c r="B3" i="38"/>
  <c r="B6" i="32"/>
  <c r="B7" i="32"/>
  <c r="B3" i="32"/>
  <c r="B8" i="32"/>
  <c r="B5" i="32"/>
  <c r="B2" i="32"/>
  <c r="B10" i="32"/>
  <c r="B4" i="32"/>
  <c r="B9" i="32"/>
  <c r="C5" i="30"/>
  <c r="B2" i="30"/>
  <c r="B7" i="30"/>
  <c r="B4" i="30"/>
  <c r="B6" i="30"/>
  <c r="C10" i="28"/>
  <c r="C5" i="28"/>
  <c r="C12" i="28"/>
  <c r="B4" i="28"/>
  <c r="B3" i="28"/>
  <c r="B2" i="28"/>
  <c r="C12" i="36" l="1"/>
  <c r="C12" i="154"/>
  <c r="B12" i="154"/>
  <c r="C12" i="155"/>
  <c r="B12" i="155"/>
  <c r="A14" i="67"/>
  <c r="A13" i="155"/>
  <c r="A13" i="154"/>
  <c r="A13" i="30"/>
  <c r="A13" i="32"/>
  <c r="A13" i="28"/>
  <c r="A13" i="36"/>
  <c r="A13" i="75"/>
  <c r="A13" i="76"/>
  <c r="A13" i="77"/>
  <c r="A13" i="34"/>
  <c r="A13" i="38"/>
  <c r="V195" i="150"/>
  <c r="AT194" i="150"/>
  <c r="Q196" i="150"/>
  <c r="AO195" i="150"/>
  <c r="AA195" i="150"/>
  <c r="AY194" i="150"/>
  <c r="Y195" i="150"/>
  <c r="AW194" i="150"/>
  <c r="S195" i="150"/>
  <c r="AQ194" i="150"/>
  <c r="T195" i="150"/>
  <c r="AR194" i="150"/>
  <c r="U195" i="150"/>
  <c r="AS194" i="150"/>
  <c r="R195" i="150"/>
  <c r="AP194" i="150"/>
  <c r="W195" i="150"/>
  <c r="AU194" i="150"/>
  <c r="Z194" i="150"/>
  <c r="AX193" i="150"/>
  <c r="X195" i="150"/>
  <c r="AV194" i="150"/>
  <c r="T2" i="25"/>
  <c r="U2" i="25"/>
  <c r="V2" i="25"/>
  <c r="J110" i="65"/>
  <c r="AJ108" i="67" s="1"/>
  <c r="AJ60" i="149" s="1"/>
  <c r="R1" i="76"/>
  <c r="Q1" i="76"/>
  <c r="P1" i="76"/>
  <c r="J16" i="65"/>
  <c r="AJ14" i="67" s="1"/>
  <c r="K16" i="65"/>
  <c r="AK14" i="67" s="1"/>
  <c r="L16" i="65"/>
  <c r="AL14" i="67" s="1"/>
  <c r="M16" i="65"/>
  <c r="AM14" i="67" s="1"/>
  <c r="J17" i="65"/>
  <c r="AJ15" i="67" s="1"/>
  <c r="K17" i="65"/>
  <c r="AK15" i="67" s="1"/>
  <c r="L17" i="65"/>
  <c r="AL15" i="67" s="1"/>
  <c r="M17" i="65"/>
  <c r="AM15" i="67" s="1"/>
  <c r="J18" i="65"/>
  <c r="AJ16" i="67" s="1"/>
  <c r="K18" i="65"/>
  <c r="AK16" i="67" s="1"/>
  <c r="L18" i="65"/>
  <c r="AL16" i="67" s="1"/>
  <c r="M18" i="65"/>
  <c r="AM16" i="67" s="1"/>
  <c r="J19" i="65"/>
  <c r="AJ17" i="67" s="1"/>
  <c r="K19" i="65"/>
  <c r="AK17" i="67" s="1"/>
  <c r="L19" i="65"/>
  <c r="AL17" i="67" s="1"/>
  <c r="M19" i="65"/>
  <c r="AM17" i="67" s="1"/>
  <c r="J20" i="65"/>
  <c r="AJ18" i="67" s="1"/>
  <c r="K20" i="65"/>
  <c r="AK18" i="67" s="1"/>
  <c r="L20" i="65"/>
  <c r="AL18" i="67" s="1"/>
  <c r="M20" i="65"/>
  <c r="AM18" i="67" s="1"/>
  <c r="J21" i="65"/>
  <c r="AJ19" i="67" s="1"/>
  <c r="K21" i="65"/>
  <c r="AK19" i="67" s="1"/>
  <c r="L21" i="65"/>
  <c r="AL19" i="67" s="1"/>
  <c r="M21" i="65"/>
  <c r="AM19" i="67" s="1"/>
  <c r="J22" i="65"/>
  <c r="AJ20" i="67" s="1"/>
  <c r="K22" i="65"/>
  <c r="AK20" i="67" s="1"/>
  <c r="L22" i="65"/>
  <c r="AL20" i="67" s="1"/>
  <c r="M22" i="65"/>
  <c r="AM20" i="67" s="1"/>
  <c r="J23" i="65"/>
  <c r="AJ21" i="67" s="1"/>
  <c r="K23" i="65"/>
  <c r="AK21" i="67" s="1"/>
  <c r="L23" i="65"/>
  <c r="AL21" i="67" s="1"/>
  <c r="M23" i="65"/>
  <c r="AM21" i="67" s="1"/>
  <c r="J24" i="65"/>
  <c r="AJ22" i="67" s="1"/>
  <c r="K24" i="65"/>
  <c r="AK22" i="67" s="1"/>
  <c r="L24" i="65"/>
  <c r="AL22" i="67" s="1"/>
  <c r="M24" i="65"/>
  <c r="AM22" i="67" s="1"/>
  <c r="J25" i="65"/>
  <c r="AJ23" i="67" s="1"/>
  <c r="K25" i="65"/>
  <c r="AK23" i="67" s="1"/>
  <c r="L25" i="65"/>
  <c r="AL23" i="67" s="1"/>
  <c r="M25" i="65"/>
  <c r="AM23" i="67" s="1"/>
  <c r="J26" i="65"/>
  <c r="AJ24" i="67" s="1"/>
  <c r="K26" i="65"/>
  <c r="AK24" i="67" s="1"/>
  <c r="L26" i="65"/>
  <c r="AL24" i="67" s="1"/>
  <c r="M26" i="65"/>
  <c r="AM24" i="67" s="1"/>
  <c r="J27" i="65"/>
  <c r="AJ25" i="67" s="1"/>
  <c r="K27" i="65"/>
  <c r="AK25" i="67" s="1"/>
  <c r="L27" i="65"/>
  <c r="AL25" i="67" s="1"/>
  <c r="M27" i="65"/>
  <c r="AM25" i="67" s="1"/>
  <c r="J28" i="65"/>
  <c r="AJ26" i="67" s="1"/>
  <c r="K28" i="65"/>
  <c r="AK26" i="67" s="1"/>
  <c r="L28" i="65"/>
  <c r="AL26" i="67" s="1"/>
  <c r="M28" i="65"/>
  <c r="AM26" i="67" s="1"/>
  <c r="J29" i="65"/>
  <c r="AJ27" i="67" s="1"/>
  <c r="K29" i="65"/>
  <c r="AK27" i="67" s="1"/>
  <c r="L29" i="65"/>
  <c r="AL27" i="67" s="1"/>
  <c r="M29" i="65"/>
  <c r="AM27" i="67" s="1"/>
  <c r="J30" i="65"/>
  <c r="AJ28" i="67" s="1"/>
  <c r="K30" i="65"/>
  <c r="AK28" i="67" s="1"/>
  <c r="L30" i="65"/>
  <c r="AL28" i="67" s="1"/>
  <c r="M30" i="65"/>
  <c r="AM28" i="67" s="1"/>
  <c r="J31" i="65"/>
  <c r="AJ29" i="67" s="1"/>
  <c r="K31" i="65"/>
  <c r="AK29" i="67" s="1"/>
  <c r="L31" i="65"/>
  <c r="AL29" i="67" s="1"/>
  <c r="M31" i="65"/>
  <c r="AM29" i="67" s="1"/>
  <c r="J32" i="65"/>
  <c r="AJ30" i="67" s="1"/>
  <c r="K32" i="65"/>
  <c r="AK30" i="67" s="1"/>
  <c r="L32" i="65"/>
  <c r="AL30" i="67" s="1"/>
  <c r="M32" i="65"/>
  <c r="AM30" i="67" s="1"/>
  <c r="J33" i="65"/>
  <c r="AJ31" i="67" s="1"/>
  <c r="K33" i="65"/>
  <c r="AK31" i="67" s="1"/>
  <c r="L33" i="65"/>
  <c r="AL31" i="67" s="1"/>
  <c r="M33" i="65"/>
  <c r="AM31" i="67" s="1"/>
  <c r="J34" i="65"/>
  <c r="AJ32" i="67" s="1"/>
  <c r="K34" i="65"/>
  <c r="AK32" i="67" s="1"/>
  <c r="L34" i="65"/>
  <c r="AL32" i="67" s="1"/>
  <c r="M34" i="65"/>
  <c r="AM32" i="67" s="1"/>
  <c r="J35" i="65"/>
  <c r="AJ33" i="67" s="1"/>
  <c r="K35" i="65"/>
  <c r="AK33" i="67" s="1"/>
  <c r="L35" i="65"/>
  <c r="AL33" i="67" s="1"/>
  <c r="M35" i="65"/>
  <c r="AM33" i="67" s="1"/>
  <c r="J36" i="65"/>
  <c r="AJ34" i="67" s="1"/>
  <c r="K36" i="65"/>
  <c r="AK34" i="67" s="1"/>
  <c r="L36" i="65"/>
  <c r="AL34" i="67" s="1"/>
  <c r="M36" i="65"/>
  <c r="AM34" i="67" s="1"/>
  <c r="J37" i="65"/>
  <c r="AJ35" i="67" s="1"/>
  <c r="K37" i="65"/>
  <c r="AK35" i="67" s="1"/>
  <c r="L37" i="65"/>
  <c r="AL35" i="67" s="1"/>
  <c r="M37" i="65"/>
  <c r="AM35" i="67" s="1"/>
  <c r="J38" i="65"/>
  <c r="AJ36" i="67" s="1"/>
  <c r="K38" i="65"/>
  <c r="AK36" i="67" s="1"/>
  <c r="L38" i="65"/>
  <c r="AL36" i="67" s="1"/>
  <c r="M38" i="65"/>
  <c r="AM36" i="67" s="1"/>
  <c r="J39" i="65"/>
  <c r="AJ37" i="67" s="1"/>
  <c r="K39" i="65"/>
  <c r="AK37" i="67" s="1"/>
  <c r="L39" i="65"/>
  <c r="AL37" i="67" s="1"/>
  <c r="M39" i="65"/>
  <c r="AM37" i="67" s="1"/>
  <c r="J40" i="65"/>
  <c r="AJ38" i="67" s="1"/>
  <c r="K40" i="65"/>
  <c r="AK38" i="67" s="1"/>
  <c r="L40" i="65"/>
  <c r="AL38" i="67" s="1"/>
  <c r="M40" i="65"/>
  <c r="AM38" i="67" s="1"/>
  <c r="J41" i="65"/>
  <c r="AJ39" i="67" s="1"/>
  <c r="K41" i="65"/>
  <c r="AK39" i="67" s="1"/>
  <c r="L41" i="65"/>
  <c r="AL39" i="67" s="1"/>
  <c r="M41" i="65"/>
  <c r="AM39" i="67" s="1"/>
  <c r="J42" i="65"/>
  <c r="AJ40" i="67" s="1"/>
  <c r="K42" i="65"/>
  <c r="AK40" i="67" s="1"/>
  <c r="L42" i="65"/>
  <c r="AL40" i="67" s="1"/>
  <c r="M42" i="65"/>
  <c r="AM40" i="67" s="1"/>
  <c r="J43" i="65"/>
  <c r="AJ41" i="67" s="1"/>
  <c r="K43" i="65"/>
  <c r="AK41" i="67" s="1"/>
  <c r="L43" i="65"/>
  <c r="AL41" i="67" s="1"/>
  <c r="M43" i="65"/>
  <c r="AM41" i="67" s="1"/>
  <c r="J44" i="65"/>
  <c r="AJ42" i="67" s="1"/>
  <c r="K44" i="65"/>
  <c r="AK42" i="67" s="1"/>
  <c r="L44" i="65"/>
  <c r="AL42" i="67" s="1"/>
  <c r="M44" i="65"/>
  <c r="AM42" i="67" s="1"/>
  <c r="J45" i="65"/>
  <c r="AJ43" i="67" s="1"/>
  <c r="K45" i="65"/>
  <c r="AK43" i="67" s="1"/>
  <c r="L45" i="65"/>
  <c r="AL43" i="67" s="1"/>
  <c r="M45" i="65"/>
  <c r="AM43" i="67" s="1"/>
  <c r="J46" i="65"/>
  <c r="AJ44" i="67" s="1"/>
  <c r="K46" i="65"/>
  <c r="AK44" i="67" s="1"/>
  <c r="L46" i="65"/>
  <c r="AL44" i="67" s="1"/>
  <c r="M46" i="65"/>
  <c r="AM44" i="67" s="1"/>
  <c r="J47" i="65"/>
  <c r="AJ45" i="67" s="1"/>
  <c r="K47" i="65"/>
  <c r="AK45" i="67" s="1"/>
  <c r="L47" i="65"/>
  <c r="AL45" i="67" s="1"/>
  <c r="M47" i="65"/>
  <c r="AM45" i="67" s="1"/>
  <c r="J48" i="65"/>
  <c r="AJ46" i="67" s="1"/>
  <c r="K48" i="65"/>
  <c r="AK46" i="67" s="1"/>
  <c r="L48" i="65"/>
  <c r="AL46" i="67" s="1"/>
  <c r="M48" i="65"/>
  <c r="AM46" i="67" s="1"/>
  <c r="J49" i="65"/>
  <c r="AJ47" i="67" s="1"/>
  <c r="K49" i="65"/>
  <c r="AK47" i="67" s="1"/>
  <c r="L49" i="65"/>
  <c r="AL47" i="67" s="1"/>
  <c r="M49" i="65"/>
  <c r="AM47" i="67" s="1"/>
  <c r="J50" i="65"/>
  <c r="AJ48" i="67" s="1"/>
  <c r="K50" i="65"/>
  <c r="AK48" i="67" s="1"/>
  <c r="L50" i="65"/>
  <c r="AL48" i="67" s="1"/>
  <c r="M50" i="65"/>
  <c r="AM48" i="67" s="1"/>
  <c r="J51" i="65"/>
  <c r="AJ49" i="67" s="1"/>
  <c r="K51" i="65"/>
  <c r="AK49" i="67" s="1"/>
  <c r="L51" i="65"/>
  <c r="AL49" i="67" s="1"/>
  <c r="M51" i="65"/>
  <c r="AM49" i="67" s="1"/>
  <c r="J52" i="65"/>
  <c r="AJ50" i="67" s="1"/>
  <c r="AJ2" i="149" s="1"/>
  <c r="K52" i="65"/>
  <c r="AK50" i="67" s="1"/>
  <c r="AK2" i="149" s="1"/>
  <c r="L52" i="65"/>
  <c r="AL50" i="67" s="1"/>
  <c r="AL2" i="149" s="1"/>
  <c r="M52" i="65"/>
  <c r="AM50" i="67" s="1"/>
  <c r="AM2" i="149" s="1"/>
  <c r="J53" i="65"/>
  <c r="AJ51" i="67" s="1"/>
  <c r="AJ3" i="149" s="1"/>
  <c r="K53" i="65"/>
  <c r="AK51" i="67" s="1"/>
  <c r="AK3" i="149" s="1"/>
  <c r="L53" i="65"/>
  <c r="AL51" i="67" s="1"/>
  <c r="AL3" i="149" s="1"/>
  <c r="M53" i="65"/>
  <c r="AM51" i="67" s="1"/>
  <c r="AM3" i="149" s="1"/>
  <c r="J54" i="65"/>
  <c r="AJ52" i="67" s="1"/>
  <c r="AJ4" i="149" s="1"/>
  <c r="K54" i="65"/>
  <c r="AK52" i="67" s="1"/>
  <c r="AK4" i="149" s="1"/>
  <c r="L54" i="65"/>
  <c r="AL52" i="67" s="1"/>
  <c r="AL4" i="149" s="1"/>
  <c r="M54" i="65"/>
  <c r="AM52" i="67" s="1"/>
  <c r="AM4" i="149" s="1"/>
  <c r="J55" i="65"/>
  <c r="AJ53" i="67" s="1"/>
  <c r="AJ5" i="149" s="1"/>
  <c r="K55" i="65"/>
  <c r="AK53" i="67" s="1"/>
  <c r="AK5" i="149" s="1"/>
  <c r="L55" i="65"/>
  <c r="AL53" i="67" s="1"/>
  <c r="AL5" i="149" s="1"/>
  <c r="M55" i="65"/>
  <c r="AM53" i="67" s="1"/>
  <c r="AM5" i="149" s="1"/>
  <c r="J56" i="65"/>
  <c r="AJ54" i="67" s="1"/>
  <c r="AJ6" i="149" s="1"/>
  <c r="K56" i="65"/>
  <c r="AK54" i="67" s="1"/>
  <c r="AK6" i="149" s="1"/>
  <c r="L56" i="65"/>
  <c r="AL54" i="67" s="1"/>
  <c r="AL6" i="149" s="1"/>
  <c r="M56" i="65"/>
  <c r="AM54" i="67" s="1"/>
  <c r="AM6" i="149" s="1"/>
  <c r="J57" i="65"/>
  <c r="AJ55" i="67" s="1"/>
  <c r="AJ7" i="149" s="1"/>
  <c r="K57" i="65"/>
  <c r="AK55" i="67" s="1"/>
  <c r="AK7" i="149" s="1"/>
  <c r="L57" i="65"/>
  <c r="AL55" i="67" s="1"/>
  <c r="AL7" i="149" s="1"/>
  <c r="M57" i="65"/>
  <c r="AM55" i="67" s="1"/>
  <c r="AM7" i="149" s="1"/>
  <c r="J58" i="65"/>
  <c r="AJ56" i="67" s="1"/>
  <c r="AJ8" i="149" s="1"/>
  <c r="K58" i="65"/>
  <c r="AK56" i="67" s="1"/>
  <c r="AK8" i="149" s="1"/>
  <c r="L58" i="65"/>
  <c r="AL56" i="67" s="1"/>
  <c r="AL8" i="149" s="1"/>
  <c r="M58" i="65"/>
  <c r="AM56" i="67" s="1"/>
  <c r="AM8" i="149" s="1"/>
  <c r="J59" i="65"/>
  <c r="AJ57" i="67" s="1"/>
  <c r="AJ9" i="149" s="1"/>
  <c r="K59" i="65"/>
  <c r="AK57" i="67" s="1"/>
  <c r="AK9" i="149" s="1"/>
  <c r="L59" i="65"/>
  <c r="AL57" i="67" s="1"/>
  <c r="AL9" i="149" s="1"/>
  <c r="M59" i="65"/>
  <c r="AM57" i="67" s="1"/>
  <c r="AM9" i="149" s="1"/>
  <c r="J60" i="65"/>
  <c r="AJ58" i="67" s="1"/>
  <c r="AJ10" i="149" s="1"/>
  <c r="K60" i="65"/>
  <c r="AK58" i="67" s="1"/>
  <c r="AK10" i="149" s="1"/>
  <c r="L60" i="65"/>
  <c r="AL58" i="67" s="1"/>
  <c r="AL10" i="149" s="1"/>
  <c r="M60" i="65"/>
  <c r="AM58" i="67" s="1"/>
  <c r="AM10" i="149" s="1"/>
  <c r="J61" i="65"/>
  <c r="AJ59" i="67" s="1"/>
  <c r="AJ11" i="149" s="1"/>
  <c r="K61" i="65"/>
  <c r="AK59" i="67" s="1"/>
  <c r="AK11" i="149" s="1"/>
  <c r="L61" i="65"/>
  <c r="AL59" i="67" s="1"/>
  <c r="AL11" i="149" s="1"/>
  <c r="M61" i="65"/>
  <c r="AM59" i="67" s="1"/>
  <c r="AM11" i="149" s="1"/>
  <c r="J62" i="65"/>
  <c r="AJ60" i="67" s="1"/>
  <c r="AJ12" i="149" s="1"/>
  <c r="K62" i="65"/>
  <c r="AK60" i="67" s="1"/>
  <c r="AK12" i="149" s="1"/>
  <c r="L62" i="65"/>
  <c r="AL60" i="67" s="1"/>
  <c r="AL12" i="149" s="1"/>
  <c r="M62" i="65"/>
  <c r="AM60" i="67" s="1"/>
  <c r="AM12" i="149" s="1"/>
  <c r="J63" i="65"/>
  <c r="AJ61" i="67" s="1"/>
  <c r="AJ13" i="149" s="1"/>
  <c r="K63" i="65"/>
  <c r="AK61" i="67" s="1"/>
  <c r="AK13" i="149" s="1"/>
  <c r="L63" i="65"/>
  <c r="AL61" i="67" s="1"/>
  <c r="AL13" i="149" s="1"/>
  <c r="M63" i="65"/>
  <c r="AM61" i="67" s="1"/>
  <c r="AM13" i="149" s="1"/>
  <c r="J64" i="65"/>
  <c r="AJ62" i="67" s="1"/>
  <c r="AJ14" i="149" s="1"/>
  <c r="K64" i="65"/>
  <c r="AK62" i="67" s="1"/>
  <c r="AK14" i="149" s="1"/>
  <c r="L64" i="65"/>
  <c r="AL62" i="67" s="1"/>
  <c r="AL14" i="149" s="1"/>
  <c r="M64" i="65"/>
  <c r="AM62" i="67" s="1"/>
  <c r="AM14" i="149" s="1"/>
  <c r="J65" i="65"/>
  <c r="AJ63" i="67" s="1"/>
  <c r="AJ15" i="149" s="1"/>
  <c r="K65" i="65"/>
  <c r="AK63" i="67" s="1"/>
  <c r="AK15" i="149" s="1"/>
  <c r="L65" i="65"/>
  <c r="AL63" i="67" s="1"/>
  <c r="AL15" i="149" s="1"/>
  <c r="M65" i="65"/>
  <c r="AM63" i="67" s="1"/>
  <c r="AM15" i="149" s="1"/>
  <c r="J66" i="65"/>
  <c r="AJ64" i="67" s="1"/>
  <c r="AJ16" i="149" s="1"/>
  <c r="K66" i="65"/>
  <c r="AK64" i="67" s="1"/>
  <c r="AK16" i="149" s="1"/>
  <c r="L66" i="65"/>
  <c r="AL64" i="67" s="1"/>
  <c r="AL16" i="149" s="1"/>
  <c r="M66" i="65"/>
  <c r="AM64" i="67" s="1"/>
  <c r="AM16" i="149" s="1"/>
  <c r="J67" i="65"/>
  <c r="AJ65" i="67" s="1"/>
  <c r="AJ17" i="149" s="1"/>
  <c r="K67" i="65"/>
  <c r="AK65" i="67" s="1"/>
  <c r="AK17" i="149" s="1"/>
  <c r="L67" i="65"/>
  <c r="AL65" i="67" s="1"/>
  <c r="AL17" i="149" s="1"/>
  <c r="M67" i="65"/>
  <c r="AM65" i="67" s="1"/>
  <c r="AM17" i="149" s="1"/>
  <c r="J68" i="65"/>
  <c r="AJ66" i="67" s="1"/>
  <c r="AJ18" i="149" s="1"/>
  <c r="K68" i="65"/>
  <c r="AK66" i="67" s="1"/>
  <c r="AK18" i="149" s="1"/>
  <c r="L68" i="65"/>
  <c r="AL66" i="67" s="1"/>
  <c r="AL18" i="149" s="1"/>
  <c r="M68" i="65"/>
  <c r="AM66" i="67" s="1"/>
  <c r="AM18" i="149" s="1"/>
  <c r="J69" i="65"/>
  <c r="AJ67" i="67" s="1"/>
  <c r="AJ19" i="149" s="1"/>
  <c r="K69" i="65"/>
  <c r="AK67" i="67" s="1"/>
  <c r="AK19" i="149" s="1"/>
  <c r="L69" i="65"/>
  <c r="AL67" i="67" s="1"/>
  <c r="AL19" i="149" s="1"/>
  <c r="M69" i="65"/>
  <c r="AM67" i="67" s="1"/>
  <c r="AM19" i="149" s="1"/>
  <c r="J70" i="65"/>
  <c r="AJ68" i="67" s="1"/>
  <c r="AJ20" i="149" s="1"/>
  <c r="K70" i="65"/>
  <c r="AK68" i="67" s="1"/>
  <c r="AK20" i="149" s="1"/>
  <c r="L70" i="65"/>
  <c r="AL68" i="67" s="1"/>
  <c r="AL20" i="149" s="1"/>
  <c r="M70" i="65"/>
  <c r="AM68" i="67" s="1"/>
  <c r="AM20" i="149" s="1"/>
  <c r="J71" i="65"/>
  <c r="AJ69" i="67" s="1"/>
  <c r="AJ21" i="149" s="1"/>
  <c r="K71" i="65"/>
  <c r="AK69" i="67" s="1"/>
  <c r="AK21" i="149" s="1"/>
  <c r="L71" i="65"/>
  <c r="AL69" i="67" s="1"/>
  <c r="AL21" i="149" s="1"/>
  <c r="M71" i="65"/>
  <c r="AM69" i="67" s="1"/>
  <c r="AM21" i="149" s="1"/>
  <c r="J72" i="65"/>
  <c r="AJ70" i="67" s="1"/>
  <c r="AJ22" i="149" s="1"/>
  <c r="K72" i="65"/>
  <c r="AK70" i="67" s="1"/>
  <c r="AK22" i="149" s="1"/>
  <c r="L72" i="65"/>
  <c r="AL70" i="67" s="1"/>
  <c r="AL22" i="149" s="1"/>
  <c r="M72" i="65"/>
  <c r="AM70" i="67" s="1"/>
  <c r="AM22" i="149" s="1"/>
  <c r="J73" i="65"/>
  <c r="AJ71" i="67" s="1"/>
  <c r="AJ23" i="149" s="1"/>
  <c r="K73" i="65"/>
  <c r="AK71" i="67" s="1"/>
  <c r="AK23" i="149" s="1"/>
  <c r="L73" i="65"/>
  <c r="AL71" i="67" s="1"/>
  <c r="AL23" i="149" s="1"/>
  <c r="M73" i="65"/>
  <c r="AM71" i="67" s="1"/>
  <c r="AM23" i="149" s="1"/>
  <c r="J74" i="65"/>
  <c r="AJ72" i="67" s="1"/>
  <c r="AJ24" i="149" s="1"/>
  <c r="K74" i="65"/>
  <c r="AK72" i="67" s="1"/>
  <c r="AK24" i="149" s="1"/>
  <c r="L74" i="65"/>
  <c r="AL72" i="67" s="1"/>
  <c r="AL24" i="149" s="1"/>
  <c r="M74" i="65"/>
  <c r="AM72" i="67" s="1"/>
  <c r="AM24" i="149" s="1"/>
  <c r="J75" i="65"/>
  <c r="AJ73" i="67" s="1"/>
  <c r="AJ25" i="149" s="1"/>
  <c r="K75" i="65"/>
  <c r="AK73" i="67" s="1"/>
  <c r="AK25" i="149" s="1"/>
  <c r="L75" i="65"/>
  <c r="AL73" i="67" s="1"/>
  <c r="AL25" i="149" s="1"/>
  <c r="M75" i="65"/>
  <c r="AM73" i="67" s="1"/>
  <c r="AM25" i="149" s="1"/>
  <c r="J76" i="65"/>
  <c r="AJ74" i="67" s="1"/>
  <c r="AJ26" i="149" s="1"/>
  <c r="K76" i="65"/>
  <c r="AK74" i="67" s="1"/>
  <c r="AK26" i="149" s="1"/>
  <c r="L76" i="65"/>
  <c r="AL74" i="67" s="1"/>
  <c r="AL26" i="149" s="1"/>
  <c r="M76" i="65"/>
  <c r="AM74" i="67" s="1"/>
  <c r="AM26" i="149" s="1"/>
  <c r="J77" i="65"/>
  <c r="AJ75" i="67" s="1"/>
  <c r="AJ27" i="149" s="1"/>
  <c r="K77" i="65"/>
  <c r="AK75" i="67" s="1"/>
  <c r="AK27" i="149" s="1"/>
  <c r="L77" i="65"/>
  <c r="AL75" i="67" s="1"/>
  <c r="AL27" i="149" s="1"/>
  <c r="M77" i="65"/>
  <c r="AM75" i="67" s="1"/>
  <c r="AM27" i="149" s="1"/>
  <c r="J78" i="65"/>
  <c r="AJ76" i="67" s="1"/>
  <c r="AJ28" i="149" s="1"/>
  <c r="K78" i="65"/>
  <c r="AK76" i="67" s="1"/>
  <c r="AK28" i="149" s="1"/>
  <c r="L78" i="65"/>
  <c r="AL76" i="67" s="1"/>
  <c r="AL28" i="149" s="1"/>
  <c r="M78" i="65"/>
  <c r="AM76" i="67" s="1"/>
  <c r="AM28" i="149" s="1"/>
  <c r="J79" i="65"/>
  <c r="AJ77" i="67" s="1"/>
  <c r="AJ29" i="149" s="1"/>
  <c r="K79" i="65"/>
  <c r="AK77" i="67" s="1"/>
  <c r="AK29" i="149" s="1"/>
  <c r="L79" i="65"/>
  <c r="AL77" i="67" s="1"/>
  <c r="AL29" i="149" s="1"/>
  <c r="M79" i="65"/>
  <c r="AM77" i="67" s="1"/>
  <c r="AM29" i="149" s="1"/>
  <c r="J80" i="65"/>
  <c r="AJ78" i="67" s="1"/>
  <c r="AJ30" i="149" s="1"/>
  <c r="K80" i="65"/>
  <c r="AK78" i="67" s="1"/>
  <c r="AK30" i="149" s="1"/>
  <c r="L80" i="65"/>
  <c r="AL78" i="67" s="1"/>
  <c r="AL30" i="149" s="1"/>
  <c r="M80" i="65"/>
  <c r="AM78" i="67" s="1"/>
  <c r="AM30" i="149" s="1"/>
  <c r="J81" i="65"/>
  <c r="AJ79" i="67" s="1"/>
  <c r="AJ31" i="149" s="1"/>
  <c r="K81" i="65"/>
  <c r="AK79" i="67" s="1"/>
  <c r="AK31" i="149" s="1"/>
  <c r="L81" i="65"/>
  <c r="AL79" i="67" s="1"/>
  <c r="AL31" i="149" s="1"/>
  <c r="M81" i="65"/>
  <c r="AM79" i="67" s="1"/>
  <c r="AM31" i="149" s="1"/>
  <c r="J82" i="65"/>
  <c r="AJ80" i="67" s="1"/>
  <c r="AJ32" i="149" s="1"/>
  <c r="K82" i="65"/>
  <c r="AK80" i="67" s="1"/>
  <c r="AK32" i="149" s="1"/>
  <c r="L82" i="65"/>
  <c r="AL80" i="67" s="1"/>
  <c r="AL32" i="149" s="1"/>
  <c r="M82" i="65"/>
  <c r="AM80" i="67" s="1"/>
  <c r="AM32" i="149" s="1"/>
  <c r="J83" i="65"/>
  <c r="AJ81" i="67" s="1"/>
  <c r="AJ33" i="149" s="1"/>
  <c r="K83" i="65"/>
  <c r="AK81" i="67" s="1"/>
  <c r="AK33" i="149" s="1"/>
  <c r="L83" i="65"/>
  <c r="AL81" i="67" s="1"/>
  <c r="AL33" i="149" s="1"/>
  <c r="M83" i="65"/>
  <c r="AM81" i="67" s="1"/>
  <c r="AM33" i="149" s="1"/>
  <c r="J84" i="65"/>
  <c r="AJ82" i="67" s="1"/>
  <c r="AJ34" i="149" s="1"/>
  <c r="K84" i="65"/>
  <c r="AK82" i="67" s="1"/>
  <c r="AK34" i="149" s="1"/>
  <c r="L84" i="65"/>
  <c r="AL82" i="67" s="1"/>
  <c r="AL34" i="149" s="1"/>
  <c r="M84" i="65"/>
  <c r="AM82" i="67" s="1"/>
  <c r="AM34" i="149" s="1"/>
  <c r="J85" i="65"/>
  <c r="AJ83" i="67" s="1"/>
  <c r="AJ35" i="149" s="1"/>
  <c r="K85" i="65"/>
  <c r="AK83" i="67" s="1"/>
  <c r="AK35" i="149" s="1"/>
  <c r="L85" i="65"/>
  <c r="AL83" i="67" s="1"/>
  <c r="AL35" i="149" s="1"/>
  <c r="M85" i="65"/>
  <c r="AM83" i="67" s="1"/>
  <c r="AM35" i="149" s="1"/>
  <c r="J86" i="65"/>
  <c r="AJ84" i="67" s="1"/>
  <c r="AJ36" i="149" s="1"/>
  <c r="K86" i="65"/>
  <c r="AK84" i="67" s="1"/>
  <c r="AK36" i="149" s="1"/>
  <c r="L86" i="65"/>
  <c r="AL84" i="67" s="1"/>
  <c r="AL36" i="149" s="1"/>
  <c r="M86" i="65"/>
  <c r="AM84" i="67" s="1"/>
  <c r="AM36" i="149" s="1"/>
  <c r="J87" i="65"/>
  <c r="AJ85" i="67" s="1"/>
  <c r="AJ37" i="149" s="1"/>
  <c r="K87" i="65"/>
  <c r="AK85" i="67" s="1"/>
  <c r="AK37" i="149" s="1"/>
  <c r="L87" i="65"/>
  <c r="AL85" i="67" s="1"/>
  <c r="AL37" i="149" s="1"/>
  <c r="M87" i="65"/>
  <c r="AM85" i="67" s="1"/>
  <c r="AM37" i="149" s="1"/>
  <c r="J88" i="65"/>
  <c r="AJ86" i="67" s="1"/>
  <c r="AJ38" i="149" s="1"/>
  <c r="K88" i="65"/>
  <c r="AK86" i="67" s="1"/>
  <c r="AK38" i="149" s="1"/>
  <c r="L88" i="65"/>
  <c r="AL86" i="67" s="1"/>
  <c r="AL38" i="149" s="1"/>
  <c r="M88" i="65"/>
  <c r="AM86" i="67" s="1"/>
  <c r="AM38" i="149" s="1"/>
  <c r="J89" i="65"/>
  <c r="AJ87" i="67" s="1"/>
  <c r="AJ39" i="149" s="1"/>
  <c r="K89" i="65"/>
  <c r="AK87" i="67" s="1"/>
  <c r="AK39" i="149" s="1"/>
  <c r="L89" i="65"/>
  <c r="AL87" i="67" s="1"/>
  <c r="AL39" i="149" s="1"/>
  <c r="M89" i="65"/>
  <c r="AM87" i="67" s="1"/>
  <c r="AM39" i="149" s="1"/>
  <c r="J90" i="65"/>
  <c r="AJ88" i="67" s="1"/>
  <c r="AJ40" i="149" s="1"/>
  <c r="K90" i="65"/>
  <c r="AK88" i="67" s="1"/>
  <c r="AK40" i="149" s="1"/>
  <c r="L90" i="65"/>
  <c r="AL88" i="67" s="1"/>
  <c r="AL40" i="149" s="1"/>
  <c r="M90" i="65"/>
  <c r="AM88" i="67" s="1"/>
  <c r="AM40" i="149" s="1"/>
  <c r="J91" i="65"/>
  <c r="AJ89" i="67" s="1"/>
  <c r="AJ41" i="149" s="1"/>
  <c r="K91" i="65"/>
  <c r="AK89" i="67" s="1"/>
  <c r="AK41" i="149" s="1"/>
  <c r="L91" i="65"/>
  <c r="AL89" i="67" s="1"/>
  <c r="AL41" i="149" s="1"/>
  <c r="M91" i="65"/>
  <c r="AM89" i="67" s="1"/>
  <c r="AM41" i="149" s="1"/>
  <c r="J92" i="65"/>
  <c r="AJ90" i="67" s="1"/>
  <c r="AJ42" i="149" s="1"/>
  <c r="K92" i="65"/>
  <c r="AK90" i="67" s="1"/>
  <c r="AK42" i="149" s="1"/>
  <c r="L92" i="65"/>
  <c r="AL90" i="67" s="1"/>
  <c r="AL42" i="149" s="1"/>
  <c r="M92" i="65"/>
  <c r="AM90" i="67" s="1"/>
  <c r="AM42" i="149" s="1"/>
  <c r="J93" i="65"/>
  <c r="AJ91" i="67" s="1"/>
  <c r="AJ43" i="149" s="1"/>
  <c r="K93" i="65"/>
  <c r="AK91" i="67" s="1"/>
  <c r="AK43" i="149" s="1"/>
  <c r="L93" i="65"/>
  <c r="AL91" i="67" s="1"/>
  <c r="AL43" i="149" s="1"/>
  <c r="M93" i="65"/>
  <c r="AM91" i="67" s="1"/>
  <c r="AM43" i="149" s="1"/>
  <c r="J94" i="65"/>
  <c r="AJ92" i="67" s="1"/>
  <c r="AJ44" i="149" s="1"/>
  <c r="K94" i="65"/>
  <c r="AK92" i="67" s="1"/>
  <c r="AK44" i="149" s="1"/>
  <c r="L94" i="65"/>
  <c r="AL92" i="67" s="1"/>
  <c r="AL44" i="149" s="1"/>
  <c r="M94" i="65"/>
  <c r="AM92" i="67" s="1"/>
  <c r="AM44" i="149" s="1"/>
  <c r="J95" i="65"/>
  <c r="AJ93" i="67" s="1"/>
  <c r="AJ45" i="149" s="1"/>
  <c r="K95" i="65"/>
  <c r="AK93" i="67" s="1"/>
  <c r="AK45" i="149" s="1"/>
  <c r="L95" i="65"/>
  <c r="AL93" i="67" s="1"/>
  <c r="AL45" i="149" s="1"/>
  <c r="M95" i="65"/>
  <c r="AM93" i="67" s="1"/>
  <c r="AM45" i="149" s="1"/>
  <c r="J96" i="65"/>
  <c r="AJ94" i="67" s="1"/>
  <c r="AJ46" i="149" s="1"/>
  <c r="K96" i="65"/>
  <c r="AK94" i="67" s="1"/>
  <c r="AK46" i="149" s="1"/>
  <c r="L96" i="65"/>
  <c r="AL94" i="67" s="1"/>
  <c r="AL46" i="149" s="1"/>
  <c r="M96" i="65"/>
  <c r="AM94" i="67" s="1"/>
  <c r="AM46" i="149" s="1"/>
  <c r="J97" i="65"/>
  <c r="AJ95" i="67" s="1"/>
  <c r="AJ47" i="149" s="1"/>
  <c r="K97" i="65"/>
  <c r="AK95" i="67" s="1"/>
  <c r="AK47" i="149" s="1"/>
  <c r="L97" i="65"/>
  <c r="AL95" i="67" s="1"/>
  <c r="AL47" i="149" s="1"/>
  <c r="M97" i="65"/>
  <c r="AM95" i="67" s="1"/>
  <c r="AM47" i="149" s="1"/>
  <c r="J98" i="65"/>
  <c r="AJ96" i="67" s="1"/>
  <c r="AJ48" i="149" s="1"/>
  <c r="K98" i="65"/>
  <c r="AK96" i="67" s="1"/>
  <c r="AK48" i="149" s="1"/>
  <c r="L98" i="65"/>
  <c r="AL96" i="67" s="1"/>
  <c r="AL48" i="149" s="1"/>
  <c r="M98" i="65"/>
  <c r="AM96" i="67" s="1"/>
  <c r="AM48" i="149" s="1"/>
  <c r="J99" i="65"/>
  <c r="AJ97" i="67" s="1"/>
  <c r="AJ49" i="149" s="1"/>
  <c r="K99" i="65"/>
  <c r="AK97" i="67" s="1"/>
  <c r="AK49" i="149" s="1"/>
  <c r="L99" i="65"/>
  <c r="AL97" i="67" s="1"/>
  <c r="AL49" i="149" s="1"/>
  <c r="M99" i="65"/>
  <c r="AM97" i="67" s="1"/>
  <c r="AM49" i="149" s="1"/>
  <c r="J100" i="65"/>
  <c r="AJ98" i="67" s="1"/>
  <c r="AJ50" i="149" s="1"/>
  <c r="K100" i="65"/>
  <c r="AK98" i="67" s="1"/>
  <c r="AK50" i="149" s="1"/>
  <c r="L100" i="65"/>
  <c r="AL98" i="67" s="1"/>
  <c r="AL50" i="149" s="1"/>
  <c r="M100" i="65"/>
  <c r="AM98" i="67" s="1"/>
  <c r="AM50" i="149" s="1"/>
  <c r="J101" i="65"/>
  <c r="AJ99" i="67" s="1"/>
  <c r="AJ51" i="149" s="1"/>
  <c r="K101" i="65"/>
  <c r="AK99" i="67" s="1"/>
  <c r="AK51" i="149" s="1"/>
  <c r="L101" i="65"/>
  <c r="AL99" i="67" s="1"/>
  <c r="AL51" i="149" s="1"/>
  <c r="M101" i="65"/>
  <c r="AM99" i="67" s="1"/>
  <c r="AM51" i="149" s="1"/>
  <c r="J102" i="65"/>
  <c r="AJ100" i="67" s="1"/>
  <c r="AJ52" i="149" s="1"/>
  <c r="K102" i="65"/>
  <c r="AK100" i="67" s="1"/>
  <c r="AK52" i="149" s="1"/>
  <c r="L102" i="65"/>
  <c r="AL100" i="67" s="1"/>
  <c r="AL52" i="149" s="1"/>
  <c r="M102" i="65"/>
  <c r="AM100" i="67" s="1"/>
  <c r="AM52" i="149" s="1"/>
  <c r="J103" i="65"/>
  <c r="AJ101" i="67" s="1"/>
  <c r="AJ53" i="149" s="1"/>
  <c r="K103" i="65"/>
  <c r="AK101" i="67" s="1"/>
  <c r="AK53" i="149" s="1"/>
  <c r="L103" i="65"/>
  <c r="AL101" i="67" s="1"/>
  <c r="AL53" i="149" s="1"/>
  <c r="M103" i="65"/>
  <c r="AM101" i="67" s="1"/>
  <c r="AM53" i="149" s="1"/>
  <c r="J104" i="65"/>
  <c r="AJ102" i="67" s="1"/>
  <c r="AJ54" i="149" s="1"/>
  <c r="K104" i="65"/>
  <c r="AK102" i="67" s="1"/>
  <c r="AK54" i="149" s="1"/>
  <c r="L104" i="65"/>
  <c r="AL102" i="67" s="1"/>
  <c r="AL54" i="149" s="1"/>
  <c r="M104" i="65"/>
  <c r="AM102" i="67" s="1"/>
  <c r="AM54" i="149" s="1"/>
  <c r="J105" i="65"/>
  <c r="AJ103" i="67" s="1"/>
  <c r="AJ55" i="149" s="1"/>
  <c r="K105" i="65"/>
  <c r="AK103" i="67" s="1"/>
  <c r="AK55" i="149" s="1"/>
  <c r="L105" i="65"/>
  <c r="AL103" i="67" s="1"/>
  <c r="AL55" i="149" s="1"/>
  <c r="M105" i="65"/>
  <c r="AM103" i="67" s="1"/>
  <c r="AM55" i="149" s="1"/>
  <c r="J106" i="65"/>
  <c r="AJ104" i="67" s="1"/>
  <c r="AJ56" i="149" s="1"/>
  <c r="K106" i="65"/>
  <c r="AK104" i="67" s="1"/>
  <c r="AK56" i="149" s="1"/>
  <c r="L106" i="65"/>
  <c r="AL104" i="67" s="1"/>
  <c r="AL56" i="149" s="1"/>
  <c r="M106" i="65"/>
  <c r="AM104" i="67" s="1"/>
  <c r="AM56" i="149" s="1"/>
  <c r="J107" i="65"/>
  <c r="AJ105" i="67" s="1"/>
  <c r="AJ57" i="149" s="1"/>
  <c r="K107" i="65"/>
  <c r="AK105" i="67" s="1"/>
  <c r="AK57" i="149" s="1"/>
  <c r="L107" i="65"/>
  <c r="AL105" i="67" s="1"/>
  <c r="AL57" i="149" s="1"/>
  <c r="M107" i="65"/>
  <c r="AM105" i="67" s="1"/>
  <c r="AM57" i="149" s="1"/>
  <c r="J108" i="65"/>
  <c r="AJ106" i="67" s="1"/>
  <c r="AJ58" i="149" s="1"/>
  <c r="K108" i="65"/>
  <c r="AK106" i="67" s="1"/>
  <c r="AK58" i="149" s="1"/>
  <c r="L108" i="65"/>
  <c r="AL106" i="67" s="1"/>
  <c r="AL58" i="149" s="1"/>
  <c r="M108" i="65"/>
  <c r="AM106" i="67" s="1"/>
  <c r="AM58" i="149" s="1"/>
  <c r="J109" i="65"/>
  <c r="AJ107" i="67" s="1"/>
  <c r="AJ59" i="149" s="1"/>
  <c r="K109" i="65"/>
  <c r="AK107" i="67" s="1"/>
  <c r="AK59" i="149" s="1"/>
  <c r="L109" i="65"/>
  <c r="AL107" i="67" s="1"/>
  <c r="AL59" i="149" s="1"/>
  <c r="M109" i="65"/>
  <c r="AM107" i="67" s="1"/>
  <c r="AM59" i="149" s="1"/>
  <c r="K110" i="65"/>
  <c r="AK108" i="67" s="1"/>
  <c r="AK60" i="149" s="1"/>
  <c r="L110" i="65"/>
  <c r="AL108" i="67" s="1"/>
  <c r="AL60" i="149" s="1"/>
  <c r="M110" i="65"/>
  <c r="AM108" i="67" s="1"/>
  <c r="AM60" i="149" s="1"/>
  <c r="K111" i="65"/>
  <c r="AK109" i="67" s="1"/>
  <c r="AK61" i="149" s="1"/>
  <c r="L111" i="65"/>
  <c r="AL109" i="67" s="1"/>
  <c r="AL61" i="149" s="1"/>
  <c r="M111" i="65"/>
  <c r="AM109" i="67" s="1"/>
  <c r="AM61" i="149" s="1"/>
  <c r="R1" i="34"/>
  <c r="L122" i="38"/>
  <c r="L123" i="38"/>
  <c r="L124" i="38"/>
  <c r="L125" i="38"/>
  <c r="L126" i="38"/>
  <c r="L127" i="38"/>
  <c r="K2" i="30"/>
  <c r="K3" i="30"/>
  <c r="K4" i="30"/>
  <c r="K5" i="30"/>
  <c r="K6" i="30"/>
  <c r="K7" i="30"/>
  <c r="K8" i="30"/>
  <c r="K9" i="30"/>
  <c r="K10" i="30"/>
  <c r="K11" i="30"/>
  <c r="K12" i="30"/>
  <c r="K13" i="30"/>
  <c r="K14" i="30"/>
  <c r="K15" i="30"/>
  <c r="K16" i="30"/>
  <c r="K17" i="30"/>
  <c r="K18" i="30"/>
  <c r="K19" i="30"/>
  <c r="K20" i="30"/>
  <c r="K21" i="30"/>
  <c r="K22" i="30"/>
  <c r="K23" i="30"/>
  <c r="K24" i="30"/>
  <c r="K25" i="30"/>
  <c r="K26" i="30"/>
  <c r="K27" i="30"/>
  <c r="K28" i="30"/>
  <c r="K29" i="30"/>
  <c r="K30" i="30"/>
  <c r="K31" i="30"/>
  <c r="K32" i="30"/>
  <c r="K33" i="30"/>
  <c r="K34" i="30"/>
  <c r="K35" i="30"/>
  <c r="K36" i="30"/>
  <c r="K37" i="30"/>
  <c r="K38" i="30"/>
  <c r="K39" i="30"/>
  <c r="K40" i="30"/>
  <c r="K41" i="30"/>
  <c r="K42" i="30"/>
  <c r="K43" i="30"/>
  <c r="K44" i="30"/>
  <c r="K45" i="30"/>
  <c r="K46" i="30"/>
  <c r="K47" i="30"/>
  <c r="K48" i="30"/>
  <c r="K49" i="30"/>
  <c r="K50" i="30"/>
  <c r="K51" i="30"/>
  <c r="K52" i="30"/>
  <c r="K53" i="30"/>
  <c r="K54" i="30"/>
  <c r="K55" i="30"/>
  <c r="K56" i="30"/>
  <c r="K57" i="30"/>
  <c r="K58" i="30"/>
  <c r="K59" i="30"/>
  <c r="K60" i="30"/>
  <c r="K61" i="30"/>
  <c r="K62" i="30"/>
  <c r="K63" i="30"/>
  <c r="K64" i="30"/>
  <c r="K65" i="30"/>
  <c r="K66" i="30"/>
  <c r="K67" i="30"/>
  <c r="K68" i="30"/>
  <c r="K69" i="30"/>
  <c r="K70" i="30"/>
  <c r="K71" i="30"/>
  <c r="K72" i="30"/>
  <c r="K73" i="30"/>
  <c r="K74" i="30"/>
  <c r="K75" i="30"/>
  <c r="K76" i="30"/>
  <c r="K77" i="30"/>
  <c r="K78" i="30"/>
  <c r="K79" i="30"/>
  <c r="K80" i="30"/>
  <c r="K81" i="30"/>
  <c r="K82" i="30"/>
  <c r="K83" i="30"/>
  <c r="K84" i="30"/>
  <c r="K85" i="30"/>
  <c r="K86" i="30"/>
  <c r="K87" i="30"/>
  <c r="K88" i="30"/>
  <c r="K89" i="30"/>
  <c r="K90" i="30"/>
  <c r="K91" i="30"/>
  <c r="K92" i="30"/>
  <c r="K93" i="30"/>
  <c r="K94" i="30"/>
  <c r="K95" i="30"/>
  <c r="K96" i="30"/>
  <c r="K97" i="30"/>
  <c r="K98" i="30"/>
  <c r="K99" i="30"/>
  <c r="K100" i="30"/>
  <c r="K101" i="30"/>
  <c r="K102" i="30"/>
  <c r="K103" i="30"/>
  <c r="K104" i="30"/>
  <c r="K105" i="30"/>
  <c r="K106" i="30"/>
  <c r="K107" i="30"/>
  <c r="K108" i="30"/>
  <c r="K109" i="30"/>
  <c r="K110" i="30"/>
  <c r="K111" i="30"/>
  <c r="K112" i="30"/>
  <c r="K113" i="30"/>
  <c r="K114" i="30"/>
  <c r="K115" i="30"/>
  <c r="K116" i="30"/>
  <c r="K117" i="30"/>
  <c r="K118" i="30"/>
  <c r="K119" i="30"/>
  <c r="K120" i="30"/>
  <c r="K121" i="30"/>
  <c r="B13" i="34" l="1"/>
  <c r="C13" i="34"/>
  <c r="B13" i="77"/>
  <c r="C13" i="77"/>
  <c r="B13" i="76"/>
  <c r="C13" i="76"/>
  <c r="B13" i="75"/>
  <c r="C13" i="75"/>
  <c r="C13" i="36"/>
  <c r="B13" i="36"/>
  <c r="B13" i="28"/>
  <c r="C13" i="28"/>
  <c r="C13" i="32"/>
  <c r="B13" i="32"/>
  <c r="B13" i="30"/>
  <c r="C13" i="30"/>
  <c r="C13" i="154"/>
  <c r="B13" i="154"/>
  <c r="B13" i="155"/>
  <c r="C13" i="155"/>
  <c r="A15" i="67"/>
  <c r="A14" i="155"/>
  <c r="A14" i="154"/>
  <c r="A14" i="28"/>
  <c r="A14" i="30"/>
  <c r="A14" i="36"/>
  <c r="A14" i="32"/>
  <c r="A14" i="75"/>
  <c r="A14" i="76"/>
  <c r="A14" i="77"/>
  <c r="A14" i="34"/>
  <c r="A14" i="38"/>
  <c r="R196" i="150"/>
  <c r="AP195" i="150"/>
  <c r="U196" i="150"/>
  <c r="AS195" i="150"/>
  <c r="T196" i="150"/>
  <c r="AR195" i="150"/>
  <c r="S196" i="150"/>
  <c r="AQ195" i="150"/>
  <c r="Y196" i="150"/>
  <c r="AW195" i="150"/>
  <c r="X196" i="150"/>
  <c r="AV195" i="150"/>
  <c r="AA196" i="150"/>
  <c r="AY195" i="150"/>
  <c r="Z195" i="150"/>
  <c r="AX194" i="150"/>
  <c r="Q197" i="150"/>
  <c r="AO196" i="150"/>
  <c r="W196" i="150"/>
  <c r="AU195" i="150"/>
  <c r="V196" i="150"/>
  <c r="AT195" i="150"/>
  <c r="J111" i="65"/>
  <c r="AJ109" i="67" s="1"/>
  <c r="AJ61" i="149" s="1"/>
  <c r="B14" i="75" l="1"/>
  <c r="C14" i="75"/>
  <c r="B14" i="77"/>
  <c r="C14" i="77"/>
  <c r="C14" i="32"/>
  <c r="B14" i="32"/>
  <c r="C14" i="155"/>
  <c r="B14" i="155"/>
  <c r="C14" i="30"/>
  <c r="B14" i="30"/>
  <c r="B14" i="36"/>
  <c r="C14" i="36"/>
  <c r="B14" i="76"/>
  <c r="C14" i="76"/>
  <c r="B14" i="28"/>
  <c r="C14" i="28"/>
  <c r="C14" i="154"/>
  <c r="B14" i="154"/>
  <c r="A16" i="67"/>
  <c r="A15" i="155"/>
  <c r="A15" i="154"/>
  <c r="A15" i="34"/>
  <c r="A15" i="38"/>
  <c r="A15" i="28"/>
  <c r="A15" i="36"/>
  <c r="A15" i="30"/>
  <c r="A15" i="32"/>
  <c r="A15" i="75"/>
  <c r="A15" i="76"/>
  <c r="A15" i="77"/>
  <c r="AA197" i="150"/>
  <c r="AY196" i="150"/>
  <c r="Y197" i="150"/>
  <c r="AW196" i="150"/>
  <c r="Z196" i="150"/>
  <c r="AX195" i="150"/>
  <c r="X197" i="150"/>
  <c r="AV196" i="150"/>
  <c r="S197" i="150"/>
  <c r="AQ196" i="150"/>
  <c r="V197" i="150"/>
  <c r="AT196" i="150"/>
  <c r="T197" i="150"/>
  <c r="AR196" i="150"/>
  <c r="W197" i="150"/>
  <c r="AU196" i="150"/>
  <c r="U197" i="150"/>
  <c r="AS196" i="150"/>
  <c r="Q198" i="150"/>
  <c r="AO197" i="150"/>
  <c r="AP196" i="150"/>
  <c r="R197" i="150"/>
  <c r="C15" i="77" l="1"/>
  <c r="B15" i="77"/>
  <c r="B15" i="76"/>
  <c r="C15" i="76"/>
  <c r="C15" i="32"/>
  <c r="B15" i="32"/>
  <c r="C15" i="75"/>
  <c r="B15" i="75"/>
  <c r="C15" i="28"/>
  <c r="B15" i="28"/>
  <c r="B15" i="36"/>
  <c r="C15" i="36"/>
  <c r="C15" i="154"/>
  <c r="B15" i="154"/>
  <c r="B15" i="155"/>
  <c r="C15" i="155"/>
  <c r="A17" i="67"/>
  <c r="A16" i="155"/>
  <c r="A16" i="154"/>
  <c r="A16" i="77"/>
  <c r="A16" i="34"/>
  <c r="A16" i="38"/>
  <c r="A16" i="28"/>
  <c r="A16" i="36"/>
  <c r="A16" i="30"/>
  <c r="A16" i="32"/>
  <c r="A16" i="75"/>
  <c r="A16" i="76"/>
  <c r="B15" i="30"/>
  <c r="C15" i="30"/>
  <c r="W198" i="150"/>
  <c r="AU197" i="150"/>
  <c r="R198" i="150"/>
  <c r="AP197" i="150"/>
  <c r="T198" i="150"/>
  <c r="AR197" i="150"/>
  <c r="S198" i="150"/>
  <c r="AQ197" i="150"/>
  <c r="X198" i="150"/>
  <c r="AV197" i="150"/>
  <c r="Z197" i="150"/>
  <c r="AX196" i="150"/>
  <c r="V198" i="150"/>
  <c r="AT197" i="150"/>
  <c r="Q199" i="150"/>
  <c r="AO198" i="150"/>
  <c r="Y198" i="150"/>
  <c r="AW197" i="150"/>
  <c r="U198" i="150"/>
  <c r="AS197" i="150"/>
  <c r="AA198" i="150"/>
  <c r="AY197" i="150"/>
  <c r="B16" i="76" l="1"/>
  <c r="C16" i="76"/>
  <c r="B16" i="75"/>
  <c r="C16" i="75"/>
  <c r="C16" i="32"/>
  <c r="B16" i="32"/>
  <c r="B16" i="36"/>
  <c r="C16" i="36"/>
  <c r="B16" i="30"/>
  <c r="C16" i="30"/>
  <c r="B16" i="28"/>
  <c r="C16" i="28"/>
  <c r="C16" i="154"/>
  <c r="B16" i="154"/>
  <c r="C16" i="155"/>
  <c r="B16" i="155"/>
  <c r="C16" i="77"/>
  <c r="B16" i="77"/>
  <c r="A18" i="67"/>
  <c r="A17" i="155"/>
  <c r="A17" i="154"/>
  <c r="A17" i="76"/>
  <c r="A17" i="77"/>
  <c r="A17" i="34"/>
  <c r="A17" i="38"/>
  <c r="A17" i="28"/>
  <c r="A17" i="30"/>
  <c r="A17" i="36"/>
  <c r="A17" i="32"/>
  <c r="A17" i="75"/>
  <c r="V199" i="150"/>
  <c r="AT198" i="150"/>
  <c r="Q200" i="150"/>
  <c r="AO199" i="150"/>
  <c r="Z198" i="150"/>
  <c r="AX197" i="150"/>
  <c r="X199" i="150"/>
  <c r="AV198" i="150"/>
  <c r="S199" i="150"/>
  <c r="AQ198" i="150"/>
  <c r="AA199" i="150"/>
  <c r="AY198" i="150"/>
  <c r="T199" i="150"/>
  <c r="AR198" i="150"/>
  <c r="U199" i="150"/>
  <c r="AS198" i="150"/>
  <c r="R199" i="150"/>
  <c r="AP198" i="150"/>
  <c r="Y199" i="150"/>
  <c r="AW198" i="150"/>
  <c r="W199" i="150"/>
  <c r="AU198" i="150"/>
  <c r="O103" i="65"/>
  <c r="AO101" i="67" s="1"/>
  <c r="AO53" i="149" s="1"/>
  <c r="O104" i="65"/>
  <c r="AO102" i="67" s="1"/>
  <c r="AO54" i="149" s="1"/>
  <c r="O105" i="65"/>
  <c r="AO103" i="67" s="1"/>
  <c r="AO55" i="149" s="1"/>
  <c r="O19" i="65"/>
  <c r="AO17" i="67" s="1"/>
  <c r="O20" i="65"/>
  <c r="AO18" i="67" s="1"/>
  <c r="O21" i="65"/>
  <c r="AO19" i="67" s="1"/>
  <c r="O23" i="65"/>
  <c r="AO21" i="67" s="1"/>
  <c r="O24" i="65"/>
  <c r="AO22" i="67" s="1"/>
  <c r="O25" i="65"/>
  <c r="AO23" i="67" s="1"/>
  <c r="O26" i="65"/>
  <c r="AO24" i="67" s="1"/>
  <c r="O28" i="65"/>
  <c r="AO26" i="67" s="1"/>
  <c r="O29" i="65"/>
  <c r="AO27" i="67" s="1"/>
  <c r="O30" i="65"/>
  <c r="AO28" i="67" s="1"/>
  <c r="O31" i="65"/>
  <c r="AO29" i="67" s="1"/>
  <c r="O32" i="65"/>
  <c r="AO30" i="67" s="1"/>
  <c r="O34" i="65"/>
  <c r="AO32" i="67" s="1"/>
  <c r="O35" i="65"/>
  <c r="AO33" i="67" s="1"/>
  <c r="O36" i="65"/>
  <c r="AO34" i="67" s="1"/>
  <c r="O37" i="65"/>
  <c r="AO35" i="67" s="1"/>
  <c r="O39" i="65"/>
  <c r="AO37" i="67" s="1"/>
  <c r="O40" i="65"/>
  <c r="AO38" i="67" s="1"/>
  <c r="O41" i="65"/>
  <c r="AO39" i="67" s="1"/>
  <c r="O42" i="65"/>
  <c r="AO40" i="67" s="1"/>
  <c r="O44" i="65"/>
  <c r="AO42" i="67" s="1"/>
  <c r="O45" i="65"/>
  <c r="AO43" i="67" s="1"/>
  <c r="O46" i="65"/>
  <c r="AO44" i="67" s="1"/>
  <c r="O47" i="65"/>
  <c r="AO45" i="67" s="1"/>
  <c r="O48" i="65"/>
  <c r="AO46" i="67" s="1"/>
  <c r="O50" i="65"/>
  <c r="AO48" i="67" s="1"/>
  <c r="O51" i="65"/>
  <c r="AO49" i="67" s="1"/>
  <c r="O52" i="65"/>
  <c r="AO50" i="67" s="1"/>
  <c r="AO2" i="149" s="1"/>
  <c r="O53" i="65"/>
  <c r="AO51" i="67" s="1"/>
  <c r="AO3" i="149" s="1"/>
  <c r="O55" i="65"/>
  <c r="AO53" i="67" s="1"/>
  <c r="AO5" i="149" s="1"/>
  <c r="O56" i="65"/>
  <c r="AO54" i="67" s="1"/>
  <c r="AO6" i="149" s="1"/>
  <c r="O57" i="65"/>
  <c r="AO55" i="67" s="1"/>
  <c r="AO7" i="149" s="1"/>
  <c r="O58" i="65"/>
  <c r="AO56" i="67" s="1"/>
  <c r="AO8" i="149" s="1"/>
  <c r="O60" i="65"/>
  <c r="AO58" i="67" s="1"/>
  <c r="AO10" i="149" s="1"/>
  <c r="O63" i="65"/>
  <c r="AO61" i="67" s="1"/>
  <c r="AO13" i="149" s="1"/>
  <c r="O64" i="65"/>
  <c r="AO62" i="67" s="1"/>
  <c r="AO14" i="149" s="1"/>
  <c r="O66" i="65"/>
  <c r="AO64" i="67" s="1"/>
  <c r="AO16" i="149" s="1"/>
  <c r="O67" i="65"/>
  <c r="AO65" i="67" s="1"/>
  <c r="AO17" i="149" s="1"/>
  <c r="O68" i="65"/>
  <c r="AO66" i="67" s="1"/>
  <c r="AO18" i="149" s="1"/>
  <c r="O69" i="65"/>
  <c r="AO67" i="67" s="1"/>
  <c r="AO19" i="149" s="1"/>
  <c r="O71" i="65"/>
  <c r="AO69" i="67" s="1"/>
  <c r="AO21" i="149" s="1"/>
  <c r="O72" i="65"/>
  <c r="AO70" i="67" s="1"/>
  <c r="AO22" i="149" s="1"/>
  <c r="O73" i="65"/>
  <c r="AO71" i="67" s="1"/>
  <c r="AO23" i="149" s="1"/>
  <c r="O74" i="65"/>
  <c r="AO72" i="67" s="1"/>
  <c r="AO24" i="149" s="1"/>
  <c r="O76" i="65"/>
  <c r="AO74" i="67" s="1"/>
  <c r="AO26" i="149" s="1"/>
  <c r="O79" i="65"/>
  <c r="AO77" i="67" s="1"/>
  <c r="AO29" i="149" s="1"/>
  <c r="O80" i="65"/>
  <c r="AO78" i="67" s="1"/>
  <c r="AO30" i="149" s="1"/>
  <c r="O83" i="65"/>
  <c r="AO81" i="67" s="1"/>
  <c r="AO33" i="149" s="1"/>
  <c r="O84" i="65"/>
  <c r="AO82" i="67" s="1"/>
  <c r="AO34" i="149" s="1"/>
  <c r="O85" i="65"/>
  <c r="AO83" i="67" s="1"/>
  <c r="AO35" i="149" s="1"/>
  <c r="O87" i="65"/>
  <c r="AO85" i="67" s="1"/>
  <c r="AO37" i="149" s="1"/>
  <c r="O88" i="65"/>
  <c r="AO86" i="67" s="1"/>
  <c r="AO38" i="149" s="1"/>
  <c r="O89" i="65"/>
  <c r="AO87" i="67" s="1"/>
  <c r="AO39" i="149" s="1"/>
  <c r="O90" i="65"/>
  <c r="AO88" i="67" s="1"/>
  <c r="AO40" i="149" s="1"/>
  <c r="O92" i="65"/>
  <c r="AO90" i="67" s="1"/>
  <c r="AO42" i="149" s="1"/>
  <c r="O94" i="65"/>
  <c r="AO92" i="67" s="1"/>
  <c r="AO44" i="149" s="1"/>
  <c r="O95" i="65"/>
  <c r="AO93" i="67" s="1"/>
  <c r="AO45" i="149" s="1"/>
  <c r="O96" i="65"/>
  <c r="AO94" i="67" s="1"/>
  <c r="AO46" i="149" s="1"/>
  <c r="O98" i="65"/>
  <c r="AO96" i="67" s="1"/>
  <c r="AO48" i="149" s="1"/>
  <c r="O99" i="65"/>
  <c r="AO97" i="67" s="1"/>
  <c r="AO49" i="149" s="1"/>
  <c r="BU109" i="67"/>
  <c r="BU108" i="67"/>
  <c r="BU107" i="67"/>
  <c r="BU106" i="67"/>
  <c r="BU105" i="67"/>
  <c r="BU104" i="67"/>
  <c r="BU103" i="67"/>
  <c r="BU102" i="67"/>
  <c r="BU101" i="67"/>
  <c r="BU100" i="67"/>
  <c r="BU99" i="67"/>
  <c r="BU98" i="67"/>
  <c r="BU97" i="67"/>
  <c r="BU96" i="67"/>
  <c r="BU95" i="67"/>
  <c r="BU94" i="67"/>
  <c r="BU93" i="67"/>
  <c r="BU92" i="67"/>
  <c r="BU91" i="67"/>
  <c r="BU90" i="67"/>
  <c r="BU89" i="67"/>
  <c r="BU88" i="67"/>
  <c r="BU87" i="67"/>
  <c r="BU86" i="67"/>
  <c r="BU85" i="67"/>
  <c r="BP85" i="67"/>
  <c r="BP37" i="149" s="1"/>
  <c r="BO85" i="67"/>
  <c r="BN85" i="67"/>
  <c r="BM85" i="67"/>
  <c r="BL85" i="67"/>
  <c r="BK85" i="67"/>
  <c r="BJ85" i="67"/>
  <c r="BI85" i="67"/>
  <c r="BH85" i="67"/>
  <c r="BG85" i="67"/>
  <c r="BF85" i="67"/>
  <c r="BE85" i="67"/>
  <c r="BU84" i="67"/>
  <c r="BP84" i="67"/>
  <c r="BP36" i="149" s="1"/>
  <c r="BO84" i="67"/>
  <c r="BN84" i="67"/>
  <c r="BM84" i="67"/>
  <c r="BL84" i="67"/>
  <c r="BK84" i="67"/>
  <c r="BJ84" i="67"/>
  <c r="BI84" i="67"/>
  <c r="BH84" i="67"/>
  <c r="BG84" i="67"/>
  <c r="BF84" i="67"/>
  <c r="BE84" i="67"/>
  <c r="BU83" i="67"/>
  <c r="BP83" i="67"/>
  <c r="BP35" i="149" s="1"/>
  <c r="BO83" i="67"/>
  <c r="BN83" i="67"/>
  <c r="BM83" i="67"/>
  <c r="BL83" i="67"/>
  <c r="BK83" i="67"/>
  <c r="BJ83" i="67"/>
  <c r="BI83" i="67"/>
  <c r="BH83" i="67"/>
  <c r="BG83" i="67"/>
  <c r="BF83" i="67"/>
  <c r="BE83" i="67"/>
  <c r="BU82" i="67"/>
  <c r="BP82" i="67"/>
  <c r="BP34" i="149" s="1"/>
  <c r="BO82" i="67"/>
  <c r="BN82" i="67"/>
  <c r="BM82" i="67"/>
  <c r="BL82" i="67"/>
  <c r="BK82" i="67"/>
  <c r="BJ82" i="67"/>
  <c r="BI82" i="67"/>
  <c r="BH82" i="67"/>
  <c r="BG82" i="67"/>
  <c r="BF82" i="67"/>
  <c r="BE82" i="67"/>
  <c r="BU81" i="67"/>
  <c r="BP81" i="67"/>
  <c r="BP33" i="149" s="1"/>
  <c r="BO81" i="67"/>
  <c r="BN81" i="67"/>
  <c r="BM81" i="67"/>
  <c r="BL81" i="67"/>
  <c r="BK81" i="67"/>
  <c r="BJ81" i="67"/>
  <c r="BI81" i="67"/>
  <c r="BH81" i="67"/>
  <c r="BG81" i="67"/>
  <c r="BF81" i="67"/>
  <c r="BE81" i="67"/>
  <c r="BU80" i="67"/>
  <c r="BP80" i="67"/>
  <c r="BP32" i="149" s="1"/>
  <c r="BO80" i="67"/>
  <c r="BN80" i="67"/>
  <c r="BM80" i="67"/>
  <c r="BL80" i="67"/>
  <c r="BK80" i="67"/>
  <c r="BJ80" i="67"/>
  <c r="BI80" i="67"/>
  <c r="BH80" i="67"/>
  <c r="BG80" i="67"/>
  <c r="BF80" i="67"/>
  <c r="BE80" i="67"/>
  <c r="BU79" i="67"/>
  <c r="BP79" i="67"/>
  <c r="BP31" i="149" s="1"/>
  <c r="BO79" i="67"/>
  <c r="BN79" i="67"/>
  <c r="BM79" i="67"/>
  <c r="BL79" i="67"/>
  <c r="BK79" i="67"/>
  <c r="BJ79" i="67"/>
  <c r="BI79" i="67"/>
  <c r="BH79" i="67"/>
  <c r="BG79" i="67"/>
  <c r="BF79" i="67"/>
  <c r="BE79" i="67"/>
  <c r="BU78" i="67"/>
  <c r="BP78" i="67"/>
  <c r="BP30" i="149" s="1"/>
  <c r="BO78" i="67"/>
  <c r="BN78" i="67"/>
  <c r="BM78" i="67"/>
  <c r="BL78" i="67"/>
  <c r="BK78" i="67"/>
  <c r="BJ78" i="67"/>
  <c r="BI78" i="67"/>
  <c r="BH78" i="67"/>
  <c r="BG78" i="67"/>
  <c r="BF78" i="67"/>
  <c r="BE78" i="67"/>
  <c r="BU77" i="67"/>
  <c r="BP77" i="67"/>
  <c r="BP29" i="149" s="1"/>
  <c r="BO77" i="67"/>
  <c r="BN77" i="67"/>
  <c r="BM77" i="67"/>
  <c r="BL77" i="67"/>
  <c r="BK77" i="67"/>
  <c r="BJ77" i="67"/>
  <c r="BI77" i="67"/>
  <c r="BH77" i="67"/>
  <c r="BG77" i="67"/>
  <c r="BF77" i="67"/>
  <c r="BE77" i="67"/>
  <c r="BU76" i="67"/>
  <c r="BP76" i="67"/>
  <c r="BP28" i="149" s="1"/>
  <c r="BO76" i="67"/>
  <c r="BN76" i="67"/>
  <c r="BM76" i="67"/>
  <c r="BL76" i="67"/>
  <c r="BK76" i="67"/>
  <c r="BJ76" i="67"/>
  <c r="BI76" i="67"/>
  <c r="BH76" i="67"/>
  <c r="BG76" i="67"/>
  <c r="BF76" i="67"/>
  <c r="BE76" i="67"/>
  <c r="BU75" i="67"/>
  <c r="BP75" i="67"/>
  <c r="BP27" i="149" s="1"/>
  <c r="BO75" i="67"/>
  <c r="BN75" i="67"/>
  <c r="BM75" i="67"/>
  <c r="BL75" i="67"/>
  <c r="BK75" i="67"/>
  <c r="BJ75" i="67"/>
  <c r="BI75" i="67"/>
  <c r="BH75" i="67"/>
  <c r="BG75" i="67"/>
  <c r="BF75" i="67"/>
  <c r="BE75" i="67"/>
  <c r="BU74" i="67"/>
  <c r="BP74" i="67"/>
  <c r="BP26" i="149" s="1"/>
  <c r="BO74" i="67"/>
  <c r="BN74" i="67"/>
  <c r="BM74" i="67"/>
  <c r="BL74" i="67"/>
  <c r="BK74" i="67"/>
  <c r="BJ74" i="67"/>
  <c r="BI74" i="67"/>
  <c r="BH74" i="67"/>
  <c r="BG74" i="67"/>
  <c r="BF74" i="67"/>
  <c r="BE74" i="67"/>
  <c r="BU73" i="67"/>
  <c r="BS73" i="67"/>
  <c r="BS25" i="149" s="1"/>
  <c r="BR73" i="67"/>
  <c r="BQ73" i="67"/>
  <c r="BU72" i="67"/>
  <c r="BS72" i="67"/>
  <c r="BS24" i="149" s="1"/>
  <c r="BR72" i="67"/>
  <c r="BQ72" i="67"/>
  <c r="BU71" i="67"/>
  <c r="BS71" i="67"/>
  <c r="BS23" i="149" s="1"/>
  <c r="BR71" i="67"/>
  <c r="BQ71" i="67"/>
  <c r="BU70" i="67"/>
  <c r="BS70" i="67"/>
  <c r="BS22" i="149" s="1"/>
  <c r="BR70" i="67"/>
  <c r="BQ70" i="67"/>
  <c r="BU69" i="67"/>
  <c r="BS69" i="67"/>
  <c r="BS21" i="149" s="1"/>
  <c r="BR69" i="67"/>
  <c r="BQ69" i="67"/>
  <c r="BU68" i="67"/>
  <c r="BS68" i="67"/>
  <c r="BS20" i="149" s="1"/>
  <c r="BR68" i="67"/>
  <c r="BQ68" i="67"/>
  <c r="BU67" i="67"/>
  <c r="BS67" i="67"/>
  <c r="BS19" i="149" s="1"/>
  <c r="BR67" i="67"/>
  <c r="BQ67" i="67"/>
  <c r="BU66" i="67"/>
  <c r="BS66" i="67"/>
  <c r="BS18" i="149" s="1"/>
  <c r="BR66" i="67"/>
  <c r="BQ66" i="67"/>
  <c r="BU65" i="67"/>
  <c r="BS65" i="67"/>
  <c r="BS17" i="149" s="1"/>
  <c r="BR65" i="67"/>
  <c r="BQ65" i="67"/>
  <c r="BU64" i="67"/>
  <c r="BS64" i="67"/>
  <c r="BS16" i="149" s="1"/>
  <c r="BR64" i="67"/>
  <c r="BQ64" i="67"/>
  <c r="BU63" i="67"/>
  <c r="BS63" i="67"/>
  <c r="BS15" i="149" s="1"/>
  <c r="BR63" i="67"/>
  <c r="BQ63" i="67"/>
  <c r="BU62" i="67"/>
  <c r="BS62" i="67"/>
  <c r="BS14" i="149" s="1"/>
  <c r="BR62" i="67"/>
  <c r="BQ62" i="67"/>
  <c r="BD3" i="67"/>
  <c r="BC3" i="67"/>
  <c r="BB3" i="67"/>
  <c r="BA3" i="67"/>
  <c r="AZ3" i="67"/>
  <c r="AY3" i="67"/>
  <c r="AX3" i="67"/>
  <c r="AW3" i="67"/>
  <c r="AV3" i="67"/>
  <c r="AU3" i="67"/>
  <c r="AT3" i="67"/>
  <c r="AS3" i="67"/>
  <c r="AR3" i="67"/>
  <c r="AQ3" i="67"/>
  <c r="AP3" i="67"/>
  <c r="BD2" i="67"/>
  <c r="BC2" i="67"/>
  <c r="BB2" i="67"/>
  <c r="BA2" i="67"/>
  <c r="AZ2" i="67"/>
  <c r="AY2" i="67"/>
  <c r="AX2" i="67"/>
  <c r="AW2" i="67"/>
  <c r="AV2" i="67"/>
  <c r="AU2" i="67"/>
  <c r="AT2" i="67"/>
  <c r="AS2" i="67"/>
  <c r="AR2" i="67"/>
  <c r="AQ2" i="67"/>
  <c r="AP2" i="67"/>
  <c r="C18" i="67"/>
  <c r="B18" i="67"/>
  <c r="C17" i="67"/>
  <c r="B17" i="67"/>
  <c r="C16" i="67"/>
  <c r="B16" i="67"/>
  <c r="C15" i="67"/>
  <c r="B15" i="67"/>
  <c r="C14" i="67"/>
  <c r="B14" i="67"/>
  <c r="C13" i="67"/>
  <c r="B13" i="67"/>
  <c r="C12" i="67"/>
  <c r="B12" i="67"/>
  <c r="C11" i="67"/>
  <c r="B11" i="67"/>
  <c r="C10" i="67"/>
  <c r="B10" i="67"/>
  <c r="C9" i="67"/>
  <c r="B9" i="67"/>
  <c r="C8" i="67"/>
  <c r="B8" i="67"/>
  <c r="C7" i="67"/>
  <c r="B7" i="67"/>
  <c r="CO6" i="67"/>
  <c r="C6" i="67"/>
  <c r="B6" i="67"/>
  <c r="CO5" i="67"/>
  <c r="C5" i="67"/>
  <c r="B5" i="67"/>
  <c r="CO4" i="67"/>
  <c r="C4" i="67"/>
  <c r="B4" i="67"/>
  <c r="C3" i="67"/>
  <c r="B3" i="67"/>
  <c r="BT3" i="67"/>
  <c r="C2" i="67"/>
  <c r="B2" i="67"/>
  <c r="BU29" i="149" l="1"/>
  <c r="J77" i="76"/>
  <c r="J125" i="76" s="1"/>
  <c r="H77" i="34"/>
  <c r="H125" i="34" s="1"/>
  <c r="J77" i="75"/>
  <c r="J125" i="75" s="1"/>
  <c r="H77" i="38"/>
  <c r="H125" i="38" s="1"/>
  <c r="H77" i="30"/>
  <c r="H77" i="28"/>
  <c r="P77" i="28" s="1"/>
  <c r="S77" i="28" s="1"/>
  <c r="BU42" i="149"/>
  <c r="J90" i="76"/>
  <c r="J138" i="76" s="1"/>
  <c r="H90" i="34"/>
  <c r="H138" i="34" s="1"/>
  <c r="H90" i="30"/>
  <c r="H90" i="38"/>
  <c r="H138" i="38" s="1"/>
  <c r="H90" i="28"/>
  <c r="P90" i="28" s="1"/>
  <c r="S90" i="28" s="1"/>
  <c r="J90" i="75"/>
  <c r="J138" i="75" s="1"/>
  <c r="BU58" i="149"/>
  <c r="H106" i="30"/>
  <c r="J106" i="76"/>
  <c r="H106" i="38"/>
  <c r="H106" i="34"/>
  <c r="J106" i="75"/>
  <c r="H106" i="28"/>
  <c r="P106" i="28" s="1"/>
  <c r="S106" i="28" s="1"/>
  <c r="BU15" i="149"/>
  <c r="J63" i="76"/>
  <c r="H63" i="34"/>
  <c r="H63" i="30"/>
  <c r="J63" i="75"/>
  <c r="H63" i="38"/>
  <c r="H63" i="28"/>
  <c r="P63" i="28" s="1"/>
  <c r="S63" i="28" s="1"/>
  <c r="G3" i="155"/>
  <c r="M3" i="155" s="1"/>
  <c r="O3" i="155" s="1"/>
  <c r="P3" i="155" s="1"/>
  <c r="Q3" i="155" s="1"/>
  <c r="E3" i="32"/>
  <c r="G3" i="76"/>
  <c r="I3" i="77"/>
  <c r="E3" i="30"/>
  <c r="E3" i="154"/>
  <c r="I3" i="154" s="1"/>
  <c r="BU28" i="149"/>
  <c r="H76" i="34"/>
  <c r="H124" i="34" s="1"/>
  <c r="H76" i="30"/>
  <c r="J76" i="76"/>
  <c r="J124" i="76" s="1"/>
  <c r="J76" i="75"/>
  <c r="J124" i="75" s="1"/>
  <c r="H76" i="38"/>
  <c r="H124" i="38" s="1"/>
  <c r="H76" i="28"/>
  <c r="P76" i="28" s="1"/>
  <c r="S76" i="28" s="1"/>
  <c r="F2" i="154"/>
  <c r="J2" i="154" s="1"/>
  <c r="J2" i="77"/>
  <c r="F2" i="32"/>
  <c r="BU30" i="149"/>
  <c r="J78" i="76"/>
  <c r="J126" i="76" s="1"/>
  <c r="H78" i="30"/>
  <c r="H78" i="34"/>
  <c r="H126" i="34" s="1"/>
  <c r="J78" i="75"/>
  <c r="J126" i="75" s="1"/>
  <c r="H78" i="28"/>
  <c r="P78" i="28" s="1"/>
  <c r="S78" i="28" s="1"/>
  <c r="H78" i="38"/>
  <c r="H126" i="38" s="1"/>
  <c r="F3" i="32"/>
  <c r="J3" i="77"/>
  <c r="F3" i="154"/>
  <c r="J3" i="154" s="1"/>
  <c r="H63" i="155"/>
  <c r="N63" i="155" s="1"/>
  <c r="O63" i="155" s="1"/>
  <c r="P63" i="155" s="1"/>
  <c r="Q63" i="155" s="1"/>
  <c r="V63" i="77"/>
  <c r="Q63" i="36"/>
  <c r="W63" i="36" s="1"/>
  <c r="Q66" i="36"/>
  <c r="W66" i="36" s="1"/>
  <c r="H66" i="155"/>
  <c r="N66" i="155" s="1"/>
  <c r="O66" i="155" s="1"/>
  <c r="P66" i="155" s="1"/>
  <c r="Q66" i="155" s="1"/>
  <c r="V66" i="77"/>
  <c r="Q70" i="36"/>
  <c r="W70" i="36" s="1"/>
  <c r="H70" i="155"/>
  <c r="N70" i="155" s="1"/>
  <c r="O70" i="155" s="1"/>
  <c r="P70" i="155" s="1"/>
  <c r="Q70" i="155" s="1"/>
  <c r="V70" i="77"/>
  <c r="BU35" i="149"/>
  <c r="J83" i="76"/>
  <c r="J131" i="76" s="1"/>
  <c r="H83" i="30"/>
  <c r="H83" i="34"/>
  <c r="H131" i="34" s="1"/>
  <c r="J83" i="75"/>
  <c r="J131" i="75" s="1"/>
  <c r="H83" i="38"/>
  <c r="H131" i="38" s="1"/>
  <c r="H83" i="28"/>
  <c r="P83" i="28" s="1"/>
  <c r="S83" i="28" s="1"/>
  <c r="BU43" i="149"/>
  <c r="H91" i="30"/>
  <c r="H91" i="34"/>
  <c r="H139" i="34" s="1"/>
  <c r="J91" i="75"/>
  <c r="J139" i="75" s="1"/>
  <c r="H91" i="38"/>
  <c r="H139" i="38" s="1"/>
  <c r="J91" i="76"/>
  <c r="J139" i="76" s="1"/>
  <c r="H91" i="28"/>
  <c r="P91" i="28" s="1"/>
  <c r="S91" i="28" s="1"/>
  <c r="BU59" i="149"/>
  <c r="J107" i="76"/>
  <c r="H107" i="30"/>
  <c r="J107" i="75"/>
  <c r="H107" i="38"/>
  <c r="H107" i="34"/>
  <c r="H107" i="28"/>
  <c r="P107" i="28" s="1"/>
  <c r="S107" i="28" s="1"/>
  <c r="BU44" i="149"/>
  <c r="H92" i="34"/>
  <c r="H140" i="34" s="1"/>
  <c r="H92" i="30"/>
  <c r="J92" i="76"/>
  <c r="J140" i="76" s="1"/>
  <c r="J92" i="75"/>
  <c r="J140" i="75" s="1"/>
  <c r="H92" i="38"/>
  <c r="H140" i="38" s="1"/>
  <c r="H92" i="28"/>
  <c r="P92" i="28" s="1"/>
  <c r="S92" i="28" s="1"/>
  <c r="BU60" i="149"/>
  <c r="H108" i="34"/>
  <c r="H108" i="30"/>
  <c r="J108" i="76"/>
  <c r="J108" i="75"/>
  <c r="H108" i="38"/>
  <c r="H108" i="28"/>
  <c r="P108" i="28" s="1"/>
  <c r="S108" i="28" s="1"/>
  <c r="B17" i="75"/>
  <c r="C17" i="75"/>
  <c r="B17" i="32"/>
  <c r="C17" i="32"/>
  <c r="BU45" i="149"/>
  <c r="J93" i="76"/>
  <c r="J141" i="76" s="1"/>
  <c r="H93" i="34"/>
  <c r="H141" i="34" s="1"/>
  <c r="J93" i="75"/>
  <c r="J141" i="75" s="1"/>
  <c r="H93" i="38"/>
  <c r="H141" i="38" s="1"/>
  <c r="H93" i="30"/>
  <c r="H93" i="28"/>
  <c r="P93" i="28" s="1"/>
  <c r="S93" i="28" s="1"/>
  <c r="BU61" i="149"/>
  <c r="J109" i="76"/>
  <c r="H109" i="34"/>
  <c r="H109" i="30"/>
  <c r="J109" i="75"/>
  <c r="H109" i="38"/>
  <c r="H109" i="28"/>
  <c r="P109" i="28" s="1"/>
  <c r="S109" i="28" s="1"/>
  <c r="BU46" i="149"/>
  <c r="J94" i="76"/>
  <c r="J142" i="76" s="1"/>
  <c r="H94" i="34"/>
  <c r="H142" i="34" s="1"/>
  <c r="H94" i="30"/>
  <c r="J94" i="75"/>
  <c r="J142" i="75" s="1"/>
  <c r="H94" i="38"/>
  <c r="H142" i="38" s="1"/>
  <c r="H94" i="28"/>
  <c r="P94" i="28" s="1"/>
  <c r="S94" i="28" s="1"/>
  <c r="B17" i="36"/>
  <c r="C17" i="36"/>
  <c r="BU18" i="149"/>
  <c r="J66" i="76"/>
  <c r="H66" i="30"/>
  <c r="H66" i="34"/>
  <c r="J66" i="75"/>
  <c r="H66" i="38"/>
  <c r="H66" i="28"/>
  <c r="P66" i="28" s="1"/>
  <c r="S66" i="28" s="1"/>
  <c r="BU22" i="149"/>
  <c r="H70" i="34"/>
  <c r="H70" i="30"/>
  <c r="J70" i="76"/>
  <c r="J70" i="75"/>
  <c r="H70" i="38"/>
  <c r="H70" i="28"/>
  <c r="P70" i="28" s="1"/>
  <c r="S70" i="28" s="1"/>
  <c r="BU34" i="149"/>
  <c r="J82" i="76"/>
  <c r="J130" i="76" s="1"/>
  <c r="H82" i="30"/>
  <c r="H82" i="34"/>
  <c r="H130" i="34" s="1"/>
  <c r="J82" i="75"/>
  <c r="J130" i="75" s="1"/>
  <c r="H82" i="38"/>
  <c r="H130" i="38" s="1"/>
  <c r="H82" i="28"/>
  <c r="P82" i="28" s="1"/>
  <c r="S82" i="28" s="1"/>
  <c r="G2" i="155"/>
  <c r="M2" i="155" s="1"/>
  <c r="O2" i="155" s="1"/>
  <c r="I2" i="77"/>
  <c r="G2" i="76"/>
  <c r="E2" i="30"/>
  <c r="E2" i="32"/>
  <c r="E2" i="154"/>
  <c r="I2" i="154" s="1"/>
  <c r="Q67" i="36"/>
  <c r="W67" i="36" s="1"/>
  <c r="H67" i="155"/>
  <c r="N67" i="155" s="1"/>
  <c r="O67" i="155" s="1"/>
  <c r="P67" i="155" s="1"/>
  <c r="Q67" i="155" s="1"/>
  <c r="V67" i="77"/>
  <c r="Q71" i="36"/>
  <c r="W71" i="36" s="1"/>
  <c r="H71" i="155"/>
  <c r="N71" i="155" s="1"/>
  <c r="O71" i="155" s="1"/>
  <c r="P71" i="155" s="1"/>
  <c r="Q71" i="155" s="1"/>
  <c r="V71" i="77"/>
  <c r="BU47" i="149"/>
  <c r="J95" i="76"/>
  <c r="J143" i="76" s="1"/>
  <c r="H95" i="30"/>
  <c r="H95" i="38"/>
  <c r="H143" i="38" s="1"/>
  <c r="J95" i="75"/>
  <c r="J143" i="75" s="1"/>
  <c r="H95" i="34"/>
  <c r="H143" i="34" s="1"/>
  <c r="H95" i="28"/>
  <c r="P95" i="28" s="1"/>
  <c r="S95" i="28" s="1"/>
  <c r="B17" i="30"/>
  <c r="C17" i="30"/>
  <c r="BU48" i="149"/>
  <c r="H96" i="34"/>
  <c r="H144" i="34" s="1"/>
  <c r="J96" i="76"/>
  <c r="J144" i="76" s="1"/>
  <c r="H96" i="30"/>
  <c r="J96" i="75"/>
  <c r="J144" i="75" s="1"/>
  <c r="H96" i="38"/>
  <c r="H144" i="38" s="1"/>
  <c r="H96" i="28"/>
  <c r="P96" i="28" s="1"/>
  <c r="S96" i="28" s="1"/>
  <c r="C17" i="28"/>
  <c r="B17" i="28"/>
  <c r="B17" i="77"/>
  <c r="C17" i="77"/>
  <c r="Q72" i="36"/>
  <c r="W72" i="36" s="1"/>
  <c r="H72" i="155"/>
  <c r="N72" i="155" s="1"/>
  <c r="O72" i="155" s="1"/>
  <c r="P72" i="155" s="1"/>
  <c r="Q72" i="155" s="1"/>
  <c r="V72" i="77"/>
  <c r="B17" i="76"/>
  <c r="C17" i="76"/>
  <c r="BU16" i="149"/>
  <c r="H64" i="34"/>
  <c r="H64" i="30"/>
  <c r="J64" i="76"/>
  <c r="J64" i="75"/>
  <c r="H64" i="38"/>
  <c r="H64" i="28"/>
  <c r="P64" i="28" s="1"/>
  <c r="S64" i="28" s="1"/>
  <c r="H68" i="155"/>
  <c r="N68" i="155" s="1"/>
  <c r="O68" i="155" s="1"/>
  <c r="P68" i="155" s="1"/>
  <c r="Q68" i="155" s="1"/>
  <c r="V68" i="77"/>
  <c r="Q68" i="36"/>
  <c r="W68" i="36" s="1"/>
  <c r="H62" i="155"/>
  <c r="N62" i="155" s="1"/>
  <c r="O62" i="155" s="1"/>
  <c r="P62" i="155" s="1"/>
  <c r="Q62" i="155" s="1"/>
  <c r="V62" i="77"/>
  <c r="Q62" i="36"/>
  <c r="W62" i="36" s="1"/>
  <c r="BU20" i="149"/>
  <c r="J68" i="76"/>
  <c r="H68" i="34"/>
  <c r="H68" i="30"/>
  <c r="J68" i="75"/>
  <c r="H68" i="38"/>
  <c r="H68" i="28"/>
  <c r="P68" i="28" s="1"/>
  <c r="S68" i="28" s="1"/>
  <c r="BU24" i="149"/>
  <c r="H72" i="30"/>
  <c r="H72" i="34"/>
  <c r="J72" i="76"/>
  <c r="J72" i="75"/>
  <c r="H72" i="38"/>
  <c r="H72" i="28"/>
  <c r="P72" i="28" s="1"/>
  <c r="S72" i="28" s="1"/>
  <c r="BU37" i="149"/>
  <c r="J85" i="76"/>
  <c r="J133" i="76" s="1"/>
  <c r="H85" i="34"/>
  <c r="H133" i="34" s="1"/>
  <c r="H85" i="30"/>
  <c r="H85" i="38"/>
  <c r="H133" i="38" s="1"/>
  <c r="H85" i="28"/>
  <c r="P85" i="28" s="1"/>
  <c r="S85" i="28" s="1"/>
  <c r="J85" i="75"/>
  <c r="J133" i="75" s="1"/>
  <c r="BU53" i="149"/>
  <c r="H101" i="34"/>
  <c r="J101" i="76"/>
  <c r="H101" i="30"/>
  <c r="J101" i="75"/>
  <c r="H101" i="28"/>
  <c r="P101" i="28" s="1"/>
  <c r="S101" i="28" s="1"/>
  <c r="H101" i="38"/>
  <c r="C17" i="154"/>
  <c r="B17" i="154"/>
  <c r="BU27" i="149"/>
  <c r="H75" i="30"/>
  <c r="H75" i="34"/>
  <c r="H123" i="34" s="1"/>
  <c r="J75" i="76"/>
  <c r="J123" i="76" s="1"/>
  <c r="J75" i="75"/>
  <c r="J123" i="75" s="1"/>
  <c r="H75" i="38"/>
  <c r="H123" i="38" s="1"/>
  <c r="H75" i="28"/>
  <c r="P75" i="28" s="1"/>
  <c r="S75" i="28" s="1"/>
  <c r="BU38" i="149"/>
  <c r="H86" i="34"/>
  <c r="H134" i="34" s="1"/>
  <c r="H86" i="30"/>
  <c r="J86" i="76"/>
  <c r="J134" i="76" s="1"/>
  <c r="J86" i="75"/>
  <c r="J134" i="75" s="1"/>
  <c r="H86" i="38"/>
  <c r="H134" i="38" s="1"/>
  <c r="H86" i="28"/>
  <c r="P86" i="28" s="1"/>
  <c r="S86" i="28" s="1"/>
  <c r="B17" i="155"/>
  <c r="C17" i="155"/>
  <c r="BU19" i="149"/>
  <c r="J67" i="76"/>
  <c r="H67" i="30"/>
  <c r="H67" i="34"/>
  <c r="J67" i="75"/>
  <c r="H67" i="38"/>
  <c r="H67" i="28"/>
  <c r="P67" i="28" s="1"/>
  <c r="S67" i="28" s="1"/>
  <c r="BU26" i="149"/>
  <c r="J74" i="76"/>
  <c r="J122" i="76" s="1"/>
  <c r="Q122" i="76" s="1"/>
  <c r="H74" i="30"/>
  <c r="H74" i="38"/>
  <c r="H122" i="38" s="1"/>
  <c r="H74" i="34"/>
  <c r="H122" i="34" s="1"/>
  <c r="J74" i="75"/>
  <c r="J122" i="75" s="1"/>
  <c r="H74" i="28"/>
  <c r="P74" i="28" s="1"/>
  <c r="S74" i="28" s="1"/>
  <c r="BU55" i="149"/>
  <c r="J103" i="76"/>
  <c r="H103" i="34"/>
  <c r="H103" i="30"/>
  <c r="J103" i="75"/>
  <c r="H103" i="38"/>
  <c r="H103" i="28"/>
  <c r="P103" i="28" s="1"/>
  <c r="S103" i="28" s="1"/>
  <c r="A19" i="67"/>
  <c r="A18" i="155"/>
  <c r="A18" i="154"/>
  <c r="A18" i="76"/>
  <c r="A18" i="77"/>
  <c r="A18" i="34"/>
  <c r="A18" i="38"/>
  <c r="A18" i="28"/>
  <c r="A18" i="36"/>
  <c r="A18" i="30"/>
  <c r="A18" i="32"/>
  <c r="A18" i="75"/>
  <c r="G2" i="75"/>
  <c r="E2" i="28"/>
  <c r="BU23" i="149"/>
  <c r="H71" i="34"/>
  <c r="J71" i="76"/>
  <c r="H71" i="30"/>
  <c r="J71" i="75"/>
  <c r="H71" i="38"/>
  <c r="H71" i="28"/>
  <c r="P71" i="28" s="1"/>
  <c r="S71" i="28" s="1"/>
  <c r="BU33" i="149"/>
  <c r="H81" i="34"/>
  <c r="H129" i="34" s="1"/>
  <c r="J81" i="76"/>
  <c r="J129" i="76" s="1"/>
  <c r="H81" i="30"/>
  <c r="J81" i="75"/>
  <c r="J129" i="75" s="1"/>
  <c r="H81" i="38"/>
  <c r="H129" i="38" s="1"/>
  <c r="H81" i="28"/>
  <c r="P81" i="28" s="1"/>
  <c r="S81" i="28" s="1"/>
  <c r="BU49" i="149"/>
  <c r="H97" i="30"/>
  <c r="J97" i="76"/>
  <c r="J145" i="76" s="1"/>
  <c r="H97" i="34"/>
  <c r="H145" i="34" s="1"/>
  <c r="J97" i="75"/>
  <c r="J145" i="75" s="1"/>
  <c r="H97" i="38"/>
  <c r="H145" i="38" s="1"/>
  <c r="H97" i="28"/>
  <c r="P97" i="28" s="1"/>
  <c r="S97" i="28" s="1"/>
  <c r="G3" i="75"/>
  <c r="E3" i="28"/>
  <c r="M3" i="28" s="1"/>
  <c r="BU51" i="149"/>
  <c r="H99" i="30"/>
  <c r="J99" i="76"/>
  <c r="J99" i="75"/>
  <c r="H99" i="38"/>
  <c r="H99" i="34"/>
  <c r="H99" i="28"/>
  <c r="P99" i="28" s="1"/>
  <c r="S99" i="28" s="1"/>
  <c r="BU32" i="149"/>
  <c r="H80" i="34"/>
  <c r="H128" i="34" s="1"/>
  <c r="H80" i="30"/>
  <c r="J80" i="76"/>
  <c r="J128" i="76" s="1"/>
  <c r="J80" i="75"/>
  <c r="J128" i="75" s="1"/>
  <c r="H80" i="38"/>
  <c r="H128" i="38" s="1"/>
  <c r="H80" i="28"/>
  <c r="P80" i="28" s="1"/>
  <c r="S80" i="28" s="1"/>
  <c r="BU52" i="149"/>
  <c r="J100" i="76"/>
  <c r="H100" i="34"/>
  <c r="J100" i="75"/>
  <c r="H100" i="38"/>
  <c r="H100" i="30"/>
  <c r="H100" i="28"/>
  <c r="P100" i="28" s="1"/>
  <c r="S100" i="28" s="1"/>
  <c r="BU54" i="149"/>
  <c r="H102" i="34"/>
  <c r="H102" i="30"/>
  <c r="J102" i="76"/>
  <c r="J102" i="75"/>
  <c r="H102" i="38"/>
  <c r="H102" i="28"/>
  <c r="P102" i="28" s="1"/>
  <c r="S102" i="28" s="1"/>
  <c r="BU14" i="149"/>
  <c r="J62" i="76"/>
  <c r="H62" i="30"/>
  <c r="J62" i="75"/>
  <c r="H62" i="34"/>
  <c r="H62" i="38"/>
  <c r="H62" i="28"/>
  <c r="P62" i="28" s="1"/>
  <c r="S62" i="28" s="1"/>
  <c r="Q65" i="36"/>
  <c r="W65" i="36" s="1"/>
  <c r="H65" i="155"/>
  <c r="N65" i="155" s="1"/>
  <c r="O65" i="155" s="1"/>
  <c r="P65" i="155" s="1"/>
  <c r="Q65" i="155" s="1"/>
  <c r="V65" i="77"/>
  <c r="H69" i="155"/>
  <c r="N69" i="155" s="1"/>
  <c r="O69" i="155" s="1"/>
  <c r="P69" i="155" s="1"/>
  <c r="Q69" i="155" s="1"/>
  <c r="V69" i="77"/>
  <c r="Q69" i="36"/>
  <c r="W69" i="36" s="1"/>
  <c r="Q73" i="36"/>
  <c r="W73" i="36" s="1"/>
  <c r="H73" i="155"/>
  <c r="N73" i="155" s="1"/>
  <c r="O73" i="155" s="1"/>
  <c r="P73" i="155" s="1"/>
  <c r="Q73" i="155" s="1"/>
  <c r="V73" i="77"/>
  <c r="BU31" i="149"/>
  <c r="J79" i="76"/>
  <c r="J127" i="76" s="1"/>
  <c r="H79" i="34"/>
  <c r="H127" i="34" s="1"/>
  <c r="H79" i="30"/>
  <c r="H79" i="38"/>
  <c r="H127" i="38" s="1"/>
  <c r="J79" i="75"/>
  <c r="J127" i="75" s="1"/>
  <c r="H79" i="28"/>
  <c r="P79" i="28" s="1"/>
  <c r="S79" i="28" s="1"/>
  <c r="BU39" i="149"/>
  <c r="H87" i="34"/>
  <c r="H135" i="34" s="1"/>
  <c r="H87" i="30"/>
  <c r="J87" i="76"/>
  <c r="J135" i="76" s="1"/>
  <c r="J87" i="75"/>
  <c r="J135" i="75" s="1"/>
  <c r="H87" i="38"/>
  <c r="H135" i="38" s="1"/>
  <c r="H87" i="28"/>
  <c r="P87" i="28" s="1"/>
  <c r="S87" i="28" s="1"/>
  <c r="F2" i="30"/>
  <c r="H2" i="76"/>
  <c r="H2" i="75"/>
  <c r="F2" i="28"/>
  <c r="BU36" i="149"/>
  <c r="J84" i="76"/>
  <c r="J132" i="76" s="1"/>
  <c r="H84" i="30"/>
  <c r="J84" i="75"/>
  <c r="J132" i="75" s="1"/>
  <c r="H84" i="38"/>
  <c r="H132" i="38" s="1"/>
  <c r="H84" i="34"/>
  <c r="H132" i="34" s="1"/>
  <c r="H84" i="28"/>
  <c r="P84" i="28" s="1"/>
  <c r="S84" i="28" s="1"/>
  <c r="BU40" i="149"/>
  <c r="J88" i="76"/>
  <c r="J136" i="76" s="1"/>
  <c r="H88" i="30"/>
  <c r="H88" i="34"/>
  <c r="H136" i="34" s="1"/>
  <c r="J88" i="75"/>
  <c r="J136" i="75" s="1"/>
  <c r="H88" i="38"/>
  <c r="H136" i="38" s="1"/>
  <c r="H88" i="28"/>
  <c r="P88" i="28" s="1"/>
  <c r="S88" i="28" s="1"/>
  <c r="BU56" i="149"/>
  <c r="H104" i="30"/>
  <c r="H104" i="34"/>
  <c r="J104" i="75"/>
  <c r="H104" i="38"/>
  <c r="J104" i="76"/>
  <c r="H104" i="28"/>
  <c r="P104" i="28" s="1"/>
  <c r="S104" i="28" s="1"/>
  <c r="H64" i="155"/>
  <c r="N64" i="155" s="1"/>
  <c r="O64" i="155" s="1"/>
  <c r="P64" i="155" s="1"/>
  <c r="Q64" i="155" s="1"/>
  <c r="V64" i="77"/>
  <c r="Q64" i="36"/>
  <c r="W64" i="36" s="1"/>
  <c r="BU50" i="149"/>
  <c r="J98" i="76"/>
  <c r="H98" i="30"/>
  <c r="H98" i="34"/>
  <c r="J98" i="75"/>
  <c r="H98" i="38"/>
  <c r="H98" i="28"/>
  <c r="P98" i="28" s="1"/>
  <c r="S98" i="28" s="1"/>
  <c r="H3" i="76"/>
  <c r="H3" i="75"/>
  <c r="F3" i="30"/>
  <c r="F3" i="28"/>
  <c r="N3" i="28" s="1"/>
  <c r="BU17" i="149"/>
  <c r="H65" i="34"/>
  <c r="H65" i="30"/>
  <c r="J65" i="76"/>
  <c r="J65" i="75"/>
  <c r="H65" i="38"/>
  <c r="H65" i="28"/>
  <c r="P65" i="28" s="1"/>
  <c r="S65" i="28" s="1"/>
  <c r="BU21" i="149"/>
  <c r="H69" i="34"/>
  <c r="J69" i="76"/>
  <c r="H69" i="30"/>
  <c r="H69" i="28"/>
  <c r="P69" i="28" s="1"/>
  <c r="S69" i="28" s="1"/>
  <c r="H69" i="38"/>
  <c r="J69" i="75"/>
  <c r="BU25" i="149"/>
  <c r="J73" i="76"/>
  <c r="H73" i="30"/>
  <c r="J73" i="75"/>
  <c r="H73" i="38"/>
  <c r="H73" i="34"/>
  <c r="H73" i="28"/>
  <c r="P73" i="28" s="1"/>
  <c r="S73" i="28" s="1"/>
  <c r="BU41" i="149"/>
  <c r="J89" i="76"/>
  <c r="J137" i="76" s="1"/>
  <c r="H89" i="30"/>
  <c r="H89" i="34"/>
  <c r="H137" i="34" s="1"/>
  <c r="J89" i="75"/>
  <c r="J137" i="75" s="1"/>
  <c r="H89" i="38"/>
  <c r="H137" i="38" s="1"/>
  <c r="H89" i="28"/>
  <c r="P89" i="28" s="1"/>
  <c r="S89" i="28" s="1"/>
  <c r="BU57" i="149"/>
  <c r="H105" i="30"/>
  <c r="J105" i="76"/>
  <c r="H105" i="34"/>
  <c r="J105" i="75"/>
  <c r="H105" i="38"/>
  <c r="H105" i="28"/>
  <c r="P105" i="28" s="1"/>
  <c r="S105" i="28" s="1"/>
  <c r="U200" i="150"/>
  <c r="AS199" i="150"/>
  <c r="T200" i="150"/>
  <c r="AR199" i="150"/>
  <c r="AA200" i="150"/>
  <c r="AY199" i="150"/>
  <c r="S200" i="150"/>
  <c r="AQ199" i="150"/>
  <c r="X200" i="150"/>
  <c r="AV199" i="150"/>
  <c r="Z199" i="150"/>
  <c r="AX198" i="150"/>
  <c r="W200" i="150"/>
  <c r="AU199" i="150"/>
  <c r="Y200" i="150"/>
  <c r="AW199" i="150"/>
  <c r="Q201" i="150"/>
  <c r="AO200" i="150"/>
  <c r="R200" i="150"/>
  <c r="AP199" i="150"/>
  <c r="V200" i="150"/>
  <c r="AT199" i="150"/>
  <c r="BQ81" i="67"/>
  <c r="BQ21" i="149"/>
  <c r="BG86" i="67"/>
  <c r="BG26" i="149"/>
  <c r="BH87" i="67"/>
  <c r="BH27" i="149"/>
  <c r="BI88" i="67"/>
  <c r="BI28" i="149"/>
  <c r="BJ89" i="67"/>
  <c r="BJ29" i="149"/>
  <c r="BK90" i="67"/>
  <c r="BK30" i="149"/>
  <c r="BL91" i="67"/>
  <c r="BL31" i="149"/>
  <c r="BM92" i="67"/>
  <c r="BM32" i="149"/>
  <c r="BN93" i="67"/>
  <c r="BN33" i="149"/>
  <c r="BO94" i="67"/>
  <c r="BO34" i="149"/>
  <c r="BR81" i="67"/>
  <c r="BR21" i="149"/>
  <c r="BH86" i="67"/>
  <c r="BH26" i="149"/>
  <c r="BI87" i="67"/>
  <c r="BI27" i="149"/>
  <c r="BJ88" i="67"/>
  <c r="BJ28" i="149"/>
  <c r="BK89" i="67"/>
  <c r="BK29" i="149"/>
  <c r="BL90" i="67"/>
  <c r="BL30" i="149"/>
  <c r="BM91" i="67"/>
  <c r="BM31" i="149"/>
  <c r="BN92" i="67"/>
  <c r="BN32" i="149"/>
  <c r="BO93" i="67"/>
  <c r="BO33" i="149"/>
  <c r="BQ84" i="67"/>
  <c r="BQ24" i="149"/>
  <c r="BI86" i="67"/>
  <c r="BI26" i="149"/>
  <c r="BJ87" i="67"/>
  <c r="BJ27" i="149"/>
  <c r="BK88" i="67"/>
  <c r="BK28" i="149"/>
  <c r="BL89" i="67"/>
  <c r="BL29" i="149"/>
  <c r="BM90" i="67"/>
  <c r="BM30" i="149"/>
  <c r="BN91" i="67"/>
  <c r="BN31" i="149"/>
  <c r="BO92" i="67"/>
  <c r="BO32" i="149"/>
  <c r="BE96" i="67"/>
  <c r="BE36" i="149"/>
  <c r="BR79" i="67"/>
  <c r="BR19" i="149"/>
  <c r="BL86" i="67"/>
  <c r="BL26" i="149"/>
  <c r="BM87" i="67"/>
  <c r="BM27" i="149"/>
  <c r="BN88" i="67"/>
  <c r="BN28" i="149"/>
  <c r="BO89" i="67"/>
  <c r="BO29" i="149"/>
  <c r="BE95" i="67"/>
  <c r="BE35" i="149"/>
  <c r="BF96" i="67"/>
  <c r="BF36" i="149"/>
  <c r="BG97" i="67"/>
  <c r="BG37" i="149"/>
  <c r="BQ79" i="67"/>
  <c r="BQ19" i="149"/>
  <c r="BK86" i="67"/>
  <c r="BK26" i="149"/>
  <c r="BL87" i="67"/>
  <c r="BL27" i="149"/>
  <c r="BM88" i="67"/>
  <c r="BM28" i="149"/>
  <c r="BN89" i="67"/>
  <c r="BN29" i="149"/>
  <c r="BO90" i="67"/>
  <c r="BO30" i="149"/>
  <c r="BF97" i="67"/>
  <c r="BF37" i="149"/>
  <c r="BQ74" i="67"/>
  <c r="BQ14" i="149"/>
  <c r="BQ82" i="67"/>
  <c r="BQ22" i="149"/>
  <c r="BM86" i="67"/>
  <c r="BM26" i="149"/>
  <c r="BN87" i="67"/>
  <c r="BN27" i="149"/>
  <c r="BO88" i="67"/>
  <c r="BO28" i="149"/>
  <c r="BE94" i="67"/>
  <c r="BE34" i="149"/>
  <c r="BF95" i="67"/>
  <c r="BF35" i="149"/>
  <c r="BG96" i="67"/>
  <c r="BG36" i="149"/>
  <c r="BH97" i="67"/>
  <c r="BH37" i="149"/>
  <c r="BO91" i="67"/>
  <c r="BO31" i="149"/>
  <c r="BR82" i="67"/>
  <c r="BR22" i="149"/>
  <c r="BF94" i="67"/>
  <c r="BF34" i="149"/>
  <c r="BI97" i="67"/>
  <c r="BI37" i="149"/>
  <c r="BQ76" i="67"/>
  <c r="BQ16" i="149"/>
  <c r="BO86" i="67"/>
  <c r="BO26" i="149"/>
  <c r="BE92" i="67"/>
  <c r="BE32" i="149"/>
  <c r="BF93" i="67"/>
  <c r="BF33" i="149"/>
  <c r="BG94" i="67"/>
  <c r="BG34" i="149"/>
  <c r="BH95" i="67"/>
  <c r="BH35" i="149"/>
  <c r="BI96" i="67"/>
  <c r="BI36" i="149"/>
  <c r="BJ97" i="67"/>
  <c r="BJ37" i="149"/>
  <c r="BH96" i="67"/>
  <c r="BH36" i="149"/>
  <c r="BR77" i="67"/>
  <c r="BR17" i="149"/>
  <c r="BR85" i="67"/>
  <c r="BR25" i="149"/>
  <c r="BE91" i="67"/>
  <c r="BE31" i="149"/>
  <c r="BF92" i="67"/>
  <c r="BF32" i="149"/>
  <c r="BG93" i="67"/>
  <c r="BG33" i="149"/>
  <c r="BH94" i="67"/>
  <c r="BH34" i="149"/>
  <c r="BI95" i="67"/>
  <c r="BI35" i="149"/>
  <c r="BJ96" i="67"/>
  <c r="BJ36" i="149"/>
  <c r="BK97" i="67"/>
  <c r="BK37" i="149"/>
  <c r="BR80" i="67"/>
  <c r="BR20" i="149"/>
  <c r="BE89" i="67"/>
  <c r="BE29" i="149"/>
  <c r="BF90" i="67"/>
  <c r="BF30" i="149"/>
  <c r="BG91" i="67"/>
  <c r="BG31" i="149"/>
  <c r="BH92" i="67"/>
  <c r="BH32" i="149"/>
  <c r="BI93" i="67"/>
  <c r="BI33" i="149"/>
  <c r="BJ94" i="67"/>
  <c r="BJ34" i="149"/>
  <c r="BK95" i="67"/>
  <c r="BK35" i="149"/>
  <c r="BL96" i="67"/>
  <c r="BL36" i="149"/>
  <c r="BM97" i="67"/>
  <c r="BM37" i="149"/>
  <c r="BO87" i="67"/>
  <c r="BO27" i="149"/>
  <c r="BN90" i="67"/>
  <c r="BN30" i="149"/>
  <c r="BR74" i="67"/>
  <c r="BR14" i="149"/>
  <c r="BN86" i="67"/>
  <c r="BN26" i="149"/>
  <c r="BG95" i="67"/>
  <c r="BG35" i="149"/>
  <c r="BQ77" i="67"/>
  <c r="BQ17" i="149"/>
  <c r="BQ85" i="67"/>
  <c r="BQ25" i="149"/>
  <c r="BE90" i="67"/>
  <c r="BE30" i="149"/>
  <c r="BI94" i="67"/>
  <c r="BI34" i="149"/>
  <c r="BK96" i="67"/>
  <c r="BK36" i="149"/>
  <c r="BQ83" i="67"/>
  <c r="BQ23" i="149"/>
  <c r="BE88" i="67"/>
  <c r="BE28" i="149"/>
  <c r="BG90" i="67"/>
  <c r="BG30" i="149"/>
  <c r="BH91" i="67"/>
  <c r="BH31" i="149"/>
  <c r="BI92" i="67"/>
  <c r="BI32" i="149"/>
  <c r="BK94" i="67"/>
  <c r="BK34" i="149"/>
  <c r="BL95" i="67"/>
  <c r="BL35" i="149"/>
  <c r="BN97" i="67"/>
  <c r="BN37" i="149"/>
  <c r="BR75" i="67"/>
  <c r="BR15" i="149"/>
  <c r="BR83" i="67"/>
  <c r="BR23" i="149"/>
  <c r="BE87" i="67"/>
  <c r="BE27" i="149"/>
  <c r="BF88" i="67"/>
  <c r="BF28" i="149"/>
  <c r="BG89" i="67"/>
  <c r="BG29" i="149"/>
  <c r="BH90" i="67"/>
  <c r="BH30" i="149"/>
  <c r="BI91" i="67"/>
  <c r="BI31" i="149"/>
  <c r="BJ92" i="67"/>
  <c r="BJ32" i="149"/>
  <c r="BK93" i="67"/>
  <c r="BK33" i="149"/>
  <c r="BL94" i="67"/>
  <c r="BL34" i="149"/>
  <c r="BM95" i="67"/>
  <c r="BM35" i="149"/>
  <c r="BN96" i="67"/>
  <c r="BN36" i="149"/>
  <c r="BO97" i="67"/>
  <c r="BO37" i="149"/>
  <c r="BQ80" i="67"/>
  <c r="BQ20" i="149"/>
  <c r="BG92" i="67"/>
  <c r="BG32" i="149"/>
  <c r="BM96" i="67"/>
  <c r="BM36" i="149"/>
  <c r="BQ78" i="67"/>
  <c r="BQ18" i="149"/>
  <c r="BE86" i="67"/>
  <c r="BE26" i="149"/>
  <c r="BF87" i="67"/>
  <c r="BF27" i="149"/>
  <c r="BG88" i="67"/>
  <c r="BG28" i="149"/>
  <c r="BH89" i="67"/>
  <c r="BH29" i="149"/>
  <c r="BI90" i="67"/>
  <c r="BI30" i="149"/>
  <c r="BJ91" i="67"/>
  <c r="BJ31" i="149"/>
  <c r="BK92" i="67"/>
  <c r="BK32" i="149"/>
  <c r="BL93" i="67"/>
  <c r="BL33" i="149"/>
  <c r="BM94" i="67"/>
  <c r="BM34" i="149"/>
  <c r="BN95" i="67"/>
  <c r="BN35" i="149"/>
  <c r="BO96" i="67"/>
  <c r="BO36" i="149"/>
  <c r="BR76" i="67"/>
  <c r="BR16" i="149"/>
  <c r="BR84" i="67"/>
  <c r="BR24" i="149"/>
  <c r="BJ86" i="67"/>
  <c r="BJ26" i="149"/>
  <c r="BK87" i="67"/>
  <c r="BK27" i="149"/>
  <c r="BL88" i="67"/>
  <c r="BL28" i="149"/>
  <c r="BM89" i="67"/>
  <c r="BM29" i="149"/>
  <c r="BE97" i="67"/>
  <c r="BE37" i="149"/>
  <c r="BE93" i="67"/>
  <c r="BE33" i="149"/>
  <c r="BF91" i="67"/>
  <c r="BF31" i="149"/>
  <c r="BH93" i="67"/>
  <c r="BH33" i="149"/>
  <c r="BJ95" i="67"/>
  <c r="BJ35" i="149"/>
  <c r="BL97" i="67"/>
  <c r="BL37" i="149"/>
  <c r="BQ75" i="67"/>
  <c r="BQ15" i="149"/>
  <c r="BF89" i="67"/>
  <c r="BF29" i="149"/>
  <c r="BJ93" i="67"/>
  <c r="BJ33" i="149"/>
  <c r="BR78" i="67"/>
  <c r="BR18" i="149"/>
  <c r="BF86" i="67"/>
  <c r="BF26" i="149"/>
  <c r="BG87" i="67"/>
  <c r="BG27" i="149"/>
  <c r="BH88" i="67"/>
  <c r="BH28" i="149"/>
  <c r="BI89" i="67"/>
  <c r="BI29" i="149"/>
  <c r="BJ90" i="67"/>
  <c r="BJ30" i="149"/>
  <c r="BK91" i="67"/>
  <c r="BK31" i="149"/>
  <c r="BL92" i="67"/>
  <c r="BL32" i="149"/>
  <c r="BM93" i="67"/>
  <c r="BM33" i="149"/>
  <c r="BN94" i="67"/>
  <c r="BN34" i="149"/>
  <c r="BO95" i="67"/>
  <c r="BO35" i="149"/>
  <c r="CR2" i="67"/>
  <c r="CD2" i="67"/>
  <c r="CT2" i="67"/>
  <c r="CF2" i="67"/>
  <c r="CR3" i="67"/>
  <c r="CD3" i="67"/>
  <c r="CU2" i="67"/>
  <c r="CG2" i="67"/>
  <c r="CS3" i="67"/>
  <c r="CE3" i="67"/>
  <c r="CV2" i="67"/>
  <c r="CH2" i="67"/>
  <c r="CT3" i="67"/>
  <c r="CF3" i="67"/>
  <c r="CU3" i="67"/>
  <c r="CG3" i="67"/>
  <c r="CW2" i="67"/>
  <c r="CI2" i="67"/>
  <c r="CX2" i="67"/>
  <c r="CJ2" i="67"/>
  <c r="CV3" i="67"/>
  <c r="CH3" i="67"/>
  <c r="CY2" i="67"/>
  <c r="CK2" i="67"/>
  <c r="CW3" i="67"/>
  <c r="CI3" i="67"/>
  <c r="CZ2" i="67"/>
  <c r="CL2" i="67"/>
  <c r="CX3" i="67"/>
  <c r="CJ3" i="67"/>
  <c r="DA2" i="67"/>
  <c r="CM2" i="67"/>
  <c r="CY3" i="67"/>
  <c r="CK3" i="67"/>
  <c r="DB2" i="67"/>
  <c r="CN2" i="67"/>
  <c r="CL3" i="67"/>
  <c r="CZ3" i="67"/>
  <c r="DA3" i="67"/>
  <c r="CM3" i="67"/>
  <c r="DB3" i="67"/>
  <c r="CN3" i="67"/>
  <c r="CO2" i="67"/>
  <c r="CA2" i="67"/>
  <c r="CP2" i="67"/>
  <c r="CB2" i="67"/>
  <c r="CQ2" i="67"/>
  <c r="CC2" i="67"/>
  <c r="CO3" i="67"/>
  <c r="CA3" i="67"/>
  <c r="CP3" i="67"/>
  <c r="CB3" i="67"/>
  <c r="CS2" i="67"/>
  <c r="CE2" i="67"/>
  <c r="CQ3" i="67"/>
  <c r="CC3" i="67"/>
  <c r="K119" i="65"/>
  <c r="AK117" i="67" s="1"/>
  <c r="AK69" i="149" s="1"/>
  <c r="K123" i="65"/>
  <c r="AK121" i="67" s="1"/>
  <c r="AK73" i="149" s="1"/>
  <c r="J118" i="65"/>
  <c r="AJ116" i="67" s="1"/>
  <c r="AJ68" i="149" s="1"/>
  <c r="K116" i="65"/>
  <c r="AK114" i="67" s="1"/>
  <c r="AK66" i="149" s="1"/>
  <c r="L119" i="65"/>
  <c r="AL117" i="67" s="1"/>
  <c r="AL69" i="149" s="1"/>
  <c r="L123" i="65"/>
  <c r="AL121" i="67" s="1"/>
  <c r="AL73" i="149" s="1"/>
  <c r="K113" i="65"/>
  <c r="AK111" i="67" s="1"/>
  <c r="AK63" i="149" s="1"/>
  <c r="L116" i="65"/>
  <c r="AL114" i="67" s="1"/>
  <c r="AL66" i="149" s="1"/>
  <c r="M119" i="65"/>
  <c r="AM117" i="67" s="1"/>
  <c r="AM69" i="149" s="1"/>
  <c r="J113" i="65"/>
  <c r="AJ111" i="67" s="1"/>
  <c r="AJ63" i="149" s="1"/>
  <c r="L113" i="65"/>
  <c r="AL111" i="67" s="1"/>
  <c r="AL63" i="149" s="1"/>
  <c r="M116" i="65"/>
  <c r="AM114" i="67" s="1"/>
  <c r="AM66" i="149" s="1"/>
  <c r="J114" i="65"/>
  <c r="AJ112" i="67" s="1"/>
  <c r="AJ64" i="149" s="1"/>
  <c r="M120" i="65"/>
  <c r="AM118" i="67" s="1"/>
  <c r="AM70" i="149" s="1"/>
  <c r="M113" i="65"/>
  <c r="AM111" i="67" s="1"/>
  <c r="AM63" i="149" s="1"/>
  <c r="J115" i="65"/>
  <c r="AJ113" i="67" s="1"/>
  <c r="AJ65" i="149" s="1"/>
  <c r="L117" i="65"/>
  <c r="AL115" i="67" s="1"/>
  <c r="AL67" i="149" s="1"/>
  <c r="K120" i="65"/>
  <c r="AK118" i="67" s="1"/>
  <c r="AK70" i="149" s="1"/>
  <c r="J116" i="65"/>
  <c r="AJ114" i="67" s="1"/>
  <c r="AJ66" i="149" s="1"/>
  <c r="K114" i="65"/>
  <c r="AK112" i="67" s="1"/>
  <c r="AK64" i="149" s="1"/>
  <c r="M121" i="65"/>
  <c r="AM119" i="67" s="1"/>
  <c r="AM71" i="149" s="1"/>
  <c r="K117" i="65"/>
  <c r="AK115" i="67" s="1"/>
  <c r="AK67" i="149" s="1"/>
  <c r="L120" i="65"/>
  <c r="AL118" i="67" s="1"/>
  <c r="AL70" i="149" s="1"/>
  <c r="J117" i="65"/>
  <c r="AJ115" i="67" s="1"/>
  <c r="AJ67" i="149" s="1"/>
  <c r="K122" i="65"/>
  <c r="AK120" i="67" s="1"/>
  <c r="AK72" i="149" s="1"/>
  <c r="L114" i="65"/>
  <c r="AL112" i="67" s="1"/>
  <c r="AL64" i="149" s="1"/>
  <c r="M117" i="65"/>
  <c r="AM115" i="67" s="1"/>
  <c r="AM67" i="149" s="1"/>
  <c r="J119" i="65"/>
  <c r="AJ117" i="67" s="1"/>
  <c r="AJ69" i="149" s="1"/>
  <c r="L122" i="65"/>
  <c r="AL120" i="67" s="1"/>
  <c r="AL72" i="149" s="1"/>
  <c r="M114" i="65"/>
  <c r="AM112" i="67" s="1"/>
  <c r="AM64" i="149" s="1"/>
  <c r="J120" i="65"/>
  <c r="AJ118" i="67" s="1"/>
  <c r="AJ70" i="149" s="1"/>
  <c r="M123" i="65"/>
  <c r="AM121" i="67" s="1"/>
  <c r="AM73" i="149" s="1"/>
  <c r="K121" i="65"/>
  <c r="AK119" i="67" s="1"/>
  <c r="AK71" i="149" s="1"/>
  <c r="J121" i="65"/>
  <c r="AJ119" i="67" s="1"/>
  <c r="AJ71" i="149" s="1"/>
  <c r="K118" i="65"/>
  <c r="AK116" i="67" s="1"/>
  <c r="AK68" i="149" s="1"/>
  <c r="L121" i="65"/>
  <c r="AL119" i="67" s="1"/>
  <c r="AL71" i="149" s="1"/>
  <c r="J122" i="65"/>
  <c r="AJ120" i="67" s="1"/>
  <c r="AJ72" i="149" s="1"/>
  <c r="K115" i="65"/>
  <c r="AK113" i="67" s="1"/>
  <c r="AK65" i="149" s="1"/>
  <c r="L118" i="65"/>
  <c r="AL116" i="67" s="1"/>
  <c r="AL68" i="149" s="1"/>
  <c r="J123" i="65"/>
  <c r="AJ121" i="67" s="1"/>
  <c r="AJ73" i="149" s="1"/>
  <c r="K112" i="65"/>
  <c r="AK110" i="67" s="1"/>
  <c r="AK62" i="149" s="1"/>
  <c r="L115" i="65"/>
  <c r="AL113" i="67" s="1"/>
  <c r="AL65" i="149" s="1"/>
  <c r="M118" i="65"/>
  <c r="AM116" i="67" s="1"/>
  <c r="AM68" i="149" s="1"/>
  <c r="M122" i="65"/>
  <c r="AM120" i="67" s="1"/>
  <c r="AM72" i="149" s="1"/>
  <c r="J112" i="65"/>
  <c r="AJ110" i="67" s="1"/>
  <c r="AJ62" i="149" s="1"/>
  <c r="L112" i="65"/>
  <c r="AL110" i="67" s="1"/>
  <c r="AL62" i="149" s="1"/>
  <c r="M115" i="65"/>
  <c r="AM113" i="67" s="1"/>
  <c r="AM65" i="149" s="1"/>
  <c r="M112" i="65"/>
  <c r="AM110" i="67" s="1"/>
  <c r="AM62" i="149" s="1"/>
  <c r="N136" i="65"/>
  <c r="CO7" i="67"/>
  <c r="BU119" i="67"/>
  <c r="BP88" i="67"/>
  <c r="BP40" i="149" s="1"/>
  <c r="BP92" i="67"/>
  <c r="BP44" i="149" s="1"/>
  <c r="R128" i="34"/>
  <c r="BS75" i="67"/>
  <c r="BS27" i="149" s="1"/>
  <c r="BS79" i="67"/>
  <c r="BS31" i="149" s="1"/>
  <c r="BP95" i="67"/>
  <c r="BP47" i="149" s="1"/>
  <c r="BP96" i="67"/>
  <c r="BP48" i="149" s="1"/>
  <c r="BU111" i="67"/>
  <c r="BU115" i="67"/>
  <c r="BS82" i="67"/>
  <c r="BS34" i="149" s="1"/>
  <c r="R131" i="34"/>
  <c r="R132" i="34"/>
  <c r="BP97" i="67"/>
  <c r="BP49" i="149" s="1"/>
  <c r="BU118" i="67"/>
  <c r="BS78" i="67"/>
  <c r="BS30" i="149" s="1"/>
  <c r="BU121" i="67"/>
  <c r="BS85" i="67"/>
  <c r="BS37" i="149" s="1"/>
  <c r="BU114" i="67"/>
  <c r="BS81" i="67"/>
  <c r="BS33" i="149" s="1"/>
  <c r="BP86" i="67"/>
  <c r="BP38" i="149" s="1"/>
  <c r="R133" i="34"/>
  <c r="BT4" i="67"/>
  <c r="BU117" i="67"/>
  <c r="BP89" i="67"/>
  <c r="BP41" i="149" s="1"/>
  <c r="BS74" i="67"/>
  <c r="BS26" i="149" s="1"/>
  <c r="BS84" i="67"/>
  <c r="BS36" i="149" s="1"/>
  <c r="BU110" i="67"/>
  <c r="BS77" i="67"/>
  <c r="BS29" i="149" s="1"/>
  <c r="BU120" i="67"/>
  <c r="BP93" i="67"/>
  <c r="BP45" i="149" s="1"/>
  <c r="BU113" i="67"/>
  <c r="R129" i="34"/>
  <c r="BP90" i="67"/>
  <c r="BP42" i="149" s="1"/>
  <c r="BS76" i="67"/>
  <c r="BS28" i="149" s="1"/>
  <c r="BP87" i="67"/>
  <c r="BP39" i="149" s="1"/>
  <c r="BP91" i="67"/>
  <c r="BP43" i="149" s="1"/>
  <c r="BP94" i="67"/>
  <c r="BP46" i="149" s="1"/>
  <c r="BU112" i="67"/>
  <c r="BS80" i="67"/>
  <c r="BS32" i="149" s="1"/>
  <c r="R130" i="34"/>
  <c r="BU116" i="67"/>
  <c r="BS83" i="67"/>
  <c r="BS35" i="149" s="1"/>
  <c r="O78" i="65"/>
  <c r="AO76" i="67" s="1"/>
  <c r="AO28" i="149" s="1"/>
  <c r="O62" i="65"/>
  <c r="AO60" i="67" s="1"/>
  <c r="AO12" i="149" s="1"/>
  <c r="O93" i="65"/>
  <c r="AO91" i="67" s="1"/>
  <c r="AO43" i="149" s="1"/>
  <c r="O77" i="65"/>
  <c r="AO75" i="67" s="1"/>
  <c r="AO27" i="149" s="1"/>
  <c r="O61" i="65"/>
  <c r="AO59" i="67" s="1"/>
  <c r="AO11" i="149" s="1"/>
  <c r="O102" i="65"/>
  <c r="AO100" i="67" s="1"/>
  <c r="AO52" i="149" s="1"/>
  <c r="O82" i="65"/>
  <c r="AO80" i="67" s="1"/>
  <c r="AO32" i="149" s="1"/>
  <c r="O18" i="65"/>
  <c r="AO16" i="67" s="1"/>
  <c r="O101" i="65"/>
  <c r="AO99" i="67" s="1"/>
  <c r="AO51" i="149" s="1"/>
  <c r="O16" i="65"/>
  <c r="AO14" i="67" s="1"/>
  <c r="O97" i="65"/>
  <c r="AO95" i="67" s="1"/>
  <c r="AO47" i="149" s="1"/>
  <c r="O81" i="65"/>
  <c r="AO79" i="67" s="1"/>
  <c r="AO31" i="149" s="1"/>
  <c r="O65" i="65"/>
  <c r="AO63" i="67" s="1"/>
  <c r="AO15" i="149" s="1"/>
  <c r="O49" i="65"/>
  <c r="AO47" i="67" s="1"/>
  <c r="O33" i="65"/>
  <c r="AO31" i="67" s="1"/>
  <c r="O17" i="65"/>
  <c r="AO15" i="67" s="1"/>
  <c r="O86" i="65"/>
  <c r="AO84" i="67" s="1"/>
  <c r="AO36" i="149" s="1"/>
  <c r="O70" i="65"/>
  <c r="AO68" i="67" s="1"/>
  <c r="AO20" i="149" s="1"/>
  <c r="O54" i="65"/>
  <c r="AO52" i="67" s="1"/>
  <c r="AO4" i="149" s="1"/>
  <c r="O38" i="65"/>
  <c r="AO36" i="67" s="1"/>
  <c r="O22" i="65"/>
  <c r="AO20" i="67" s="1"/>
  <c r="O91" i="65"/>
  <c r="AO89" i="67" s="1"/>
  <c r="AO41" i="149" s="1"/>
  <c r="O75" i="65"/>
  <c r="AO73" i="67" s="1"/>
  <c r="AO25" i="149" s="1"/>
  <c r="O59" i="65"/>
  <c r="AO57" i="67" s="1"/>
  <c r="AO9" i="149" s="1"/>
  <c r="O43" i="65"/>
  <c r="AO41" i="67" s="1"/>
  <c r="O27" i="65"/>
  <c r="AO25" i="67" s="1"/>
  <c r="O100" i="65"/>
  <c r="AO98" i="67" s="1"/>
  <c r="AO50" i="149" s="1"/>
  <c r="K2" i="154" l="1"/>
  <c r="B18" i="36"/>
  <c r="C18" i="36"/>
  <c r="U3" i="77"/>
  <c r="H77" i="155"/>
  <c r="N77" i="155" s="1"/>
  <c r="O77" i="155" s="1"/>
  <c r="P77" i="155" s="1"/>
  <c r="Q77" i="155" s="1"/>
  <c r="V77" i="77"/>
  <c r="Q77" i="36"/>
  <c r="W77" i="36" s="1"/>
  <c r="H79" i="155"/>
  <c r="N79" i="155" s="1"/>
  <c r="O79" i="155" s="1"/>
  <c r="P79" i="155" s="1"/>
  <c r="Q79" i="155" s="1"/>
  <c r="V79" i="77"/>
  <c r="Q79" i="36"/>
  <c r="W79" i="36" s="1"/>
  <c r="B18" i="28"/>
  <c r="C18" i="28"/>
  <c r="BU71" i="149"/>
  <c r="H119" i="34"/>
  <c r="H119" i="30"/>
  <c r="J119" i="76"/>
  <c r="J119" i="75"/>
  <c r="H119" i="38"/>
  <c r="H119" i="28"/>
  <c r="P119" i="28" s="1"/>
  <c r="S119" i="28" s="1"/>
  <c r="I3" i="38"/>
  <c r="M3" i="75"/>
  <c r="U3" i="75" s="1"/>
  <c r="I3" i="28"/>
  <c r="Q3" i="28" s="1"/>
  <c r="BU64" i="149"/>
  <c r="H112" i="30"/>
  <c r="H112" i="34"/>
  <c r="J112" i="75"/>
  <c r="H112" i="38"/>
  <c r="J112" i="76"/>
  <c r="H112" i="28"/>
  <c r="P112" i="28" s="1"/>
  <c r="S112" i="28" s="1"/>
  <c r="BU69" i="149"/>
  <c r="J117" i="76"/>
  <c r="H117" i="34"/>
  <c r="H117" i="30"/>
  <c r="H117" i="38"/>
  <c r="J117" i="75"/>
  <c r="H117" i="28"/>
  <c r="P117" i="28" s="1"/>
  <c r="S117" i="28" s="1"/>
  <c r="BU67" i="149"/>
  <c r="J115" i="76"/>
  <c r="H115" i="30"/>
  <c r="J115" i="75"/>
  <c r="H115" i="38"/>
  <c r="H115" i="34"/>
  <c r="H115" i="28"/>
  <c r="P115" i="28" s="1"/>
  <c r="S115" i="28" s="1"/>
  <c r="B18" i="77"/>
  <c r="C18" i="77"/>
  <c r="BU63" i="149"/>
  <c r="H111" i="30"/>
  <c r="J111" i="76"/>
  <c r="H111" i="34"/>
  <c r="H111" i="38"/>
  <c r="J111" i="75"/>
  <c r="H111" i="28"/>
  <c r="P111" i="28" s="1"/>
  <c r="S111" i="28" s="1"/>
  <c r="H84" i="155"/>
  <c r="N84" i="155" s="1"/>
  <c r="O84" i="155" s="1"/>
  <c r="P84" i="155" s="1"/>
  <c r="Q84" i="155" s="1"/>
  <c r="V84" i="77"/>
  <c r="Q84" i="36"/>
  <c r="W84" i="36" s="1"/>
  <c r="Q81" i="36"/>
  <c r="W81" i="36" s="1"/>
  <c r="H81" i="155"/>
  <c r="N81" i="155" s="1"/>
  <c r="O81" i="155" s="1"/>
  <c r="P81" i="155" s="1"/>
  <c r="Q81" i="155" s="1"/>
  <c r="V81" i="77"/>
  <c r="B18" i="76"/>
  <c r="C18" i="76"/>
  <c r="N2" i="75"/>
  <c r="V2" i="75" s="1"/>
  <c r="J2" i="38"/>
  <c r="R2" i="38" s="1"/>
  <c r="J2" i="28"/>
  <c r="R2" i="28" s="1"/>
  <c r="C18" i="154"/>
  <c r="B18" i="154"/>
  <c r="H76" i="155"/>
  <c r="N76" i="155" s="1"/>
  <c r="O76" i="155" s="1"/>
  <c r="P76" i="155" s="1"/>
  <c r="Q76" i="155" s="1"/>
  <c r="V76" i="77"/>
  <c r="Q76" i="36"/>
  <c r="W76" i="36" s="1"/>
  <c r="C18" i="155"/>
  <c r="B18" i="155"/>
  <c r="A20" i="67"/>
  <c r="A19" i="155"/>
  <c r="A19" i="154"/>
  <c r="A19" i="76"/>
  <c r="A19" i="77"/>
  <c r="A19" i="34"/>
  <c r="A19" i="38"/>
  <c r="A19" i="28"/>
  <c r="A19" i="36"/>
  <c r="A19" i="30"/>
  <c r="A19" i="32"/>
  <c r="A19" i="75"/>
  <c r="C19" i="67"/>
  <c r="B19" i="67"/>
  <c r="BU66" i="149"/>
  <c r="J114" i="76"/>
  <c r="H114" i="34"/>
  <c r="H114" i="30"/>
  <c r="J114" i="75"/>
  <c r="H114" i="38"/>
  <c r="H114" i="28"/>
  <c r="P114" i="28" s="1"/>
  <c r="S114" i="28" s="1"/>
  <c r="H78" i="155"/>
  <c r="N78" i="155" s="1"/>
  <c r="O78" i="155" s="1"/>
  <c r="P78" i="155" s="1"/>
  <c r="Q78" i="155" s="1"/>
  <c r="V78" i="77"/>
  <c r="Q78" i="36"/>
  <c r="W78" i="36" s="1"/>
  <c r="M2" i="75"/>
  <c r="U2" i="75" s="1"/>
  <c r="I2" i="38"/>
  <c r="I2" i="28"/>
  <c r="BU65" i="149"/>
  <c r="J113" i="76"/>
  <c r="H113" i="34"/>
  <c r="H113" i="30"/>
  <c r="J113" i="75"/>
  <c r="H113" i="38"/>
  <c r="H113" i="28"/>
  <c r="P113" i="28" s="1"/>
  <c r="S113" i="28" s="1"/>
  <c r="BU73" i="149"/>
  <c r="J121" i="76"/>
  <c r="H121" i="34"/>
  <c r="H121" i="30"/>
  <c r="J121" i="75"/>
  <c r="H121" i="38"/>
  <c r="H121" i="28"/>
  <c r="P121" i="28" s="1"/>
  <c r="S121" i="28" s="1"/>
  <c r="H80" i="155"/>
  <c r="N80" i="155" s="1"/>
  <c r="O80" i="155" s="1"/>
  <c r="P80" i="155" s="1"/>
  <c r="Q80" i="155" s="1"/>
  <c r="V80" i="77"/>
  <c r="Q80" i="36"/>
  <c r="W80" i="36" s="1"/>
  <c r="Q82" i="36"/>
  <c r="W82" i="36" s="1"/>
  <c r="H82" i="155"/>
  <c r="N82" i="155" s="1"/>
  <c r="O82" i="155" s="1"/>
  <c r="P82" i="155" s="1"/>
  <c r="Q82" i="155" s="1"/>
  <c r="V82" i="77"/>
  <c r="N3" i="75"/>
  <c r="V3" i="75" s="1"/>
  <c r="J3" i="38"/>
  <c r="R3" i="38" s="1"/>
  <c r="J3" i="28"/>
  <c r="R3" i="28" s="1"/>
  <c r="U2" i="77"/>
  <c r="BU72" i="149"/>
  <c r="H120" i="34"/>
  <c r="J120" i="76"/>
  <c r="H120" i="30"/>
  <c r="J120" i="75"/>
  <c r="H120" i="38"/>
  <c r="H120" i="28"/>
  <c r="P120" i="28" s="1"/>
  <c r="S120" i="28" s="1"/>
  <c r="BU70" i="149"/>
  <c r="J118" i="76"/>
  <c r="H118" i="30"/>
  <c r="H118" i="34"/>
  <c r="J118" i="75"/>
  <c r="H118" i="38"/>
  <c r="H118" i="28"/>
  <c r="P118" i="28" s="1"/>
  <c r="S118" i="28" s="1"/>
  <c r="Q83" i="36"/>
  <c r="W83" i="36" s="1"/>
  <c r="H83" i="155"/>
  <c r="N83" i="155" s="1"/>
  <c r="O83" i="155" s="1"/>
  <c r="P83" i="155" s="1"/>
  <c r="Q83" i="155" s="1"/>
  <c r="V83" i="77"/>
  <c r="C18" i="75"/>
  <c r="B18" i="75"/>
  <c r="P2" i="155"/>
  <c r="Q2" i="155" s="1"/>
  <c r="C18" i="32"/>
  <c r="B18" i="32"/>
  <c r="K3" i="154"/>
  <c r="BU68" i="149"/>
  <c r="H116" i="34"/>
  <c r="H116" i="30"/>
  <c r="J116" i="76"/>
  <c r="J116" i="75"/>
  <c r="H116" i="38"/>
  <c r="H116" i="28"/>
  <c r="P116" i="28" s="1"/>
  <c r="S116" i="28" s="1"/>
  <c r="BU62" i="149"/>
  <c r="J110" i="76"/>
  <c r="H110" i="30"/>
  <c r="J110" i="75"/>
  <c r="H110" i="38"/>
  <c r="H110" i="28"/>
  <c r="P110" i="28" s="1"/>
  <c r="S110" i="28" s="1"/>
  <c r="H110" i="34"/>
  <c r="V75" i="77"/>
  <c r="Q75" i="36"/>
  <c r="W75" i="36" s="1"/>
  <c r="H75" i="155"/>
  <c r="N75" i="155" s="1"/>
  <c r="O75" i="155" s="1"/>
  <c r="P75" i="155" s="1"/>
  <c r="Q75" i="155" s="1"/>
  <c r="V74" i="77"/>
  <c r="Q74" i="36"/>
  <c r="W74" i="36" s="1"/>
  <c r="H74" i="155"/>
  <c r="N74" i="155" s="1"/>
  <c r="O74" i="155" s="1"/>
  <c r="P74" i="155" s="1"/>
  <c r="Q74" i="155" s="1"/>
  <c r="H85" i="155"/>
  <c r="N85" i="155" s="1"/>
  <c r="O85" i="155" s="1"/>
  <c r="P85" i="155" s="1"/>
  <c r="Q85" i="155" s="1"/>
  <c r="V85" i="77"/>
  <c r="Q85" i="36"/>
  <c r="W85" i="36" s="1"/>
  <c r="B18" i="30"/>
  <c r="C18" i="30"/>
  <c r="Y201" i="150"/>
  <c r="AW200" i="150"/>
  <c r="W201" i="150"/>
  <c r="AU200" i="150"/>
  <c r="Z200" i="150"/>
  <c r="AX199" i="150"/>
  <c r="X201" i="150"/>
  <c r="AV200" i="150"/>
  <c r="S201" i="150"/>
  <c r="AQ200" i="150"/>
  <c r="AA201" i="150"/>
  <c r="AY200" i="150"/>
  <c r="R201" i="150"/>
  <c r="AP200" i="150"/>
  <c r="T201" i="150"/>
  <c r="AR200" i="150"/>
  <c r="V201" i="150"/>
  <c r="AT200" i="150"/>
  <c r="Q202" i="150"/>
  <c r="AO201" i="150"/>
  <c r="U201" i="150"/>
  <c r="AS200" i="150"/>
  <c r="BG107" i="67"/>
  <c r="BG47" i="149"/>
  <c r="BH100" i="67"/>
  <c r="BH40" i="149"/>
  <c r="BL109" i="67"/>
  <c r="BL49" i="149"/>
  <c r="BK99" i="67"/>
  <c r="BK39" i="149"/>
  <c r="BK104" i="67"/>
  <c r="BK44" i="149"/>
  <c r="BM108" i="67"/>
  <c r="BM48" i="149"/>
  <c r="BJ104" i="67"/>
  <c r="BJ44" i="149"/>
  <c r="BN109" i="67"/>
  <c r="BN49" i="149"/>
  <c r="BK107" i="67"/>
  <c r="BK47" i="149"/>
  <c r="BE103" i="67"/>
  <c r="BE43" i="149"/>
  <c r="BH107" i="67"/>
  <c r="BH47" i="149"/>
  <c r="BR94" i="67"/>
  <c r="BR34" i="149"/>
  <c r="BN99" i="67"/>
  <c r="BN39" i="149"/>
  <c r="BL99" i="67"/>
  <c r="BL39" i="149"/>
  <c r="BN100" i="67"/>
  <c r="BN40" i="149"/>
  <c r="BL101" i="67"/>
  <c r="BL41" i="149"/>
  <c r="BL102" i="67"/>
  <c r="BL42" i="149"/>
  <c r="BM104" i="67"/>
  <c r="BM44" i="149"/>
  <c r="BN98" i="67"/>
  <c r="BN38" i="149"/>
  <c r="BO107" i="67"/>
  <c r="BO47" i="149"/>
  <c r="BG99" i="67"/>
  <c r="BG39" i="149"/>
  <c r="BJ107" i="67"/>
  <c r="BJ47" i="149"/>
  <c r="BJ98" i="67"/>
  <c r="BJ38" i="149"/>
  <c r="BJ103" i="67"/>
  <c r="BJ43" i="149"/>
  <c r="BG104" i="67"/>
  <c r="BG44" i="149"/>
  <c r="BI103" i="67"/>
  <c r="BI43" i="149"/>
  <c r="BL107" i="67"/>
  <c r="BL47" i="149"/>
  <c r="BK108" i="67"/>
  <c r="BK48" i="149"/>
  <c r="BJ106" i="67"/>
  <c r="BJ46" i="149"/>
  <c r="BR97" i="67"/>
  <c r="BR37" i="149"/>
  <c r="BG106" i="67"/>
  <c r="BG46" i="149"/>
  <c r="BO103" i="67"/>
  <c r="BO43" i="149"/>
  <c r="BM98" i="67"/>
  <c r="BM38" i="149"/>
  <c r="BK98" i="67"/>
  <c r="BK38" i="149"/>
  <c r="BM99" i="67"/>
  <c r="BM39" i="149"/>
  <c r="BK100" i="67"/>
  <c r="BK40" i="149"/>
  <c r="BK101" i="67"/>
  <c r="BK41" i="149"/>
  <c r="BL103" i="67"/>
  <c r="BL43" i="149"/>
  <c r="BR86" i="67"/>
  <c r="BR26" i="149"/>
  <c r="BN106" i="67"/>
  <c r="BN46" i="149"/>
  <c r="BF98" i="67"/>
  <c r="BF38" i="149"/>
  <c r="BH105" i="67"/>
  <c r="BH45" i="149"/>
  <c r="BR96" i="67"/>
  <c r="BR36" i="149"/>
  <c r="BI102" i="67"/>
  <c r="BI42" i="149"/>
  <c r="BQ92" i="67"/>
  <c r="BQ32" i="149"/>
  <c r="BH102" i="67"/>
  <c r="BH42" i="149"/>
  <c r="BK106" i="67"/>
  <c r="BK46" i="149"/>
  <c r="BI106" i="67"/>
  <c r="BI46" i="149"/>
  <c r="BI105" i="67"/>
  <c r="BI45" i="149"/>
  <c r="BK109" i="67"/>
  <c r="BK49" i="149"/>
  <c r="BR89" i="67"/>
  <c r="BR29" i="149"/>
  <c r="BF105" i="67"/>
  <c r="BF45" i="149"/>
  <c r="BQ94" i="67"/>
  <c r="BQ34" i="149"/>
  <c r="BQ91" i="67"/>
  <c r="BQ31" i="149"/>
  <c r="BL98" i="67"/>
  <c r="BL38" i="149"/>
  <c r="BJ99" i="67"/>
  <c r="BJ39" i="149"/>
  <c r="BJ100" i="67"/>
  <c r="BJ40" i="149"/>
  <c r="BK102" i="67"/>
  <c r="BK42" i="149"/>
  <c r="BM105" i="67"/>
  <c r="BM45" i="149"/>
  <c r="BR90" i="67"/>
  <c r="BR30" i="149"/>
  <c r="BF103" i="67"/>
  <c r="BF43" i="149"/>
  <c r="BR88" i="67"/>
  <c r="BR28" i="149"/>
  <c r="BH101" i="67"/>
  <c r="BH41" i="149"/>
  <c r="BO109" i="67"/>
  <c r="BO49" i="149"/>
  <c r="BG101" i="67"/>
  <c r="BG41" i="149"/>
  <c r="BI104" i="67"/>
  <c r="BI44" i="149"/>
  <c r="BE102" i="67"/>
  <c r="BE42" i="149"/>
  <c r="BH104" i="67"/>
  <c r="BH44" i="149"/>
  <c r="BJ108" i="67"/>
  <c r="BJ48" i="149"/>
  <c r="BE104" i="67"/>
  <c r="BE44" i="149"/>
  <c r="BH109" i="67"/>
  <c r="BH49" i="149"/>
  <c r="BQ86" i="67"/>
  <c r="BQ26" i="149"/>
  <c r="BR91" i="67"/>
  <c r="BR31" i="149"/>
  <c r="BI98" i="67"/>
  <c r="BI38" i="149"/>
  <c r="BI99" i="67"/>
  <c r="BI39" i="149"/>
  <c r="BJ101" i="67"/>
  <c r="BJ41" i="149"/>
  <c r="BN102" i="67"/>
  <c r="BN42" i="149"/>
  <c r="BL104" i="67"/>
  <c r="BL44" i="149"/>
  <c r="BJ105" i="67"/>
  <c r="BJ45" i="149"/>
  <c r="BE105" i="67"/>
  <c r="BE45" i="149"/>
  <c r="BO108" i="67"/>
  <c r="BO48" i="149"/>
  <c r="BG100" i="67"/>
  <c r="BG40" i="149"/>
  <c r="BN108" i="67"/>
  <c r="BN48" i="149"/>
  <c r="BF100" i="67"/>
  <c r="BF40" i="149"/>
  <c r="BH103" i="67"/>
  <c r="BH43" i="149"/>
  <c r="BQ97" i="67"/>
  <c r="BQ37" i="149"/>
  <c r="BO99" i="67"/>
  <c r="BO39" i="149"/>
  <c r="BG103" i="67"/>
  <c r="BG43" i="149"/>
  <c r="BI107" i="67"/>
  <c r="BI47" i="149"/>
  <c r="BH108" i="67"/>
  <c r="BH48" i="149"/>
  <c r="BO98" i="67"/>
  <c r="BO38" i="149"/>
  <c r="BG108" i="67"/>
  <c r="BG48" i="149"/>
  <c r="BF109" i="67"/>
  <c r="BF49" i="149"/>
  <c r="BG109" i="67"/>
  <c r="BG49" i="149"/>
  <c r="BE108" i="67"/>
  <c r="BE48" i="149"/>
  <c r="BQ96" i="67"/>
  <c r="BQ36" i="149"/>
  <c r="BH98" i="67"/>
  <c r="BH38" i="149"/>
  <c r="BI100" i="67"/>
  <c r="BI40" i="149"/>
  <c r="BK103" i="67"/>
  <c r="BK43" i="149"/>
  <c r="BF101" i="67"/>
  <c r="BF41" i="149"/>
  <c r="BE109" i="67"/>
  <c r="BE49" i="149"/>
  <c r="BN107" i="67"/>
  <c r="BN47" i="149"/>
  <c r="BF99" i="67"/>
  <c r="BF39" i="149"/>
  <c r="BM107" i="67"/>
  <c r="BM47" i="149"/>
  <c r="BE99" i="67"/>
  <c r="BE39" i="149"/>
  <c r="BG102" i="67"/>
  <c r="BG42" i="149"/>
  <c r="BQ89" i="67"/>
  <c r="BQ29" i="149"/>
  <c r="BF102" i="67"/>
  <c r="BF42" i="149"/>
  <c r="BH106" i="67"/>
  <c r="BH46" i="149"/>
  <c r="BQ88" i="67"/>
  <c r="BQ28" i="149"/>
  <c r="BF107" i="67"/>
  <c r="BF47" i="149"/>
  <c r="BO102" i="67"/>
  <c r="BO42" i="149"/>
  <c r="BF108" i="67"/>
  <c r="BF48" i="149"/>
  <c r="BO104" i="67"/>
  <c r="BO44" i="149"/>
  <c r="BO105" i="67"/>
  <c r="BO45" i="149"/>
  <c r="BR93" i="67"/>
  <c r="BR33" i="149"/>
  <c r="BH99" i="67"/>
  <c r="BH39" i="149"/>
  <c r="BJ102" i="67"/>
  <c r="BJ42" i="149"/>
  <c r="BQ87" i="67"/>
  <c r="BQ27" i="149"/>
  <c r="BM101" i="67"/>
  <c r="BM41" i="149"/>
  <c r="BM106" i="67"/>
  <c r="BM46" i="149"/>
  <c r="BE98" i="67"/>
  <c r="BE38" i="149"/>
  <c r="BL106" i="67"/>
  <c r="BL46" i="149"/>
  <c r="BR95" i="67"/>
  <c r="BR35" i="149"/>
  <c r="BE100" i="67"/>
  <c r="BE40" i="149"/>
  <c r="BM109" i="67"/>
  <c r="BM49" i="149"/>
  <c r="BE101" i="67"/>
  <c r="BE41" i="149"/>
  <c r="BG105" i="67"/>
  <c r="BG45" i="149"/>
  <c r="BJ109" i="67"/>
  <c r="BJ49" i="149"/>
  <c r="BI109" i="67"/>
  <c r="BI49" i="149"/>
  <c r="BE106" i="67"/>
  <c r="BE46" i="149"/>
  <c r="BN101" i="67"/>
  <c r="BN41" i="149"/>
  <c r="BE107" i="67"/>
  <c r="BE47" i="149"/>
  <c r="BN103" i="67"/>
  <c r="BN43" i="149"/>
  <c r="BN104" i="67"/>
  <c r="BN44" i="149"/>
  <c r="BO106" i="67"/>
  <c r="BO46" i="149"/>
  <c r="BG98" i="67"/>
  <c r="BG38" i="149"/>
  <c r="BI101" i="67"/>
  <c r="BI41" i="149"/>
  <c r="BL100" i="67"/>
  <c r="BL40" i="149"/>
  <c r="BL105" i="67"/>
  <c r="BL45" i="149"/>
  <c r="BQ90" i="67"/>
  <c r="BQ30" i="149"/>
  <c r="BK105" i="67"/>
  <c r="BK45" i="149"/>
  <c r="BR87" i="67"/>
  <c r="BR27" i="149"/>
  <c r="BQ95" i="67"/>
  <c r="BQ35" i="149"/>
  <c r="BL108" i="67"/>
  <c r="BL48" i="149"/>
  <c r="BR92" i="67"/>
  <c r="BR32" i="149"/>
  <c r="BF104" i="67"/>
  <c r="BF44" i="149"/>
  <c r="BI108" i="67"/>
  <c r="BI48" i="149"/>
  <c r="BF106" i="67"/>
  <c r="BF46" i="149"/>
  <c r="BO100" i="67"/>
  <c r="BO40" i="149"/>
  <c r="BM100" i="67"/>
  <c r="BM40" i="149"/>
  <c r="BO101" i="67"/>
  <c r="BO41" i="149"/>
  <c r="BM102" i="67"/>
  <c r="BM42" i="149"/>
  <c r="BM103" i="67"/>
  <c r="BM43" i="149"/>
  <c r="BN105" i="67"/>
  <c r="BN45" i="149"/>
  <c r="BQ93" i="67"/>
  <c r="BQ33" i="149"/>
  <c r="K127" i="65"/>
  <c r="K139" i="65"/>
  <c r="J124" i="65"/>
  <c r="M125" i="65"/>
  <c r="J125" i="65"/>
  <c r="L124" i="65"/>
  <c r="L125" i="65"/>
  <c r="M124" i="65"/>
  <c r="K124" i="65"/>
  <c r="K125" i="65"/>
  <c r="BS92" i="67"/>
  <c r="BS44" i="149" s="1"/>
  <c r="BP106" i="67"/>
  <c r="BP58" i="149" s="1"/>
  <c r="BS87" i="67"/>
  <c r="BS39" i="149" s="1"/>
  <c r="BP107" i="67"/>
  <c r="BP59" i="149" s="1"/>
  <c r="BT5" i="67"/>
  <c r="BS97" i="67"/>
  <c r="BS49" i="149" s="1"/>
  <c r="BP103" i="67"/>
  <c r="BP55" i="149" s="1"/>
  <c r="BS96" i="67"/>
  <c r="BS48" i="149" s="1"/>
  <c r="BP99" i="67"/>
  <c r="BP51" i="149" s="1"/>
  <c r="BP102" i="67"/>
  <c r="BP54" i="149" s="1"/>
  <c r="BS90" i="67"/>
  <c r="BS42" i="149" s="1"/>
  <c r="BS93" i="67"/>
  <c r="BS45" i="149" s="1"/>
  <c r="BS88" i="67"/>
  <c r="BS40" i="149" s="1"/>
  <c r="BS91" i="67"/>
  <c r="BS43" i="149" s="1"/>
  <c r="BP104" i="67"/>
  <c r="BP56" i="149" s="1"/>
  <c r="BS86" i="67"/>
  <c r="BS38" i="149" s="1"/>
  <c r="BP98" i="67"/>
  <c r="BP50" i="149" s="1"/>
  <c r="BP109" i="67"/>
  <c r="BP61" i="149" s="1"/>
  <c r="BS95" i="67"/>
  <c r="BS47" i="149" s="1"/>
  <c r="BP101" i="67"/>
  <c r="BP53" i="149" s="1"/>
  <c r="BS89" i="67"/>
  <c r="BS41" i="149" s="1"/>
  <c r="BP100" i="67"/>
  <c r="BP52" i="149" s="1"/>
  <c r="BS94" i="67"/>
  <c r="BS46" i="149" s="1"/>
  <c r="BP105" i="67"/>
  <c r="BP57" i="149" s="1"/>
  <c r="BP108" i="67"/>
  <c r="BP60" i="149" s="1"/>
  <c r="J37" i="148"/>
  <c r="J38" i="148"/>
  <c r="J39" i="148"/>
  <c r="J40" i="148"/>
  <c r="J41" i="148"/>
  <c r="J42" i="148"/>
  <c r="J43" i="148"/>
  <c r="J44" i="148"/>
  <c r="J45" i="148"/>
  <c r="J46" i="148"/>
  <c r="J47" i="148"/>
  <c r="I52" i="148"/>
  <c r="I49" i="148"/>
  <c r="I48" i="148"/>
  <c r="I47" i="148"/>
  <c r="I46" i="148"/>
  <c r="I45" i="148"/>
  <c r="I44" i="148"/>
  <c r="I43" i="148"/>
  <c r="I42" i="148"/>
  <c r="I39" i="148"/>
  <c r="I38" i="148"/>
  <c r="I37" i="148"/>
  <c r="I36" i="148"/>
  <c r="I35" i="148"/>
  <c r="I34" i="148"/>
  <c r="I33" i="148"/>
  <c r="I32" i="148"/>
  <c r="I31" i="148"/>
  <c r="I28" i="148"/>
  <c r="I27" i="148"/>
  <c r="I26" i="148"/>
  <c r="I25" i="148"/>
  <c r="I24" i="148"/>
  <c r="I23" i="148"/>
  <c r="I22" i="148"/>
  <c r="I21" i="148"/>
  <c r="I20" i="148"/>
  <c r="I19" i="148"/>
  <c r="I16" i="148"/>
  <c r="I15" i="148"/>
  <c r="I14" i="148"/>
  <c r="I13" i="148"/>
  <c r="I12" i="148"/>
  <c r="I11" i="148"/>
  <c r="I10" i="148"/>
  <c r="I9" i="148"/>
  <c r="I8" i="148"/>
  <c r="I7" i="148"/>
  <c r="I6" i="148"/>
  <c r="M27" i="148"/>
  <c r="L27" i="148"/>
  <c r="K27" i="148"/>
  <c r="P17" i="148"/>
  <c r="O17" i="148"/>
  <c r="P16" i="148"/>
  <c r="O16" i="148"/>
  <c r="P15" i="148"/>
  <c r="O15" i="148"/>
  <c r="P14" i="148"/>
  <c r="O14" i="148"/>
  <c r="P13" i="148"/>
  <c r="O13" i="148"/>
  <c r="P12" i="148"/>
  <c r="O12" i="148"/>
  <c r="P11" i="148"/>
  <c r="O11" i="148"/>
  <c r="P10" i="148"/>
  <c r="O10" i="148"/>
  <c r="M10" i="148"/>
  <c r="L10" i="148"/>
  <c r="K10" i="148"/>
  <c r="P9" i="148"/>
  <c r="O9" i="148"/>
  <c r="M9" i="148"/>
  <c r="L9" i="148"/>
  <c r="K9" i="148"/>
  <c r="P8" i="148"/>
  <c r="O8" i="148"/>
  <c r="M8" i="148"/>
  <c r="L8" i="148"/>
  <c r="K8" i="148"/>
  <c r="P7" i="148"/>
  <c r="O7" i="148"/>
  <c r="M7" i="148"/>
  <c r="L7" i="148"/>
  <c r="K7" i="148"/>
  <c r="P6" i="148"/>
  <c r="O6" i="148"/>
  <c r="M6" i="148"/>
  <c r="M37" i="148" s="1"/>
  <c r="L6" i="148"/>
  <c r="L37" i="148" s="1"/>
  <c r="K6" i="148"/>
  <c r="Q23" i="25"/>
  <c r="Q5" i="25"/>
  <c r="Q18" i="25" s="1"/>
  <c r="Q6" i="25"/>
  <c r="Q12" i="25" s="1"/>
  <c r="Q7" i="25"/>
  <c r="Q13" i="25" s="1"/>
  <c r="Q9" i="25"/>
  <c r="Q22" i="25" s="1"/>
  <c r="Q4" i="25"/>
  <c r="Q17" i="25" s="1"/>
  <c r="S3" i="28" l="1"/>
  <c r="H93" i="155"/>
  <c r="N93" i="155" s="1"/>
  <c r="O93" i="155" s="1"/>
  <c r="P93" i="155" s="1"/>
  <c r="Q93" i="155" s="1"/>
  <c r="V93" i="77"/>
  <c r="Q93" i="36"/>
  <c r="W93" i="36" s="1"/>
  <c r="B19" i="36"/>
  <c r="C19" i="36"/>
  <c r="H96" i="155"/>
  <c r="N96" i="155" s="1"/>
  <c r="O96" i="155" s="1"/>
  <c r="P96" i="155" s="1"/>
  <c r="Q96" i="155" s="1"/>
  <c r="V96" i="77"/>
  <c r="Q96" i="36"/>
  <c r="W96" i="36" s="1"/>
  <c r="C19" i="28"/>
  <c r="B19" i="28"/>
  <c r="Q89" i="36"/>
  <c r="W89" i="36" s="1"/>
  <c r="H89" i="155"/>
  <c r="N89" i="155" s="1"/>
  <c r="O89" i="155" s="1"/>
  <c r="P89" i="155" s="1"/>
  <c r="Q89" i="155" s="1"/>
  <c r="V89" i="77"/>
  <c r="Q88" i="36"/>
  <c r="W88" i="36" s="1"/>
  <c r="H88" i="155"/>
  <c r="N88" i="155" s="1"/>
  <c r="O88" i="155" s="1"/>
  <c r="P88" i="155" s="1"/>
  <c r="Q88" i="155" s="1"/>
  <c r="V88" i="77"/>
  <c r="Q86" i="36"/>
  <c r="W86" i="36" s="1"/>
  <c r="H86" i="155"/>
  <c r="N86" i="155" s="1"/>
  <c r="O86" i="155" s="1"/>
  <c r="P86" i="155" s="1"/>
  <c r="Q86" i="155" s="1"/>
  <c r="V86" i="77"/>
  <c r="Q87" i="36"/>
  <c r="W87" i="36" s="1"/>
  <c r="H87" i="155"/>
  <c r="N87" i="155" s="1"/>
  <c r="O87" i="155" s="1"/>
  <c r="P87" i="155" s="1"/>
  <c r="Q87" i="155" s="1"/>
  <c r="V87" i="77"/>
  <c r="Q97" i="36"/>
  <c r="W97" i="36" s="1"/>
  <c r="H97" i="155"/>
  <c r="N97" i="155" s="1"/>
  <c r="O97" i="155" s="1"/>
  <c r="P97" i="155" s="1"/>
  <c r="Q97" i="155" s="1"/>
  <c r="V97" i="77"/>
  <c r="B19" i="77"/>
  <c r="C19" i="77"/>
  <c r="C19" i="76"/>
  <c r="B19" i="76"/>
  <c r="C19" i="154"/>
  <c r="B19" i="154"/>
  <c r="C19" i="155"/>
  <c r="B19" i="155"/>
  <c r="H94" i="155"/>
  <c r="N94" i="155" s="1"/>
  <c r="O94" i="155" s="1"/>
  <c r="P94" i="155" s="1"/>
  <c r="Q94" i="155" s="1"/>
  <c r="V94" i="77"/>
  <c r="Q94" i="36"/>
  <c r="W94" i="36" s="1"/>
  <c r="A21" i="67"/>
  <c r="A20" i="155"/>
  <c r="A20" i="154"/>
  <c r="A20" i="76"/>
  <c r="A20" i="77"/>
  <c r="A20" i="34"/>
  <c r="A20" i="38"/>
  <c r="A20" i="28"/>
  <c r="A20" i="36"/>
  <c r="A20" i="30"/>
  <c r="A20" i="32"/>
  <c r="A20" i="75"/>
  <c r="C20" i="67"/>
  <c r="B20" i="67"/>
  <c r="V90" i="77"/>
  <c r="Q90" i="36"/>
  <c r="W90" i="36" s="1"/>
  <c r="H90" i="155"/>
  <c r="N90" i="155" s="1"/>
  <c r="O90" i="155" s="1"/>
  <c r="P90" i="155" s="1"/>
  <c r="Q90" i="155" s="1"/>
  <c r="V91" i="77"/>
  <c r="Q91" i="36"/>
  <c r="W91" i="36" s="1"/>
  <c r="H91" i="155"/>
  <c r="N91" i="155" s="1"/>
  <c r="O91" i="155" s="1"/>
  <c r="P91" i="155" s="1"/>
  <c r="Q91" i="155" s="1"/>
  <c r="B19" i="75"/>
  <c r="C19" i="75"/>
  <c r="H92" i="155"/>
  <c r="N92" i="155" s="1"/>
  <c r="O92" i="155" s="1"/>
  <c r="P92" i="155" s="1"/>
  <c r="Q92" i="155" s="1"/>
  <c r="V92" i="77"/>
  <c r="Q92" i="36"/>
  <c r="W92" i="36" s="1"/>
  <c r="B19" i="32"/>
  <c r="C19" i="32"/>
  <c r="H95" i="155"/>
  <c r="N95" i="155" s="1"/>
  <c r="O95" i="155" s="1"/>
  <c r="P95" i="155" s="1"/>
  <c r="Q95" i="155" s="1"/>
  <c r="V95" i="77"/>
  <c r="Q95" i="36"/>
  <c r="W95" i="36" s="1"/>
  <c r="C19" i="30"/>
  <c r="B19" i="30"/>
  <c r="T202" i="150"/>
  <c r="AR201" i="150"/>
  <c r="R202" i="150"/>
  <c r="AP201" i="150"/>
  <c r="AA202" i="150"/>
  <c r="AY201" i="150"/>
  <c r="S202" i="150"/>
  <c r="AQ201" i="150"/>
  <c r="X202" i="150"/>
  <c r="AV201" i="150"/>
  <c r="U202" i="150"/>
  <c r="AS201" i="150"/>
  <c r="Z201" i="150"/>
  <c r="AX200" i="150"/>
  <c r="Q203" i="150"/>
  <c r="AO202" i="150"/>
  <c r="W202" i="150"/>
  <c r="AU201" i="150"/>
  <c r="V202" i="150"/>
  <c r="AT201" i="150"/>
  <c r="Y202" i="150"/>
  <c r="AW201" i="150"/>
  <c r="BN117" i="67"/>
  <c r="BN69" i="149" s="1"/>
  <c r="BN57" i="149"/>
  <c r="BF116" i="67"/>
  <c r="BF68" i="149" s="1"/>
  <c r="BF56" i="149"/>
  <c r="BL112" i="67"/>
  <c r="BL64" i="149" s="1"/>
  <c r="BL52" i="149"/>
  <c r="BN113" i="67"/>
  <c r="BN65" i="149" s="1"/>
  <c r="BN53" i="149"/>
  <c r="BR107" i="67"/>
  <c r="BR47" i="149"/>
  <c r="BQ100" i="67"/>
  <c r="BQ40" i="149"/>
  <c r="BN119" i="67"/>
  <c r="BN71" i="149" s="1"/>
  <c r="BN59" i="149"/>
  <c r="BQ108" i="67"/>
  <c r="BQ48" i="149"/>
  <c r="BG115" i="67"/>
  <c r="BG67" i="149" s="1"/>
  <c r="BG55" i="149"/>
  <c r="BE117" i="67"/>
  <c r="BE69" i="149" s="1"/>
  <c r="BE57" i="149"/>
  <c r="BR103" i="67"/>
  <c r="BR43" i="149"/>
  <c r="BG113" i="67"/>
  <c r="BG65" i="149" s="1"/>
  <c r="BG53" i="149"/>
  <c r="BK114" i="67"/>
  <c r="BK66" i="149" s="1"/>
  <c r="BK54" i="149"/>
  <c r="BK121" i="67"/>
  <c r="BK73" i="149" s="1"/>
  <c r="BK61" i="149"/>
  <c r="BH117" i="67"/>
  <c r="BH69" i="149" s="1"/>
  <c r="BH57" i="149"/>
  <c r="BK110" i="67"/>
  <c r="BK62" i="149" s="1"/>
  <c r="BK50" i="149"/>
  <c r="BI115" i="67"/>
  <c r="BI67" i="149" s="1"/>
  <c r="BI55" i="149"/>
  <c r="BM116" i="67"/>
  <c r="BM68" i="149" s="1"/>
  <c r="BM56" i="149"/>
  <c r="BE115" i="67"/>
  <c r="BE67" i="149" s="1"/>
  <c r="BE55" i="149"/>
  <c r="BH112" i="67"/>
  <c r="BH64" i="149" s="1"/>
  <c r="BH52" i="149"/>
  <c r="BM115" i="67"/>
  <c r="BM67" i="149" s="1"/>
  <c r="BM55" i="149"/>
  <c r="BR104" i="67"/>
  <c r="BR44" i="149"/>
  <c r="BI113" i="67"/>
  <c r="BI65" i="149" s="1"/>
  <c r="BI53" i="149"/>
  <c r="BE118" i="67"/>
  <c r="BE70" i="149" s="1"/>
  <c r="BE58" i="149"/>
  <c r="BL118" i="67"/>
  <c r="BL70" i="149" s="1"/>
  <c r="BL58" i="149"/>
  <c r="BH111" i="67"/>
  <c r="BH63" i="149" s="1"/>
  <c r="BH51" i="149"/>
  <c r="BH118" i="67"/>
  <c r="BH70" i="149" s="1"/>
  <c r="BH58" i="149"/>
  <c r="BE121" i="67"/>
  <c r="BE73" i="149" s="1"/>
  <c r="BE61" i="149"/>
  <c r="BE120" i="67"/>
  <c r="BE72" i="149" s="1"/>
  <c r="BE60" i="149"/>
  <c r="BO111" i="67"/>
  <c r="BO63" i="149" s="1"/>
  <c r="BO51" i="149"/>
  <c r="BJ117" i="67"/>
  <c r="BJ69" i="149" s="1"/>
  <c r="BJ57" i="149"/>
  <c r="BQ98" i="67"/>
  <c r="BQ38" i="149"/>
  <c r="BO121" i="67"/>
  <c r="BO73" i="149" s="1"/>
  <c r="BO61" i="149"/>
  <c r="BJ112" i="67"/>
  <c r="BJ64" i="149" s="1"/>
  <c r="BJ52" i="149"/>
  <c r="BI117" i="67"/>
  <c r="BI69" i="149" s="1"/>
  <c r="BI57" i="149"/>
  <c r="BF110" i="67"/>
  <c r="BF62" i="149" s="1"/>
  <c r="BF50" i="149"/>
  <c r="BM110" i="67"/>
  <c r="BM62" i="149" s="1"/>
  <c r="BM50" i="149"/>
  <c r="BG116" i="67"/>
  <c r="BG68" i="149" s="1"/>
  <c r="BG56" i="149"/>
  <c r="BL114" i="67"/>
  <c r="BL66" i="149" s="1"/>
  <c r="BL54" i="149"/>
  <c r="BK119" i="67"/>
  <c r="BK71" i="149" s="1"/>
  <c r="BK59" i="149"/>
  <c r="BM114" i="67"/>
  <c r="BM66" i="149" s="1"/>
  <c r="BM54" i="149"/>
  <c r="BL120" i="67"/>
  <c r="BL72" i="149" s="1"/>
  <c r="BL60" i="149"/>
  <c r="BI121" i="67"/>
  <c r="BI73" i="149" s="1"/>
  <c r="BI61" i="149"/>
  <c r="BE110" i="67"/>
  <c r="BE62" i="149" s="1"/>
  <c r="BE50" i="149"/>
  <c r="BR105" i="67"/>
  <c r="BR45" i="149"/>
  <c r="BF114" i="67"/>
  <c r="BF66" i="149" s="1"/>
  <c r="BF54" i="149"/>
  <c r="BF113" i="67"/>
  <c r="BF65" i="149" s="1"/>
  <c r="BF53" i="149"/>
  <c r="BG121" i="67"/>
  <c r="BG73" i="149" s="1"/>
  <c r="BG61" i="149"/>
  <c r="BQ109" i="67"/>
  <c r="BQ49" i="149"/>
  <c r="BL116" i="67"/>
  <c r="BL68" i="149" s="1"/>
  <c r="BL56" i="149"/>
  <c r="BH121" i="67"/>
  <c r="BH73" i="149" s="1"/>
  <c r="BH61" i="149"/>
  <c r="BH113" i="67"/>
  <c r="BH65" i="149" s="1"/>
  <c r="BH53" i="149"/>
  <c r="BJ111" i="67"/>
  <c r="BJ63" i="149" s="1"/>
  <c r="BJ51" i="149"/>
  <c r="BI118" i="67"/>
  <c r="BI70" i="149" s="1"/>
  <c r="BI58" i="149"/>
  <c r="BN118" i="67"/>
  <c r="BN70" i="149" s="1"/>
  <c r="BN58" i="149"/>
  <c r="BO115" i="67"/>
  <c r="BO67" i="149" s="1"/>
  <c r="BO55" i="149"/>
  <c r="BJ115" i="67"/>
  <c r="BJ67" i="149" s="1"/>
  <c r="BJ55" i="149"/>
  <c r="BL113" i="67"/>
  <c r="BL65" i="149" s="1"/>
  <c r="BL53" i="149"/>
  <c r="BN121" i="67"/>
  <c r="BN73" i="149" s="1"/>
  <c r="BN61" i="149"/>
  <c r="BO113" i="67"/>
  <c r="BO65" i="149" s="1"/>
  <c r="BO53" i="149"/>
  <c r="BQ107" i="67"/>
  <c r="BQ47" i="149"/>
  <c r="BG110" i="67"/>
  <c r="BG62" i="149" s="1"/>
  <c r="BG50" i="149"/>
  <c r="BJ121" i="67"/>
  <c r="BJ73" i="149" s="1"/>
  <c r="BJ61" i="149"/>
  <c r="BM118" i="67"/>
  <c r="BM70" i="149" s="1"/>
  <c r="BM58" i="149"/>
  <c r="BO117" i="67"/>
  <c r="BO69" i="149" s="1"/>
  <c r="BO57" i="149"/>
  <c r="BQ101" i="67"/>
  <c r="BQ41" i="149"/>
  <c r="BK115" i="67"/>
  <c r="BK67" i="149" s="1"/>
  <c r="BK55" i="149"/>
  <c r="BF121" i="67"/>
  <c r="BF73" i="149" s="1"/>
  <c r="BF61" i="149"/>
  <c r="BH115" i="67"/>
  <c r="BH67" i="149" s="1"/>
  <c r="BH55" i="149"/>
  <c r="BN114" i="67"/>
  <c r="BN66" i="149" s="1"/>
  <c r="BN54" i="149"/>
  <c r="BE116" i="67"/>
  <c r="BE68" i="149" s="1"/>
  <c r="BE56" i="149"/>
  <c r="BR100" i="67"/>
  <c r="BR40" i="149"/>
  <c r="BL110" i="67"/>
  <c r="BL62" i="149" s="1"/>
  <c r="BL50" i="149"/>
  <c r="BK118" i="67"/>
  <c r="BK70" i="149" s="1"/>
  <c r="BK58" i="149"/>
  <c r="BR98" i="67"/>
  <c r="BR38" i="149"/>
  <c r="BG118" i="67"/>
  <c r="BG70" i="149" s="1"/>
  <c r="BG58" i="149"/>
  <c r="BJ110" i="67"/>
  <c r="BJ62" i="149" s="1"/>
  <c r="BJ50" i="149"/>
  <c r="BN112" i="67"/>
  <c r="BN64" i="149" s="1"/>
  <c r="BN52" i="149"/>
  <c r="BJ116" i="67"/>
  <c r="BJ68" i="149" s="1"/>
  <c r="BJ56" i="149"/>
  <c r="BM112" i="67"/>
  <c r="BM64" i="149" s="1"/>
  <c r="BM52" i="149"/>
  <c r="BR99" i="67"/>
  <c r="BR39" i="149"/>
  <c r="BO118" i="67"/>
  <c r="BO70" i="149" s="1"/>
  <c r="BO58" i="149"/>
  <c r="BG117" i="67"/>
  <c r="BG69" i="149" s="1"/>
  <c r="BG57" i="149"/>
  <c r="BM113" i="67"/>
  <c r="BM65" i="149" s="1"/>
  <c r="BM53" i="149"/>
  <c r="BO116" i="67"/>
  <c r="BO68" i="149" s="1"/>
  <c r="BO56" i="149"/>
  <c r="BG114" i="67"/>
  <c r="BG66" i="149" s="1"/>
  <c r="BG54" i="149"/>
  <c r="BG120" i="67"/>
  <c r="BG72" i="149" s="1"/>
  <c r="BG60" i="149"/>
  <c r="BF112" i="67"/>
  <c r="BF64" i="149" s="1"/>
  <c r="BF52" i="149"/>
  <c r="BJ120" i="67"/>
  <c r="BJ72" i="149" s="1"/>
  <c r="BJ60" i="149"/>
  <c r="BF115" i="67"/>
  <c r="BF67" i="149" s="1"/>
  <c r="BF55" i="149"/>
  <c r="BQ103" i="67"/>
  <c r="BQ43" i="149"/>
  <c r="BH114" i="67"/>
  <c r="BH66" i="149" s="1"/>
  <c r="BH54" i="149"/>
  <c r="BL115" i="67"/>
  <c r="BL67" i="149" s="1"/>
  <c r="BL55" i="149"/>
  <c r="BR109" i="67"/>
  <c r="BR49" i="149"/>
  <c r="BJ119" i="67"/>
  <c r="BJ71" i="149" s="1"/>
  <c r="BJ59" i="149"/>
  <c r="BL111" i="67"/>
  <c r="BL63" i="149" s="1"/>
  <c r="BL51" i="149"/>
  <c r="BM120" i="67"/>
  <c r="BM72" i="149" s="1"/>
  <c r="BM60" i="149"/>
  <c r="BO112" i="67"/>
  <c r="BO64" i="149" s="1"/>
  <c r="BO52" i="149"/>
  <c r="BK117" i="67"/>
  <c r="BK69" i="149" s="1"/>
  <c r="BK57" i="149"/>
  <c r="BN116" i="67"/>
  <c r="BN68" i="149" s="1"/>
  <c r="BN56" i="149"/>
  <c r="BE113" i="67"/>
  <c r="BE65" i="149" s="1"/>
  <c r="BE53" i="149"/>
  <c r="BQ99" i="67"/>
  <c r="BQ39" i="149"/>
  <c r="BF120" i="67"/>
  <c r="BF72" i="149" s="1"/>
  <c r="BF60" i="149"/>
  <c r="BE111" i="67"/>
  <c r="BE63" i="149" s="1"/>
  <c r="BE51" i="149"/>
  <c r="BO110" i="67"/>
  <c r="BO62" i="149" s="1"/>
  <c r="BO50" i="149"/>
  <c r="BN120" i="67"/>
  <c r="BN72" i="149" s="1"/>
  <c r="BN60" i="149"/>
  <c r="BJ113" i="67"/>
  <c r="BJ65" i="149" s="1"/>
  <c r="BJ53" i="149"/>
  <c r="BH116" i="67"/>
  <c r="BH68" i="149" s="1"/>
  <c r="BH56" i="149"/>
  <c r="BR102" i="67"/>
  <c r="BR42" i="149"/>
  <c r="BQ106" i="67"/>
  <c r="BQ46" i="149"/>
  <c r="BQ104" i="67"/>
  <c r="BQ44" i="149"/>
  <c r="BK113" i="67"/>
  <c r="BK65" i="149" s="1"/>
  <c r="BK53" i="149"/>
  <c r="BJ118" i="67"/>
  <c r="BJ70" i="149" s="1"/>
  <c r="BJ58" i="149"/>
  <c r="BG111" i="67"/>
  <c r="BG63" i="149" s="1"/>
  <c r="BG51" i="149"/>
  <c r="BN111" i="67"/>
  <c r="BN63" i="149" s="1"/>
  <c r="BN51" i="149"/>
  <c r="BK116" i="67"/>
  <c r="BK68" i="149" s="1"/>
  <c r="BK56" i="149"/>
  <c r="BF118" i="67"/>
  <c r="BF70" i="149" s="1"/>
  <c r="BF58" i="149"/>
  <c r="BQ102" i="67"/>
  <c r="BQ42" i="149"/>
  <c r="BN115" i="67"/>
  <c r="BN67" i="149" s="1"/>
  <c r="BN55" i="149"/>
  <c r="BM121" i="67"/>
  <c r="BM73" i="149" s="1"/>
  <c r="BM61" i="149"/>
  <c r="BJ114" i="67"/>
  <c r="BJ66" i="149" s="1"/>
  <c r="BJ54" i="149"/>
  <c r="BO114" i="67"/>
  <c r="BO66" i="149" s="1"/>
  <c r="BO54" i="149"/>
  <c r="BM119" i="67"/>
  <c r="BM71" i="149" s="1"/>
  <c r="BM59" i="149"/>
  <c r="BI112" i="67"/>
  <c r="BI64" i="149" s="1"/>
  <c r="BI52" i="149"/>
  <c r="BH120" i="67"/>
  <c r="BH72" i="149" s="1"/>
  <c r="BH60" i="149"/>
  <c r="BG112" i="67"/>
  <c r="BG64" i="149" s="1"/>
  <c r="BG52" i="149"/>
  <c r="BI111" i="67"/>
  <c r="BI63" i="149" s="1"/>
  <c r="BI51" i="149"/>
  <c r="BE114" i="67"/>
  <c r="BE66" i="149" s="1"/>
  <c r="BE54" i="149"/>
  <c r="BM117" i="67"/>
  <c r="BM69" i="149" s="1"/>
  <c r="BM57" i="149"/>
  <c r="BF117" i="67"/>
  <c r="BF69" i="149" s="1"/>
  <c r="BF57" i="149"/>
  <c r="BI114" i="67"/>
  <c r="BI66" i="149" s="1"/>
  <c r="BI54" i="149"/>
  <c r="BK112" i="67"/>
  <c r="BK64" i="149" s="1"/>
  <c r="BK52" i="149"/>
  <c r="BK120" i="67"/>
  <c r="BK72" i="149" s="1"/>
  <c r="BK60" i="149"/>
  <c r="BO119" i="67"/>
  <c r="BO71" i="149" s="1"/>
  <c r="BO59" i="149"/>
  <c r="BR106" i="67"/>
  <c r="BR46" i="149"/>
  <c r="BK111" i="67"/>
  <c r="BK63" i="149" s="1"/>
  <c r="BK51" i="149"/>
  <c r="BQ105" i="67"/>
  <c r="BQ45" i="149"/>
  <c r="BI120" i="67"/>
  <c r="BI72" i="149" s="1"/>
  <c r="BI60" i="149"/>
  <c r="BL117" i="67"/>
  <c r="BL69" i="149" s="1"/>
  <c r="BL57" i="149"/>
  <c r="BE119" i="67"/>
  <c r="BE71" i="149" s="1"/>
  <c r="BE59" i="149"/>
  <c r="BE112" i="67"/>
  <c r="BE64" i="149" s="1"/>
  <c r="BE52" i="149"/>
  <c r="BF119" i="67"/>
  <c r="BF71" i="149" s="1"/>
  <c r="BF59" i="149"/>
  <c r="BF111" i="67"/>
  <c r="BF63" i="149" s="1"/>
  <c r="BF51" i="149"/>
  <c r="BH110" i="67"/>
  <c r="BH62" i="149" s="1"/>
  <c r="BH50" i="149"/>
  <c r="BI119" i="67"/>
  <c r="BI71" i="149" s="1"/>
  <c r="BI59" i="149"/>
  <c r="BO120" i="67"/>
  <c r="BO72" i="149" s="1"/>
  <c r="BO60" i="149"/>
  <c r="BI110" i="67"/>
  <c r="BI62" i="149" s="1"/>
  <c r="BI50" i="149"/>
  <c r="BI116" i="67"/>
  <c r="BI68" i="149" s="1"/>
  <c r="BI56" i="149"/>
  <c r="BR101" i="67"/>
  <c r="BR41" i="149"/>
  <c r="BR108" i="67"/>
  <c r="BR48" i="149"/>
  <c r="BM111" i="67"/>
  <c r="BM63" i="149" s="1"/>
  <c r="BM51" i="149"/>
  <c r="BL119" i="67"/>
  <c r="BL71" i="149" s="1"/>
  <c r="BL59" i="149"/>
  <c r="BN110" i="67"/>
  <c r="BN62" i="149" s="1"/>
  <c r="BN50" i="149"/>
  <c r="BH119" i="67"/>
  <c r="BH71" i="149" s="1"/>
  <c r="BH59" i="149"/>
  <c r="BL121" i="67"/>
  <c r="BL73" i="149" s="1"/>
  <c r="BL61" i="149"/>
  <c r="BG119" i="67"/>
  <c r="BG71" i="149" s="1"/>
  <c r="BG59" i="149"/>
  <c r="Q20" i="25"/>
  <c r="Q19" i="25"/>
  <c r="L127" i="65"/>
  <c r="L139" i="65"/>
  <c r="M129" i="65"/>
  <c r="M141" i="65"/>
  <c r="L135" i="65"/>
  <c r="L147" i="65"/>
  <c r="L130" i="65"/>
  <c r="L142" i="65"/>
  <c r="K128" i="65"/>
  <c r="K140" i="65"/>
  <c r="M132" i="65"/>
  <c r="M144" i="65"/>
  <c r="K126" i="65"/>
  <c r="K138" i="65"/>
  <c r="M128" i="65"/>
  <c r="M140" i="65"/>
  <c r="L132" i="65"/>
  <c r="L144" i="65"/>
  <c r="L133" i="65"/>
  <c r="L145" i="65"/>
  <c r="K130" i="65"/>
  <c r="K142" i="65"/>
  <c r="L134" i="65"/>
  <c r="L146" i="65"/>
  <c r="M134" i="65"/>
  <c r="M146" i="65"/>
  <c r="J131" i="65"/>
  <c r="J143" i="65"/>
  <c r="M126" i="65"/>
  <c r="M138" i="65"/>
  <c r="J133" i="65"/>
  <c r="J145" i="65"/>
  <c r="M135" i="65"/>
  <c r="M147" i="65"/>
  <c r="M133" i="65"/>
  <c r="M145" i="65"/>
  <c r="J126" i="65"/>
  <c r="J138" i="65"/>
  <c r="J128" i="65"/>
  <c r="J140" i="65"/>
  <c r="L126" i="65"/>
  <c r="L138" i="65"/>
  <c r="J129" i="65"/>
  <c r="J141" i="65"/>
  <c r="J127" i="65"/>
  <c r="J139" i="65"/>
  <c r="K129" i="65"/>
  <c r="K141" i="65"/>
  <c r="J132" i="65"/>
  <c r="J144" i="65"/>
  <c r="K133" i="65"/>
  <c r="K145" i="65"/>
  <c r="J134" i="65"/>
  <c r="J146" i="65"/>
  <c r="K132" i="65"/>
  <c r="K144" i="65"/>
  <c r="M131" i="65"/>
  <c r="M143" i="65"/>
  <c r="K135" i="65"/>
  <c r="K147" i="65"/>
  <c r="L128" i="65"/>
  <c r="L140" i="65"/>
  <c r="M127" i="65"/>
  <c r="M139" i="65"/>
  <c r="K131" i="65"/>
  <c r="K143" i="65"/>
  <c r="L131" i="65"/>
  <c r="L143" i="65"/>
  <c r="M130" i="65"/>
  <c r="M142" i="65"/>
  <c r="L129" i="65"/>
  <c r="L141" i="65"/>
  <c r="J135" i="65"/>
  <c r="J147" i="65"/>
  <c r="J130" i="65"/>
  <c r="J142" i="65"/>
  <c r="K134" i="65"/>
  <c r="K146" i="65"/>
  <c r="K37" i="148"/>
  <c r="BT6" i="67"/>
  <c r="BP121" i="67"/>
  <c r="BP73" i="149" s="1"/>
  <c r="BS108" i="67"/>
  <c r="BS60" i="149" s="1"/>
  <c r="BS106" i="67"/>
  <c r="BS58" i="149" s="1"/>
  <c r="BS101" i="67"/>
  <c r="BS53" i="149" s="1"/>
  <c r="BP110" i="67"/>
  <c r="BP62" i="149" s="1"/>
  <c r="BP118" i="67"/>
  <c r="BP70" i="149" s="1"/>
  <c r="BP117" i="67"/>
  <c r="BP69" i="149" s="1"/>
  <c r="BP116" i="67"/>
  <c r="BP68" i="149" s="1"/>
  <c r="BS105" i="67"/>
  <c r="BS57" i="149" s="1"/>
  <c r="BP114" i="67"/>
  <c r="BP66" i="149" s="1"/>
  <c r="BS107" i="67"/>
  <c r="BS59" i="149" s="1"/>
  <c r="BP119" i="67"/>
  <c r="BP71" i="149" s="1"/>
  <c r="BP120" i="67"/>
  <c r="BP72" i="149" s="1"/>
  <c r="BS100" i="67"/>
  <c r="BS52" i="149" s="1"/>
  <c r="BS102" i="67"/>
  <c r="BS54" i="149" s="1"/>
  <c r="BP113" i="67"/>
  <c r="BP65" i="149" s="1"/>
  <c r="BP111" i="67"/>
  <c r="BP63" i="149" s="1"/>
  <c r="BS109" i="67"/>
  <c r="BS61" i="149" s="1"/>
  <c r="BS104" i="67"/>
  <c r="BS56" i="149" s="1"/>
  <c r="BP112" i="67"/>
  <c r="BP64" i="149" s="1"/>
  <c r="BS103" i="67"/>
  <c r="BS55" i="149" s="1"/>
  <c r="BS99" i="67"/>
  <c r="BS51" i="149" s="1"/>
  <c r="BS98" i="67"/>
  <c r="BS50" i="149" s="1"/>
  <c r="BP115" i="67"/>
  <c r="BP67" i="149" s="1"/>
  <c r="M38" i="148"/>
  <c r="L41" i="148"/>
  <c r="K40" i="148"/>
  <c r="Q9" i="148"/>
  <c r="M41" i="148"/>
  <c r="L40" i="148"/>
  <c r="Q10" i="148"/>
  <c r="K41" i="148"/>
  <c r="Q7" i="148"/>
  <c r="L39" i="148"/>
  <c r="I12" i="67" s="1"/>
  <c r="J12" i="67" s="1"/>
  <c r="DQ12" i="4" s="1"/>
  <c r="M40" i="148"/>
  <c r="K38" i="148"/>
  <c r="E17" i="67" s="1"/>
  <c r="L38" i="148"/>
  <c r="Q6" i="148"/>
  <c r="K39" i="148"/>
  <c r="Q8" i="148"/>
  <c r="I53" i="148"/>
  <c r="M39" i="148"/>
  <c r="M10" i="67" s="1"/>
  <c r="N10" i="67" s="1"/>
  <c r="B20" i="36" l="1"/>
  <c r="C20" i="36"/>
  <c r="C20" i="28"/>
  <c r="B20" i="28"/>
  <c r="D10" i="77"/>
  <c r="D10" i="36"/>
  <c r="B20" i="77"/>
  <c r="C20" i="77"/>
  <c r="B20" i="76"/>
  <c r="C20" i="76"/>
  <c r="C20" i="154"/>
  <c r="B20" i="154"/>
  <c r="Q105" i="36"/>
  <c r="W105" i="36" s="1"/>
  <c r="H105" i="155"/>
  <c r="N105" i="155" s="1"/>
  <c r="O105" i="155" s="1"/>
  <c r="P105" i="155" s="1"/>
  <c r="Q105" i="155" s="1"/>
  <c r="V105" i="77"/>
  <c r="B20" i="155"/>
  <c r="C20" i="155"/>
  <c r="Q104" i="36"/>
  <c r="W104" i="36" s="1"/>
  <c r="H104" i="155"/>
  <c r="N104" i="155" s="1"/>
  <c r="O104" i="155" s="1"/>
  <c r="P104" i="155" s="1"/>
  <c r="Q104" i="155" s="1"/>
  <c r="V104" i="77"/>
  <c r="A22" i="67"/>
  <c r="A21" i="155"/>
  <c r="A21" i="154"/>
  <c r="A21" i="76"/>
  <c r="A21" i="77"/>
  <c r="A21" i="34"/>
  <c r="A21" i="38"/>
  <c r="A21" i="28"/>
  <c r="A21" i="36"/>
  <c r="A21" i="30"/>
  <c r="A21" i="32"/>
  <c r="A21" i="75"/>
  <c r="B21" i="67"/>
  <c r="C21" i="67"/>
  <c r="Q99" i="36"/>
  <c r="W99" i="36" s="1"/>
  <c r="H99" i="155"/>
  <c r="N99" i="155" s="1"/>
  <c r="O99" i="155" s="1"/>
  <c r="P99" i="155" s="1"/>
  <c r="Q99" i="155" s="1"/>
  <c r="V99" i="77"/>
  <c r="Q98" i="36"/>
  <c r="W98" i="36" s="1"/>
  <c r="H98" i="155"/>
  <c r="N98" i="155" s="1"/>
  <c r="O98" i="155" s="1"/>
  <c r="P98" i="155" s="1"/>
  <c r="Q98" i="155" s="1"/>
  <c r="V98" i="77"/>
  <c r="V107" i="77"/>
  <c r="Q107" i="36"/>
  <c r="W107" i="36" s="1"/>
  <c r="H107" i="155"/>
  <c r="N107" i="155" s="1"/>
  <c r="O107" i="155" s="1"/>
  <c r="P107" i="155" s="1"/>
  <c r="Q107" i="155" s="1"/>
  <c r="H108" i="155"/>
  <c r="N108" i="155" s="1"/>
  <c r="O108" i="155" s="1"/>
  <c r="P108" i="155" s="1"/>
  <c r="Q108" i="155" s="1"/>
  <c r="V108" i="77"/>
  <c r="Q108" i="36"/>
  <c r="W108" i="36" s="1"/>
  <c r="B20" i="75"/>
  <c r="C20" i="75"/>
  <c r="V106" i="77"/>
  <c r="Q106" i="36"/>
  <c r="W106" i="36" s="1"/>
  <c r="H106" i="155"/>
  <c r="N106" i="155" s="1"/>
  <c r="O106" i="155" s="1"/>
  <c r="P106" i="155" s="1"/>
  <c r="Q106" i="155" s="1"/>
  <c r="Q102" i="36"/>
  <c r="W102" i="36" s="1"/>
  <c r="H102" i="155"/>
  <c r="N102" i="155" s="1"/>
  <c r="O102" i="155" s="1"/>
  <c r="P102" i="155" s="1"/>
  <c r="Q102" i="155" s="1"/>
  <c r="V102" i="77"/>
  <c r="H101" i="155"/>
  <c r="N101" i="155" s="1"/>
  <c r="O101" i="155" s="1"/>
  <c r="P101" i="155" s="1"/>
  <c r="Q101" i="155" s="1"/>
  <c r="V101" i="77"/>
  <c r="Q101" i="36"/>
  <c r="W101" i="36" s="1"/>
  <c r="Q103" i="36"/>
  <c r="W103" i="36" s="1"/>
  <c r="H103" i="155"/>
  <c r="N103" i="155" s="1"/>
  <c r="O103" i="155" s="1"/>
  <c r="P103" i="155" s="1"/>
  <c r="Q103" i="155" s="1"/>
  <c r="V103" i="77"/>
  <c r="B20" i="32"/>
  <c r="C20" i="32"/>
  <c r="H109" i="155"/>
  <c r="N109" i="155" s="1"/>
  <c r="O109" i="155" s="1"/>
  <c r="P109" i="155" s="1"/>
  <c r="Q109" i="155" s="1"/>
  <c r="V109" i="77"/>
  <c r="Q109" i="36"/>
  <c r="W109" i="36" s="1"/>
  <c r="H100" i="155"/>
  <c r="N100" i="155" s="1"/>
  <c r="O100" i="155" s="1"/>
  <c r="P100" i="155" s="1"/>
  <c r="Q100" i="155" s="1"/>
  <c r="V100" i="77"/>
  <c r="Q100" i="36"/>
  <c r="W100" i="36" s="1"/>
  <c r="C20" i="30"/>
  <c r="B20" i="30"/>
  <c r="Q204" i="150"/>
  <c r="AO203" i="150"/>
  <c r="Z202" i="150"/>
  <c r="AX201" i="150"/>
  <c r="U203" i="150"/>
  <c r="AS202" i="150"/>
  <c r="X203" i="150"/>
  <c r="AV202" i="150"/>
  <c r="S203" i="150"/>
  <c r="AQ202" i="150"/>
  <c r="AA203" i="150"/>
  <c r="AY202" i="150"/>
  <c r="V203" i="150"/>
  <c r="AT202" i="150"/>
  <c r="R203" i="150"/>
  <c r="AP202" i="150"/>
  <c r="Y203" i="150"/>
  <c r="AW202" i="150"/>
  <c r="W203" i="150"/>
  <c r="AU202" i="150"/>
  <c r="T203" i="150"/>
  <c r="AR202" i="150"/>
  <c r="DR10" i="4"/>
  <c r="AB10" i="67"/>
  <c r="BQ114" i="67"/>
  <c r="BQ66" i="149" s="1"/>
  <c r="BQ54" i="149"/>
  <c r="BQ116" i="67"/>
  <c r="BQ68" i="149" s="1"/>
  <c r="BQ56" i="149"/>
  <c r="BR111" i="67"/>
  <c r="BR51" i="149"/>
  <c r="BR110" i="67"/>
  <c r="BR50" i="149"/>
  <c r="BQ110" i="67"/>
  <c r="BQ62" i="149" s="1"/>
  <c r="BQ50" i="149"/>
  <c r="BQ120" i="67"/>
  <c r="BQ72" i="149" s="1"/>
  <c r="BQ60" i="149"/>
  <c r="BQ118" i="67"/>
  <c r="BQ70" i="149" s="1"/>
  <c r="BQ58" i="149"/>
  <c r="BQ111" i="67"/>
  <c r="BQ63" i="149" s="1"/>
  <c r="BQ51" i="149"/>
  <c r="BQ113" i="67"/>
  <c r="BQ65" i="149" s="1"/>
  <c r="BQ53" i="149"/>
  <c r="BR120" i="67"/>
  <c r="BR60" i="149"/>
  <c r="BR113" i="67"/>
  <c r="BR53" i="149"/>
  <c r="BR116" i="67"/>
  <c r="BR56" i="149"/>
  <c r="BQ112" i="67"/>
  <c r="BQ64" i="149" s="1"/>
  <c r="BQ52" i="149"/>
  <c r="BR114" i="67"/>
  <c r="BR54" i="149"/>
  <c r="BR121" i="67"/>
  <c r="BR61" i="149"/>
  <c r="BR112" i="67"/>
  <c r="BR52" i="149"/>
  <c r="BQ121" i="67"/>
  <c r="BQ73" i="149" s="1"/>
  <c r="BQ61" i="149"/>
  <c r="BR119" i="67"/>
  <c r="BR59" i="149"/>
  <c r="BR115" i="67"/>
  <c r="BR55" i="149"/>
  <c r="BQ115" i="67"/>
  <c r="BQ67" i="149" s="1"/>
  <c r="BQ55" i="149"/>
  <c r="BQ119" i="67"/>
  <c r="BQ71" i="149" s="1"/>
  <c r="BQ59" i="149"/>
  <c r="BQ117" i="67"/>
  <c r="BQ69" i="149" s="1"/>
  <c r="BQ57" i="149"/>
  <c r="BR118" i="67"/>
  <c r="BR58" i="149"/>
  <c r="BR117" i="67"/>
  <c r="BR57" i="149"/>
  <c r="E16" i="67"/>
  <c r="F16" i="67" s="1"/>
  <c r="DP16" i="4" s="1"/>
  <c r="E15" i="67"/>
  <c r="F15" i="67" s="1"/>
  <c r="DP15" i="4" s="1"/>
  <c r="E14" i="67"/>
  <c r="F14" i="67" s="1"/>
  <c r="DP14" i="4" s="1"/>
  <c r="E3" i="67"/>
  <c r="F3" i="67" s="1"/>
  <c r="E4" i="67"/>
  <c r="F4" i="67" s="1"/>
  <c r="DP4" i="4" s="1"/>
  <c r="E5" i="67"/>
  <c r="F5" i="67" s="1"/>
  <c r="E6" i="67"/>
  <c r="F6" i="67" s="1"/>
  <c r="DP6" i="4" s="1"/>
  <c r="E7" i="67"/>
  <c r="F7" i="67" s="1"/>
  <c r="E8" i="67"/>
  <c r="F8" i="67" s="1"/>
  <c r="DP8" i="4" s="1"/>
  <c r="E9" i="67"/>
  <c r="F9" i="67" s="1"/>
  <c r="DP9" i="4" s="1"/>
  <c r="E10" i="67"/>
  <c r="F10" i="67" s="1"/>
  <c r="DP10" i="4" s="1"/>
  <c r="E2" i="67"/>
  <c r="F2" i="67" s="1"/>
  <c r="E11" i="67"/>
  <c r="F11" i="67" s="1"/>
  <c r="DP11" i="4" s="1"/>
  <c r="E12" i="67"/>
  <c r="F12" i="67" s="1"/>
  <c r="DP12" i="4" s="1"/>
  <c r="E13" i="67"/>
  <c r="F13" i="67" s="1"/>
  <c r="E21" i="67"/>
  <c r="F21" i="67" s="1"/>
  <c r="E20" i="67"/>
  <c r="F20" i="67" s="1"/>
  <c r="DP20" i="4" s="1"/>
  <c r="E19" i="67"/>
  <c r="F19" i="67" s="1"/>
  <c r="DP19" i="4" s="1"/>
  <c r="E18" i="67"/>
  <c r="F18" i="67" s="1"/>
  <c r="DP18" i="4" s="1"/>
  <c r="M21" i="67"/>
  <c r="N21" i="67" s="1"/>
  <c r="I2" i="67"/>
  <c r="J2" i="67" s="1"/>
  <c r="I10" i="67"/>
  <c r="J10" i="67" s="1"/>
  <c r="DQ10" i="4" s="1"/>
  <c r="I19" i="67"/>
  <c r="J19" i="67" s="1"/>
  <c r="DQ19" i="4" s="1"/>
  <c r="M17" i="67"/>
  <c r="N17" i="67" s="1"/>
  <c r="F17" i="67"/>
  <c r="DP17" i="4" s="1"/>
  <c r="M18" i="67"/>
  <c r="N18" i="67" s="1"/>
  <c r="M20" i="67"/>
  <c r="N20" i="67" s="1"/>
  <c r="I14" i="67"/>
  <c r="J14" i="67" s="1"/>
  <c r="DQ14" i="4" s="1"/>
  <c r="M3" i="67"/>
  <c r="N3" i="67" s="1"/>
  <c r="M14" i="67"/>
  <c r="N14" i="67" s="1"/>
  <c r="M16" i="67"/>
  <c r="N16" i="67" s="1"/>
  <c r="M15" i="67"/>
  <c r="N15" i="67" s="1"/>
  <c r="I15" i="67"/>
  <c r="J15" i="67" s="1"/>
  <c r="DQ15" i="4" s="1"/>
  <c r="M8" i="67"/>
  <c r="N8" i="67" s="1"/>
  <c r="M7" i="67"/>
  <c r="N7" i="67" s="1"/>
  <c r="M6" i="67"/>
  <c r="N6" i="67" s="1"/>
  <c r="I7" i="67"/>
  <c r="J7" i="67" s="1"/>
  <c r="DQ7" i="4" s="1"/>
  <c r="M5" i="67"/>
  <c r="N5" i="67" s="1"/>
  <c r="I3" i="67"/>
  <c r="J3" i="67" s="1"/>
  <c r="DQ3" i="4" s="1"/>
  <c r="I21" i="67"/>
  <c r="J21" i="67" s="1"/>
  <c r="DQ21" i="4" s="1"/>
  <c r="M11" i="67"/>
  <c r="N11" i="67" s="1"/>
  <c r="I8" i="67"/>
  <c r="J8" i="67" s="1"/>
  <c r="DQ8" i="4" s="1"/>
  <c r="M19" i="67"/>
  <c r="N19" i="67" s="1"/>
  <c r="I20" i="67"/>
  <c r="J20" i="67" s="1"/>
  <c r="DQ20" i="4" s="1"/>
  <c r="M9" i="67"/>
  <c r="N9" i="67" s="1"/>
  <c r="I6" i="67"/>
  <c r="J6" i="67" s="1"/>
  <c r="DQ6" i="4" s="1"/>
  <c r="I17" i="67"/>
  <c r="J17" i="67" s="1"/>
  <c r="DQ17" i="4" s="1"/>
  <c r="M4" i="67"/>
  <c r="N4" i="67" s="1"/>
  <c r="I5" i="67"/>
  <c r="J5" i="67" s="1"/>
  <c r="DQ5" i="4" s="1"/>
  <c r="I18" i="67"/>
  <c r="J18" i="67" s="1"/>
  <c r="DQ18" i="4" s="1"/>
  <c r="M13" i="67"/>
  <c r="N13" i="67" s="1"/>
  <c r="I11" i="67"/>
  <c r="J11" i="67" s="1"/>
  <c r="DQ11" i="4" s="1"/>
  <c r="M12" i="67"/>
  <c r="N12" i="67" s="1"/>
  <c r="I13" i="67"/>
  <c r="J13" i="67" s="1"/>
  <c r="DQ13" i="4" s="1"/>
  <c r="M2" i="67"/>
  <c r="N2" i="67" s="1"/>
  <c r="I9" i="67"/>
  <c r="J9" i="67" s="1"/>
  <c r="DQ9" i="4" s="1"/>
  <c r="I16" i="67"/>
  <c r="J16" i="67" s="1"/>
  <c r="DQ16" i="4" s="1"/>
  <c r="I4" i="67"/>
  <c r="J4" i="67" s="1"/>
  <c r="DQ4" i="4" s="1"/>
  <c r="BS114" i="67"/>
  <c r="BS66" i="149" s="1"/>
  <c r="BS118" i="67"/>
  <c r="BS70" i="149" s="1"/>
  <c r="BS110" i="67"/>
  <c r="BS62" i="149" s="1"/>
  <c r="BS121" i="67"/>
  <c r="BS73" i="149" s="1"/>
  <c r="BS117" i="67"/>
  <c r="BS69" i="149" s="1"/>
  <c r="D10" i="32"/>
  <c r="BS119" i="67"/>
  <c r="BS71" i="149" s="1"/>
  <c r="BS112" i="67"/>
  <c r="BS64" i="149" s="1"/>
  <c r="BS120" i="67"/>
  <c r="BS72" i="149" s="1"/>
  <c r="BS111" i="67"/>
  <c r="BS63" i="149" s="1"/>
  <c r="BS113" i="67"/>
  <c r="BS65" i="149" s="1"/>
  <c r="BS116" i="67"/>
  <c r="BS68" i="149" s="1"/>
  <c r="D12" i="76"/>
  <c r="D12" i="34"/>
  <c r="D12" i="30"/>
  <c r="BS115" i="67"/>
  <c r="BS67" i="149" s="1"/>
  <c r="BT7" i="67"/>
  <c r="DH12" i="67"/>
  <c r="DF12" i="67"/>
  <c r="DG12" i="67" s="1"/>
  <c r="DM10" i="67"/>
  <c r="DL10" i="67"/>
  <c r="DI10" i="67"/>
  <c r="I54" i="148"/>
  <c r="B21" i="30" l="1"/>
  <c r="C21" i="30"/>
  <c r="BR65" i="149"/>
  <c r="Q113" i="36"/>
  <c r="H113" i="155"/>
  <c r="N113" i="155" s="1"/>
  <c r="O113" i="155" s="1"/>
  <c r="P113" i="155" s="1"/>
  <c r="Q113" i="155" s="1"/>
  <c r="V113" i="77"/>
  <c r="V125" i="77" s="1"/>
  <c r="C21" i="36"/>
  <c r="B21" i="36"/>
  <c r="B21" i="28"/>
  <c r="C21" i="28"/>
  <c r="D20" i="36"/>
  <c r="D20" i="77"/>
  <c r="BR64" i="149"/>
  <c r="H112" i="155"/>
  <c r="N112" i="155" s="1"/>
  <c r="O112" i="155" s="1"/>
  <c r="P112" i="155" s="1"/>
  <c r="Q112" i="155" s="1"/>
  <c r="V112" i="77"/>
  <c r="V124" i="77" s="1"/>
  <c r="Q112" i="36"/>
  <c r="D3" i="36"/>
  <c r="D3" i="77"/>
  <c r="D8" i="77"/>
  <c r="D8" i="36"/>
  <c r="D18" i="36"/>
  <c r="D18" i="77"/>
  <c r="BR69" i="149"/>
  <c r="H117" i="155"/>
  <c r="N117" i="155" s="1"/>
  <c r="O117" i="155" s="1"/>
  <c r="P117" i="155" s="1"/>
  <c r="Q117" i="155" s="1"/>
  <c r="V117" i="77"/>
  <c r="V129" i="77" s="1"/>
  <c r="Q117" i="36"/>
  <c r="BR62" i="149"/>
  <c r="H110" i="155"/>
  <c r="N110" i="155" s="1"/>
  <c r="O110" i="155" s="1"/>
  <c r="P110" i="155" s="1"/>
  <c r="Q110" i="155" s="1"/>
  <c r="V110" i="77"/>
  <c r="V122" i="77" s="1"/>
  <c r="Q110" i="36"/>
  <c r="B21" i="77"/>
  <c r="C21" i="77"/>
  <c r="D4" i="36"/>
  <c r="D4" i="77"/>
  <c r="D6" i="77"/>
  <c r="D6" i="36"/>
  <c r="D11" i="36"/>
  <c r="D11" i="77"/>
  <c r="BR73" i="149"/>
  <c r="Q121" i="36"/>
  <c r="H121" i="155"/>
  <c r="N121" i="155" s="1"/>
  <c r="O121" i="155" s="1"/>
  <c r="P121" i="155" s="1"/>
  <c r="Q121" i="155" s="1"/>
  <c r="V121" i="77"/>
  <c r="V133" i="77" s="1"/>
  <c r="D17" i="36"/>
  <c r="D17" i="77"/>
  <c r="D21" i="36"/>
  <c r="D21" i="77"/>
  <c r="BR70" i="149"/>
  <c r="Q118" i="36"/>
  <c r="H118" i="155"/>
  <c r="N118" i="155" s="1"/>
  <c r="O118" i="155" s="1"/>
  <c r="P118" i="155" s="1"/>
  <c r="Q118" i="155" s="1"/>
  <c r="V118" i="77"/>
  <c r="V130" i="77" s="1"/>
  <c r="B21" i="76"/>
  <c r="C21" i="76"/>
  <c r="BR72" i="149"/>
  <c r="Q120" i="36"/>
  <c r="H120" i="155"/>
  <c r="N120" i="155" s="1"/>
  <c r="O120" i="155" s="1"/>
  <c r="P120" i="155" s="1"/>
  <c r="Q120" i="155" s="1"/>
  <c r="V120" i="77"/>
  <c r="V132" i="77" s="1"/>
  <c r="BR63" i="149"/>
  <c r="H111" i="155"/>
  <c r="N111" i="155" s="1"/>
  <c r="O111" i="155" s="1"/>
  <c r="P111" i="155" s="1"/>
  <c r="Q111" i="155" s="1"/>
  <c r="V111" i="77"/>
  <c r="V123" i="77" s="1"/>
  <c r="Q111" i="36"/>
  <c r="C21" i="154"/>
  <c r="B21" i="154"/>
  <c r="B21" i="155"/>
  <c r="C21" i="155"/>
  <c r="A23" i="67"/>
  <c r="A22" i="155"/>
  <c r="A22" i="154"/>
  <c r="A22" i="76"/>
  <c r="A22" i="77"/>
  <c r="A22" i="34"/>
  <c r="A22" i="38"/>
  <c r="A22" i="28"/>
  <c r="A22" i="36"/>
  <c r="A22" i="30"/>
  <c r="A22" i="32"/>
  <c r="A22" i="75"/>
  <c r="C22" i="67"/>
  <c r="B22" i="67"/>
  <c r="D9" i="77"/>
  <c r="D9" i="36"/>
  <c r="D15" i="36"/>
  <c r="D15" i="77"/>
  <c r="AB2" i="67"/>
  <c r="D2" i="77"/>
  <c r="D2" i="36"/>
  <c r="D5" i="36"/>
  <c r="D5" i="77"/>
  <c r="D7" i="77"/>
  <c r="D7" i="36"/>
  <c r="D16" i="36"/>
  <c r="D16" i="77"/>
  <c r="BR66" i="149"/>
  <c r="Q114" i="36"/>
  <c r="H114" i="155"/>
  <c r="N114" i="155" s="1"/>
  <c r="O114" i="155" s="1"/>
  <c r="P114" i="155" s="1"/>
  <c r="Q114" i="155" s="1"/>
  <c r="V114" i="77"/>
  <c r="V126" i="77" s="1"/>
  <c r="D12" i="36"/>
  <c r="D12" i="77"/>
  <c r="D13" i="36"/>
  <c r="D13" i="77"/>
  <c r="BR68" i="149"/>
  <c r="H116" i="155"/>
  <c r="N116" i="155" s="1"/>
  <c r="O116" i="155" s="1"/>
  <c r="P116" i="155" s="1"/>
  <c r="Q116" i="155" s="1"/>
  <c r="V116" i="77"/>
  <c r="V128" i="77" s="1"/>
  <c r="Q116" i="36"/>
  <c r="BR67" i="149"/>
  <c r="Q115" i="36"/>
  <c r="H115" i="155"/>
  <c r="N115" i="155" s="1"/>
  <c r="O115" i="155" s="1"/>
  <c r="P115" i="155" s="1"/>
  <c r="Q115" i="155" s="1"/>
  <c r="V115" i="77"/>
  <c r="V127" i="77" s="1"/>
  <c r="D10" i="154"/>
  <c r="L10" i="154" s="1"/>
  <c r="M10" i="154" s="1"/>
  <c r="E10" i="36"/>
  <c r="F10" i="77"/>
  <c r="B21" i="75"/>
  <c r="C21" i="75"/>
  <c r="D19" i="36"/>
  <c r="D19" i="77"/>
  <c r="D14" i="36"/>
  <c r="D14" i="77"/>
  <c r="BR71" i="149"/>
  <c r="Q119" i="36"/>
  <c r="H119" i="155"/>
  <c r="N119" i="155" s="1"/>
  <c r="O119" i="155" s="1"/>
  <c r="P119" i="155" s="1"/>
  <c r="Q119" i="155" s="1"/>
  <c r="V119" i="77"/>
  <c r="V131" i="77" s="1"/>
  <c r="B21" i="32"/>
  <c r="C21" i="32"/>
  <c r="R204" i="150"/>
  <c r="AP203" i="150"/>
  <c r="V204" i="150"/>
  <c r="AT203" i="150"/>
  <c r="X204" i="150"/>
  <c r="AV203" i="150"/>
  <c r="U204" i="150"/>
  <c r="AS203" i="150"/>
  <c r="W204" i="150"/>
  <c r="AU203" i="150"/>
  <c r="Z203" i="150"/>
  <c r="AX202" i="150"/>
  <c r="AA204" i="150"/>
  <c r="AY203" i="150"/>
  <c r="S204" i="150"/>
  <c r="AQ203" i="150"/>
  <c r="T204" i="150"/>
  <c r="AR203" i="150"/>
  <c r="Y204" i="150"/>
  <c r="AW203" i="150"/>
  <c r="Q205" i="150"/>
  <c r="AO204" i="150"/>
  <c r="DR13" i="4"/>
  <c r="AB13" i="67"/>
  <c r="DR3" i="4"/>
  <c r="AB3" i="67"/>
  <c r="DR4" i="4"/>
  <c r="AB4" i="67"/>
  <c r="DR6" i="4"/>
  <c r="AB6" i="67"/>
  <c r="DR8" i="4"/>
  <c r="AB8" i="67"/>
  <c r="DR20" i="4"/>
  <c r="AB20" i="67"/>
  <c r="DR11" i="4"/>
  <c r="AB11" i="67"/>
  <c r="DR18" i="4"/>
  <c r="AB18" i="67"/>
  <c r="DR17" i="4"/>
  <c r="AB17" i="67"/>
  <c r="DR21" i="4"/>
  <c r="AB21" i="67"/>
  <c r="DR9" i="4"/>
  <c r="AB9" i="67"/>
  <c r="DR15" i="4"/>
  <c r="AB15" i="67"/>
  <c r="DR5" i="4"/>
  <c r="AB5" i="67"/>
  <c r="DR7" i="4"/>
  <c r="AB7" i="67"/>
  <c r="DR16" i="4"/>
  <c r="AB16" i="67"/>
  <c r="DR19" i="4"/>
  <c r="AB19" i="67"/>
  <c r="DR14" i="4"/>
  <c r="AB14" i="67"/>
  <c r="DR12" i="4"/>
  <c r="AB12" i="67"/>
  <c r="DP13" i="4"/>
  <c r="D13" i="28"/>
  <c r="DI14" i="67"/>
  <c r="DF10" i="67"/>
  <c r="DG10" i="67" s="1"/>
  <c r="DH10" i="67"/>
  <c r="DP3" i="4"/>
  <c r="DC3" i="67"/>
  <c r="DD3" i="67" s="1"/>
  <c r="DE3" i="67"/>
  <c r="D10" i="30"/>
  <c r="D10" i="34"/>
  <c r="DL8" i="67"/>
  <c r="D10" i="76"/>
  <c r="DL14" i="67"/>
  <c r="DP5" i="4"/>
  <c r="D5" i="75"/>
  <c r="D5" i="38"/>
  <c r="DE5" i="67"/>
  <c r="DC5" i="67"/>
  <c r="DD5" i="67" s="1"/>
  <c r="DP7" i="4"/>
  <c r="D7" i="75"/>
  <c r="D7" i="38"/>
  <c r="D7" i="28"/>
  <c r="DC7" i="67"/>
  <c r="DD7" i="67" s="1"/>
  <c r="DE7" i="67"/>
  <c r="DP21" i="4"/>
  <c r="DC21" i="67"/>
  <c r="DD21" i="67" s="1"/>
  <c r="D13" i="38"/>
  <c r="DE13" i="67"/>
  <c r="DC13" i="67"/>
  <c r="DD13" i="67" s="1"/>
  <c r="D13" i="75"/>
  <c r="DM8" i="67"/>
  <c r="D9" i="75"/>
  <c r="DE9" i="67"/>
  <c r="DC9" i="67"/>
  <c r="DD9" i="67" s="1"/>
  <c r="DM6" i="67"/>
  <c r="D11" i="75"/>
  <c r="DI3" i="67"/>
  <c r="DK3" i="67" s="1"/>
  <c r="D8" i="30"/>
  <c r="D3" i="28"/>
  <c r="D3" i="38"/>
  <c r="D3" i="75"/>
  <c r="D4" i="75"/>
  <c r="D8" i="76"/>
  <c r="DL3" i="67"/>
  <c r="D7" i="32"/>
  <c r="D4" i="28"/>
  <c r="D4" i="38"/>
  <c r="DL6" i="67"/>
  <c r="DL7" i="67"/>
  <c r="D5" i="28"/>
  <c r="DE11" i="67"/>
  <c r="DM5" i="67"/>
  <c r="DH8" i="67"/>
  <c r="DF3" i="67"/>
  <c r="DG3" i="67" s="1"/>
  <c r="D11" i="28"/>
  <c r="DM3" i="67"/>
  <c r="DC6" i="67"/>
  <c r="DD6" i="67" s="1"/>
  <c r="D3" i="32"/>
  <c r="D6" i="28"/>
  <c r="DE6" i="67"/>
  <c r="D6" i="75"/>
  <c r="D6" i="38"/>
  <c r="DC4" i="67"/>
  <c r="DD4" i="67" s="1"/>
  <c r="D11" i="38"/>
  <c r="DH7" i="67"/>
  <c r="DC11" i="67"/>
  <c r="DD11" i="67" s="1"/>
  <c r="D9" i="28"/>
  <c r="DE4" i="67"/>
  <c r="D9" i="38"/>
  <c r="DI7" i="67"/>
  <c r="DJ7" i="67" s="1"/>
  <c r="DI5" i="67"/>
  <c r="DK5" i="67" s="1"/>
  <c r="DM7" i="67"/>
  <c r="DL5" i="67"/>
  <c r="D6" i="76"/>
  <c r="DH5" i="67"/>
  <c r="DI4" i="67"/>
  <c r="DJ4" i="67" s="1"/>
  <c r="DH18" i="67"/>
  <c r="DF5" i="67"/>
  <c r="DG5" i="67" s="1"/>
  <c r="DC10" i="67"/>
  <c r="DD10" i="67" s="1"/>
  <c r="D6" i="32"/>
  <c r="DF7" i="67"/>
  <c r="DG7" i="67" s="1"/>
  <c r="D7" i="30"/>
  <c r="DL4" i="67"/>
  <c r="DF8" i="67"/>
  <c r="DG8" i="67" s="1"/>
  <c r="DM12" i="67"/>
  <c r="D12" i="75"/>
  <c r="DM4" i="67"/>
  <c r="DM9" i="67"/>
  <c r="D10" i="75"/>
  <c r="DL12" i="67"/>
  <c r="DC12" i="67"/>
  <c r="DD12" i="67" s="1"/>
  <c r="DH6" i="67"/>
  <c r="D12" i="28"/>
  <c r="D5" i="32"/>
  <c r="DF18" i="67"/>
  <c r="DG18" i="67" s="1"/>
  <c r="DH11" i="67"/>
  <c r="DL9" i="67"/>
  <c r="D7" i="34"/>
  <c r="DF11" i="67"/>
  <c r="DG11" i="67" s="1"/>
  <c r="D12" i="38"/>
  <c r="D9" i="32"/>
  <c r="DI11" i="67"/>
  <c r="DK11" i="67" s="1"/>
  <c r="DM11" i="67"/>
  <c r="DH3" i="67"/>
  <c r="DH13" i="67"/>
  <c r="DI6" i="67"/>
  <c r="DK6" i="67" s="1"/>
  <c r="D4" i="32"/>
  <c r="D3" i="30"/>
  <c r="D3" i="34"/>
  <c r="D3" i="76"/>
  <c r="DI8" i="67"/>
  <c r="DK8" i="67" s="1"/>
  <c r="D13" i="30"/>
  <c r="D6" i="30"/>
  <c r="D13" i="34"/>
  <c r="D6" i="34"/>
  <c r="D13" i="76"/>
  <c r="D8" i="32"/>
  <c r="D7" i="76"/>
  <c r="D4" i="76"/>
  <c r="D10" i="28"/>
  <c r="D5" i="34"/>
  <c r="D10" i="38"/>
  <c r="DL13" i="67"/>
  <c r="D12" i="32"/>
  <c r="DE8" i="67"/>
  <c r="D4" i="34"/>
  <c r="DF4" i="67"/>
  <c r="DG4" i="67" s="1"/>
  <c r="D11" i="76"/>
  <c r="DF6" i="67"/>
  <c r="DG6" i="67" s="1"/>
  <c r="DL11" i="67"/>
  <c r="D4" i="30"/>
  <c r="D8" i="34"/>
  <c r="D8" i="28"/>
  <c r="D13" i="32"/>
  <c r="DI12" i="67"/>
  <c r="DJ12" i="67" s="1"/>
  <c r="DI9" i="67"/>
  <c r="DJ9" i="67" s="1"/>
  <c r="DE12" i="67"/>
  <c r="DM13" i="67"/>
  <c r="D11" i="32"/>
  <c r="DC8" i="67"/>
  <c r="DD8" i="67" s="1"/>
  <c r="D8" i="38"/>
  <c r="D8" i="75"/>
  <c r="D9" i="30"/>
  <c r="D9" i="34"/>
  <c r="DH9" i="67"/>
  <c r="D9" i="76"/>
  <c r="D11" i="30"/>
  <c r="DF9" i="67"/>
  <c r="DG9" i="67" s="1"/>
  <c r="D11" i="34"/>
  <c r="D5" i="30"/>
  <c r="DI13" i="67"/>
  <c r="DK13" i="67" s="1"/>
  <c r="DH4" i="67"/>
  <c r="DE10" i="67"/>
  <c r="DF13" i="67"/>
  <c r="DG13" i="67" s="1"/>
  <c r="D18" i="30"/>
  <c r="D18" i="34"/>
  <c r="DH2" i="67"/>
  <c r="DQ2" i="4"/>
  <c r="D18" i="76"/>
  <c r="DC2" i="67"/>
  <c r="DD2" i="67" s="1"/>
  <c r="DP2" i="4"/>
  <c r="DI2" i="67"/>
  <c r="DK2" i="67" s="1"/>
  <c r="DR2" i="4"/>
  <c r="D5" i="76"/>
  <c r="DM14" i="67"/>
  <c r="DL2" i="67"/>
  <c r="DE2" i="67"/>
  <c r="DF2" i="67"/>
  <c r="DG2" i="67" s="1"/>
  <c r="DM2" i="67"/>
  <c r="D17" i="32"/>
  <c r="K124" i="76"/>
  <c r="T124" i="75"/>
  <c r="I124" i="34"/>
  <c r="T133" i="75"/>
  <c r="K133" i="76"/>
  <c r="R133" i="76" s="1"/>
  <c r="I133" i="34"/>
  <c r="Q133" i="34" s="1"/>
  <c r="D2" i="32"/>
  <c r="D2" i="76"/>
  <c r="D2" i="34"/>
  <c r="D2" i="30"/>
  <c r="D14" i="32"/>
  <c r="DC14" i="67"/>
  <c r="DD14" i="67" s="1"/>
  <c r="D20" i="75"/>
  <c r="D20" i="38"/>
  <c r="D20" i="28"/>
  <c r="D21" i="75"/>
  <c r="D21" i="38"/>
  <c r="D21" i="28"/>
  <c r="K131" i="76"/>
  <c r="R131" i="76" s="1"/>
  <c r="T131" i="75"/>
  <c r="I131" i="34"/>
  <c r="Q131" i="34" s="1"/>
  <c r="D18" i="32"/>
  <c r="D15" i="75"/>
  <c r="D15" i="38"/>
  <c r="D15" i="28"/>
  <c r="T123" i="75"/>
  <c r="K123" i="76"/>
  <c r="I123" i="34"/>
  <c r="D16" i="76"/>
  <c r="D16" i="34"/>
  <c r="D16" i="30"/>
  <c r="D15" i="32"/>
  <c r="DE21" i="67"/>
  <c r="D18" i="75"/>
  <c r="D18" i="38"/>
  <c r="D18" i="28"/>
  <c r="T127" i="75"/>
  <c r="K127" i="76"/>
  <c r="I127" i="34"/>
  <c r="T125" i="75"/>
  <c r="K125" i="76"/>
  <c r="I125" i="34"/>
  <c r="T122" i="75"/>
  <c r="K122" i="76"/>
  <c r="R122" i="76" s="1"/>
  <c r="I122" i="34"/>
  <c r="D16" i="75"/>
  <c r="D16" i="38"/>
  <c r="D16" i="28"/>
  <c r="DH14" i="67"/>
  <c r="T130" i="75"/>
  <c r="K130" i="76"/>
  <c r="R130" i="76" s="1"/>
  <c r="D19" i="32"/>
  <c r="D20" i="76"/>
  <c r="D20" i="34"/>
  <c r="D20" i="30"/>
  <c r="D19" i="75"/>
  <c r="D19" i="38"/>
  <c r="D19" i="28"/>
  <c r="K132" i="76"/>
  <c r="R132" i="76" s="1"/>
  <c r="T132" i="75"/>
  <c r="T129" i="75"/>
  <c r="K129" i="76"/>
  <c r="R129" i="76" s="1"/>
  <c r="D20" i="32"/>
  <c r="D15" i="76"/>
  <c r="D15" i="34"/>
  <c r="D15" i="30"/>
  <c r="DF17" i="67"/>
  <c r="DG17" i="67" s="1"/>
  <c r="D17" i="76"/>
  <c r="D17" i="34"/>
  <c r="D17" i="30"/>
  <c r="K128" i="76"/>
  <c r="T128" i="75"/>
  <c r="I128" i="34"/>
  <c r="Q128" i="34" s="1"/>
  <c r="D2" i="75"/>
  <c r="D2" i="38"/>
  <c r="D2" i="28"/>
  <c r="D19" i="76"/>
  <c r="D19" i="34"/>
  <c r="D19" i="30"/>
  <c r="D17" i="75"/>
  <c r="D17" i="38"/>
  <c r="D17" i="28"/>
  <c r="BT8" i="67"/>
  <c r="D16" i="32"/>
  <c r="D21" i="76"/>
  <c r="D21" i="34"/>
  <c r="D21" i="30"/>
  <c r="D21" i="32"/>
  <c r="T126" i="75"/>
  <c r="K126" i="76"/>
  <c r="I126" i="34"/>
  <c r="DH17" i="67"/>
  <c r="DM17" i="67"/>
  <c r="DI17" i="67"/>
  <c r="DL17" i="67"/>
  <c r="DE14" i="67"/>
  <c r="DF19" i="67"/>
  <c r="DG19" i="67" s="1"/>
  <c r="DH19" i="67"/>
  <c r="DH16" i="67"/>
  <c r="DF16" i="67"/>
  <c r="DG16" i="67" s="1"/>
  <c r="DI15" i="67"/>
  <c r="DM15" i="67"/>
  <c r="DL15" i="67"/>
  <c r="DM18" i="67"/>
  <c r="DL18" i="67"/>
  <c r="DI18" i="67"/>
  <c r="DK10" i="67"/>
  <c r="DJ10" i="67"/>
  <c r="DE15" i="67"/>
  <c r="DC15" i="67"/>
  <c r="DD15" i="67" s="1"/>
  <c r="DE17" i="67"/>
  <c r="DC17" i="67"/>
  <c r="DD17" i="67" s="1"/>
  <c r="DE19" i="67"/>
  <c r="DC19" i="67"/>
  <c r="DD19" i="67" s="1"/>
  <c r="DH20" i="67"/>
  <c r="DF20" i="67"/>
  <c r="DG20" i="67" s="1"/>
  <c r="DI19" i="67"/>
  <c r="DL19" i="67"/>
  <c r="DM19" i="67"/>
  <c r="DH15" i="67"/>
  <c r="DF15" i="67"/>
  <c r="DG15" i="67" s="1"/>
  <c r="DM16" i="67"/>
  <c r="DL16" i="67"/>
  <c r="DI16" i="67"/>
  <c r="DE16" i="67"/>
  <c r="DC16" i="67"/>
  <c r="DD16" i="67" s="1"/>
  <c r="DM20" i="67"/>
  <c r="DL20" i="67"/>
  <c r="DI20" i="67"/>
  <c r="DJ14" i="67"/>
  <c r="DK14" i="67"/>
  <c r="DE18" i="67"/>
  <c r="DC18" i="67"/>
  <c r="DD18" i="67" s="1"/>
  <c r="DH21" i="67"/>
  <c r="DF21" i="67"/>
  <c r="DG21" i="67" s="1"/>
  <c r="DI21" i="67"/>
  <c r="DL21" i="67"/>
  <c r="DM21" i="67"/>
  <c r="DJ13" i="67"/>
  <c r="DC20" i="67"/>
  <c r="DD20" i="67" s="1"/>
  <c r="DE20" i="67"/>
  <c r="I55" i="148"/>
  <c r="W118" i="36" l="1"/>
  <c r="Q130" i="36"/>
  <c r="W112" i="36"/>
  <c r="Q124" i="36"/>
  <c r="D16" i="154"/>
  <c r="L16" i="154" s="1"/>
  <c r="M16" i="154" s="1"/>
  <c r="E16" i="36"/>
  <c r="F16" i="77"/>
  <c r="AB126" i="77"/>
  <c r="V138" i="77"/>
  <c r="AB138" i="77" s="1"/>
  <c r="AB124" i="77"/>
  <c r="V136" i="77"/>
  <c r="AB136" i="77" s="1"/>
  <c r="M22" i="67"/>
  <c r="N22" i="67" s="1"/>
  <c r="E22" i="67"/>
  <c r="F22" i="67" s="1"/>
  <c r="I22" i="67"/>
  <c r="J22" i="67" s="1"/>
  <c r="W110" i="36"/>
  <c r="Q122" i="36"/>
  <c r="D7" i="154"/>
  <c r="L7" i="154" s="1"/>
  <c r="M7" i="154" s="1"/>
  <c r="E7" i="36"/>
  <c r="F7" i="77"/>
  <c r="D21" i="154"/>
  <c r="L21" i="154" s="1"/>
  <c r="M21" i="154" s="1"/>
  <c r="E21" i="36"/>
  <c r="F21" i="77"/>
  <c r="W114" i="36"/>
  <c r="Q126" i="36"/>
  <c r="AB122" i="77"/>
  <c r="V134" i="77"/>
  <c r="AB134" i="77" s="1"/>
  <c r="B22" i="75"/>
  <c r="C22" i="75"/>
  <c r="W111" i="36"/>
  <c r="Q123" i="36"/>
  <c r="D5" i="154"/>
  <c r="L5" i="154" s="1"/>
  <c r="M5" i="154" s="1"/>
  <c r="E5" i="36"/>
  <c r="F5" i="77"/>
  <c r="D17" i="154"/>
  <c r="L17" i="154" s="1"/>
  <c r="M17" i="154" s="1"/>
  <c r="E17" i="36"/>
  <c r="F17" i="77"/>
  <c r="D20" i="154"/>
  <c r="L20" i="154" s="1"/>
  <c r="M20" i="154" s="1"/>
  <c r="E20" i="36"/>
  <c r="F20" i="77"/>
  <c r="AB127" i="77"/>
  <c r="V139" i="77"/>
  <c r="AB139" i="77" s="1"/>
  <c r="C22" i="32"/>
  <c r="B22" i="32"/>
  <c r="V135" i="77"/>
  <c r="AB135" i="77" s="1"/>
  <c r="AB123" i="77"/>
  <c r="B22" i="30"/>
  <c r="C22" i="30"/>
  <c r="AB133" i="77"/>
  <c r="V145" i="77"/>
  <c r="AB145" i="77" s="1"/>
  <c r="Q129" i="36"/>
  <c r="W117" i="36"/>
  <c r="D14" i="154"/>
  <c r="F14" i="77"/>
  <c r="E14" i="36"/>
  <c r="W115" i="36"/>
  <c r="Q127" i="36"/>
  <c r="B22" i="36"/>
  <c r="C22" i="36"/>
  <c r="Q122" i="155"/>
  <c r="W19" i="15" s="1"/>
  <c r="V141" i="77"/>
  <c r="AB141" i="77" s="1"/>
  <c r="AB129" i="77"/>
  <c r="D4" i="154"/>
  <c r="L4" i="154" s="1"/>
  <c r="M4" i="154" s="1"/>
  <c r="E4" i="36"/>
  <c r="F4" i="77"/>
  <c r="V143" i="77"/>
  <c r="AB143" i="77" s="1"/>
  <c r="AB131" i="77"/>
  <c r="B22" i="28"/>
  <c r="C22" i="28"/>
  <c r="AB132" i="77"/>
  <c r="V144" i="77"/>
  <c r="AB144" i="77" s="1"/>
  <c r="Q133" i="36"/>
  <c r="W121" i="36"/>
  <c r="D12" i="154"/>
  <c r="L12" i="154" s="1"/>
  <c r="M12" i="154" s="1"/>
  <c r="F12" i="77"/>
  <c r="E12" i="36"/>
  <c r="D15" i="154"/>
  <c r="L15" i="154" s="1"/>
  <c r="M15" i="154" s="1"/>
  <c r="E15" i="36"/>
  <c r="F15" i="77"/>
  <c r="W116" i="36"/>
  <c r="Q128" i="36"/>
  <c r="D3" i="154"/>
  <c r="L3" i="154" s="1"/>
  <c r="M3" i="154" s="1"/>
  <c r="E3" i="36"/>
  <c r="F3" i="77"/>
  <c r="Q131" i="36"/>
  <c r="W119" i="36"/>
  <c r="V140" i="77"/>
  <c r="AB140" i="77" s="1"/>
  <c r="AB128" i="77"/>
  <c r="W120" i="36"/>
  <c r="Q132" i="36"/>
  <c r="V137" i="77"/>
  <c r="AB137" i="77" s="1"/>
  <c r="AB125" i="77"/>
  <c r="D19" i="154"/>
  <c r="L19" i="154" s="1"/>
  <c r="M19" i="154" s="1"/>
  <c r="E19" i="36"/>
  <c r="F19" i="77"/>
  <c r="B22" i="77"/>
  <c r="C22" i="77"/>
  <c r="D8" i="154"/>
  <c r="L8" i="154" s="1"/>
  <c r="M8" i="154" s="1"/>
  <c r="E8" i="36"/>
  <c r="F8" i="77"/>
  <c r="B22" i="76"/>
  <c r="C22" i="76"/>
  <c r="W113" i="36"/>
  <c r="Q125" i="36"/>
  <c r="D18" i="154"/>
  <c r="L18" i="154" s="1"/>
  <c r="M18" i="154" s="1"/>
  <c r="E18" i="36"/>
  <c r="F18" i="77"/>
  <c r="D2" i="154"/>
  <c r="E2" i="36"/>
  <c r="F2" i="77"/>
  <c r="C22" i="154"/>
  <c r="B22" i="154"/>
  <c r="D6" i="154"/>
  <c r="L6" i="154" s="1"/>
  <c r="M6" i="154" s="1"/>
  <c r="E6" i="36"/>
  <c r="F6" i="77"/>
  <c r="D13" i="154"/>
  <c r="L13" i="154" s="1"/>
  <c r="M13" i="154" s="1"/>
  <c r="E13" i="36"/>
  <c r="F13" i="77"/>
  <c r="C22" i="155"/>
  <c r="B22" i="155"/>
  <c r="V142" i="77"/>
  <c r="AB142" i="77" s="1"/>
  <c r="AB130" i="77"/>
  <c r="D9" i="154"/>
  <c r="L9" i="154" s="1"/>
  <c r="M9" i="154" s="1"/>
  <c r="E9" i="36"/>
  <c r="F9" i="77"/>
  <c r="D11" i="154"/>
  <c r="L11" i="154" s="1"/>
  <c r="M11" i="154" s="1"/>
  <c r="E11" i="36"/>
  <c r="F11" i="77"/>
  <c r="A24" i="67"/>
  <c r="A23" i="155"/>
  <c r="A23" i="154"/>
  <c r="A23" i="75"/>
  <c r="A23" i="32"/>
  <c r="A23" i="76"/>
  <c r="A23" i="77"/>
  <c r="A23" i="34"/>
  <c r="A23" i="38"/>
  <c r="A23" i="28"/>
  <c r="A23" i="36"/>
  <c r="A23" i="30"/>
  <c r="C23" i="67"/>
  <c r="B23" i="67"/>
  <c r="S205" i="150"/>
  <c r="AQ204" i="150"/>
  <c r="AA205" i="150"/>
  <c r="AY204" i="150"/>
  <c r="Z204" i="150"/>
  <c r="AX203" i="150"/>
  <c r="W205" i="150"/>
  <c r="AU204" i="150"/>
  <c r="U205" i="150"/>
  <c r="AS204" i="150"/>
  <c r="Q206" i="150"/>
  <c r="AO205" i="150"/>
  <c r="X205" i="150"/>
  <c r="AV204" i="150"/>
  <c r="Y205" i="150"/>
  <c r="AW204" i="150"/>
  <c r="V205" i="150"/>
  <c r="AT204" i="150"/>
  <c r="T205" i="150"/>
  <c r="AR204" i="150"/>
  <c r="R205" i="150"/>
  <c r="AP204" i="150"/>
  <c r="DK7" i="67"/>
  <c r="DJ3" i="67"/>
  <c r="DJ5" i="67"/>
  <c r="DJ8" i="67"/>
  <c r="L14" i="154"/>
  <c r="M14" i="154" s="1"/>
  <c r="R126" i="76"/>
  <c r="K138" i="76"/>
  <c r="I132" i="34"/>
  <c r="Q132" i="34" s="1"/>
  <c r="I130" i="34"/>
  <c r="Q130" i="34" s="1"/>
  <c r="K139" i="76"/>
  <c r="R127" i="76"/>
  <c r="P133" i="38"/>
  <c r="K134" i="76"/>
  <c r="K135" i="76"/>
  <c r="R123" i="76"/>
  <c r="I129" i="34"/>
  <c r="Q129" i="34" s="1"/>
  <c r="R125" i="76"/>
  <c r="K137" i="76"/>
  <c r="K136" i="76"/>
  <c r="R124" i="76"/>
  <c r="K140" i="76"/>
  <c r="R128" i="76"/>
  <c r="P129" i="38"/>
  <c r="P128" i="38"/>
  <c r="P131" i="38"/>
  <c r="P130" i="38"/>
  <c r="P132" i="38"/>
  <c r="I140" i="34"/>
  <c r="I145" i="34"/>
  <c r="DK4" i="67"/>
  <c r="DJ11" i="67"/>
  <c r="DJ2" i="67"/>
  <c r="DK12" i="67"/>
  <c r="DK9" i="67"/>
  <c r="DJ6" i="67"/>
  <c r="I143" i="34"/>
  <c r="DF14" i="67"/>
  <c r="DG14" i="67" s="1"/>
  <c r="K141" i="76"/>
  <c r="I139" i="34"/>
  <c r="K142" i="76"/>
  <c r="K143" i="76"/>
  <c r="I136" i="34"/>
  <c r="BT9" i="67"/>
  <c r="I138" i="34"/>
  <c r="D14" i="75"/>
  <c r="D14" i="38"/>
  <c r="D14" i="28"/>
  <c r="K145" i="76"/>
  <c r="I135" i="34"/>
  <c r="I137" i="34"/>
  <c r="D14" i="76"/>
  <c r="D14" i="34"/>
  <c r="D14" i="30"/>
  <c r="I134" i="34"/>
  <c r="K144" i="76"/>
  <c r="DK19" i="67"/>
  <c r="DJ19" i="67"/>
  <c r="DJ15" i="67"/>
  <c r="DK15" i="67"/>
  <c r="DJ17" i="67"/>
  <c r="DK17" i="67"/>
  <c r="DJ21" i="67"/>
  <c r="DK21" i="67"/>
  <c r="DK20" i="67"/>
  <c r="DJ20" i="67"/>
  <c r="DK16" i="67"/>
  <c r="DJ16" i="67"/>
  <c r="DJ18" i="67"/>
  <c r="DK18" i="67"/>
  <c r="I56" i="148"/>
  <c r="A25" i="67" l="1"/>
  <c r="A24" i="155"/>
  <c r="A24" i="154"/>
  <c r="A24" i="75"/>
  <c r="A24" i="76"/>
  <c r="A24" i="77"/>
  <c r="A24" i="34"/>
  <c r="A24" i="38"/>
  <c r="A24" i="28"/>
  <c r="A24" i="36"/>
  <c r="A24" i="30"/>
  <c r="A24" i="32"/>
  <c r="C24" i="67"/>
  <c r="B24" i="67"/>
  <c r="Q140" i="36"/>
  <c r="W140" i="36" s="1"/>
  <c r="W128" i="36"/>
  <c r="Q134" i="36"/>
  <c r="W134" i="36" s="1"/>
  <c r="W122" i="36"/>
  <c r="Q135" i="36"/>
  <c r="W135" i="36" s="1"/>
  <c r="W123" i="36"/>
  <c r="DQ22" i="4"/>
  <c r="DH22" i="67"/>
  <c r="DF22" i="67"/>
  <c r="DG22" i="67" s="1"/>
  <c r="D22" i="76"/>
  <c r="D22" i="34"/>
  <c r="D22" i="30"/>
  <c r="M23" i="67"/>
  <c r="N23" i="67" s="1"/>
  <c r="I23" i="67"/>
  <c r="J23" i="67" s="1"/>
  <c r="E23" i="67"/>
  <c r="F23" i="67" s="1"/>
  <c r="DP22" i="4"/>
  <c r="D22" i="38"/>
  <c r="DE22" i="67"/>
  <c r="D22" i="75"/>
  <c r="DC22" i="67"/>
  <c r="DD22" i="67" s="1"/>
  <c r="D22" i="28"/>
  <c r="D22" i="77"/>
  <c r="D22" i="36"/>
  <c r="D22" i="32"/>
  <c r="DR22" i="4"/>
  <c r="AB22" i="67"/>
  <c r="DM22" i="67"/>
  <c r="DL22" i="67"/>
  <c r="DI22" i="67"/>
  <c r="B23" i="30"/>
  <c r="C23" i="30"/>
  <c r="L2" i="154"/>
  <c r="M2" i="154" s="1"/>
  <c r="B23" i="36"/>
  <c r="C23" i="36"/>
  <c r="B23" i="28"/>
  <c r="C23" i="28"/>
  <c r="Q144" i="36"/>
  <c r="W144" i="36" s="1"/>
  <c r="W132" i="36"/>
  <c r="Q139" i="36"/>
  <c r="W139" i="36" s="1"/>
  <c r="W127" i="36"/>
  <c r="Q138" i="36"/>
  <c r="W138" i="36" s="1"/>
  <c r="W126" i="36"/>
  <c r="Q137" i="36"/>
  <c r="W137" i="36" s="1"/>
  <c r="W125" i="36"/>
  <c r="Q145" i="36"/>
  <c r="W145" i="36" s="1"/>
  <c r="W133" i="36"/>
  <c r="C23" i="77"/>
  <c r="B23" i="77"/>
  <c r="B23" i="76"/>
  <c r="C23" i="76"/>
  <c r="B23" i="32"/>
  <c r="C23" i="32"/>
  <c r="Q143" i="36"/>
  <c r="W143" i="36" s="1"/>
  <c r="W131" i="36"/>
  <c r="Q136" i="36"/>
  <c r="W136" i="36" s="1"/>
  <c r="W124" i="36"/>
  <c r="B23" i="75"/>
  <c r="C23" i="75"/>
  <c r="C23" i="154"/>
  <c r="B23" i="154"/>
  <c r="Q141" i="36"/>
  <c r="W141" i="36" s="1"/>
  <c r="W129" i="36"/>
  <c r="Q142" i="36"/>
  <c r="W142" i="36" s="1"/>
  <c r="W130" i="36"/>
  <c r="B23" i="155"/>
  <c r="C23" i="155"/>
  <c r="Y206" i="150"/>
  <c r="AW205" i="150"/>
  <c r="X206" i="150"/>
  <c r="AV205" i="150"/>
  <c r="Q207" i="150"/>
  <c r="AO206" i="150"/>
  <c r="U206" i="150"/>
  <c r="AS205" i="150"/>
  <c r="W206" i="150"/>
  <c r="AU205" i="150"/>
  <c r="R206" i="150"/>
  <c r="AP205" i="150"/>
  <c r="T206" i="150"/>
  <c r="AR205" i="150"/>
  <c r="AA206" i="150"/>
  <c r="AY205" i="150"/>
  <c r="Z205" i="150"/>
  <c r="AX204" i="150"/>
  <c r="V206" i="150"/>
  <c r="AT205" i="150"/>
  <c r="S206" i="150"/>
  <c r="AQ205" i="150"/>
  <c r="I144" i="34"/>
  <c r="I141" i="34"/>
  <c r="I142" i="34"/>
  <c r="P127" i="38"/>
  <c r="P125" i="38"/>
  <c r="R135" i="76"/>
  <c r="R145" i="76"/>
  <c r="P126" i="38"/>
  <c r="R137" i="76"/>
  <c r="P124" i="38"/>
  <c r="R139" i="76"/>
  <c r="R138" i="76"/>
  <c r="R136" i="76"/>
  <c r="R141" i="76"/>
  <c r="R140" i="76"/>
  <c r="R144" i="76"/>
  <c r="R143" i="76"/>
  <c r="P122" i="38"/>
  <c r="R134" i="76"/>
  <c r="R142" i="76"/>
  <c r="P123" i="38"/>
  <c r="BT10" i="67"/>
  <c r="I57" i="148"/>
  <c r="DP23" i="4" l="1"/>
  <c r="D23" i="75"/>
  <c r="DC23" i="67"/>
  <c r="DD23" i="67" s="1"/>
  <c r="D23" i="38"/>
  <c r="D23" i="28"/>
  <c r="DE23" i="67"/>
  <c r="I24" i="67"/>
  <c r="J24" i="67" s="1"/>
  <c r="M24" i="67"/>
  <c r="N24" i="67" s="1"/>
  <c r="E24" i="67"/>
  <c r="F24" i="67" s="1"/>
  <c r="DQ23" i="4"/>
  <c r="DH23" i="67"/>
  <c r="DF23" i="67"/>
  <c r="DG23" i="67" s="1"/>
  <c r="D23" i="76"/>
  <c r="D23" i="34"/>
  <c r="D23" i="30"/>
  <c r="DJ22" i="67"/>
  <c r="DK22" i="67"/>
  <c r="D23" i="77"/>
  <c r="D23" i="36"/>
  <c r="DR23" i="4"/>
  <c r="AB23" i="67"/>
  <c r="DM23" i="67"/>
  <c r="D23" i="32"/>
  <c r="DL23" i="67"/>
  <c r="DI23" i="67"/>
  <c r="B24" i="32"/>
  <c r="C24" i="32"/>
  <c r="B24" i="30"/>
  <c r="C24" i="30"/>
  <c r="B24" i="36"/>
  <c r="C24" i="36"/>
  <c r="D22" i="154"/>
  <c r="L22" i="154" s="1"/>
  <c r="M22" i="154" s="1"/>
  <c r="E22" i="36"/>
  <c r="F22" i="77"/>
  <c r="B24" i="28"/>
  <c r="C24" i="28"/>
  <c r="C24" i="77"/>
  <c r="B24" i="77"/>
  <c r="B24" i="76"/>
  <c r="C24" i="76"/>
  <c r="B24" i="75"/>
  <c r="C24" i="75"/>
  <c r="C24" i="154"/>
  <c r="B24" i="154"/>
  <c r="B24" i="155"/>
  <c r="C24" i="155"/>
  <c r="A26" i="67"/>
  <c r="A25" i="155"/>
  <c r="A25" i="154"/>
  <c r="A25" i="75"/>
  <c r="A25" i="28"/>
  <c r="A25" i="76"/>
  <c r="A25" i="77"/>
  <c r="A25" i="34"/>
  <c r="A25" i="38"/>
  <c r="A25" i="32"/>
  <c r="A25" i="30"/>
  <c r="A25" i="36"/>
  <c r="C25" i="67"/>
  <c r="B25" i="67"/>
  <c r="AA207" i="150"/>
  <c r="AY206" i="150"/>
  <c r="S207" i="150"/>
  <c r="AQ206" i="150"/>
  <c r="V207" i="150"/>
  <c r="AT206" i="150"/>
  <c r="X207" i="150"/>
  <c r="AV206" i="150"/>
  <c r="R207" i="150"/>
  <c r="AP206" i="150"/>
  <c r="U207" i="150"/>
  <c r="AS206" i="150"/>
  <c r="T207" i="150"/>
  <c r="AR206" i="150"/>
  <c r="W207" i="150"/>
  <c r="AU206" i="150"/>
  <c r="Q208" i="150"/>
  <c r="AO207" i="150"/>
  <c r="Z206" i="150"/>
  <c r="AX205" i="150"/>
  <c r="Y207" i="150"/>
  <c r="AW206" i="150"/>
  <c r="BT11" i="67"/>
  <c r="I58" i="148"/>
  <c r="B25" i="36" l="1"/>
  <c r="C25" i="36"/>
  <c r="DP24" i="4"/>
  <c r="D24" i="28"/>
  <c r="DC24" i="67"/>
  <c r="DD24" i="67" s="1"/>
  <c r="DE24" i="67"/>
  <c r="D24" i="75"/>
  <c r="D24" i="38"/>
  <c r="D24" i="77"/>
  <c r="D24" i="36"/>
  <c r="DI24" i="67"/>
  <c r="DR24" i="4"/>
  <c r="AB24" i="67"/>
  <c r="D24" i="32"/>
  <c r="DL24" i="67"/>
  <c r="DM24" i="67"/>
  <c r="M25" i="67"/>
  <c r="N25" i="67" s="1"/>
  <c r="E25" i="67"/>
  <c r="F25" i="67" s="1"/>
  <c r="I25" i="67"/>
  <c r="J25" i="67" s="1"/>
  <c r="DQ24" i="4"/>
  <c r="D24" i="76"/>
  <c r="D24" i="34"/>
  <c r="D24" i="30"/>
  <c r="DF24" i="67"/>
  <c r="DG24" i="67" s="1"/>
  <c r="DH24" i="67"/>
  <c r="B25" i="32"/>
  <c r="C25" i="32"/>
  <c r="B25" i="77"/>
  <c r="C25" i="77"/>
  <c r="D23" i="154"/>
  <c r="L23" i="154" s="1"/>
  <c r="M23" i="154" s="1"/>
  <c r="E23" i="36"/>
  <c r="F23" i="77"/>
  <c r="DK23" i="67"/>
  <c r="DJ23" i="67"/>
  <c r="B25" i="28"/>
  <c r="C25" i="28"/>
  <c r="B25" i="75"/>
  <c r="C25" i="75"/>
  <c r="C25" i="154"/>
  <c r="B25" i="154"/>
  <c r="B25" i="30"/>
  <c r="C25" i="30"/>
  <c r="B25" i="76"/>
  <c r="C25" i="76"/>
  <c r="B25" i="155"/>
  <c r="C25" i="155"/>
  <c r="A27" i="67"/>
  <c r="A26" i="155"/>
  <c r="A26" i="154"/>
  <c r="A26" i="32"/>
  <c r="A26" i="75"/>
  <c r="A26" i="28"/>
  <c r="A26" i="76"/>
  <c r="A26" i="77"/>
  <c r="A26" i="38"/>
  <c r="A26" i="34"/>
  <c r="A26" i="30"/>
  <c r="A26" i="36"/>
  <c r="B26" i="67"/>
  <c r="C26" i="67"/>
  <c r="W208" i="150"/>
  <c r="AU207" i="150"/>
  <c r="T208" i="150"/>
  <c r="AR207" i="150"/>
  <c r="S208" i="150"/>
  <c r="AQ207" i="150"/>
  <c r="U208" i="150"/>
  <c r="AS207" i="150"/>
  <c r="R208" i="150"/>
  <c r="AP207" i="150"/>
  <c r="V208" i="150"/>
  <c r="AT207" i="150"/>
  <c r="X208" i="150"/>
  <c r="AV207" i="150"/>
  <c r="Y208" i="150"/>
  <c r="AW207" i="150"/>
  <c r="Z207" i="150"/>
  <c r="AX206" i="150"/>
  <c r="Q209" i="150"/>
  <c r="AO208" i="150"/>
  <c r="AA208" i="150"/>
  <c r="AY207" i="150"/>
  <c r="BT12" i="67"/>
  <c r="D24" i="154" l="1"/>
  <c r="L24" i="154" s="1"/>
  <c r="M24" i="154" s="1"/>
  <c r="F24" i="77"/>
  <c r="E24" i="36"/>
  <c r="E26" i="67"/>
  <c r="F26" i="67" s="1"/>
  <c r="I26" i="67"/>
  <c r="J26" i="67" s="1"/>
  <c r="M26" i="67"/>
  <c r="N26" i="67" s="1"/>
  <c r="DJ24" i="67"/>
  <c r="DK24" i="67"/>
  <c r="C26" i="36"/>
  <c r="B26" i="36"/>
  <c r="B26" i="30"/>
  <c r="C26" i="30"/>
  <c r="B26" i="76"/>
  <c r="C26" i="76"/>
  <c r="DQ25" i="4"/>
  <c r="D25" i="76"/>
  <c r="D25" i="34"/>
  <c r="D25" i="30"/>
  <c r="DH25" i="67"/>
  <c r="DF25" i="67"/>
  <c r="DG25" i="67" s="1"/>
  <c r="B26" i="75"/>
  <c r="C26" i="75"/>
  <c r="C26" i="154"/>
  <c r="B26" i="154"/>
  <c r="D25" i="77"/>
  <c r="D25" i="36"/>
  <c r="DI25" i="67"/>
  <c r="DL25" i="67"/>
  <c r="DM25" i="67"/>
  <c r="DR25" i="4"/>
  <c r="AB25" i="67"/>
  <c r="D25" i="32"/>
  <c r="B26" i="32"/>
  <c r="C26" i="32"/>
  <c r="DP25" i="4"/>
  <c r="DE25" i="67"/>
  <c r="DC25" i="67"/>
  <c r="DD25" i="67" s="1"/>
  <c r="D25" i="28"/>
  <c r="V26" i="28" s="1"/>
  <c r="V27" i="28" s="1"/>
  <c r="D25" i="75"/>
  <c r="D25" i="38"/>
  <c r="B26" i="155"/>
  <c r="C26" i="155"/>
  <c r="B26" i="77"/>
  <c r="C26" i="77"/>
  <c r="B26" i="28"/>
  <c r="C26" i="28"/>
  <c r="A28" i="67"/>
  <c r="A27" i="155"/>
  <c r="A27" i="154"/>
  <c r="A27" i="36"/>
  <c r="A27" i="30"/>
  <c r="A27" i="32"/>
  <c r="A27" i="75"/>
  <c r="A27" i="76"/>
  <c r="A27" i="77"/>
  <c r="A27" i="34"/>
  <c r="A27" i="38"/>
  <c r="A27" i="28"/>
  <c r="C27" i="67"/>
  <c r="B27" i="67"/>
  <c r="Y209" i="150"/>
  <c r="AW208" i="150"/>
  <c r="X209" i="150"/>
  <c r="AV208" i="150"/>
  <c r="R209" i="150"/>
  <c r="AP208" i="150"/>
  <c r="V209" i="150"/>
  <c r="AT208" i="150"/>
  <c r="U209" i="150"/>
  <c r="AS208" i="150"/>
  <c r="AA209" i="150"/>
  <c r="AY208" i="150"/>
  <c r="S209" i="150"/>
  <c r="AQ208" i="150"/>
  <c r="Q210" i="150"/>
  <c r="AO209" i="150"/>
  <c r="T209" i="150"/>
  <c r="AR208" i="150"/>
  <c r="Z208" i="150"/>
  <c r="AX207" i="150"/>
  <c r="W209" i="150"/>
  <c r="AU208" i="150"/>
  <c r="BT13" i="67"/>
  <c r="O1" i="76"/>
  <c r="N1" i="76"/>
  <c r="Q1" i="75"/>
  <c r="R1" i="75"/>
  <c r="M145" i="76"/>
  <c r="M144" i="76"/>
  <c r="M143" i="76"/>
  <c r="M142" i="76"/>
  <c r="M141" i="76"/>
  <c r="M140" i="76"/>
  <c r="M139" i="76"/>
  <c r="M138" i="76"/>
  <c r="M137" i="76"/>
  <c r="M136" i="76"/>
  <c r="M135" i="76"/>
  <c r="M134" i="76"/>
  <c r="P145" i="75"/>
  <c r="P144" i="75"/>
  <c r="P143" i="75"/>
  <c r="P142" i="75"/>
  <c r="P141" i="75"/>
  <c r="P140" i="75"/>
  <c r="P139" i="75"/>
  <c r="P138" i="75"/>
  <c r="P137" i="75"/>
  <c r="P136" i="75"/>
  <c r="P135" i="75"/>
  <c r="P134" i="75"/>
  <c r="U1" i="75"/>
  <c r="T1" i="75"/>
  <c r="S1" i="75"/>
  <c r="Q1" i="34"/>
  <c r="D31" i="70"/>
  <c r="H2" i="32"/>
  <c r="H3" i="32"/>
  <c r="H4" i="32"/>
  <c r="H5" i="32"/>
  <c r="H6" i="32"/>
  <c r="H7" i="32"/>
  <c r="H8" i="32"/>
  <c r="H9" i="32"/>
  <c r="H10" i="32"/>
  <c r="H11" i="32"/>
  <c r="H12" i="32"/>
  <c r="H13" i="32"/>
  <c r="H14" i="32"/>
  <c r="H15" i="32"/>
  <c r="H16" i="32"/>
  <c r="H17" i="32"/>
  <c r="H18" i="32"/>
  <c r="H19" i="32"/>
  <c r="H20" i="32"/>
  <c r="H21" i="32"/>
  <c r="H22" i="32"/>
  <c r="H23" i="32"/>
  <c r="H24" i="32"/>
  <c r="H25" i="32"/>
  <c r="H26" i="32"/>
  <c r="H27" i="32"/>
  <c r="H28" i="32"/>
  <c r="H29" i="32"/>
  <c r="H30" i="32"/>
  <c r="H31" i="32"/>
  <c r="H32" i="32"/>
  <c r="H33" i="32"/>
  <c r="H34" i="32"/>
  <c r="H35" i="32"/>
  <c r="H36" i="32"/>
  <c r="H37" i="32"/>
  <c r="H38" i="32"/>
  <c r="H39" i="32"/>
  <c r="H40" i="32"/>
  <c r="H41" i="32"/>
  <c r="H42" i="32"/>
  <c r="H43" i="32"/>
  <c r="H44" i="32"/>
  <c r="H45" i="32"/>
  <c r="H46" i="32"/>
  <c r="H47" i="32"/>
  <c r="H48" i="32"/>
  <c r="H49" i="32"/>
  <c r="H50" i="32"/>
  <c r="H51" i="32"/>
  <c r="H52" i="32"/>
  <c r="H53" i="32"/>
  <c r="H54" i="32"/>
  <c r="H55" i="32"/>
  <c r="H56" i="32"/>
  <c r="H57" i="32"/>
  <c r="H58" i="32"/>
  <c r="H59" i="32"/>
  <c r="H60" i="32"/>
  <c r="H61" i="32"/>
  <c r="H62" i="32"/>
  <c r="H63" i="32"/>
  <c r="H64" i="32"/>
  <c r="H65" i="32"/>
  <c r="H66" i="32"/>
  <c r="H67" i="32"/>
  <c r="H68" i="32"/>
  <c r="H69" i="32"/>
  <c r="H70" i="32"/>
  <c r="H71" i="32"/>
  <c r="H72" i="32"/>
  <c r="H73" i="32"/>
  <c r="H74" i="32"/>
  <c r="H75" i="32"/>
  <c r="H76" i="32"/>
  <c r="H77" i="32"/>
  <c r="H78" i="32"/>
  <c r="H79" i="32"/>
  <c r="H80" i="32"/>
  <c r="H81" i="32"/>
  <c r="H82" i="32"/>
  <c r="H83" i="32"/>
  <c r="H84" i="32"/>
  <c r="H85" i="32"/>
  <c r="H86" i="32"/>
  <c r="H87" i="32"/>
  <c r="H88" i="32"/>
  <c r="H89" i="32"/>
  <c r="H90" i="32"/>
  <c r="H91" i="32"/>
  <c r="H92" i="32"/>
  <c r="H93" i="32"/>
  <c r="H94" i="32"/>
  <c r="H95" i="32"/>
  <c r="H96" i="32"/>
  <c r="H97" i="32"/>
  <c r="H98" i="32"/>
  <c r="H99" i="32"/>
  <c r="H100" i="32"/>
  <c r="H101" i="32"/>
  <c r="H102" i="32"/>
  <c r="H103" i="32"/>
  <c r="H104" i="32"/>
  <c r="H105" i="32"/>
  <c r="H106" i="32"/>
  <c r="H107" i="32"/>
  <c r="H108" i="32"/>
  <c r="H109" i="32"/>
  <c r="H110" i="32"/>
  <c r="H111" i="32"/>
  <c r="H112" i="32"/>
  <c r="H113" i="32"/>
  <c r="H114" i="32"/>
  <c r="H115" i="32"/>
  <c r="H116" i="32"/>
  <c r="H117" i="32"/>
  <c r="H118" i="32"/>
  <c r="H119" i="32"/>
  <c r="H120" i="32"/>
  <c r="H121" i="32"/>
  <c r="R122" i="34"/>
  <c r="R123" i="34"/>
  <c r="R124" i="34"/>
  <c r="Q121" i="34"/>
  <c r="R121" i="34"/>
  <c r="L2" i="30"/>
  <c r="M2" i="30"/>
  <c r="P2" i="30"/>
  <c r="O2" i="30"/>
  <c r="L3" i="30"/>
  <c r="M3" i="30"/>
  <c r="P3" i="30"/>
  <c r="O3" i="30"/>
  <c r="L4" i="30"/>
  <c r="M4" i="30"/>
  <c r="P4" i="30"/>
  <c r="O4" i="30"/>
  <c r="L5" i="30"/>
  <c r="M5" i="30"/>
  <c r="P5" i="30"/>
  <c r="O5" i="30"/>
  <c r="L6" i="30"/>
  <c r="M6" i="30"/>
  <c r="P6" i="30"/>
  <c r="O6" i="30"/>
  <c r="L7" i="30"/>
  <c r="M7" i="30"/>
  <c r="P7" i="30"/>
  <c r="O7" i="30"/>
  <c r="L8" i="30"/>
  <c r="M8" i="30"/>
  <c r="P8" i="30"/>
  <c r="O8" i="30"/>
  <c r="L9" i="30"/>
  <c r="M9" i="30"/>
  <c r="P9" i="30"/>
  <c r="O9" i="30"/>
  <c r="L10" i="30"/>
  <c r="M10" i="30"/>
  <c r="P10" i="30"/>
  <c r="O10" i="30"/>
  <c r="L11" i="30"/>
  <c r="M11" i="30"/>
  <c r="P11" i="30"/>
  <c r="O11" i="30"/>
  <c r="L12" i="30"/>
  <c r="M12" i="30"/>
  <c r="P12" i="30"/>
  <c r="O12" i="30"/>
  <c r="L13" i="30"/>
  <c r="M13" i="30"/>
  <c r="P13" i="30"/>
  <c r="O13" i="30"/>
  <c r="L14" i="30"/>
  <c r="M14" i="30"/>
  <c r="P14" i="30"/>
  <c r="O14" i="30"/>
  <c r="L15" i="30"/>
  <c r="M15" i="30"/>
  <c r="P15" i="30"/>
  <c r="O15" i="30"/>
  <c r="L16" i="30"/>
  <c r="M16" i="30"/>
  <c r="P16" i="30"/>
  <c r="O16" i="30"/>
  <c r="L17" i="30"/>
  <c r="M17" i="30"/>
  <c r="P17" i="30"/>
  <c r="O17" i="30"/>
  <c r="L18" i="30"/>
  <c r="M18" i="30"/>
  <c r="P18" i="30"/>
  <c r="O18" i="30"/>
  <c r="L19" i="30"/>
  <c r="M19" i="30"/>
  <c r="P19" i="30"/>
  <c r="O19" i="30"/>
  <c r="L20" i="30"/>
  <c r="M20" i="30"/>
  <c r="P20" i="30"/>
  <c r="O20" i="30"/>
  <c r="L21" i="30"/>
  <c r="M21" i="30"/>
  <c r="P21" i="30"/>
  <c r="O21" i="30"/>
  <c r="L22" i="30"/>
  <c r="M22" i="30"/>
  <c r="P22" i="30"/>
  <c r="O22" i="30"/>
  <c r="L23" i="30"/>
  <c r="M23" i="30"/>
  <c r="P23" i="30"/>
  <c r="O23" i="30"/>
  <c r="L24" i="30"/>
  <c r="M24" i="30"/>
  <c r="P24" i="30"/>
  <c r="O24" i="30"/>
  <c r="L25" i="30"/>
  <c r="M25" i="30"/>
  <c r="P25" i="30"/>
  <c r="O25" i="30"/>
  <c r="L26" i="30"/>
  <c r="M26" i="30"/>
  <c r="P26" i="30"/>
  <c r="O26" i="30"/>
  <c r="L27" i="30"/>
  <c r="M27" i="30"/>
  <c r="P27" i="30"/>
  <c r="O27" i="30"/>
  <c r="L28" i="30"/>
  <c r="M28" i="30"/>
  <c r="P28" i="30"/>
  <c r="O28" i="30"/>
  <c r="L29" i="30"/>
  <c r="M29" i="30"/>
  <c r="P29" i="30"/>
  <c r="O29" i="30"/>
  <c r="L30" i="30"/>
  <c r="M30" i="30"/>
  <c r="P30" i="30"/>
  <c r="O30" i="30"/>
  <c r="L31" i="30"/>
  <c r="M31" i="30"/>
  <c r="P31" i="30"/>
  <c r="O31" i="30"/>
  <c r="L32" i="30"/>
  <c r="M32" i="30"/>
  <c r="P32" i="30"/>
  <c r="O32" i="30"/>
  <c r="L33" i="30"/>
  <c r="M33" i="30"/>
  <c r="P33" i="30"/>
  <c r="O33" i="30"/>
  <c r="L34" i="30"/>
  <c r="M34" i="30"/>
  <c r="P34" i="30"/>
  <c r="O34" i="30"/>
  <c r="L35" i="30"/>
  <c r="M35" i="30"/>
  <c r="P35" i="30"/>
  <c r="O35" i="30"/>
  <c r="L36" i="30"/>
  <c r="M36" i="30"/>
  <c r="P36" i="30"/>
  <c r="O36" i="30"/>
  <c r="L37" i="30"/>
  <c r="M37" i="30"/>
  <c r="P37" i="30"/>
  <c r="O37" i="30"/>
  <c r="L38" i="30"/>
  <c r="M38" i="30"/>
  <c r="P38" i="30"/>
  <c r="O38" i="30"/>
  <c r="L39" i="30"/>
  <c r="M39" i="30"/>
  <c r="P39" i="30"/>
  <c r="O39" i="30"/>
  <c r="L40" i="30"/>
  <c r="M40" i="30"/>
  <c r="P40" i="30"/>
  <c r="O40" i="30"/>
  <c r="L41" i="30"/>
  <c r="M41" i="30"/>
  <c r="P41" i="30"/>
  <c r="O41" i="30"/>
  <c r="L42" i="30"/>
  <c r="M42" i="30"/>
  <c r="P42" i="30"/>
  <c r="O42" i="30"/>
  <c r="L43" i="30"/>
  <c r="M43" i="30"/>
  <c r="P43" i="30"/>
  <c r="O43" i="30"/>
  <c r="L44" i="30"/>
  <c r="M44" i="30"/>
  <c r="P44" i="30"/>
  <c r="O44" i="30"/>
  <c r="L45" i="30"/>
  <c r="M45" i="30"/>
  <c r="P45" i="30"/>
  <c r="O45" i="30"/>
  <c r="L46" i="30"/>
  <c r="M46" i="30"/>
  <c r="P46" i="30"/>
  <c r="O46" i="30"/>
  <c r="L47" i="30"/>
  <c r="M47" i="30"/>
  <c r="P47" i="30"/>
  <c r="O47" i="30"/>
  <c r="L48" i="30"/>
  <c r="M48" i="30"/>
  <c r="P48" i="30"/>
  <c r="O48" i="30"/>
  <c r="L49" i="30"/>
  <c r="M49" i="30"/>
  <c r="P49" i="30"/>
  <c r="O49" i="30"/>
  <c r="L50" i="30"/>
  <c r="M50" i="30"/>
  <c r="P50" i="30"/>
  <c r="O50" i="30"/>
  <c r="L51" i="30"/>
  <c r="M51" i="30"/>
  <c r="P51" i="30"/>
  <c r="O51" i="30"/>
  <c r="L52" i="30"/>
  <c r="M52" i="30"/>
  <c r="P52" i="30"/>
  <c r="O52" i="30"/>
  <c r="L53" i="30"/>
  <c r="M53" i="30"/>
  <c r="P53" i="30"/>
  <c r="O53" i="30"/>
  <c r="L54" i="30"/>
  <c r="M54" i="30"/>
  <c r="P54" i="30"/>
  <c r="O54" i="30"/>
  <c r="L55" i="30"/>
  <c r="M55" i="30"/>
  <c r="P55" i="30"/>
  <c r="O55" i="30"/>
  <c r="L56" i="30"/>
  <c r="M56" i="30"/>
  <c r="P56" i="30"/>
  <c r="O56" i="30"/>
  <c r="L57" i="30"/>
  <c r="M57" i="30"/>
  <c r="P57" i="30"/>
  <c r="O57" i="30"/>
  <c r="L58" i="30"/>
  <c r="M58" i="30"/>
  <c r="P58" i="30"/>
  <c r="O58" i="30"/>
  <c r="L59" i="30"/>
  <c r="M59" i="30"/>
  <c r="P59" i="30"/>
  <c r="O59" i="30"/>
  <c r="L60" i="30"/>
  <c r="M60" i="30"/>
  <c r="P60" i="30"/>
  <c r="O60" i="30"/>
  <c r="L61" i="30"/>
  <c r="M61" i="30"/>
  <c r="P61" i="30"/>
  <c r="O61" i="30"/>
  <c r="L62" i="30"/>
  <c r="M62" i="30"/>
  <c r="P62" i="30"/>
  <c r="O62" i="30"/>
  <c r="L63" i="30"/>
  <c r="M63" i="30"/>
  <c r="P63" i="30"/>
  <c r="O63" i="30"/>
  <c r="L64" i="30"/>
  <c r="M64" i="30"/>
  <c r="P64" i="30"/>
  <c r="O64" i="30"/>
  <c r="L65" i="30"/>
  <c r="M65" i="30"/>
  <c r="P65" i="30"/>
  <c r="O65" i="30"/>
  <c r="L66" i="30"/>
  <c r="M66" i="30"/>
  <c r="P66" i="30"/>
  <c r="O66" i="30"/>
  <c r="L67" i="30"/>
  <c r="M67" i="30"/>
  <c r="P67" i="30"/>
  <c r="O67" i="30"/>
  <c r="L68" i="30"/>
  <c r="M68" i="30"/>
  <c r="P68" i="30"/>
  <c r="O68" i="30"/>
  <c r="L69" i="30"/>
  <c r="M69" i="30"/>
  <c r="P69" i="30"/>
  <c r="O69" i="30"/>
  <c r="L70" i="30"/>
  <c r="M70" i="30"/>
  <c r="P70" i="30"/>
  <c r="O70" i="30"/>
  <c r="L71" i="30"/>
  <c r="M71" i="30"/>
  <c r="P71" i="30"/>
  <c r="O71" i="30"/>
  <c r="L72" i="30"/>
  <c r="M72" i="30"/>
  <c r="P72" i="30"/>
  <c r="O72" i="30"/>
  <c r="L73" i="30"/>
  <c r="M73" i="30"/>
  <c r="P73" i="30"/>
  <c r="O73" i="30"/>
  <c r="L74" i="30"/>
  <c r="M74" i="30"/>
  <c r="P74" i="30"/>
  <c r="O74" i="30"/>
  <c r="L75" i="30"/>
  <c r="M75" i="30"/>
  <c r="P75" i="30"/>
  <c r="O75" i="30"/>
  <c r="L76" i="30"/>
  <c r="M76" i="30"/>
  <c r="P76" i="30"/>
  <c r="O76" i="30"/>
  <c r="L77" i="30"/>
  <c r="M77" i="30"/>
  <c r="P77" i="30"/>
  <c r="O77" i="30"/>
  <c r="L78" i="30"/>
  <c r="M78" i="30"/>
  <c r="P78" i="30"/>
  <c r="O78" i="30"/>
  <c r="L79" i="30"/>
  <c r="M79" i="30"/>
  <c r="P79" i="30"/>
  <c r="O79" i="30"/>
  <c r="L80" i="30"/>
  <c r="M80" i="30"/>
  <c r="P80" i="30"/>
  <c r="O80" i="30"/>
  <c r="L81" i="30"/>
  <c r="M81" i="30"/>
  <c r="P81" i="30"/>
  <c r="O81" i="30"/>
  <c r="L82" i="30"/>
  <c r="M82" i="30"/>
  <c r="P82" i="30"/>
  <c r="O82" i="30"/>
  <c r="L83" i="30"/>
  <c r="M83" i="30"/>
  <c r="P83" i="30"/>
  <c r="O83" i="30"/>
  <c r="L84" i="30"/>
  <c r="M84" i="30"/>
  <c r="P84" i="30"/>
  <c r="O84" i="30"/>
  <c r="L85" i="30"/>
  <c r="M85" i="30"/>
  <c r="P85" i="30"/>
  <c r="O85" i="30"/>
  <c r="L86" i="30"/>
  <c r="M86" i="30"/>
  <c r="P86" i="30"/>
  <c r="O86" i="30"/>
  <c r="L87" i="30"/>
  <c r="M87" i="30"/>
  <c r="P87" i="30"/>
  <c r="O87" i="30"/>
  <c r="L88" i="30"/>
  <c r="M88" i="30"/>
  <c r="P88" i="30"/>
  <c r="O88" i="30"/>
  <c r="L89" i="30"/>
  <c r="M89" i="30"/>
  <c r="P89" i="30"/>
  <c r="O89" i="30"/>
  <c r="L90" i="30"/>
  <c r="M90" i="30"/>
  <c r="P90" i="30"/>
  <c r="O90" i="30"/>
  <c r="L91" i="30"/>
  <c r="M91" i="30"/>
  <c r="P91" i="30"/>
  <c r="O91" i="30"/>
  <c r="L92" i="30"/>
  <c r="M92" i="30"/>
  <c r="P92" i="30"/>
  <c r="O92" i="30"/>
  <c r="L93" i="30"/>
  <c r="M93" i="30"/>
  <c r="P93" i="30"/>
  <c r="O93" i="30"/>
  <c r="L94" i="30"/>
  <c r="M94" i="30"/>
  <c r="P94" i="30"/>
  <c r="O94" i="30"/>
  <c r="L95" i="30"/>
  <c r="M95" i="30"/>
  <c r="P95" i="30"/>
  <c r="O95" i="30"/>
  <c r="L96" i="30"/>
  <c r="M96" i="30"/>
  <c r="P96" i="30"/>
  <c r="O96" i="30"/>
  <c r="L97" i="30"/>
  <c r="M97" i="30"/>
  <c r="P97" i="30"/>
  <c r="O97" i="30"/>
  <c r="L98" i="30"/>
  <c r="M98" i="30"/>
  <c r="P98" i="30"/>
  <c r="O98" i="30"/>
  <c r="L99" i="30"/>
  <c r="M99" i="30"/>
  <c r="P99" i="30"/>
  <c r="O99" i="30"/>
  <c r="L100" i="30"/>
  <c r="M100" i="30"/>
  <c r="P100" i="30"/>
  <c r="O100" i="30"/>
  <c r="L101" i="30"/>
  <c r="M101" i="30"/>
  <c r="P101" i="30"/>
  <c r="O101" i="30"/>
  <c r="L102" i="30"/>
  <c r="M102" i="30"/>
  <c r="P102" i="30"/>
  <c r="O102" i="30"/>
  <c r="L103" i="30"/>
  <c r="M103" i="30"/>
  <c r="P103" i="30"/>
  <c r="O103" i="30"/>
  <c r="L104" i="30"/>
  <c r="M104" i="30"/>
  <c r="P104" i="30"/>
  <c r="O104" i="30"/>
  <c r="L105" i="30"/>
  <c r="M105" i="30"/>
  <c r="P105" i="30"/>
  <c r="O105" i="30"/>
  <c r="L106" i="30"/>
  <c r="M106" i="30"/>
  <c r="P106" i="30"/>
  <c r="O106" i="30"/>
  <c r="L107" i="30"/>
  <c r="M107" i="30"/>
  <c r="P107" i="30"/>
  <c r="O107" i="30"/>
  <c r="L108" i="30"/>
  <c r="M108" i="30"/>
  <c r="P108" i="30"/>
  <c r="O108" i="30"/>
  <c r="L109" i="30"/>
  <c r="M109" i="30"/>
  <c r="P109" i="30"/>
  <c r="O109" i="30"/>
  <c r="L110" i="30"/>
  <c r="M110" i="30"/>
  <c r="P110" i="30"/>
  <c r="O110" i="30"/>
  <c r="L111" i="30"/>
  <c r="M111" i="30"/>
  <c r="P111" i="30"/>
  <c r="O111" i="30"/>
  <c r="L112" i="30"/>
  <c r="M112" i="30"/>
  <c r="P112" i="30"/>
  <c r="O112" i="30"/>
  <c r="L113" i="30"/>
  <c r="M113" i="30"/>
  <c r="P113" i="30"/>
  <c r="O113" i="30"/>
  <c r="L114" i="30"/>
  <c r="M114" i="30"/>
  <c r="P114" i="30"/>
  <c r="O114" i="30"/>
  <c r="L115" i="30"/>
  <c r="M115" i="30"/>
  <c r="P115" i="30"/>
  <c r="O115" i="30"/>
  <c r="L116" i="30"/>
  <c r="M116" i="30"/>
  <c r="P116" i="30"/>
  <c r="O116" i="30"/>
  <c r="L117" i="30"/>
  <c r="M117" i="30"/>
  <c r="P117" i="30"/>
  <c r="O117" i="30"/>
  <c r="L118" i="30"/>
  <c r="M118" i="30"/>
  <c r="P118" i="30"/>
  <c r="O118" i="30"/>
  <c r="L119" i="30"/>
  <c r="M119" i="30"/>
  <c r="P119" i="30"/>
  <c r="O119" i="30"/>
  <c r="P120" i="30"/>
  <c r="O120" i="30"/>
  <c r="P121" i="30"/>
  <c r="O121" i="30"/>
  <c r="O1" i="30"/>
  <c r="P1" i="30"/>
  <c r="P2" i="38"/>
  <c r="Q2" i="38"/>
  <c r="P3" i="38"/>
  <c r="Q3" i="38"/>
  <c r="P4" i="38"/>
  <c r="Q4" i="38"/>
  <c r="P5" i="38"/>
  <c r="Q5" i="38"/>
  <c r="P6" i="38"/>
  <c r="Q6" i="38"/>
  <c r="P7" i="38"/>
  <c r="Q7" i="38"/>
  <c r="P8" i="38"/>
  <c r="Q8" i="38"/>
  <c r="P9" i="38"/>
  <c r="Q9" i="38"/>
  <c r="P10" i="38"/>
  <c r="Q10" i="38"/>
  <c r="P11" i="38"/>
  <c r="Q11" i="38"/>
  <c r="P12" i="38"/>
  <c r="Q12" i="38"/>
  <c r="P13" i="38"/>
  <c r="Q13" i="38"/>
  <c r="P14" i="38"/>
  <c r="Q14" i="38"/>
  <c r="P15" i="38"/>
  <c r="Q15" i="38"/>
  <c r="P16" i="38"/>
  <c r="Q16" i="38"/>
  <c r="P17" i="38"/>
  <c r="Q17" i="38"/>
  <c r="P18" i="38"/>
  <c r="Q18" i="38"/>
  <c r="P19" i="38"/>
  <c r="Q19" i="38"/>
  <c r="P20" i="38"/>
  <c r="Q20" i="38"/>
  <c r="P21" i="38"/>
  <c r="Q21" i="38"/>
  <c r="P22" i="38"/>
  <c r="Q22" i="38"/>
  <c r="P23" i="38"/>
  <c r="Q23" i="38"/>
  <c r="P24" i="38"/>
  <c r="Q24" i="38"/>
  <c r="P25" i="38"/>
  <c r="Q25" i="38"/>
  <c r="P26" i="38"/>
  <c r="Q26" i="38"/>
  <c r="P27" i="38"/>
  <c r="Q27" i="38"/>
  <c r="P28" i="38"/>
  <c r="Q28" i="38"/>
  <c r="P29" i="38"/>
  <c r="Q29" i="38"/>
  <c r="P30" i="38"/>
  <c r="Q30" i="38"/>
  <c r="P31" i="38"/>
  <c r="Q31" i="38"/>
  <c r="P32" i="38"/>
  <c r="Q32" i="38"/>
  <c r="P33" i="38"/>
  <c r="Q33" i="38"/>
  <c r="P34" i="38"/>
  <c r="Q34" i="38"/>
  <c r="P35" i="38"/>
  <c r="Q35" i="38"/>
  <c r="P36" i="38"/>
  <c r="Q36" i="38"/>
  <c r="P37" i="38"/>
  <c r="Q37" i="38"/>
  <c r="P38" i="38"/>
  <c r="Q38" i="38"/>
  <c r="P39" i="38"/>
  <c r="Q39" i="38"/>
  <c r="P40" i="38"/>
  <c r="Q40" i="38"/>
  <c r="P41" i="38"/>
  <c r="Q41" i="38"/>
  <c r="P42" i="38"/>
  <c r="Q42" i="38"/>
  <c r="P43" i="38"/>
  <c r="Q43" i="38"/>
  <c r="P44" i="38"/>
  <c r="Q44" i="38"/>
  <c r="P45" i="38"/>
  <c r="Q45" i="38"/>
  <c r="P46" i="38"/>
  <c r="Q46" i="38"/>
  <c r="P47" i="38"/>
  <c r="Q47" i="38"/>
  <c r="P48" i="38"/>
  <c r="Q48" i="38"/>
  <c r="P49" i="38"/>
  <c r="Q49" i="38"/>
  <c r="P50" i="38"/>
  <c r="Q50" i="38"/>
  <c r="P51" i="38"/>
  <c r="Q51" i="38"/>
  <c r="P52" i="38"/>
  <c r="Q52" i="38"/>
  <c r="P53" i="38"/>
  <c r="Q53" i="38"/>
  <c r="P54" i="38"/>
  <c r="Q54" i="38"/>
  <c r="P55" i="38"/>
  <c r="Q55" i="38"/>
  <c r="P56" i="38"/>
  <c r="Q56" i="38"/>
  <c r="P57" i="38"/>
  <c r="Q57" i="38"/>
  <c r="P58" i="38"/>
  <c r="Q58" i="38"/>
  <c r="P59" i="38"/>
  <c r="Q59" i="38"/>
  <c r="P60" i="38"/>
  <c r="Q60" i="38"/>
  <c r="P61" i="38"/>
  <c r="Q61" i="38"/>
  <c r="P62" i="38"/>
  <c r="Q62" i="38"/>
  <c r="P63" i="38"/>
  <c r="Q63" i="38"/>
  <c r="P64" i="38"/>
  <c r="Q64" i="38"/>
  <c r="P65" i="38"/>
  <c r="Q65" i="38"/>
  <c r="P66" i="38"/>
  <c r="Q66" i="38"/>
  <c r="P67" i="38"/>
  <c r="Q67" i="38"/>
  <c r="P68" i="38"/>
  <c r="Q68" i="38"/>
  <c r="P69" i="38"/>
  <c r="Q69" i="38"/>
  <c r="P70" i="38"/>
  <c r="Q70" i="38"/>
  <c r="P71" i="38"/>
  <c r="Q71" i="38"/>
  <c r="P72" i="38"/>
  <c r="Q72" i="38"/>
  <c r="P73" i="38"/>
  <c r="Q73" i="38"/>
  <c r="P74" i="38"/>
  <c r="Q74" i="38"/>
  <c r="P75" i="38"/>
  <c r="Q75" i="38"/>
  <c r="P76" i="38"/>
  <c r="Q76" i="38"/>
  <c r="P77" i="38"/>
  <c r="Q77" i="38"/>
  <c r="P78" i="38"/>
  <c r="Q78" i="38"/>
  <c r="P79" i="38"/>
  <c r="Q79" i="38"/>
  <c r="P80" i="38"/>
  <c r="Q80" i="38"/>
  <c r="P81" i="38"/>
  <c r="Q81" i="38"/>
  <c r="P82" i="38"/>
  <c r="Q82" i="38"/>
  <c r="P83" i="38"/>
  <c r="Q83" i="38"/>
  <c r="P84" i="38"/>
  <c r="Q84" i="38"/>
  <c r="P85" i="38"/>
  <c r="Q85" i="38"/>
  <c r="P86" i="38"/>
  <c r="Q86" i="38"/>
  <c r="P87" i="38"/>
  <c r="Q87" i="38"/>
  <c r="P88" i="38"/>
  <c r="Q88" i="38"/>
  <c r="P89" i="38"/>
  <c r="Q89" i="38"/>
  <c r="P90" i="38"/>
  <c r="Q90" i="38"/>
  <c r="P91" i="38"/>
  <c r="Q91" i="38"/>
  <c r="P92" i="38"/>
  <c r="Q92" i="38"/>
  <c r="P93" i="38"/>
  <c r="Q93" i="38"/>
  <c r="P94" i="38"/>
  <c r="Q94" i="38"/>
  <c r="P95" i="38"/>
  <c r="Q95" i="38"/>
  <c r="P96" i="38"/>
  <c r="Q96" i="38"/>
  <c r="P97" i="38"/>
  <c r="Q97" i="38"/>
  <c r="P98" i="38"/>
  <c r="Q98" i="38"/>
  <c r="P99" i="38"/>
  <c r="Q99" i="38"/>
  <c r="P100" i="38"/>
  <c r="Q100" i="38"/>
  <c r="P101" i="38"/>
  <c r="Q101" i="38"/>
  <c r="P102" i="38"/>
  <c r="Q102" i="38"/>
  <c r="P103" i="38"/>
  <c r="Q103" i="38"/>
  <c r="P104" i="38"/>
  <c r="Q104" i="38"/>
  <c r="P105" i="38"/>
  <c r="Q105" i="38"/>
  <c r="P106" i="38"/>
  <c r="Q106" i="38"/>
  <c r="P107" i="38"/>
  <c r="Q107" i="38"/>
  <c r="P108" i="38"/>
  <c r="Q108" i="38"/>
  <c r="P109" i="38"/>
  <c r="Q109" i="38"/>
  <c r="P110" i="38"/>
  <c r="Q110" i="38"/>
  <c r="P111" i="38"/>
  <c r="Q111" i="38"/>
  <c r="P112" i="38"/>
  <c r="Q112" i="38"/>
  <c r="P113" i="38"/>
  <c r="Q113" i="38"/>
  <c r="P114" i="38"/>
  <c r="Q114" i="38"/>
  <c r="P115" i="38"/>
  <c r="Q115" i="38"/>
  <c r="P116" i="38"/>
  <c r="Q116" i="38"/>
  <c r="P117" i="38"/>
  <c r="Q117" i="38"/>
  <c r="P118" i="38"/>
  <c r="Q118" i="38"/>
  <c r="P119" i="38"/>
  <c r="Q119" i="38"/>
  <c r="P120" i="38"/>
  <c r="Q120" i="38"/>
  <c r="P121" i="38"/>
  <c r="Q121" i="38"/>
  <c r="L2" i="28"/>
  <c r="M2" i="28"/>
  <c r="L2" i="65"/>
  <c r="M2" i="65"/>
  <c r="O2" i="65"/>
  <c r="N2" i="65"/>
  <c r="N16" i="65"/>
  <c r="AN14" i="67" s="1"/>
  <c r="N17" i="65"/>
  <c r="AN15" i="67" s="1"/>
  <c r="N18" i="65"/>
  <c r="AN16" i="67" s="1"/>
  <c r="N19" i="65"/>
  <c r="AN17" i="67" s="1"/>
  <c r="N20" i="65"/>
  <c r="AN18" i="67" s="1"/>
  <c r="N21" i="65"/>
  <c r="AN19" i="67" s="1"/>
  <c r="N22" i="65"/>
  <c r="AN20" i="67" s="1"/>
  <c r="N23" i="65"/>
  <c r="AN21" i="67" s="1"/>
  <c r="N24" i="65"/>
  <c r="AN22" i="67" s="1"/>
  <c r="N25" i="65"/>
  <c r="AN23" i="67" s="1"/>
  <c r="N26" i="65"/>
  <c r="AN24" i="67" s="1"/>
  <c r="N27" i="65"/>
  <c r="AN25" i="67" s="1"/>
  <c r="N28" i="65"/>
  <c r="AN26" i="67" s="1"/>
  <c r="N29" i="65"/>
  <c r="AN27" i="67" s="1"/>
  <c r="N30" i="65"/>
  <c r="AN28" i="67" s="1"/>
  <c r="N31" i="65"/>
  <c r="AN29" i="67" s="1"/>
  <c r="N32" i="65"/>
  <c r="AN30" i="67" s="1"/>
  <c r="N33" i="65"/>
  <c r="AN31" i="67" s="1"/>
  <c r="N34" i="65"/>
  <c r="AN32" i="67" s="1"/>
  <c r="N35" i="65"/>
  <c r="AN33" i="67" s="1"/>
  <c r="N36" i="65"/>
  <c r="AN34" i="67" s="1"/>
  <c r="N37" i="65"/>
  <c r="AN35" i="67" s="1"/>
  <c r="N38" i="65"/>
  <c r="AN36" i="67" s="1"/>
  <c r="N39" i="65"/>
  <c r="AN37" i="67" s="1"/>
  <c r="N40" i="65"/>
  <c r="AN38" i="67" s="1"/>
  <c r="N41" i="65"/>
  <c r="AN39" i="67" s="1"/>
  <c r="N42" i="65"/>
  <c r="AN40" i="67" s="1"/>
  <c r="N43" i="65"/>
  <c r="AN41" i="67" s="1"/>
  <c r="N44" i="65"/>
  <c r="AN42" i="67" s="1"/>
  <c r="N45" i="65"/>
  <c r="AN43" i="67" s="1"/>
  <c r="N46" i="65"/>
  <c r="AN44" i="67" s="1"/>
  <c r="N47" i="65"/>
  <c r="AN45" i="67" s="1"/>
  <c r="N48" i="65"/>
  <c r="AN46" i="67" s="1"/>
  <c r="N49" i="65"/>
  <c r="AN47" i="67" s="1"/>
  <c r="N50" i="65"/>
  <c r="AN48" i="67" s="1"/>
  <c r="N51" i="65"/>
  <c r="AN49" i="67" s="1"/>
  <c r="N52" i="65"/>
  <c r="AN50" i="67" s="1"/>
  <c r="AN2" i="149" s="1"/>
  <c r="N53" i="65"/>
  <c r="AN51" i="67" s="1"/>
  <c r="AN3" i="149" s="1"/>
  <c r="N54" i="65"/>
  <c r="AN52" i="67" s="1"/>
  <c r="AN4" i="149" s="1"/>
  <c r="N55" i="65"/>
  <c r="AN53" i="67" s="1"/>
  <c r="AN5" i="149" s="1"/>
  <c r="N56" i="65"/>
  <c r="AN54" i="67" s="1"/>
  <c r="AN6" i="149" s="1"/>
  <c r="N57" i="65"/>
  <c r="AN55" i="67" s="1"/>
  <c r="AN7" i="149" s="1"/>
  <c r="N58" i="65"/>
  <c r="AN56" i="67" s="1"/>
  <c r="AN8" i="149" s="1"/>
  <c r="N59" i="65"/>
  <c r="AN57" i="67" s="1"/>
  <c r="AN9" i="149" s="1"/>
  <c r="N60" i="65"/>
  <c r="AN58" i="67" s="1"/>
  <c r="AN10" i="149" s="1"/>
  <c r="N61" i="65"/>
  <c r="AN59" i="67" s="1"/>
  <c r="AN11" i="149" s="1"/>
  <c r="N62" i="65"/>
  <c r="AN60" i="67" s="1"/>
  <c r="AN12" i="149" s="1"/>
  <c r="N63" i="65"/>
  <c r="AN61" i="67" s="1"/>
  <c r="AN13" i="149" s="1"/>
  <c r="N64" i="65"/>
  <c r="AN62" i="67" s="1"/>
  <c r="AN14" i="149" s="1"/>
  <c r="N65" i="65"/>
  <c r="AN63" i="67" s="1"/>
  <c r="AN15" i="149" s="1"/>
  <c r="N66" i="65"/>
  <c r="AN64" i="67" s="1"/>
  <c r="AN16" i="149" s="1"/>
  <c r="N67" i="65"/>
  <c r="AN65" i="67" s="1"/>
  <c r="AN17" i="149" s="1"/>
  <c r="N68" i="65"/>
  <c r="AN66" i="67" s="1"/>
  <c r="AN18" i="149" s="1"/>
  <c r="N69" i="65"/>
  <c r="AN67" i="67" s="1"/>
  <c r="AN19" i="149" s="1"/>
  <c r="N70" i="65"/>
  <c r="AN68" i="67" s="1"/>
  <c r="AN20" i="149" s="1"/>
  <c r="N71" i="65"/>
  <c r="AN69" i="67" s="1"/>
  <c r="AN21" i="149" s="1"/>
  <c r="N72" i="65"/>
  <c r="AN70" i="67" s="1"/>
  <c r="AN22" i="149" s="1"/>
  <c r="N73" i="65"/>
  <c r="AN71" i="67" s="1"/>
  <c r="AN23" i="149" s="1"/>
  <c r="N74" i="65"/>
  <c r="AN72" i="67" s="1"/>
  <c r="AN24" i="149" s="1"/>
  <c r="N75" i="65"/>
  <c r="AN73" i="67" s="1"/>
  <c r="AN25" i="149" s="1"/>
  <c r="N76" i="65"/>
  <c r="AN74" i="67" s="1"/>
  <c r="AN26" i="149" s="1"/>
  <c r="N77" i="65"/>
  <c r="AN75" i="67" s="1"/>
  <c r="AN27" i="149" s="1"/>
  <c r="N78" i="65"/>
  <c r="AN76" i="67" s="1"/>
  <c r="AN28" i="149" s="1"/>
  <c r="N79" i="65"/>
  <c r="AN77" i="67" s="1"/>
  <c r="AN29" i="149" s="1"/>
  <c r="N80" i="65"/>
  <c r="AN78" i="67" s="1"/>
  <c r="AN30" i="149" s="1"/>
  <c r="N81" i="65"/>
  <c r="AN79" i="67" s="1"/>
  <c r="AN31" i="149" s="1"/>
  <c r="N82" i="65"/>
  <c r="AN80" i="67" s="1"/>
  <c r="AN32" i="149" s="1"/>
  <c r="N83" i="65"/>
  <c r="AN81" i="67" s="1"/>
  <c r="AN33" i="149" s="1"/>
  <c r="N84" i="65"/>
  <c r="AN82" i="67" s="1"/>
  <c r="AN34" i="149" s="1"/>
  <c r="N85" i="65"/>
  <c r="AN83" i="67" s="1"/>
  <c r="AN35" i="149" s="1"/>
  <c r="N86" i="65"/>
  <c r="AN84" i="67" s="1"/>
  <c r="AN36" i="149" s="1"/>
  <c r="N87" i="65"/>
  <c r="AN85" i="67" s="1"/>
  <c r="AN37" i="149" s="1"/>
  <c r="K2" i="65"/>
  <c r="J2" i="65"/>
  <c r="L2" i="38"/>
  <c r="L3" i="38"/>
  <c r="L4" i="38"/>
  <c r="L5" i="38"/>
  <c r="L6" i="38"/>
  <c r="L7" i="38"/>
  <c r="L8" i="38"/>
  <c r="L9" i="38"/>
  <c r="L10" i="38"/>
  <c r="L11" i="38"/>
  <c r="L12" i="38"/>
  <c r="L13" i="38"/>
  <c r="L14" i="38"/>
  <c r="L15" i="38"/>
  <c r="L16" i="38"/>
  <c r="L17" i="38"/>
  <c r="L18" i="38"/>
  <c r="L19" i="38"/>
  <c r="L20" i="38"/>
  <c r="L21" i="38"/>
  <c r="L22" i="38"/>
  <c r="L23" i="38"/>
  <c r="L24" i="38"/>
  <c r="L25" i="38"/>
  <c r="L26" i="38"/>
  <c r="L27" i="38"/>
  <c r="L28" i="38"/>
  <c r="L29" i="38"/>
  <c r="L30" i="38"/>
  <c r="L31" i="38"/>
  <c r="L32" i="38"/>
  <c r="L33" i="38"/>
  <c r="L34" i="38"/>
  <c r="L35" i="38"/>
  <c r="L36" i="38"/>
  <c r="L37" i="38"/>
  <c r="L38" i="38"/>
  <c r="L39" i="38"/>
  <c r="L40" i="38"/>
  <c r="L41" i="38"/>
  <c r="L42" i="38"/>
  <c r="L43" i="38"/>
  <c r="L44" i="38"/>
  <c r="L45" i="38"/>
  <c r="L46" i="38"/>
  <c r="L47" i="38"/>
  <c r="L48" i="38"/>
  <c r="L49" i="38"/>
  <c r="L50" i="38"/>
  <c r="L51" i="38"/>
  <c r="L52" i="38"/>
  <c r="L53" i="38"/>
  <c r="L54" i="38"/>
  <c r="L55" i="38"/>
  <c r="L56" i="38"/>
  <c r="L57" i="38"/>
  <c r="L58" i="38"/>
  <c r="L59" i="38"/>
  <c r="L60" i="38"/>
  <c r="L61" i="38"/>
  <c r="L62" i="38"/>
  <c r="L63" i="38"/>
  <c r="L64" i="38"/>
  <c r="L65" i="38"/>
  <c r="L66" i="38"/>
  <c r="L67" i="38"/>
  <c r="L68" i="38"/>
  <c r="L69" i="38"/>
  <c r="L70" i="38"/>
  <c r="L71" i="38"/>
  <c r="L72" i="38"/>
  <c r="L73" i="38"/>
  <c r="L74" i="38"/>
  <c r="L75" i="38"/>
  <c r="L76" i="38"/>
  <c r="L77" i="38"/>
  <c r="L78" i="38"/>
  <c r="L79" i="38"/>
  <c r="L80" i="38"/>
  <c r="L81" i="38"/>
  <c r="L82" i="38"/>
  <c r="L83" i="38"/>
  <c r="L84" i="38"/>
  <c r="L85" i="38"/>
  <c r="L86" i="38"/>
  <c r="L87" i="38"/>
  <c r="L88" i="38"/>
  <c r="L89" i="38"/>
  <c r="L90" i="38"/>
  <c r="L91" i="38"/>
  <c r="L92" i="38"/>
  <c r="L93" i="38"/>
  <c r="L94" i="38"/>
  <c r="L95" i="38"/>
  <c r="L96" i="38"/>
  <c r="L97" i="38"/>
  <c r="L98" i="38"/>
  <c r="L99" i="38"/>
  <c r="L100" i="38"/>
  <c r="L101" i="38"/>
  <c r="L102" i="38"/>
  <c r="L103" i="38"/>
  <c r="L104" i="38"/>
  <c r="L105" i="38"/>
  <c r="L106" i="38"/>
  <c r="L107" i="38"/>
  <c r="L108" i="38"/>
  <c r="L109" i="38"/>
  <c r="L110" i="38"/>
  <c r="L111" i="38"/>
  <c r="L112" i="38"/>
  <c r="L113" i="38"/>
  <c r="L114" i="38"/>
  <c r="L115" i="38"/>
  <c r="L116" i="38"/>
  <c r="L117" i="38"/>
  <c r="L118" i="38"/>
  <c r="L119" i="38"/>
  <c r="L120" i="38"/>
  <c r="L121" i="38"/>
  <c r="L134" i="38"/>
  <c r="L135" i="38"/>
  <c r="L136" i="38"/>
  <c r="L137" i="38"/>
  <c r="L138" i="38"/>
  <c r="L139" i="38"/>
  <c r="L140" i="38"/>
  <c r="L141" i="38"/>
  <c r="L142" i="38"/>
  <c r="L143" i="38"/>
  <c r="L144" i="38"/>
  <c r="L145" i="38"/>
  <c r="C27" i="155" l="1"/>
  <c r="B27" i="155"/>
  <c r="A29" i="67"/>
  <c r="A28" i="155"/>
  <c r="A28" i="154"/>
  <c r="A28" i="28"/>
  <c r="A28" i="36"/>
  <c r="A28" i="30"/>
  <c r="A28" i="32"/>
  <c r="A28" i="75"/>
  <c r="A28" i="34"/>
  <c r="A28" i="38"/>
  <c r="A28" i="76"/>
  <c r="A28" i="77"/>
  <c r="C28" i="67"/>
  <c r="B28" i="67"/>
  <c r="D25" i="154"/>
  <c r="L25" i="154" s="1"/>
  <c r="M25" i="154" s="1"/>
  <c r="E25" i="36"/>
  <c r="F25" i="77"/>
  <c r="M27" i="67"/>
  <c r="N27" i="67" s="1"/>
  <c r="I27" i="67"/>
  <c r="J27" i="67" s="1"/>
  <c r="E27" i="67"/>
  <c r="F27" i="67" s="1"/>
  <c r="DK25" i="67"/>
  <c r="DJ25" i="67"/>
  <c r="B27" i="28"/>
  <c r="C27" i="28"/>
  <c r="C27" i="77"/>
  <c r="B27" i="77"/>
  <c r="B27" i="76"/>
  <c r="C27" i="76"/>
  <c r="D26" i="77"/>
  <c r="D26" i="36"/>
  <c r="DM26" i="67"/>
  <c r="DI26" i="67"/>
  <c r="DL26" i="67"/>
  <c r="DR26" i="4"/>
  <c r="AB26" i="67"/>
  <c r="D26" i="32"/>
  <c r="B27" i="75"/>
  <c r="C27" i="75"/>
  <c r="DQ26" i="4"/>
  <c r="DH26" i="67"/>
  <c r="DF26" i="67"/>
  <c r="DG26" i="67" s="1"/>
  <c r="D26" i="76"/>
  <c r="D26" i="34"/>
  <c r="D26" i="30"/>
  <c r="C27" i="32"/>
  <c r="B27" i="32"/>
  <c r="DP26" i="4"/>
  <c r="DE26" i="67"/>
  <c r="DC26" i="67"/>
  <c r="DD26" i="67" s="1"/>
  <c r="D26" i="75"/>
  <c r="D26" i="38"/>
  <c r="D26" i="28"/>
  <c r="C27" i="30"/>
  <c r="B27" i="30"/>
  <c r="B27" i="36"/>
  <c r="C27" i="36"/>
  <c r="C27" i="154"/>
  <c r="B27" i="154"/>
  <c r="Q211" i="150"/>
  <c r="AO210" i="150"/>
  <c r="S210" i="150"/>
  <c r="AQ209" i="150"/>
  <c r="AA210" i="150"/>
  <c r="AY209" i="150"/>
  <c r="U210" i="150"/>
  <c r="AS209" i="150"/>
  <c r="V210" i="150"/>
  <c r="AT209" i="150"/>
  <c r="W210" i="150"/>
  <c r="AU209" i="150"/>
  <c r="R210" i="150"/>
  <c r="AP209" i="150"/>
  <c r="Z209" i="150"/>
  <c r="AX208" i="150"/>
  <c r="X210" i="150"/>
  <c r="AV209" i="150"/>
  <c r="T210" i="150"/>
  <c r="AR209" i="150"/>
  <c r="Y210" i="150"/>
  <c r="AW209" i="150"/>
  <c r="Q147" i="77"/>
  <c r="N11" i="30"/>
  <c r="N35" i="30"/>
  <c r="N3" i="30"/>
  <c r="N14" i="30"/>
  <c r="N27" i="30"/>
  <c r="N30" i="30"/>
  <c r="N87" i="30"/>
  <c r="N71" i="30"/>
  <c r="N55" i="30"/>
  <c r="N38" i="30"/>
  <c r="N6" i="30"/>
  <c r="BT14" i="67"/>
  <c r="T137" i="75"/>
  <c r="N19" i="30"/>
  <c r="T145" i="75"/>
  <c r="I21" i="73"/>
  <c r="D21" i="73"/>
  <c r="O18" i="73"/>
  <c r="N18" i="73"/>
  <c r="K11" i="73"/>
  <c r="H11" i="73"/>
  <c r="E11" i="73"/>
  <c r="K10" i="73"/>
  <c r="H10" i="73"/>
  <c r="E10" i="73"/>
  <c r="L85" i="72"/>
  <c r="L67" i="72" s="1"/>
  <c r="L84" i="72"/>
  <c r="L66" i="72" s="1"/>
  <c r="L83" i="72"/>
  <c r="L65" i="72" s="1"/>
  <c r="L82" i="72"/>
  <c r="L64" i="72" s="1"/>
  <c r="L81" i="72"/>
  <c r="L63" i="72" s="1"/>
  <c r="L76" i="72"/>
  <c r="L75" i="72"/>
  <c r="L57" i="72" s="1"/>
  <c r="L74" i="72"/>
  <c r="L56" i="72" s="1"/>
  <c r="L73" i="72"/>
  <c r="L55" i="72" s="1"/>
  <c r="L72" i="72"/>
  <c r="L54" i="72" s="1"/>
  <c r="Q71" i="72"/>
  <c r="P71" i="72"/>
  <c r="O71" i="72"/>
  <c r="U58" i="72"/>
  <c r="U57" i="72"/>
  <c r="U56" i="72"/>
  <c r="U55" i="72"/>
  <c r="U54" i="72"/>
  <c r="O46" i="72"/>
  <c r="O45" i="72"/>
  <c r="O44" i="72"/>
  <c r="O35" i="72"/>
  <c r="O34" i="72"/>
  <c r="O33" i="72"/>
  <c r="O32" i="72"/>
  <c r="O31" i="72"/>
  <c r="G27" i="72"/>
  <c r="F27" i="72"/>
  <c r="E27" i="72"/>
  <c r="D27" i="72"/>
  <c r="C27" i="72"/>
  <c r="O26" i="72"/>
  <c r="I26" i="72"/>
  <c r="O25" i="72"/>
  <c r="I25" i="72"/>
  <c r="O24" i="72"/>
  <c r="O23" i="72"/>
  <c r="O22" i="72"/>
  <c r="F18" i="72"/>
  <c r="E18" i="72"/>
  <c r="D18" i="72"/>
  <c r="C18" i="72"/>
  <c r="S17" i="72"/>
  <c r="E67" i="72" s="1"/>
  <c r="R17" i="72"/>
  <c r="D67" i="72" s="1"/>
  <c r="Q17" i="72"/>
  <c r="P17" i="72"/>
  <c r="T17" i="72"/>
  <c r="S15" i="72"/>
  <c r="E65" i="72" s="1"/>
  <c r="R15" i="72"/>
  <c r="D65" i="72" s="1"/>
  <c r="Q15" i="72"/>
  <c r="P15" i="72"/>
  <c r="C65" i="72" s="1"/>
  <c r="T15" i="72"/>
  <c r="E63" i="72"/>
  <c r="Q13" i="72"/>
  <c r="P13" i="72"/>
  <c r="C63" i="72" s="1"/>
  <c r="F63" i="72"/>
  <c r="L5" i="72"/>
  <c r="L6" i="72" s="1"/>
  <c r="L7" i="72" s="1"/>
  <c r="L8" i="72" s="1"/>
  <c r="L9" i="72" s="1"/>
  <c r="H17" i="71"/>
  <c r="G17" i="71"/>
  <c r="E17" i="71"/>
  <c r="D17" i="71"/>
  <c r="H13" i="71"/>
  <c r="G13" i="71"/>
  <c r="C60" i="70"/>
  <c r="C59" i="70"/>
  <c r="E32" i="70"/>
  <c r="E31" i="70"/>
  <c r="F31" i="70" s="1"/>
  <c r="F21" i="70"/>
  <c r="E20" i="70"/>
  <c r="F20" i="70" s="1"/>
  <c r="V15" i="70"/>
  <c r="T15" i="70"/>
  <c r="W8" i="70"/>
  <c r="U8" i="70"/>
  <c r="W7" i="70"/>
  <c r="U7" i="70"/>
  <c r="W6" i="70"/>
  <c r="U6" i="70"/>
  <c r="W5" i="70"/>
  <c r="U5" i="70"/>
  <c r="F5" i="70"/>
  <c r="W4" i="70"/>
  <c r="U4" i="70"/>
  <c r="G4" i="70"/>
  <c r="W3" i="70"/>
  <c r="U3" i="70"/>
  <c r="G3" i="70"/>
  <c r="M28" i="67" l="1"/>
  <c r="N28" i="67" s="1"/>
  <c r="I28" i="67"/>
  <c r="J28" i="67" s="1"/>
  <c r="E28" i="67"/>
  <c r="F28" i="67" s="1"/>
  <c r="C28" i="77"/>
  <c r="B28" i="77"/>
  <c r="B28" i="76"/>
  <c r="C28" i="76"/>
  <c r="B28" i="75"/>
  <c r="C28" i="75"/>
  <c r="B28" i="32"/>
  <c r="C28" i="32"/>
  <c r="B28" i="30"/>
  <c r="C28" i="30"/>
  <c r="DP27" i="4"/>
  <c r="D27" i="38"/>
  <c r="DC27" i="67"/>
  <c r="DD27" i="67" s="1"/>
  <c r="DE27" i="67"/>
  <c r="D27" i="75"/>
  <c r="D27" i="28"/>
  <c r="C28" i="36"/>
  <c r="B28" i="36"/>
  <c r="D26" i="154"/>
  <c r="L26" i="154" s="1"/>
  <c r="M26" i="154" s="1"/>
  <c r="E26" i="36"/>
  <c r="F26" i="77"/>
  <c r="DQ27" i="4"/>
  <c r="DH27" i="67"/>
  <c r="D27" i="76"/>
  <c r="DF27" i="67"/>
  <c r="DG27" i="67" s="1"/>
  <c r="D27" i="34"/>
  <c r="D27" i="30"/>
  <c r="B28" i="28"/>
  <c r="C28" i="28"/>
  <c r="D27" i="36"/>
  <c r="D27" i="77"/>
  <c r="DI27" i="67"/>
  <c r="DM27" i="67"/>
  <c r="DL27" i="67"/>
  <c r="DR27" i="4"/>
  <c r="AB27" i="67"/>
  <c r="D27" i="32"/>
  <c r="C28" i="154"/>
  <c r="B28" i="154"/>
  <c r="C28" i="155"/>
  <c r="B28" i="155"/>
  <c r="DK26" i="67"/>
  <c r="DJ26" i="67"/>
  <c r="A30" i="67"/>
  <c r="A29" i="155"/>
  <c r="A29" i="154"/>
  <c r="A29" i="30"/>
  <c r="A29" i="28"/>
  <c r="A29" i="36"/>
  <c r="A29" i="32"/>
  <c r="A29" i="75"/>
  <c r="A29" i="76"/>
  <c r="A29" i="77"/>
  <c r="A29" i="34"/>
  <c r="A29" i="38"/>
  <c r="C29" i="67"/>
  <c r="B29" i="67"/>
  <c r="W211" i="150"/>
  <c r="AU210" i="150"/>
  <c r="Y211" i="150"/>
  <c r="AW210" i="150"/>
  <c r="T211" i="150"/>
  <c r="AR210" i="150"/>
  <c r="S211" i="150"/>
  <c r="AQ210" i="150"/>
  <c r="Z210" i="150"/>
  <c r="AX209" i="150"/>
  <c r="R211" i="150"/>
  <c r="AP210" i="150"/>
  <c r="V211" i="150"/>
  <c r="AT210" i="150"/>
  <c r="U211" i="150"/>
  <c r="AS210" i="150"/>
  <c r="AA211" i="150"/>
  <c r="AY210" i="150"/>
  <c r="X211" i="150"/>
  <c r="AV210" i="150"/>
  <c r="Q212" i="150"/>
  <c r="AO211" i="150"/>
  <c r="Q35" i="72"/>
  <c r="BT15" i="67"/>
  <c r="N28" i="30"/>
  <c r="N37" i="30"/>
  <c r="N45" i="30"/>
  <c r="N96" i="30"/>
  <c r="N54" i="30"/>
  <c r="N47" i="30"/>
  <c r="N36" i="30"/>
  <c r="N8" i="30"/>
  <c r="N53" i="30"/>
  <c r="N102" i="30"/>
  <c r="N62" i="30"/>
  <c r="N63" i="30"/>
  <c r="N7" i="30"/>
  <c r="N16" i="30"/>
  <c r="N61" i="30"/>
  <c r="N70" i="30"/>
  <c r="N95" i="30"/>
  <c r="N15" i="30"/>
  <c r="N24" i="30"/>
  <c r="N78" i="30"/>
  <c r="N44" i="30"/>
  <c r="N69" i="30"/>
  <c r="N23" i="30"/>
  <c r="N32" i="30"/>
  <c r="N77" i="30"/>
  <c r="N43" i="30"/>
  <c r="N86" i="30"/>
  <c r="N52" i="30"/>
  <c r="N31" i="30"/>
  <c r="N40" i="30"/>
  <c r="N85" i="30"/>
  <c r="N51" i="30"/>
  <c r="N94" i="30"/>
  <c r="N60" i="30"/>
  <c r="N39" i="30"/>
  <c r="N22" i="30"/>
  <c r="N93" i="30"/>
  <c r="N59" i="30"/>
  <c r="N68" i="30"/>
  <c r="N2" i="30"/>
  <c r="N42" i="30"/>
  <c r="N101" i="30"/>
  <c r="N67" i="30"/>
  <c r="N76" i="30"/>
  <c r="N9" i="30"/>
  <c r="N10" i="30"/>
  <c r="N50" i="30"/>
  <c r="N79" i="30"/>
  <c r="N75" i="30"/>
  <c r="N84" i="30"/>
  <c r="N18" i="30"/>
  <c r="N83" i="30"/>
  <c r="N92" i="30"/>
  <c r="N17" i="30"/>
  <c r="N58" i="30"/>
  <c r="N49" i="30"/>
  <c r="N25" i="30"/>
  <c r="N26" i="30"/>
  <c r="N66" i="30"/>
  <c r="N48" i="30"/>
  <c r="N91" i="30"/>
  <c r="N57" i="30"/>
  <c r="N100" i="30"/>
  <c r="N99" i="30"/>
  <c r="N34" i="30"/>
  <c r="N56" i="30"/>
  <c r="N41" i="30"/>
  <c r="N5" i="30"/>
  <c r="N82" i="30"/>
  <c r="N64" i="30"/>
  <c r="N103" i="30"/>
  <c r="N73" i="30"/>
  <c r="N4" i="30"/>
  <c r="N13" i="30"/>
  <c r="N90" i="30"/>
  <c r="N72" i="30"/>
  <c r="N81" i="30"/>
  <c r="N21" i="30"/>
  <c r="N89" i="30"/>
  <c r="N33" i="30"/>
  <c r="N74" i="30"/>
  <c r="N65" i="30"/>
  <c r="N12" i="30"/>
  <c r="N98" i="30"/>
  <c r="N80" i="30"/>
  <c r="N20" i="30"/>
  <c r="N29" i="30"/>
  <c r="N88" i="30"/>
  <c r="N46" i="30"/>
  <c r="N97" i="30"/>
  <c r="T138" i="75"/>
  <c r="T142" i="75"/>
  <c r="T143" i="75"/>
  <c r="T135" i="75"/>
  <c r="D19" i="72"/>
  <c r="F19" i="72"/>
  <c r="Q33" i="72"/>
  <c r="E19" i="72"/>
  <c r="I27" i="72"/>
  <c r="S14" i="72" s="1"/>
  <c r="E64" i="72" s="1"/>
  <c r="Q31" i="72"/>
  <c r="R35" i="72"/>
  <c r="P35" i="72"/>
  <c r="R31" i="72"/>
  <c r="F65" i="72"/>
  <c r="T33" i="72"/>
  <c r="F67" i="72"/>
  <c r="T35" i="72"/>
  <c r="P31" i="72"/>
  <c r="S31" i="72"/>
  <c r="S35" i="72"/>
  <c r="T31" i="72"/>
  <c r="P33" i="72"/>
  <c r="G18" i="72"/>
  <c r="R33" i="72"/>
  <c r="D63" i="72"/>
  <c r="S33" i="72"/>
  <c r="G20" i="70"/>
  <c r="H20" i="70" s="1"/>
  <c r="I20" i="70" s="1"/>
  <c r="G21" i="70"/>
  <c r="G5" i="70"/>
  <c r="U15" i="70"/>
  <c r="F2" i="70" s="1"/>
  <c r="G31" i="70"/>
  <c r="W15" i="70"/>
  <c r="G2" i="70" s="1"/>
  <c r="F32" i="70"/>
  <c r="F6" i="70" l="1"/>
  <c r="F8" i="70" s="1"/>
  <c r="A31" i="67"/>
  <c r="A30" i="155"/>
  <c r="A30" i="154"/>
  <c r="A30" i="28"/>
  <c r="A30" i="30"/>
  <c r="A30" i="36"/>
  <c r="A30" i="32"/>
  <c r="A30" i="38"/>
  <c r="A30" i="75"/>
  <c r="A30" i="76"/>
  <c r="A30" i="77"/>
  <c r="A30" i="34"/>
  <c r="B30" i="67"/>
  <c r="C30" i="67"/>
  <c r="I29" i="67"/>
  <c r="J29" i="67" s="1"/>
  <c r="E29" i="67"/>
  <c r="F29" i="67" s="1"/>
  <c r="M29" i="67"/>
  <c r="N29" i="67" s="1"/>
  <c r="B29" i="76"/>
  <c r="C29" i="76"/>
  <c r="B29" i="77"/>
  <c r="C29" i="77"/>
  <c r="B29" i="32"/>
  <c r="C29" i="32"/>
  <c r="D27" i="154"/>
  <c r="L27" i="154" s="1"/>
  <c r="M27" i="154" s="1"/>
  <c r="E27" i="36"/>
  <c r="F27" i="77"/>
  <c r="B29" i="36"/>
  <c r="C29" i="36"/>
  <c r="B29" i="30"/>
  <c r="C29" i="30"/>
  <c r="DK27" i="67"/>
  <c r="DJ27" i="67"/>
  <c r="DP28" i="4"/>
  <c r="DC28" i="67"/>
  <c r="DD28" i="67" s="1"/>
  <c r="D28" i="75"/>
  <c r="D28" i="38"/>
  <c r="D28" i="28"/>
  <c r="DE28" i="67"/>
  <c r="B29" i="28"/>
  <c r="C29" i="28"/>
  <c r="C29" i="154"/>
  <c r="B29" i="154"/>
  <c r="DQ28" i="4"/>
  <c r="D28" i="34"/>
  <c r="DF28" i="67"/>
  <c r="DG28" i="67" s="1"/>
  <c r="DH28" i="67"/>
  <c r="D28" i="30"/>
  <c r="D28" i="76"/>
  <c r="B29" i="75"/>
  <c r="C29" i="75"/>
  <c r="B29" i="155"/>
  <c r="C29" i="155"/>
  <c r="D28" i="36"/>
  <c r="D28" i="77"/>
  <c r="DR28" i="4"/>
  <c r="AB28" i="67"/>
  <c r="DL28" i="67"/>
  <c r="DI28" i="67"/>
  <c r="D28" i="32"/>
  <c r="DM28" i="67"/>
  <c r="U212" i="150"/>
  <c r="AS211" i="150"/>
  <c r="V212" i="150"/>
  <c r="AT211" i="150"/>
  <c r="R212" i="150"/>
  <c r="AP211" i="150"/>
  <c r="X212" i="150"/>
  <c r="AV211" i="150"/>
  <c r="Y212" i="150"/>
  <c r="AW211" i="150"/>
  <c r="Z211" i="150"/>
  <c r="AX210" i="150"/>
  <c r="S212" i="150"/>
  <c r="AQ211" i="150"/>
  <c r="T212" i="150"/>
  <c r="AR211" i="150"/>
  <c r="Q213" i="150"/>
  <c r="AO212" i="150"/>
  <c r="AA212" i="150"/>
  <c r="AY211" i="150"/>
  <c r="W212" i="150"/>
  <c r="AU211" i="150"/>
  <c r="U14" i="72"/>
  <c r="V14" i="72"/>
  <c r="H64" i="72" s="1"/>
  <c r="P14" i="72"/>
  <c r="C64" i="72" s="1"/>
  <c r="R14" i="72"/>
  <c r="D64" i="72" s="1"/>
  <c r="Q14" i="72"/>
  <c r="T14" i="72"/>
  <c r="F64" i="72" s="1"/>
  <c r="V32" i="72"/>
  <c r="T144" i="75"/>
  <c r="BT16" i="67"/>
  <c r="V8" i="72"/>
  <c r="V7" i="72"/>
  <c r="V6" i="72"/>
  <c r="V46" i="17"/>
  <c r="B46" i="17"/>
  <c r="T134" i="75"/>
  <c r="T141" i="75"/>
  <c r="T140" i="75"/>
  <c r="T136" i="75"/>
  <c r="T139" i="75"/>
  <c r="P32" i="72"/>
  <c r="S32" i="72"/>
  <c r="Q32" i="72"/>
  <c r="T32" i="72"/>
  <c r="R32" i="72"/>
  <c r="U17" i="72"/>
  <c r="V17" i="72"/>
  <c r="H18" i="72"/>
  <c r="V15" i="72"/>
  <c r="U15" i="72"/>
  <c r="G64" i="72"/>
  <c r="V5" i="72"/>
  <c r="G6" i="70"/>
  <c r="G8" i="70" s="1"/>
  <c r="D36" i="70" s="1"/>
  <c r="E36" i="70" s="1"/>
  <c r="F36" i="70" s="1"/>
  <c r="G36" i="70" s="1"/>
  <c r="H36" i="70" s="1"/>
  <c r="I36" i="70" s="1"/>
  <c r="H31" i="70"/>
  <c r="I31" i="70" s="1"/>
  <c r="G32" i="70"/>
  <c r="D25" i="70" l="1"/>
  <c r="I25" i="70"/>
  <c r="H25" i="70"/>
  <c r="E25" i="70"/>
  <c r="G25" i="70"/>
  <c r="F25" i="70"/>
  <c r="DP29" i="4"/>
  <c r="D29" i="75"/>
  <c r="D29" i="38"/>
  <c r="D29" i="28"/>
  <c r="DE29" i="67"/>
  <c r="DC29" i="67"/>
  <c r="DD29" i="67" s="1"/>
  <c r="DQ29" i="4"/>
  <c r="D29" i="76"/>
  <c r="D29" i="30"/>
  <c r="DH29" i="67"/>
  <c r="DF29" i="67"/>
  <c r="DG29" i="67" s="1"/>
  <c r="D29" i="34"/>
  <c r="I30" i="67"/>
  <c r="J30" i="67" s="1"/>
  <c r="M30" i="67"/>
  <c r="N30" i="67" s="1"/>
  <c r="E30" i="67"/>
  <c r="F30" i="67" s="1"/>
  <c r="B30" i="77"/>
  <c r="C30" i="77"/>
  <c r="B30" i="76"/>
  <c r="C30" i="76"/>
  <c r="C30" i="75"/>
  <c r="B30" i="75"/>
  <c r="D28" i="154"/>
  <c r="L28" i="154" s="1"/>
  <c r="M28" i="154" s="1"/>
  <c r="F28" i="77"/>
  <c r="E28" i="36"/>
  <c r="C30" i="32"/>
  <c r="B30" i="32"/>
  <c r="B30" i="36"/>
  <c r="C30" i="36"/>
  <c r="B30" i="30"/>
  <c r="C30" i="30"/>
  <c r="B30" i="28"/>
  <c r="C30" i="28"/>
  <c r="DK28" i="67"/>
  <c r="DJ28" i="67"/>
  <c r="C30" i="154"/>
  <c r="B30" i="154"/>
  <c r="C30" i="155"/>
  <c r="B30" i="155"/>
  <c r="D29" i="36"/>
  <c r="D29" i="77"/>
  <c r="DI29" i="67"/>
  <c r="D29" i="32"/>
  <c r="DM29" i="67"/>
  <c r="DL29" i="67"/>
  <c r="DR29" i="4"/>
  <c r="AB29" i="67"/>
  <c r="A32" i="67"/>
  <c r="A31" i="155"/>
  <c r="A31" i="154"/>
  <c r="A31" i="34"/>
  <c r="A31" i="38"/>
  <c r="A31" i="28"/>
  <c r="A31" i="36"/>
  <c r="A31" i="30"/>
  <c r="A31" i="32"/>
  <c r="A31" i="75"/>
  <c r="A31" i="76"/>
  <c r="A31" i="77"/>
  <c r="C31" i="67"/>
  <c r="B31" i="67"/>
  <c r="Y213" i="150"/>
  <c r="AW212" i="150"/>
  <c r="AA213" i="150"/>
  <c r="AY212" i="150"/>
  <c r="V213" i="150"/>
  <c r="AT212" i="150"/>
  <c r="T213" i="150"/>
  <c r="AR212" i="150"/>
  <c r="S213" i="150"/>
  <c r="AQ212" i="150"/>
  <c r="X213" i="150"/>
  <c r="AV212" i="150"/>
  <c r="R213" i="150"/>
  <c r="AP212" i="150"/>
  <c r="Z212" i="150"/>
  <c r="AX211" i="150"/>
  <c r="W213" i="150"/>
  <c r="AU212" i="150"/>
  <c r="Q214" i="150"/>
  <c r="AO213" i="150"/>
  <c r="U213" i="150"/>
  <c r="AS212" i="150"/>
  <c r="V44" i="72"/>
  <c r="V45" i="72"/>
  <c r="V46" i="72"/>
  <c r="U32" i="72"/>
  <c r="V31" i="72"/>
  <c r="H63" i="72"/>
  <c r="H67" i="72"/>
  <c r="V35" i="72"/>
  <c r="V33" i="72"/>
  <c r="H65" i="72"/>
  <c r="H58" i="72"/>
  <c r="P4" i="72"/>
  <c r="V4" i="72"/>
  <c r="H57" i="72"/>
  <c r="H55" i="72"/>
  <c r="H56" i="72"/>
  <c r="BT17" i="67"/>
  <c r="B47" i="17"/>
  <c r="L46" i="17"/>
  <c r="V47" i="17"/>
  <c r="U5" i="72"/>
  <c r="G55" i="72" s="1"/>
  <c r="T6" i="72"/>
  <c r="G67" i="72"/>
  <c r="U35" i="72"/>
  <c r="U4" i="72"/>
  <c r="G54" i="72" s="1"/>
  <c r="U6" i="72"/>
  <c r="S6" i="72"/>
  <c r="G63" i="72"/>
  <c r="U31" i="72"/>
  <c r="U33" i="72"/>
  <c r="G65" i="72"/>
  <c r="I18" i="72"/>
  <c r="R5" i="72"/>
  <c r="T5" i="72"/>
  <c r="U7" i="72"/>
  <c r="T7" i="72"/>
  <c r="S7" i="72"/>
  <c r="E57" i="72" s="1"/>
  <c r="R7" i="72"/>
  <c r="Q7" i="72"/>
  <c r="P8" i="72"/>
  <c r="H32" i="70"/>
  <c r="I32" i="70" s="1"/>
  <c r="A33" i="67" l="1"/>
  <c r="A32" i="155"/>
  <c r="A32" i="154"/>
  <c r="A32" i="77"/>
  <c r="A32" i="34"/>
  <c r="A32" i="38"/>
  <c r="A32" i="28"/>
  <c r="A32" i="36"/>
  <c r="A32" i="30"/>
  <c r="A32" i="32"/>
  <c r="A32" i="75"/>
  <c r="A32" i="76"/>
  <c r="C32" i="67"/>
  <c r="B32" i="67"/>
  <c r="D29" i="154"/>
  <c r="L29" i="154" s="1"/>
  <c r="M29" i="154" s="1"/>
  <c r="E29" i="36"/>
  <c r="F29" i="77"/>
  <c r="DP30" i="4"/>
  <c r="DE30" i="67"/>
  <c r="DC30" i="67"/>
  <c r="DD30" i="67" s="1"/>
  <c r="D30" i="75"/>
  <c r="D30" i="38"/>
  <c r="D30" i="28"/>
  <c r="D30" i="36"/>
  <c r="D30" i="77"/>
  <c r="D30" i="32"/>
  <c r="DL30" i="67"/>
  <c r="DR30" i="4"/>
  <c r="AB30" i="67"/>
  <c r="DM30" i="67"/>
  <c r="DI30" i="67"/>
  <c r="DQ30" i="4"/>
  <c r="D30" i="76"/>
  <c r="DH30" i="67"/>
  <c r="D30" i="34"/>
  <c r="DF30" i="67"/>
  <c r="DG30" i="67" s="1"/>
  <c r="D30" i="30"/>
  <c r="DK29" i="67"/>
  <c r="DJ29" i="67"/>
  <c r="C31" i="30"/>
  <c r="B31" i="30"/>
  <c r="B31" i="36"/>
  <c r="C31" i="36"/>
  <c r="B31" i="28"/>
  <c r="C31" i="28"/>
  <c r="B31" i="77"/>
  <c r="C31" i="77"/>
  <c r="B31" i="32"/>
  <c r="C31" i="32"/>
  <c r="M31" i="67"/>
  <c r="N31" i="67" s="1"/>
  <c r="E31" i="67"/>
  <c r="F31" i="67" s="1"/>
  <c r="I31" i="67"/>
  <c r="J31" i="67" s="1"/>
  <c r="B31" i="76"/>
  <c r="C31" i="76"/>
  <c r="B31" i="75"/>
  <c r="C31" i="75"/>
  <c r="C31" i="154"/>
  <c r="B31" i="154"/>
  <c r="C31" i="155"/>
  <c r="B31" i="155"/>
  <c r="AA214" i="150"/>
  <c r="AY213" i="150"/>
  <c r="R214" i="150"/>
  <c r="AP213" i="150"/>
  <c r="X214" i="150"/>
  <c r="AV213" i="150"/>
  <c r="S214" i="150"/>
  <c r="AQ213" i="150"/>
  <c r="T214" i="150"/>
  <c r="AR213" i="150"/>
  <c r="U214" i="150"/>
  <c r="AS213" i="150"/>
  <c r="Z213" i="150"/>
  <c r="AX212" i="150"/>
  <c r="V214" i="150"/>
  <c r="AT213" i="150"/>
  <c r="Q215" i="150"/>
  <c r="AO214" i="150"/>
  <c r="W214" i="150"/>
  <c r="AU213" i="150"/>
  <c r="Y214" i="150"/>
  <c r="AW213" i="150"/>
  <c r="E56" i="72"/>
  <c r="H54" i="72"/>
  <c r="BT18" i="67"/>
  <c r="V48" i="17"/>
  <c r="L47" i="17"/>
  <c r="B48" i="17"/>
  <c r="T8" i="72"/>
  <c r="T44" i="72" s="1"/>
  <c r="C7" i="73" s="1"/>
  <c r="Q8" i="72"/>
  <c r="P5" i="72"/>
  <c r="R8" i="72"/>
  <c r="S8" i="72"/>
  <c r="E58" i="72" s="1"/>
  <c r="S5" i="72"/>
  <c r="E55" i="72" s="1"/>
  <c r="P6" i="72"/>
  <c r="P7" i="72"/>
  <c r="Q6" i="72"/>
  <c r="Q5" i="72"/>
  <c r="R6" i="72"/>
  <c r="U8" i="72"/>
  <c r="U44" i="72" s="1"/>
  <c r="Q4" i="72"/>
  <c r="S4" i="72"/>
  <c r="R4" i="72"/>
  <c r="J67" i="72"/>
  <c r="G56" i="72"/>
  <c r="G57" i="72"/>
  <c r="F56" i="72"/>
  <c r="J64" i="72"/>
  <c r="D55" i="72"/>
  <c r="J18" i="72"/>
  <c r="F57" i="72"/>
  <c r="C54" i="72"/>
  <c r="P22" i="72"/>
  <c r="D57" i="72"/>
  <c r="C58" i="72"/>
  <c r="P26" i="72"/>
  <c r="F55" i="72"/>
  <c r="DJ30" i="67" l="1"/>
  <c r="DK30" i="67"/>
  <c r="M32" i="67"/>
  <c r="N32" i="67" s="1"/>
  <c r="E32" i="67"/>
  <c r="F32" i="67" s="1"/>
  <c r="I32" i="67"/>
  <c r="J32" i="67" s="1"/>
  <c r="D30" i="154"/>
  <c r="L30" i="154" s="1"/>
  <c r="M30" i="154" s="1"/>
  <c r="E30" i="36"/>
  <c r="F30" i="77"/>
  <c r="B32" i="76"/>
  <c r="C32" i="76"/>
  <c r="B32" i="75"/>
  <c r="C32" i="75"/>
  <c r="B32" i="32"/>
  <c r="C32" i="32"/>
  <c r="C32" i="30"/>
  <c r="B32" i="30"/>
  <c r="C32" i="36"/>
  <c r="B32" i="36"/>
  <c r="B32" i="28"/>
  <c r="C32" i="28"/>
  <c r="DQ31" i="4"/>
  <c r="DH31" i="67"/>
  <c r="DF31" i="67"/>
  <c r="DG31" i="67" s="1"/>
  <c r="D31" i="76"/>
  <c r="D31" i="34"/>
  <c r="D31" i="30"/>
  <c r="B32" i="77"/>
  <c r="C32" i="77"/>
  <c r="C32" i="154"/>
  <c r="B32" i="154"/>
  <c r="D31" i="36"/>
  <c r="D31" i="77"/>
  <c r="AB31" i="67"/>
  <c r="DI31" i="67"/>
  <c r="DM31" i="67"/>
  <c r="D31" i="32"/>
  <c r="DL31" i="67"/>
  <c r="DR31" i="4"/>
  <c r="C32" i="155"/>
  <c r="B32" i="155"/>
  <c r="A34" i="67"/>
  <c r="A33" i="155"/>
  <c r="A33" i="154"/>
  <c r="A33" i="76"/>
  <c r="A33" i="77"/>
  <c r="A33" i="34"/>
  <c r="A33" i="38"/>
  <c r="A33" i="28"/>
  <c r="A33" i="36"/>
  <c r="A33" i="30"/>
  <c r="A33" i="32"/>
  <c r="A33" i="75"/>
  <c r="C33" i="67"/>
  <c r="B33" i="67"/>
  <c r="DP31" i="4"/>
  <c r="D31" i="75"/>
  <c r="D31" i="38"/>
  <c r="D31" i="28"/>
  <c r="DE31" i="67"/>
  <c r="DC31" i="67"/>
  <c r="DD31" i="67" s="1"/>
  <c r="W215" i="150"/>
  <c r="AU214" i="150"/>
  <c r="V215" i="150"/>
  <c r="AT214" i="150"/>
  <c r="Y215" i="150"/>
  <c r="AW214" i="150"/>
  <c r="Z214" i="150"/>
  <c r="AX213" i="150"/>
  <c r="U215" i="150"/>
  <c r="AS214" i="150"/>
  <c r="T215" i="150"/>
  <c r="AR214" i="150"/>
  <c r="S215" i="150"/>
  <c r="AQ214" i="150"/>
  <c r="X215" i="150"/>
  <c r="AV214" i="150"/>
  <c r="R215" i="150"/>
  <c r="AP214" i="150"/>
  <c r="Q216" i="150"/>
  <c r="AO215" i="150"/>
  <c r="AA215" i="150"/>
  <c r="AY214" i="150"/>
  <c r="T45" i="72"/>
  <c r="C8" i="73" s="1"/>
  <c r="S44" i="72"/>
  <c r="U45" i="72"/>
  <c r="S45" i="72"/>
  <c r="T46" i="72"/>
  <c r="C9" i="73" s="1"/>
  <c r="U46" i="72"/>
  <c r="S46" i="72"/>
  <c r="Q45" i="72"/>
  <c r="Q46" i="72"/>
  <c r="Q44" i="72"/>
  <c r="R45" i="72"/>
  <c r="R46" i="72"/>
  <c r="R44" i="72"/>
  <c r="P24" i="72"/>
  <c r="P45" i="72"/>
  <c r="P44" i="72"/>
  <c r="P46" i="72"/>
  <c r="V26" i="72"/>
  <c r="V22" i="72"/>
  <c r="V23" i="72"/>
  <c r="R25" i="72"/>
  <c r="V25" i="72"/>
  <c r="V24" i="72"/>
  <c r="E54" i="72"/>
  <c r="C55" i="72"/>
  <c r="F54" i="72"/>
  <c r="BT19" i="67"/>
  <c r="C56" i="72"/>
  <c r="S25" i="72"/>
  <c r="B49" i="17"/>
  <c r="L48" i="17"/>
  <c r="V49" i="17"/>
  <c r="D58" i="72"/>
  <c r="C57" i="72"/>
  <c r="P25" i="72"/>
  <c r="Q25" i="72"/>
  <c r="T25" i="72"/>
  <c r="R24" i="72"/>
  <c r="Q24" i="72"/>
  <c r="R26" i="72"/>
  <c r="S26" i="72"/>
  <c r="T26" i="72"/>
  <c r="Q26" i="72"/>
  <c r="Q23" i="72"/>
  <c r="F58" i="72"/>
  <c r="U24" i="72"/>
  <c r="T23" i="72"/>
  <c r="S23" i="72"/>
  <c r="T24" i="72"/>
  <c r="S24" i="72"/>
  <c r="D56" i="72"/>
  <c r="P23" i="72"/>
  <c r="U23" i="72"/>
  <c r="U25" i="72"/>
  <c r="G58" i="72"/>
  <c r="R23" i="72"/>
  <c r="U26" i="72"/>
  <c r="R22" i="72"/>
  <c r="Q22" i="72"/>
  <c r="U22" i="72"/>
  <c r="D54" i="72"/>
  <c r="Q85" i="72"/>
  <c r="P85" i="72"/>
  <c r="O85" i="72"/>
  <c r="S22" i="72"/>
  <c r="T22" i="72"/>
  <c r="J63" i="72"/>
  <c r="Q82" i="72"/>
  <c r="P82" i="72"/>
  <c r="O82" i="72"/>
  <c r="J65" i="72"/>
  <c r="C33" i="28" l="1"/>
  <c r="B33" i="28"/>
  <c r="B33" i="77"/>
  <c r="C33" i="77"/>
  <c r="B33" i="76"/>
  <c r="C33" i="76"/>
  <c r="C33" i="154"/>
  <c r="B33" i="154"/>
  <c r="B33" i="155"/>
  <c r="C33" i="155"/>
  <c r="M33" i="67"/>
  <c r="N33" i="67" s="1"/>
  <c r="E33" i="67"/>
  <c r="F33" i="67" s="1"/>
  <c r="I33" i="67"/>
  <c r="J33" i="67" s="1"/>
  <c r="DQ32" i="4"/>
  <c r="D32" i="76"/>
  <c r="D32" i="34"/>
  <c r="D32" i="30"/>
  <c r="DF32" i="67"/>
  <c r="DG32" i="67" s="1"/>
  <c r="DH32" i="67"/>
  <c r="DP32" i="4"/>
  <c r="D32" i="75"/>
  <c r="DE32" i="67"/>
  <c r="D32" i="38"/>
  <c r="D32" i="28"/>
  <c r="DC32" i="67"/>
  <c r="DD32" i="67" s="1"/>
  <c r="D32" i="36"/>
  <c r="D32" i="77"/>
  <c r="DR32" i="4"/>
  <c r="AB32" i="67"/>
  <c r="DI32" i="67"/>
  <c r="DL32" i="67"/>
  <c r="D32" i="32"/>
  <c r="DM32" i="67"/>
  <c r="B33" i="75"/>
  <c r="C33" i="75"/>
  <c r="B33" i="30"/>
  <c r="C33" i="30"/>
  <c r="DK31" i="67"/>
  <c r="DJ31" i="67"/>
  <c r="A35" i="67"/>
  <c r="A34" i="155"/>
  <c r="A34" i="154"/>
  <c r="A34" i="76"/>
  <c r="A34" i="77"/>
  <c r="A34" i="38"/>
  <c r="A34" i="34"/>
  <c r="A34" i="28"/>
  <c r="A34" i="30"/>
  <c r="A34" i="36"/>
  <c r="A34" i="32"/>
  <c r="A34" i="75"/>
  <c r="C34" i="67"/>
  <c r="B34" i="67"/>
  <c r="C33" i="32"/>
  <c r="B33" i="32"/>
  <c r="C33" i="36"/>
  <c r="B33" i="36"/>
  <c r="D31" i="154"/>
  <c r="L31" i="154" s="1"/>
  <c r="M31" i="154" s="1"/>
  <c r="E31" i="36"/>
  <c r="F31" i="77"/>
  <c r="U216" i="150"/>
  <c r="AS215" i="150"/>
  <c r="Q217" i="150"/>
  <c r="AO216" i="150"/>
  <c r="V216" i="150"/>
  <c r="AT215" i="150"/>
  <c r="X216" i="150"/>
  <c r="AV215" i="150"/>
  <c r="S216" i="150"/>
  <c r="AQ215" i="150"/>
  <c r="T216" i="150"/>
  <c r="AR215" i="150"/>
  <c r="Y216" i="150"/>
  <c r="AW215" i="150"/>
  <c r="Z215" i="150"/>
  <c r="AX214" i="150"/>
  <c r="AA216" i="150"/>
  <c r="AY215" i="150"/>
  <c r="R216" i="150"/>
  <c r="AP215" i="150"/>
  <c r="W216" i="150"/>
  <c r="AU215" i="150"/>
  <c r="Q38" i="72"/>
  <c r="Q39" i="72"/>
  <c r="Q40" i="72"/>
  <c r="R39" i="72"/>
  <c r="R38" i="72"/>
  <c r="R40" i="72"/>
  <c r="T40" i="72"/>
  <c r="T38" i="72"/>
  <c r="T39" i="72"/>
  <c r="S38" i="72"/>
  <c r="S39" i="72"/>
  <c r="S40" i="72"/>
  <c r="U40" i="72"/>
  <c r="U39" i="72"/>
  <c r="U38" i="72"/>
  <c r="V38" i="72"/>
  <c r="V39" i="72"/>
  <c r="V40" i="72"/>
  <c r="P40" i="72"/>
  <c r="P39" i="72"/>
  <c r="P38" i="72"/>
  <c r="C69" i="72"/>
  <c r="V36" i="72"/>
  <c r="BT20" i="67"/>
  <c r="J57" i="72"/>
  <c r="O75" i="72" s="1"/>
  <c r="J56" i="72"/>
  <c r="O74" i="72" s="1"/>
  <c r="B50" i="17"/>
  <c r="L49" i="17"/>
  <c r="V50" i="17"/>
  <c r="J55" i="72"/>
  <c r="Q73" i="72" s="1"/>
  <c r="P36" i="72"/>
  <c r="J58" i="72"/>
  <c r="Q76" i="72" s="1"/>
  <c r="S36" i="72"/>
  <c r="R36" i="72"/>
  <c r="Q36" i="72"/>
  <c r="U36" i="72"/>
  <c r="T36" i="72"/>
  <c r="J54" i="72"/>
  <c r="P72" i="72" s="1"/>
  <c r="U82" i="72"/>
  <c r="U85" i="72"/>
  <c r="P81" i="72"/>
  <c r="O81" i="72"/>
  <c r="Q81" i="72"/>
  <c r="Q83" i="72"/>
  <c r="P83" i="72"/>
  <c r="O83" i="72"/>
  <c r="C34" i="28" l="1"/>
  <c r="B34" i="28"/>
  <c r="DK32" i="67"/>
  <c r="DJ32" i="67"/>
  <c r="D32" i="154"/>
  <c r="L32" i="154" s="1"/>
  <c r="M32" i="154" s="1"/>
  <c r="E32" i="36"/>
  <c r="F32" i="77"/>
  <c r="DQ33" i="4"/>
  <c r="D33" i="76"/>
  <c r="D33" i="34"/>
  <c r="D33" i="30"/>
  <c r="DF33" i="67"/>
  <c r="DG33" i="67" s="1"/>
  <c r="DH33" i="67"/>
  <c r="DP33" i="4"/>
  <c r="DE33" i="67"/>
  <c r="DC33" i="67"/>
  <c r="DD33" i="67" s="1"/>
  <c r="D33" i="75"/>
  <c r="D33" i="38"/>
  <c r="D33" i="28"/>
  <c r="D33" i="36"/>
  <c r="D33" i="77"/>
  <c r="DL33" i="67"/>
  <c r="DI33" i="67"/>
  <c r="DR33" i="4"/>
  <c r="AB33" i="67"/>
  <c r="DM33" i="67"/>
  <c r="D33" i="32"/>
  <c r="B34" i="76"/>
  <c r="C34" i="76"/>
  <c r="A36" i="67"/>
  <c r="A35" i="155"/>
  <c r="A35" i="154"/>
  <c r="A35" i="76"/>
  <c r="A35" i="77"/>
  <c r="A35" i="34"/>
  <c r="A35" i="38"/>
  <c r="A35" i="28"/>
  <c r="A35" i="36"/>
  <c r="A35" i="30"/>
  <c r="A35" i="32"/>
  <c r="A35" i="75"/>
  <c r="C35" i="67"/>
  <c r="B35" i="67"/>
  <c r="B34" i="77"/>
  <c r="C34" i="77"/>
  <c r="I34" i="67"/>
  <c r="J34" i="67" s="1"/>
  <c r="E34" i="67"/>
  <c r="F34" i="67" s="1"/>
  <c r="M34" i="67"/>
  <c r="N34" i="67" s="1"/>
  <c r="C34" i="30"/>
  <c r="B34" i="30"/>
  <c r="B34" i="75"/>
  <c r="C34" i="75"/>
  <c r="C34" i="154"/>
  <c r="B34" i="154"/>
  <c r="C34" i="155"/>
  <c r="B34" i="155"/>
  <c r="B34" i="32"/>
  <c r="C34" i="32"/>
  <c r="B34" i="36"/>
  <c r="C34" i="36"/>
  <c r="Q218" i="150"/>
  <c r="AO217" i="150"/>
  <c r="Z216" i="150"/>
  <c r="AX215" i="150"/>
  <c r="Y217" i="150"/>
  <c r="AW216" i="150"/>
  <c r="T217" i="150"/>
  <c r="AR216" i="150"/>
  <c r="S217" i="150"/>
  <c r="AQ216" i="150"/>
  <c r="V217" i="150"/>
  <c r="AT216" i="150"/>
  <c r="X217" i="150"/>
  <c r="AV216" i="150"/>
  <c r="W217" i="150"/>
  <c r="AU216" i="150"/>
  <c r="R217" i="150"/>
  <c r="AP216" i="150"/>
  <c r="AA217" i="150"/>
  <c r="AY216" i="150"/>
  <c r="U217" i="150"/>
  <c r="AS216" i="150"/>
  <c r="V42" i="72"/>
  <c r="P75" i="72"/>
  <c r="Q75" i="72"/>
  <c r="P74" i="72"/>
  <c r="BT21" i="67"/>
  <c r="Q74" i="72"/>
  <c r="L50" i="17"/>
  <c r="B51" i="17"/>
  <c r="V51" i="17"/>
  <c r="O73" i="72"/>
  <c r="P73" i="72"/>
  <c r="O76" i="72"/>
  <c r="P76" i="72"/>
  <c r="O72" i="72"/>
  <c r="Q72" i="72"/>
  <c r="U81" i="72"/>
  <c r="U83" i="72"/>
  <c r="U73" i="72"/>
  <c r="C35" i="30" l="1"/>
  <c r="B35" i="30"/>
  <c r="D34" i="36"/>
  <c r="D34" i="77"/>
  <c r="D34" i="32"/>
  <c r="DI34" i="67"/>
  <c r="DM34" i="67"/>
  <c r="DL34" i="67"/>
  <c r="DR34" i="4"/>
  <c r="AB34" i="67"/>
  <c r="C35" i="154"/>
  <c r="B35" i="154"/>
  <c r="DQ34" i="4"/>
  <c r="DH34" i="67"/>
  <c r="DF34" i="67"/>
  <c r="DG34" i="67" s="1"/>
  <c r="D34" i="76"/>
  <c r="D34" i="34"/>
  <c r="D34" i="30"/>
  <c r="A37" i="67"/>
  <c r="A36" i="155"/>
  <c r="A36" i="154"/>
  <c r="A36" i="76"/>
  <c r="A36" i="77"/>
  <c r="A36" i="34"/>
  <c r="A36" i="38"/>
  <c r="A36" i="28"/>
  <c r="A36" i="30"/>
  <c r="A36" i="36"/>
  <c r="A36" i="32"/>
  <c r="A36" i="75"/>
  <c r="C36" i="67"/>
  <c r="B36" i="67"/>
  <c r="DP34" i="4"/>
  <c r="DE34" i="67"/>
  <c r="DC34" i="67"/>
  <c r="DD34" i="67" s="1"/>
  <c r="D34" i="75"/>
  <c r="D34" i="38"/>
  <c r="D34" i="28"/>
  <c r="B35" i="155"/>
  <c r="C35" i="155"/>
  <c r="E35" i="67"/>
  <c r="F35" i="67" s="1"/>
  <c r="M35" i="67"/>
  <c r="N35" i="67" s="1"/>
  <c r="I35" i="67"/>
  <c r="J35" i="67" s="1"/>
  <c r="B35" i="75"/>
  <c r="C35" i="75"/>
  <c r="D33" i="154"/>
  <c r="L33" i="154" s="1"/>
  <c r="M33" i="154" s="1"/>
  <c r="F33" i="77"/>
  <c r="E33" i="36"/>
  <c r="DK33" i="67"/>
  <c r="DJ33" i="67"/>
  <c r="B35" i="36"/>
  <c r="C35" i="36"/>
  <c r="B35" i="32"/>
  <c r="C35" i="32"/>
  <c r="C35" i="28"/>
  <c r="B35" i="28"/>
  <c r="C35" i="77"/>
  <c r="B35" i="77"/>
  <c r="B35" i="76"/>
  <c r="C35" i="76"/>
  <c r="X218" i="150"/>
  <c r="AV217" i="150"/>
  <c r="Z217" i="150"/>
  <c r="AX216" i="150"/>
  <c r="V218" i="150"/>
  <c r="AT217" i="150"/>
  <c r="S218" i="150"/>
  <c r="AQ217" i="150"/>
  <c r="Y218" i="150"/>
  <c r="AW217" i="150"/>
  <c r="W218" i="150"/>
  <c r="AU217" i="150"/>
  <c r="T218" i="150"/>
  <c r="AR217" i="150"/>
  <c r="U218" i="150"/>
  <c r="AS217" i="150"/>
  <c r="AA218" i="150"/>
  <c r="AY217" i="150"/>
  <c r="R218" i="150"/>
  <c r="AP217" i="150"/>
  <c r="Q219" i="150"/>
  <c r="AO218" i="150"/>
  <c r="U74" i="72"/>
  <c r="U75" i="72"/>
  <c r="BT22" i="67"/>
  <c r="V52" i="17"/>
  <c r="B52" i="17"/>
  <c r="L51" i="17"/>
  <c r="U76" i="72"/>
  <c r="U72" i="72"/>
  <c r="E36" i="67" l="1"/>
  <c r="F36" i="67" s="1"/>
  <c r="I36" i="67"/>
  <c r="J36" i="67" s="1"/>
  <c r="M36" i="67"/>
  <c r="N36" i="67" s="1"/>
  <c r="B36" i="75"/>
  <c r="C36" i="75"/>
  <c r="B36" i="32"/>
  <c r="C36" i="32"/>
  <c r="C36" i="36"/>
  <c r="B36" i="36"/>
  <c r="B36" i="30"/>
  <c r="C36" i="30"/>
  <c r="D35" i="36"/>
  <c r="D35" i="77"/>
  <c r="D35" i="32"/>
  <c r="DR35" i="4"/>
  <c r="AB35" i="67"/>
  <c r="DM35" i="67"/>
  <c r="DL35" i="67"/>
  <c r="DI35" i="67"/>
  <c r="C36" i="28"/>
  <c r="B36" i="28"/>
  <c r="D34" i="154"/>
  <c r="L34" i="154" s="1"/>
  <c r="M34" i="154" s="1"/>
  <c r="E34" i="36"/>
  <c r="F34" i="77"/>
  <c r="DP35" i="4"/>
  <c r="DE35" i="67"/>
  <c r="D35" i="75"/>
  <c r="DC35" i="67"/>
  <c r="DD35" i="67" s="1"/>
  <c r="D35" i="38"/>
  <c r="D35" i="28"/>
  <c r="DQ35" i="4"/>
  <c r="D35" i="30"/>
  <c r="DF35" i="67"/>
  <c r="DG35" i="67" s="1"/>
  <c r="DH35" i="67"/>
  <c r="D35" i="76"/>
  <c r="D35" i="34"/>
  <c r="B36" i="76"/>
  <c r="C36" i="76"/>
  <c r="DK34" i="67"/>
  <c r="DJ34" i="67"/>
  <c r="B36" i="77"/>
  <c r="C36" i="77"/>
  <c r="A38" i="67"/>
  <c r="A37" i="155"/>
  <c r="A37" i="154"/>
  <c r="A37" i="76"/>
  <c r="A37" i="77"/>
  <c r="A37" i="34"/>
  <c r="A37" i="38"/>
  <c r="A37" i="28"/>
  <c r="A37" i="36"/>
  <c r="A37" i="30"/>
  <c r="A37" i="32"/>
  <c r="A37" i="75"/>
  <c r="C37" i="67"/>
  <c r="B37" i="67"/>
  <c r="C36" i="154"/>
  <c r="B36" i="154"/>
  <c r="C36" i="155"/>
  <c r="B36" i="155"/>
  <c r="T219" i="150"/>
  <c r="AR218" i="150"/>
  <c r="R219" i="150"/>
  <c r="AP218" i="150"/>
  <c r="U219" i="150"/>
  <c r="AS218" i="150"/>
  <c r="Y219" i="150"/>
  <c r="AW218" i="150"/>
  <c r="Q220" i="150"/>
  <c r="AO219" i="150"/>
  <c r="W219" i="150"/>
  <c r="AU218" i="150"/>
  <c r="S219" i="150"/>
  <c r="AQ218" i="150"/>
  <c r="V219" i="150"/>
  <c r="AT218" i="150"/>
  <c r="Z218" i="150"/>
  <c r="AX217" i="150"/>
  <c r="AA219" i="150"/>
  <c r="AY218" i="150"/>
  <c r="X219" i="150"/>
  <c r="AV218" i="150"/>
  <c r="BT23" i="67"/>
  <c r="L52" i="17"/>
  <c r="B53" i="17"/>
  <c r="V53" i="17"/>
  <c r="D35" i="154" l="1"/>
  <c r="L35" i="154" s="1"/>
  <c r="M35" i="154" s="1"/>
  <c r="E35" i="36"/>
  <c r="F35" i="77"/>
  <c r="B37" i="77"/>
  <c r="C37" i="77"/>
  <c r="B37" i="76"/>
  <c r="C37" i="76"/>
  <c r="B37" i="155"/>
  <c r="C37" i="155"/>
  <c r="A39" i="67"/>
  <c r="A38" i="155"/>
  <c r="A38" i="154"/>
  <c r="A38" i="76"/>
  <c r="A38" i="77"/>
  <c r="A38" i="34"/>
  <c r="A38" i="38"/>
  <c r="A38" i="28"/>
  <c r="A38" i="30"/>
  <c r="A38" i="36"/>
  <c r="A38" i="32"/>
  <c r="A38" i="75"/>
  <c r="B38" i="67"/>
  <c r="C38" i="67"/>
  <c r="I37" i="67"/>
  <c r="J37" i="67" s="1"/>
  <c r="E37" i="67"/>
  <c r="F37" i="67" s="1"/>
  <c r="M37" i="67"/>
  <c r="N37" i="67" s="1"/>
  <c r="C37" i="32"/>
  <c r="B37" i="32"/>
  <c r="B37" i="30"/>
  <c r="C37" i="30"/>
  <c r="B37" i="36"/>
  <c r="C37" i="36"/>
  <c r="DK35" i="67"/>
  <c r="DJ35" i="67"/>
  <c r="D36" i="36"/>
  <c r="D36" i="77"/>
  <c r="DR36" i="4"/>
  <c r="AB36" i="67"/>
  <c r="DI36" i="67"/>
  <c r="D36" i="32"/>
  <c r="DM36" i="67"/>
  <c r="DL36" i="67"/>
  <c r="C37" i="154"/>
  <c r="B37" i="154"/>
  <c r="B37" i="28"/>
  <c r="C37" i="28"/>
  <c r="DQ36" i="4"/>
  <c r="D36" i="76"/>
  <c r="DH36" i="67"/>
  <c r="DF36" i="67"/>
  <c r="DG36" i="67" s="1"/>
  <c r="D36" i="34"/>
  <c r="D36" i="30"/>
  <c r="B37" i="75"/>
  <c r="C37" i="75"/>
  <c r="DP36" i="4"/>
  <c r="DE36" i="67"/>
  <c r="DC36" i="67"/>
  <c r="DD36" i="67" s="1"/>
  <c r="D36" i="38"/>
  <c r="D36" i="28"/>
  <c r="D36" i="75"/>
  <c r="Q221" i="150"/>
  <c r="AO220" i="150"/>
  <c r="V220" i="150"/>
  <c r="AT219" i="150"/>
  <c r="S220" i="150"/>
  <c r="AQ219" i="150"/>
  <c r="Y220" i="150"/>
  <c r="AW219" i="150"/>
  <c r="X220" i="150"/>
  <c r="AV219" i="150"/>
  <c r="W220" i="150"/>
  <c r="AU219" i="150"/>
  <c r="U220" i="150"/>
  <c r="AS219" i="150"/>
  <c r="AA220" i="150"/>
  <c r="AY219" i="150"/>
  <c r="R220" i="150"/>
  <c r="AP219" i="150"/>
  <c r="Z219" i="150"/>
  <c r="AX218" i="150"/>
  <c r="T220" i="150"/>
  <c r="AR219" i="150"/>
  <c r="BT24" i="67"/>
  <c r="V54" i="17"/>
  <c r="B54" i="17"/>
  <c r="L53" i="17"/>
  <c r="B38" i="77" l="1"/>
  <c r="C38" i="77"/>
  <c r="B38" i="76"/>
  <c r="C38" i="76"/>
  <c r="C38" i="154"/>
  <c r="B38" i="154"/>
  <c r="C38" i="155"/>
  <c r="B38" i="155"/>
  <c r="A40" i="67"/>
  <c r="A39" i="155"/>
  <c r="A39" i="154"/>
  <c r="A39" i="75"/>
  <c r="A39" i="76"/>
  <c r="A39" i="77"/>
  <c r="A39" i="34"/>
  <c r="A39" i="38"/>
  <c r="A39" i="32"/>
  <c r="A39" i="28"/>
  <c r="A39" i="36"/>
  <c r="A39" i="30"/>
  <c r="C39" i="67"/>
  <c r="B39" i="67"/>
  <c r="DQ37" i="4"/>
  <c r="DF37" i="67"/>
  <c r="DG37" i="67" s="1"/>
  <c r="D37" i="76"/>
  <c r="D37" i="34"/>
  <c r="D37" i="30"/>
  <c r="DH37" i="67"/>
  <c r="DP37" i="4"/>
  <c r="D37" i="38"/>
  <c r="D37" i="75"/>
  <c r="DE37" i="67"/>
  <c r="DC37" i="67"/>
  <c r="DD37" i="67" s="1"/>
  <c r="D37" i="28"/>
  <c r="V38" i="28" s="1"/>
  <c r="V39" i="28" s="1"/>
  <c r="M38" i="67"/>
  <c r="N38" i="67" s="1"/>
  <c r="I38" i="67"/>
  <c r="J38" i="67" s="1"/>
  <c r="E38" i="67"/>
  <c r="F38" i="67" s="1"/>
  <c r="B38" i="75"/>
  <c r="C38" i="75"/>
  <c r="B38" i="36"/>
  <c r="C38" i="36"/>
  <c r="D37" i="36"/>
  <c r="D37" i="77"/>
  <c r="DR37" i="4"/>
  <c r="AB37" i="67"/>
  <c r="DM37" i="67"/>
  <c r="DI37" i="67"/>
  <c r="DL37" i="67"/>
  <c r="D37" i="32"/>
  <c r="C38" i="32"/>
  <c r="B38" i="32"/>
  <c r="B38" i="30"/>
  <c r="C38" i="30"/>
  <c r="DK36" i="67"/>
  <c r="DJ36" i="67"/>
  <c r="D36" i="154"/>
  <c r="L36" i="154" s="1"/>
  <c r="M36" i="154" s="1"/>
  <c r="E36" i="36"/>
  <c r="F36" i="77"/>
  <c r="C38" i="28"/>
  <c r="B38" i="28"/>
  <c r="W221" i="150"/>
  <c r="AU220" i="150"/>
  <c r="Y221" i="150"/>
  <c r="AW220" i="150"/>
  <c r="X221" i="150"/>
  <c r="AV220" i="150"/>
  <c r="S221" i="150"/>
  <c r="AQ220" i="150"/>
  <c r="AA221" i="150"/>
  <c r="AY220" i="150"/>
  <c r="U221" i="150"/>
  <c r="AS220" i="150"/>
  <c r="T221" i="150"/>
  <c r="AR220" i="150"/>
  <c r="Z220" i="150"/>
  <c r="AX219" i="150"/>
  <c r="V221" i="150"/>
  <c r="AT220" i="150"/>
  <c r="R221" i="150"/>
  <c r="AP220" i="150"/>
  <c r="Q222" i="150"/>
  <c r="AO221" i="150"/>
  <c r="BT25" i="67"/>
  <c r="B55" i="17"/>
  <c r="L54" i="17"/>
  <c r="V55" i="17"/>
  <c r="DK37" i="67" l="1"/>
  <c r="DJ37" i="67"/>
  <c r="B39" i="77"/>
  <c r="C39" i="77"/>
  <c r="D37" i="154"/>
  <c r="L37" i="154" s="1"/>
  <c r="M37" i="154" s="1"/>
  <c r="E37" i="36"/>
  <c r="F37" i="77"/>
  <c r="C39" i="76"/>
  <c r="B39" i="76"/>
  <c r="B39" i="75"/>
  <c r="C39" i="75"/>
  <c r="C39" i="154"/>
  <c r="B39" i="154"/>
  <c r="C39" i="155"/>
  <c r="B39" i="155"/>
  <c r="A41" i="67"/>
  <c r="A40" i="155"/>
  <c r="A40" i="154"/>
  <c r="A40" i="75"/>
  <c r="A40" i="32"/>
  <c r="A40" i="76"/>
  <c r="A40" i="77"/>
  <c r="A40" i="36"/>
  <c r="A40" i="30"/>
  <c r="A40" i="34"/>
  <c r="A40" i="38"/>
  <c r="A40" i="28"/>
  <c r="C40" i="67"/>
  <c r="B40" i="67"/>
  <c r="DP38" i="4"/>
  <c r="DC38" i="67"/>
  <c r="DD38" i="67" s="1"/>
  <c r="DE38" i="67"/>
  <c r="D38" i="75"/>
  <c r="D38" i="28"/>
  <c r="D38" i="38"/>
  <c r="D38" i="77"/>
  <c r="D38" i="36"/>
  <c r="DR38" i="4"/>
  <c r="DM38" i="67"/>
  <c r="AB38" i="67"/>
  <c r="DL38" i="67"/>
  <c r="DI38" i="67"/>
  <c r="D38" i="32"/>
  <c r="B39" i="36"/>
  <c r="C39" i="36"/>
  <c r="B39" i="30"/>
  <c r="C39" i="30"/>
  <c r="C39" i="28"/>
  <c r="B39" i="28"/>
  <c r="M39" i="67"/>
  <c r="N39" i="67" s="1"/>
  <c r="E39" i="67"/>
  <c r="F39" i="67" s="1"/>
  <c r="I39" i="67"/>
  <c r="J39" i="67" s="1"/>
  <c r="DQ38" i="4"/>
  <c r="DH38" i="67"/>
  <c r="DF38" i="67"/>
  <c r="DG38" i="67" s="1"/>
  <c r="D38" i="76"/>
  <c r="D38" i="34"/>
  <c r="D38" i="30"/>
  <c r="C39" i="32"/>
  <c r="B39" i="32"/>
  <c r="T222" i="150"/>
  <c r="AR221" i="150"/>
  <c r="Z221" i="150"/>
  <c r="AX220" i="150"/>
  <c r="Q223" i="150"/>
  <c r="AO222" i="150"/>
  <c r="U222" i="150"/>
  <c r="AS221" i="150"/>
  <c r="AA222" i="150"/>
  <c r="AY221" i="150"/>
  <c r="S222" i="150"/>
  <c r="AQ221" i="150"/>
  <c r="X222" i="150"/>
  <c r="AV221" i="150"/>
  <c r="R222" i="150"/>
  <c r="AP221" i="150"/>
  <c r="Y222" i="150"/>
  <c r="AW221" i="150"/>
  <c r="V222" i="150"/>
  <c r="AT221" i="150"/>
  <c r="W222" i="150"/>
  <c r="AU221" i="150"/>
  <c r="BT26" i="67"/>
  <c r="V56" i="17"/>
  <c r="L55" i="17"/>
  <c r="B56" i="17"/>
  <c r="A42" i="67" l="1"/>
  <c r="A41" i="155"/>
  <c r="A41" i="154"/>
  <c r="A41" i="75"/>
  <c r="A41" i="32"/>
  <c r="A41" i="28"/>
  <c r="A41" i="76"/>
  <c r="A41" i="77"/>
  <c r="A41" i="34"/>
  <c r="A41" i="38"/>
  <c r="A41" i="30"/>
  <c r="A41" i="36"/>
  <c r="C41" i="67"/>
  <c r="B41" i="67"/>
  <c r="M40" i="67"/>
  <c r="N40" i="67" s="1"/>
  <c r="E40" i="67"/>
  <c r="F40" i="67" s="1"/>
  <c r="I40" i="67"/>
  <c r="J40" i="67" s="1"/>
  <c r="B40" i="28"/>
  <c r="C40" i="28"/>
  <c r="DK38" i="67"/>
  <c r="DJ38" i="67"/>
  <c r="B40" i="30"/>
  <c r="C40" i="30"/>
  <c r="C40" i="77"/>
  <c r="B40" i="77"/>
  <c r="B40" i="36"/>
  <c r="C40" i="36"/>
  <c r="B40" i="76"/>
  <c r="C40" i="76"/>
  <c r="DQ39" i="4"/>
  <c r="DH39" i="67"/>
  <c r="D39" i="76"/>
  <c r="D39" i="34"/>
  <c r="D39" i="30"/>
  <c r="DF39" i="67"/>
  <c r="DG39" i="67" s="1"/>
  <c r="DP39" i="4"/>
  <c r="D39" i="75"/>
  <c r="D39" i="38"/>
  <c r="DC39" i="67"/>
  <c r="DD39" i="67" s="1"/>
  <c r="D39" i="28"/>
  <c r="DE39" i="67"/>
  <c r="B40" i="75"/>
  <c r="C40" i="75"/>
  <c r="B40" i="32"/>
  <c r="C40" i="32"/>
  <c r="D39" i="77"/>
  <c r="D39" i="36"/>
  <c r="DR39" i="4"/>
  <c r="AB39" i="67"/>
  <c r="D39" i="32"/>
  <c r="DI39" i="67"/>
  <c r="DM39" i="67"/>
  <c r="DL39" i="67"/>
  <c r="C40" i="154"/>
  <c r="B40" i="154"/>
  <c r="D38" i="154"/>
  <c r="L38" i="154" s="1"/>
  <c r="M38" i="154" s="1"/>
  <c r="E38" i="36"/>
  <c r="F38" i="77"/>
  <c r="B40" i="155"/>
  <c r="C40" i="155"/>
  <c r="AA223" i="150"/>
  <c r="AY222" i="150"/>
  <c r="R223" i="150"/>
  <c r="AP222" i="150"/>
  <c r="X223" i="150"/>
  <c r="AV222" i="150"/>
  <c r="U223" i="150"/>
  <c r="AS222" i="150"/>
  <c r="W223" i="150"/>
  <c r="AU222" i="150"/>
  <c r="S223" i="150"/>
  <c r="AQ222" i="150"/>
  <c r="Q224" i="150"/>
  <c r="AO223" i="150"/>
  <c r="V223" i="150"/>
  <c r="AT222" i="150"/>
  <c r="Z222" i="150"/>
  <c r="AX221" i="150"/>
  <c r="Y223" i="150"/>
  <c r="AW222" i="150"/>
  <c r="T223" i="150"/>
  <c r="AR222" i="150"/>
  <c r="BT27" i="67"/>
  <c r="L56" i="17"/>
  <c r="DP40" i="4" l="1"/>
  <c r="DE40" i="67"/>
  <c r="D40" i="75"/>
  <c r="D40" i="38"/>
  <c r="D40" i="28"/>
  <c r="DC40" i="67"/>
  <c r="DD40" i="67" s="1"/>
  <c r="D40" i="77"/>
  <c r="D40" i="36"/>
  <c r="D40" i="32"/>
  <c r="DI40" i="67"/>
  <c r="DM40" i="67"/>
  <c r="DL40" i="67"/>
  <c r="DR40" i="4"/>
  <c r="AB40" i="67"/>
  <c r="E41" i="67"/>
  <c r="F41" i="67" s="1"/>
  <c r="I41" i="67"/>
  <c r="J41" i="67" s="1"/>
  <c r="B41" i="36"/>
  <c r="C41" i="36"/>
  <c r="B41" i="30"/>
  <c r="C41" i="30"/>
  <c r="C41" i="77"/>
  <c r="B41" i="77"/>
  <c r="B41" i="76"/>
  <c r="C41" i="76"/>
  <c r="C41" i="28"/>
  <c r="B41" i="28"/>
  <c r="B41" i="32"/>
  <c r="C41" i="32"/>
  <c r="B41" i="75"/>
  <c r="C41" i="75"/>
  <c r="DJ39" i="67"/>
  <c r="DK39" i="67"/>
  <c r="C41" i="154"/>
  <c r="B41" i="154"/>
  <c r="B41" i="155"/>
  <c r="C41" i="155"/>
  <c r="D39" i="154"/>
  <c r="L39" i="154" s="1"/>
  <c r="M39" i="154" s="1"/>
  <c r="E39" i="36"/>
  <c r="F39" i="77"/>
  <c r="DQ40" i="4"/>
  <c r="D40" i="34"/>
  <c r="D40" i="30"/>
  <c r="DF40" i="67"/>
  <c r="DG40" i="67" s="1"/>
  <c r="DH40" i="67"/>
  <c r="D40" i="76"/>
  <c r="A43" i="67"/>
  <c r="A42" i="155"/>
  <c r="A42" i="154"/>
  <c r="A42" i="32"/>
  <c r="A42" i="75"/>
  <c r="A42" i="30"/>
  <c r="A42" i="28"/>
  <c r="A42" i="76"/>
  <c r="A42" i="77"/>
  <c r="A42" i="38"/>
  <c r="A42" i="34"/>
  <c r="A42" i="36"/>
  <c r="C42" i="67"/>
  <c r="B42" i="67"/>
  <c r="V224" i="150"/>
  <c r="AT223" i="150"/>
  <c r="U224" i="150"/>
  <c r="AS223" i="150"/>
  <c r="Y224" i="150"/>
  <c r="AW223" i="150"/>
  <c r="W224" i="150"/>
  <c r="AU223" i="150"/>
  <c r="T224" i="150"/>
  <c r="AR223" i="150"/>
  <c r="Q225" i="150"/>
  <c r="AO224" i="150"/>
  <c r="S224" i="150"/>
  <c r="AQ223" i="150"/>
  <c r="X224" i="150"/>
  <c r="AV223" i="150"/>
  <c r="R224" i="150"/>
  <c r="AP223" i="150"/>
  <c r="Z223" i="150"/>
  <c r="AX222" i="150"/>
  <c r="AA224" i="150"/>
  <c r="AY223" i="150"/>
  <c r="BT28" i="67"/>
  <c r="C42" i="154" l="1"/>
  <c r="B42" i="154"/>
  <c r="DQ41" i="4"/>
  <c r="D41" i="76"/>
  <c r="D41" i="34"/>
  <c r="D41" i="30"/>
  <c r="DH41" i="67"/>
  <c r="DF41" i="67"/>
  <c r="DG41" i="67" s="1"/>
  <c r="C42" i="155"/>
  <c r="B42" i="155"/>
  <c r="DP41" i="4"/>
  <c r="DE41" i="67"/>
  <c r="DC41" i="67"/>
  <c r="DD41" i="67" s="1"/>
  <c r="D41" i="75"/>
  <c r="D41" i="38"/>
  <c r="D41" i="28"/>
  <c r="D40" i="154"/>
  <c r="L40" i="154" s="1"/>
  <c r="M40" i="154" s="1"/>
  <c r="E40" i="36"/>
  <c r="F40" i="77"/>
  <c r="E42" i="67"/>
  <c r="F42" i="67" s="1"/>
  <c r="I42" i="67"/>
  <c r="J42" i="67" s="1"/>
  <c r="M42" i="67"/>
  <c r="N42" i="67" s="1"/>
  <c r="DK40" i="67"/>
  <c r="DJ40" i="67"/>
  <c r="A44" i="67"/>
  <c r="A43" i="155"/>
  <c r="A43" i="154"/>
  <c r="A43" i="36"/>
  <c r="A43" i="30"/>
  <c r="A43" i="32"/>
  <c r="A43" i="75"/>
  <c r="A43" i="28"/>
  <c r="A43" i="76"/>
  <c r="A43" i="77"/>
  <c r="A43" i="34"/>
  <c r="A43" i="38"/>
  <c r="C43" i="67"/>
  <c r="B43" i="67"/>
  <c r="B42" i="77"/>
  <c r="C42" i="77"/>
  <c r="B42" i="30"/>
  <c r="C42" i="30"/>
  <c r="B42" i="36"/>
  <c r="C42" i="36"/>
  <c r="B42" i="28"/>
  <c r="C42" i="28"/>
  <c r="B42" i="75"/>
  <c r="C42" i="75"/>
  <c r="B42" i="76"/>
  <c r="C42" i="76"/>
  <c r="B42" i="32"/>
  <c r="C42" i="32"/>
  <c r="X225" i="150"/>
  <c r="AV224" i="150"/>
  <c r="S225" i="150"/>
  <c r="AQ224" i="150"/>
  <c r="T225" i="150"/>
  <c r="AR224" i="150"/>
  <c r="W225" i="150"/>
  <c r="AU224" i="150"/>
  <c r="AA225" i="150"/>
  <c r="AY224" i="150"/>
  <c r="Q226" i="150"/>
  <c r="AO225" i="150"/>
  <c r="Y225" i="150"/>
  <c r="AW224" i="150"/>
  <c r="Z224" i="150"/>
  <c r="AX223" i="150"/>
  <c r="U225" i="150"/>
  <c r="AS224" i="150"/>
  <c r="R225" i="150"/>
  <c r="AP224" i="150"/>
  <c r="V225" i="150"/>
  <c r="AT224" i="150"/>
  <c r="BT29" i="67"/>
  <c r="C43" i="28" l="1"/>
  <c r="B43" i="28"/>
  <c r="C43" i="75"/>
  <c r="B43" i="75"/>
  <c r="B43" i="32"/>
  <c r="C43" i="32"/>
  <c r="C43" i="30"/>
  <c r="B43" i="30"/>
  <c r="B43" i="36"/>
  <c r="C43" i="36"/>
  <c r="C43" i="154"/>
  <c r="B43" i="154"/>
  <c r="C43" i="155"/>
  <c r="B43" i="155"/>
  <c r="A45" i="67"/>
  <c r="A44" i="155"/>
  <c r="A44" i="154"/>
  <c r="A44" i="28"/>
  <c r="A44" i="32"/>
  <c r="A44" i="36"/>
  <c r="A44" i="30"/>
  <c r="A44" i="75"/>
  <c r="A44" i="38"/>
  <c r="A44" i="34"/>
  <c r="A44" i="76"/>
  <c r="A44" i="77"/>
  <c r="C44" i="67"/>
  <c r="B44" i="67"/>
  <c r="M43" i="67"/>
  <c r="N43" i="67" s="1"/>
  <c r="I43" i="67"/>
  <c r="J43" i="67" s="1"/>
  <c r="E43" i="67"/>
  <c r="F43" i="67" s="1"/>
  <c r="DQ42" i="4"/>
  <c r="DF42" i="67"/>
  <c r="DG42" i="67" s="1"/>
  <c r="DH42" i="67"/>
  <c r="D42" i="76"/>
  <c r="D42" i="34"/>
  <c r="D42" i="30"/>
  <c r="DP42" i="4"/>
  <c r="D42" i="28"/>
  <c r="DE42" i="67"/>
  <c r="DC42" i="67"/>
  <c r="DD42" i="67" s="1"/>
  <c r="D42" i="75"/>
  <c r="D42" i="38"/>
  <c r="C43" i="77"/>
  <c r="B43" i="77"/>
  <c r="D42" i="77"/>
  <c r="D42" i="36"/>
  <c r="D42" i="32"/>
  <c r="DR42" i="4"/>
  <c r="AB42" i="67"/>
  <c r="DL42" i="67"/>
  <c r="DM42" i="67"/>
  <c r="DI42" i="67"/>
  <c r="B43" i="76"/>
  <c r="C43" i="76"/>
  <c r="Y226" i="150"/>
  <c r="AW225" i="150"/>
  <c r="Z225" i="150"/>
  <c r="AX224" i="150"/>
  <c r="AA226" i="150"/>
  <c r="AY225" i="150"/>
  <c r="Q227" i="150"/>
  <c r="AO226" i="150"/>
  <c r="W226" i="150"/>
  <c r="AU225" i="150"/>
  <c r="V226" i="150"/>
  <c r="AT225" i="150"/>
  <c r="T226" i="150"/>
  <c r="AR225" i="150"/>
  <c r="R226" i="150"/>
  <c r="AP225" i="150"/>
  <c r="S226" i="150"/>
  <c r="AQ225" i="150"/>
  <c r="U226" i="150"/>
  <c r="AS225" i="150"/>
  <c r="X226" i="150"/>
  <c r="AV225" i="150"/>
  <c r="BT30" i="67"/>
  <c r="DP43" i="4" l="1"/>
  <c r="DC43" i="67"/>
  <c r="DD43" i="67" s="1"/>
  <c r="D43" i="75"/>
  <c r="D43" i="38"/>
  <c r="D43" i="28"/>
  <c r="DE43" i="67"/>
  <c r="A46" i="67"/>
  <c r="A45" i="155"/>
  <c r="A45" i="154"/>
  <c r="A45" i="30"/>
  <c r="A45" i="28"/>
  <c r="A45" i="36"/>
  <c r="A45" i="32"/>
  <c r="A45" i="75"/>
  <c r="A45" i="76"/>
  <c r="A45" i="77"/>
  <c r="A45" i="34"/>
  <c r="A45" i="38"/>
  <c r="C45" i="67"/>
  <c r="B45" i="67"/>
  <c r="D43" i="36"/>
  <c r="D43" i="77"/>
  <c r="DI43" i="67"/>
  <c r="DL43" i="67"/>
  <c r="D43" i="32"/>
  <c r="DR43" i="4"/>
  <c r="AB43" i="67"/>
  <c r="DM43" i="67"/>
  <c r="M44" i="67"/>
  <c r="N44" i="67" s="1"/>
  <c r="I44" i="67"/>
  <c r="J44" i="67" s="1"/>
  <c r="E44" i="67"/>
  <c r="F44" i="67" s="1"/>
  <c r="B44" i="77"/>
  <c r="C44" i="77"/>
  <c r="B44" i="76"/>
  <c r="C44" i="76"/>
  <c r="DQ43" i="4"/>
  <c r="DF43" i="67"/>
  <c r="DG43" i="67" s="1"/>
  <c r="D43" i="76"/>
  <c r="D43" i="34"/>
  <c r="D43" i="30"/>
  <c r="DH43" i="67"/>
  <c r="B44" i="75"/>
  <c r="C44" i="75"/>
  <c r="DJ42" i="67"/>
  <c r="DK42" i="67"/>
  <c r="D42" i="154"/>
  <c r="L42" i="154" s="1"/>
  <c r="M42" i="154" s="1"/>
  <c r="E42" i="36"/>
  <c r="F42" i="77"/>
  <c r="B44" i="28"/>
  <c r="C44" i="28"/>
  <c r="C44" i="30"/>
  <c r="B44" i="30"/>
  <c r="C44" i="154"/>
  <c r="B44" i="154"/>
  <c r="B44" i="36"/>
  <c r="C44" i="36"/>
  <c r="B44" i="32"/>
  <c r="C44" i="32"/>
  <c r="B44" i="155"/>
  <c r="C44" i="155"/>
  <c r="R227" i="150"/>
  <c r="AP226" i="150"/>
  <c r="W227" i="150"/>
  <c r="AU226" i="150"/>
  <c r="Z226" i="150"/>
  <c r="AX225" i="150"/>
  <c r="V227" i="150"/>
  <c r="AT226" i="150"/>
  <c r="Q228" i="150"/>
  <c r="AO227" i="150"/>
  <c r="AA227" i="150"/>
  <c r="AY226" i="150"/>
  <c r="T227" i="150"/>
  <c r="AR226" i="150"/>
  <c r="X227" i="150"/>
  <c r="AV226" i="150"/>
  <c r="U227" i="150"/>
  <c r="AS226" i="150"/>
  <c r="S227" i="150"/>
  <c r="AQ226" i="150"/>
  <c r="Y227" i="150"/>
  <c r="AW226" i="150"/>
  <c r="BT31" i="67"/>
  <c r="C45" i="77" l="1"/>
  <c r="B45" i="77"/>
  <c r="B45" i="76"/>
  <c r="C45" i="76"/>
  <c r="DQ44" i="4"/>
  <c r="DH44" i="67"/>
  <c r="D44" i="30"/>
  <c r="D44" i="76"/>
  <c r="DF44" i="67"/>
  <c r="DG44" i="67" s="1"/>
  <c r="D44" i="34"/>
  <c r="B45" i="75"/>
  <c r="C45" i="75"/>
  <c r="D44" i="36"/>
  <c r="D44" i="77"/>
  <c r="DI44" i="67"/>
  <c r="DR44" i="4"/>
  <c r="AB44" i="67"/>
  <c r="DL44" i="67"/>
  <c r="DM44" i="67"/>
  <c r="D44" i="32"/>
  <c r="B45" i="32"/>
  <c r="C45" i="32"/>
  <c r="B45" i="36"/>
  <c r="C45" i="36"/>
  <c r="B45" i="28"/>
  <c r="C45" i="28"/>
  <c r="B45" i="30"/>
  <c r="C45" i="30"/>
  <c r="C45" i="154"/>
  <c r="B45" i="154"/>
  <c r="B45" i="155"/>
  <c r="C45" i="155"/>
  <c r="A47" i="67"/>
  <c r="A46" i="155"/>
  <c r="A46" i="154"/>
  <c r="A46" i="28"/>
  <c r="A46" i="30"/>
  <c r="A46" i="36"/>
  <c r="A46" i="32"/>
  <c r="A46" i="75"/>
  <c r="A46" i="38"/>
  <c r="A46" i="76"/>
  <c r="A46" i="77"/>
  <c r="A46" i="34"/>
  <c r="B46" i="67"/>
  <c r="C46" i="67"/>
  <c r="DP44" i="4"/>
  <c r="D44" i="28"/>
  <c r="DC44" i="67"/>
  <c r="DD44" i="67" s="1"/>
  <c r="DE44" i="67"/>
  <c r="D44" i="75"/>
  <c r="D44" i="38"/>
  <c r="DK43" i="67"/>
  <c r="DJ43" i="67"/>
  <c r="D43" i="154"/>
  <c r="L43" i="154" s="1"/>
  <c r="M43" i="154" s="1"/>
  <c r="E43" i="36"/>
  <c r="F43" i="77"/>
  <c r="I45" i="67"/>
  <c r="J45" i="67" s="1"/>
  <c r="E45" i="67"/>
  <c r="F45" i="67" s="1"/>
  <c r="M45" i="67"/>
  <c r="N45" i="67" s="1"/>
  <c r="X228" i="150"/>
  <c r="AV227" i="150"/>
  <c r="V228" i="150"/>
  <c r="AT227" i="150"/>
  <c r="Y228" i="150"/>
  <c r="AW227" i="150"/>
  <c r="T228" i="150"/>
  <c r="AR227" i="150"/>
  <c r="AA228" i="150"/>
  <c r="AY227" i="150"/>
  <c r="Q229" i="150"/>
  <c r="AO228" i="150"/>
  <c r="Z227" i="150"/>
  <c r="AX226" i="150"/>
  <c r="S228" i="150"/>
  <c r="AQ227" i="150"/>
  <c r="W228" i="150"/>
  <c r="AU227" i="150"/>
  <c r="U228" i="150"/>
  <c r="AS227" i="150"/>
  <c r="R228" i="150"/>
  <c r="AP227" i="150"/>
  <c r="BT32" i="67"/>
  <c r="DK44" i="67" l="1"/>
  <c r="DJ44" i="67"/>
  <c r="E46" i="67"/>
  <c r="F46" i="67" s="1"/>
  <c r="M46" i="67"/>
  <c r="N46" i="67" s="1"/>
  <c r="I46" i="67"/>
  <c r="J46" i="67" s="1"/>
  <c r="DP45" i="4"/>
  <c r="DC45" i="67"/>
  <c r="DD45" i="67" s="1"/>
  <c r="D45" i="38"/>
  <c r="D45" i="75"/>
  <c r="D45" i="28"/>
  <c r="DE45" i="67"/>
  <c r="B46" i="77"/>
  <c r="C46" i="77"/>
  <c r="D45" i="36"/>
  <c r="D45" i="77"/>
  <c r="DI45" i="67"/>
  <c r="DR45" i="4"/>
  <c r="AB45" i="67"/>
  <c r="DM45" i="67"/>
  <c r="D45" i="32"/>
  <c r="DL45" i="67"/>
  <c r="DQ45" i="4"/>
  <c r="D45" i="76"/>
  <c r="D45" i="34"/>
  <c r="DH45" i="67"/>
  <c r="D45" i="30"/>
  <c r="DF45" i="67"/>
  <c r="DG45" i="67" s="1"/>
  <c r="B46" i="76"/>
  <c r="C46" i="76"/>
  <c r="C46" i="32"/>
  <c r="B46" i="32"/>
  <c r="B46" i="75"/>
  <c r="C46" i="75"/>
  <c r="B46" i="36"/>
  <c r="C46" i="36"/>
  <c r="C46" i="154"/>
  <c r="B46" i="154"/>
  <c r="B46" i="30"/>
  <c r="C46" i="30"/>
  <c r="C46" i="155"/>
  <c r="B46" i="155"/>
  <c r="B46" i="28"/>
  <c r="C46" i="28"/>
  <c r="A48" i="67"/>
  <c r="A47" i="155"/>
  <c r="A47" i="154"/>
  <c r="A47" i="34"/>
  <c r="A47" i="38"/>
  <c r="A47" i="28"/>
  <c r="A47" i="36"/>
  <c r="A47" i="30"/>
  <c r="A47" i="32"/>
  <c r="A47" i="75"/>
  <c r="A47" i="76"/>
  <c r="A47" i="77"/>
  <c r="B47" i="67"/>
  <c r="C47" i="67"/>
  <c r="D44" i="154"/>
  <c r="L44" i="154" s="1"/>
  <c r="M44" i="154" s="1"/>
  <c r="F44" i="77"/>
  <c r="E44" i="36"/>
  <c r="T229" i="150"/>
  <c r="AR228" i="150"/>
  <c r="V229" i="150"/>
  <c r="AT228" i="150"/>
  <c r="S229" i="150"/>
  <c r="AQ228" i="150"/>
  <c r="Z228" i="150"/>
  <c r="AX227" i="150"/>
  <c r="R229" i="150"/>
  <c r="AP228" i="150"/>
  <c r="Q230" i="150"/>
  <c r="AO229" i="150"/>
  <c r="AA229" i="150"/>
  <c r="AY228" i="150"/>
  <c r="Y229" i="150"/>
  <c r="AW228" i="150"/>
  <c r="U229" i="150"/>
  <c r="AS228" i="150"/>
  <c r="W229" i="150"/>
  <c r="AU228" i="150"/>
  <c r="X229" i="150"/>
  <c r="AV228" i="150"/>
  <c r="BT33" i="67"/>
  <c r="DK45" i="67" l="1"/>
  <c r="DJ45" i="67"/>
  <c r="B47" i="155"/>
  <c r="C47" i="155"/>
  <c r="B47" i="77"/>
  <c r="C47" i="77"/>
  <c r="DQ46" i="4"/>
  <c r="DH46" i="67"/>
  <c r="D46" i="76"/>
  <c r="D46" i="34"/>
  <c r="D46" i="30"/>
  <c r="DF46" i="67"/>
  <c r="DG46" i="67" s="1"/>
  <c r="D46" i="36"/>
  <c r="D46" i="77"/>
  <c r="DM46" i="67"/>
  <c r="DL46" i="67"/>
  <c r="D46" i="32"/>
  <c r="DI46" i="67"/>
  <c r="DR46" i="4"/>
  <c r="AB46" i="67"/>
  <c r="A49" i="67"/>
  <c r="A48" i="155"/>
  <c r="A48" i="154"/>
  <c r="A48" i="77"/>
  <c r="A48" i="34"/>
  <c r="A48" i="38"/>
  <c r="A48" i="28"/>
  <c r="A48" i="36"/>
  <c r="A48" i="30"/>
  <c r="A48" i="32"/>
  <c r="A48" i="75"/>
  <c r="A48" i="76"/>
  <c r="C48" i="67"/>
  <c r="B48" i="67"/>
  <c r="C47" i="75"/>
  <c r="B47" i="75"/>
  <c r="DP46" i="4"/>
  <c r="D46" i="75"/>
  <c r="D46" i="38"/>
  <c r="D46" i="28"/>
  <c r="DE46" i="67"/>
  <c r="DC46" i="67"/>
  <c r="DD46" i="67" s="1"/>
  <c r="M47" i="67"/>
  <c r="N47" i="67" s="1"/>
  <c r="E47" i="67"/>
  <c r="F47" i="67" s="1"/>
  <c r="B47" i="76"/>
  <c r="C47" i="76"/>
  <c r="B47" i="36"/>
  <c r="C47" i="36"/>
  <c r="D45" i="154"/>
  <c r="L45" i="154" s="1"/>
  <c r="M45" i="154" s="1"/>
  <c r="E45" i="36"/>
  <c r="F45" i="77"/>
  <c r="C47" i="154"/>
  <c r="B47" i="154"/>
  <c r="B47" i="32"/>
  <c r="C47" i="32"/>
  <c r="B47" i="30"/>
  <c r="C47" i="30"/>
  <c r="B47" i="28"/>
  <c r="C47" i="28"/>
  <c r="AA230" i="150"/>
  <c r="AY229" i="150"/>
  <c r="Z229" i="150"/>
  <c r="AX228" i="150"/>
  <c r="V230" i="150"/>
  <c r="AT229" i="150"/>
  <c r="Y230" i="150"/>
  <c r="AW229" i="150"/>
  <c r="Q231" i="150"/>
  <c r="AO230" i="150"/>
  <c r="R230" i="150"/>
  <c r="AP229" i="150"/>
  <c r="S230" i="150"/>
  <c r="AQ229" i="150"/>
  <c r="X230" i="150"/>
  <c r="AV229" i="150"/>
  <c r="W230" i="150"/>
  <c r="AU229" i="150"/>
  <c r="U230" i="150"/>
  <c r="AS229" i="150"/>
  <c r="T230" i="150"/>
  <c r="AR229" i="150"/>
  <c r="BT34" i="67"/>
  <c r="B48" i="76" l="1"/>
  <c r="C48" i="76"/>
  <c r="B48" i="75"/>
  <c r="C48" i="75"/>
  <c r="B48" i="30"/>
  <c r="C48" i="30"/>
  <c r="B48" i="32"/>
  <c r="C48" i="32"/>
  <c r="DP47" i="4"/>
  <c r="D47" i="28"/>
  <c r="DC47" i="67"/>
  <c r="DD47" i="67" s="1"/>
  <c r="DE47" i="67"/>
  <c r="D47" i="75"/>
  <c r="D47" i="38"/>
  <c r="B48" i="36"/>
  <c r="C48" i="36"/>
  <c r="C48" i="28"/>
  <c r="B48" i="28"/>
  <c r="D47" i="36"/>
  <c r="D47" i="77"/>
  <c r="DL47" i="67"/>
  <c r="DR47" i="4"/>
  <c r="AB47" i="67"/>
  <c r="DI47" i="67"/>
  <c r="D47" i="32"/>
  <c r="DM47" i="67"/>
  <c r="B48" i="77"/>
  <c r="C48" i="77"/>
  <c r="C48" i="154"/>
  <c r="B48" i="154"/>
  <c r="D46" i="154"/>
  <c r="L46" i="154" s="1"/>
  <c r="M46" i="154" s="1"/>
  <c r="E46" i="36"/>
  <c r="F46" i="77"/>
  <c r="C48" i="155"/>
  <c r="B48" i="155"/>
  <c r="E48" i="67"/>
  <c r="F48" i="67" s="1"/>
  <c r="M48" i="67"/>
  <c r="N48" i="67" s="1"/>
  <c r="I48" i="67"/>
  <c r="J48" i="67" s="1"/>
  <c r="DJ46" i="67"/>
  <c r="DK46" i="67"/>
  <c r="A50" i="67"/>
  <c r="A49" i="155"/>
  <c r="A49" i="154"/>
  <c r="A49" i="76"/>
  <c r="A49" i="38"/>
  <c r="A49" i="77"/>
  <c r="A49" i="34"/>
  <c r="A49" i="28"/>
  <c r="A49" i="30"/>
  <c r="A49" i="36"/>
  <c r="A49" i="32"/>
  <c r="A49" i="75"/>
  <c r="C49" i="67"/>
  <c r="B49" i="67"/>
  <c r="X231" i="150"/>
  <c r="AV230" i="150"/>
  <c r="R231" i="150"/>
  <c r="AP230" i="150"/>
  <c r="S231" i="150"/>
  <c r="AQ230" i="150"/>
  <c r="Q232" i="150"/>
  <c r="AO231" i="150"/>
  <c r="Y231" i="150"/>
  <c r="AW230" i="150"/>
  <c r="V231" i="150"/>
  <c r="AT230" i="150"/>
  <c r="T231" i="150"/>
  <c r="AR230" i="150"/>
  <c r="U231" i="150"/>
  <c r="AS230" i="150"/>
  <c r="Z230" i="150"/>
  <c r="AX229" i="150"/>
  <c r="W231" i="150"/>
  <c r="AU230" i="150"/>
  <c r="AA231" i="150"/>
  <c r="AY230" i="150"/>
  <c r="BT35" i="67"/>
  <c r="C49" i="28" l="1"/>
  <c r="B49" i="28"/>
  <c r="B49" i="76"/>
  <c r="C49" i="76"/>
  <c r="C49" i="154"/>
  <c r="B49" i="154"/>
  <c r="B49" i="155"/>
  <c r="C49" i="155"/>
  <c r="DK47" i="67"/>
  <c r="DJ47" i="67"/>
  <c r="B49" i="77"/>
  <c r="C49" i="77"/>
  <c r="D47" i="154"/>
  <c r="L47" i="154" s="1"/>
  <c r="M47" i="154" s="1"/>
  <c r="E47" i="36"/>
  <c r="F47" i="77"/>
  <c r="DQ48" i="4"/>
  <c r="D48" i="76"/>
  <c r="D48" i="34"/>
  <c r="D48" i="30"/>
  <c r="DH48" i="67"/>
  <c r="DF48" i="67"/>
  <c r="DG48" i="67" s="1"/>
  <c r="I49" i="67"/>
  <c r="J49" i="67" s="1"/>
  <c r="M49" i="67"/>
  <c r="N49" i="67" s="1"/>
  <c r="E49" i="67"/>
  <c r="F49" i="67" s="1"/>
  <c r="A50" i="155"/>
  <c r="A50" i="154"/>
  <c r="A51" i="67"/>
  <c r="A2" i="149"/>
  <c r="A50" i="76"/>
  <c r="A50" i="38"/>
  <c r="A50" i="77"/>
  <c r="A50" i="34"/>
  <c r="A50" i="28"/>
  <c r="A50" i="30"/>
  <c r="A50" i="36"/>
  <c r="A50" i="32"/>
  <c r="A50" i="75"/>
  <c r="C50" i="67"/>
  <c r="C2" i="149" s="1"/>
  <c r="B50" i="67"/>
  <c r="B49" i="75"/>
  <c r="C49" i="75"/>
  <c r="B49" i="32"/>
  <c r="C49" i="32"/>
  <c r="B49" i="36"/>
  <c r="C49" i="36"/>
  <c r="D48" i="36"/>
  <c r="D48" i="77"/>
  <c r="DL48" i="67"/>
  <c r="D48" i="32"/>
  <c r="DR48" i="4"/>
  <c r="DI48" i="67"/>
  <c r="AB48" i="67"/>
  <c r="DM48" i="67"/>
  <c r="DP48" i="4"/>
  <c r="DC48" i="67"/>
  <c r="DD48" i="67" s="1"/>
  <c r="DE48" i="67"/>
  <c r="D48" i="75"/>
  <c r="D48" i="38"/>
  <c r="D48" i="28"/>
  <c r="B49" i="30"/>
  <c r="C49" i="30"/>
  <c r="T232" i="150"/>
  <c r="AR231" i="150"/>
  <c r="Q233" i="150"/>
  <c r="AO232" i="150"/>
  <c r="R232" i="150"/>
  <c r="AP231" i="150"/>
  <c r="U232" i="150"/>
  <c r="AS231" i="150"/>
  <c r="Y232" i="150"/>
  <c r="AW231" i="150"/>
  <c r="AA232" i="150"/>
  <c r="AY231" i="150"/>
  <c r="V232" i="150"/>
  <c r="AT231" i="150"/>
  <c r="S232" i="150"/>
  <c r="AQ231" i="150"/>
  <c r="W232" i="150"/>
  <c r="AU231" i="150"/>
  <c r="Z231" i="150"/>
  <c r="AX230" i="150"/>
  <c r="X232" i="150"/>
  <c r="AV231" i="150"/>
  <c r="BT36" i="67"/>
  <c r="B50" i="77" l="1"/>
  <c r="C50" i="77"/>
  <c r="B50" i="76"/>
  <c r="C50" i="76"/>
  <c r="A51" i="155"/>
  <c r="A51" i="154"/>
  <c r="A52" i="67"/>
  <c r="A3" i="149"/>
  <c r="A51" i="76"/>
  <c r="A51" i="77"/>
  <c r="A51" i="34"/>
  <c r="A51" i="38"/>
  <c r="A51" i="28"/>
  <c r="A51" i="36"/>
  <c r="A51" i="30"/>
  <c r="A51" i="32"/>
  <c r="A51" i="75"/>
  <c r="C51" i="67"/>
  <c r="C3" i="149" s="1"/>
  <c r="B51" i="67"/>
  <c r="C50" i="154"/>
  <c r="B50" i="154"/>
  <c r="DP49" i="4"/>
  <c r="DE49" i="67"/>
  <c r="D49" i="28"/>
  <c r="V50" i="28" s="1"/>
  <c r="V51" i="28" s="1"/>
  <c r="D49" i="38"/>
  <c r="DC49" i="67"/>
  <c r="DD49" i="67" s="1"/>
  <c r="D49" i="75"/>
  <c r="C50" i="155"/>
  <c r="B50" i="155"/>
  <c r="D49" i="36"/>
  <c r="D49" i="77"/>
  <c r="AB49" i="67"/>
  <c r="DM49" i="67"/>
  <c r="DI49" i="67"/>
  <c r="D49" i="32"/>
  <c r="DL49" i="67"/>
  <c r="DR49" i="4"/>
  <c r="B2" i="149"/>
  <c r="E50" i="67"/>
  <c r="M50" i="67"/>
  <c r="I50" i="67"/>
  <c r="C50" i="75"/>
  <c r="B50" i="75"/>
  <c r="D48" i="154"/>
  <c r="L48" i="154" s="1"/>
  <c r="M48" i="154" s="1"/>
  <c r="E48" i="36"/>
  <c r="F48" i="77"/>
  <c r="B50" i="36"/>
  <c r="C50" i="36"/>
  <c r="B50" i="30"/>
  <c r="C50" i="30"/>
  <c r="DQ49" i="4"/>
  <c r="D49" i="76"/>
  <c r="D49" i="34"/>
  <c r="D49" i="30"/>
  <c r="DH49" i="67"/>
  <c r="DF49" i="67"/>
  <c r="DG49" i="67" s="1"/>
  <c r="B50" i="32"/>
  <c r="C50" i="32"/>
  <c r="DK48" i="67"/>
  <c r="DJ48" i="67"/>
  <c r="B50" i="28"/>
  <c r="C50" i="28"/>
  <c r="V233" i="150"/>
  <c r="AT232" i="150"/>
  <c r="U233" i="150"/>
  <c r="AS232" i="150"/>
  <c r="Z232" i="150"/>
  <c r="AX231" i="150"/>
  <c r="AA233" i="150"/>
  <c r="AY232" i="150"/>
  <c r="R233" i="150"/>
  <c r="AP232" i="150"/>
  <c r="S233" i="150"/>
  <c r="AQ232" i="150"/>
  <c r="Y233" i="150"/>
  <c r="AW232" i="150"/>
  <c r="X233" i="150"/>
  <c r="AV232" i="150"/>
  <c r="Q234" i="150"/>
  <c r="AO233" i="150"/>
  <c r="W233" i="150"/>
  <c r="AU232" i="150"/>
  <c r="T233" i="150"/>
  <c r="AR232" i="150"/>
  <c r="BT37" i="67"/>
  <c r="D49" i="154" l="1"/>
  <c r="L49" i="154" s="1"/>
  <c r="M49" i="154" s="1"/>
  <c r="E49" i="36"/>
  <c r="F49" i="77"/>
  <c r="B51" i="32"/>
  <c r="C51" i="32"/>
  <c r="C51" i="30"/>
  <c r="B51" i="30"/>
  <c r="B51" i="36"/>
  <c r="C51" i="36"/>
  <c r="C51" i="28"/>
  <c r="B51" i="28"/>
  <c r="C51" i="77"/>
  <c r="B51" i="77"/>
  <c r="B51" i="76"/>
  <c r="C51" i="76"/>
  <c r="A52" i="155"/>
  <c r="A52" i="154"/>
  <c r="A53" i="67"/>
  <c r="A4" i="149"/>
  <c r="A52" i="76"/>
  <c r="A52" i="77"/>
  <c r="A52" i="34"/>
  <c r="A52" i="38"/>
  <c r="A52" i="28"/>
  <c r="A52" i="30"/>
  <c r="A52" i="36"/>
  <c r="A52" i="32"/>
  <c r="A52" i="75"/>
  <c r="C52" i="67"/>
  <c r="C4" i="149" s="1"/>
  <c r="B52" i="67"/>
  <c r="E2" i="149"/>
  <c r="F50" i="67"/>
  <c r="C51" i="154"/>
  <c r="B51" i="154"/>
  <c r="C51" i="155"/>
  <c r="B51" i="155"/>
  <c r="B3" i="149"/>
  <c r="E51" i="67"/>
  <c r="I51" i="67"/>
  <c r="M51" i="67"/>
  <c r="J50" i="67"/>
  <c r="I2" i="149"/>
  <c r="N50" i="67"/>
  <c r="M2" i="149"/>
  <c r="DJ49" i="67"/>
  <c r="DK49" i="67"/>
  <c r="B51" i="75"/>
  <c r="C51" i="75"/>
  <c r="X234" i="150"/>
  <c r="AV233" i="150"/>
  <c r="R234" i="150"/>
  <c r="AP233" i="150"/>
  <c r="AA234" i="150"/>
  <c r="AY233" i="150"/>
  <c r="Z233" i="150"/>
  <c r="AX232" i="150"/>
  <c r="Y234" i="150"/>
  <c r="AW233" i="150"/>
  <c r="S234" i="150"/>
  <c r="AQ233" i="150"/>
  <c r="T234" i="150"/>
  <c r="AR233" i="150"/>
  <c r="W234" i="150"/>
  <c r="AU233" i="150"/>
  <c r="U234" i="150"/>
  <c r="AS233" i="150"/>
  <c r="Q235" i="150"/>
  <c r="AO234" i="150"/>
  <c r="V234" i="150"/>
  <c r="AT233" i="150"/>
  <c r="BT38" i="67"/>
  <c r="DP50" i="4" l="1"/>
  <c r="F2" i="149"/>
  <c r="DC50" i="67"/>
  <c r="DE50" i="67"/>
  <c r="DE2" i="149" s="1"/>
  <c r="D50" i="28"/>
  <c r="D50" i="75"/>
  <c r="D50" i="38"/>
  <c r="C52" i="155"/>
  <c r="B52" i="155"/>
  <c r="B4" i="149"/>
  <c r="M52" i="67"/>
  <c r="I52" i="67"/>
  <c r="E52" i="67"/>
  <c r="C52" i="32"/>
  <c r="B52" i="32"/>
  <c r="B52" i="75"/>
  <c r="C52" i="75"/>
  <c r="AB50" i="67"/>
  <c r="D50" i="36"/>
  <c r="D50" i="77"/>
  <c r="DL50" i="67"/>
  <c r="DL2" i="149" s="1"/>
  <c r="DR50" i="4"/>
  <c r="N2" i="149"/>
  <c r="DI50" i="67"/>
  <c r="D50" i="32"/>
  <c r="DM50" i="67"/>
  <c r="DM2" i="149" s="1"/>
  <c r="B52" i="36"/>
  <c r="C52" i="36"/>
  <c r="DQ50" i="4"/>
  <c r="J2" i="149"/>
  <c r="D50" i="76"/>
  <c r="D50" i="34"/>
  <c r="D50" i="30"/>
  <c r="DF50" i="67"/>
  <c r="DH50" i="67"/>
  <c r="DH2" i="149" s="1"/>
  <c r="N51" i="67"/>
  <c r="M3" i="149"/>
  <c r="C52" i="28"/>
  <c r="B52" i="28"/>
  <c r="J51" i="67"/>
  <c r="I3" i="149"/>
  <c r="B52" i="30"/>
  <c r="C52" i="30"/>
  <c r="F51" i="67"/>
  <c r="E3" i="149"/>
  <c r="C52" i="77"/>
  <c r="B52" i="77"/>
  <c r="A53" i="155"/>
  <c r="A53" i="154"/>
  <c r="A54" i="67"/>
  <c r="A5" i="149"/>
  <c r="A53" i="76"/>
  <c r="A53" i="77"/>
  <c r="A53" i="28"/>
  <c r="A53" i="34"/>
  <c r="A53" i="38"/>
  <c r="A53" i="36"/>
  <c r="A53" i="30"/>
  <c r="A53" i="32"/>
  <c r="A53" i="75"/>
  <c r="C53" i="67"/>
  <c r="C5" i="149" s="1"/>
  <c r="B53" i="67"/>
  <c r="B52" i="76"/>
  <c r="C52" i="76"/>
  <c r="C52" i="154"/>
  <c r="B52" i="154"/>
  <c r="Y235" i="150"/>
  <c r="AW234" i="150"/>
  <c r="Z234" i="150"/>
  <c r="AX233" i="150"/>
  <c r="Q236" i="150"/>
  <c r="AO235" i="150"/>
  <c r="W235" i="150"/>
  <c r="AU234" i="150"/>
  <c r="T235" i="150"/>
  <c r="AR234" i="150"/>
  <c r="S235" i="150"/>
  <c r="AQ234" i="150"/>
  <c r="V235" i="150"/>
  <c r="AT234" i="150"/>
  <c r="AA235" i="150"/>
  <c r="AY234" i="150"/>
  <c r="R235" i="150"/>
  <c r="AP234" i="150"/>
  <c r="U235" i="150"/>
  <c r="AS234" i="150"/>
  <c r="X235" i="150"/>
  <c r="AV234" i="150"/>
  <c r="BT39" i="67"/>
  <c r="B53" i="155" l="1"/>
  <c r="C53" i="155"/>
  <c r="B5" i="149"/>
  <c r="I53" i="67"/>
  <c r="M53" i="67"/>
  <c r="E53" i="67"/>
  <c r="E4" i="149"/>
  <c r="F52" i="67"/>
  <c r="J52" i="67"/>
  <c r="I4" i="149"/>
  <c r="N52" i="67"/>
  <c r="M4" i="149"/>
  <c r="B53" i="30"/>
  <c r="C53" i="30"/>
  <c r="B53" i="75"/>
  <c r="C53" i="75"/>
  <c r="C53" i="32"/>
  <c r="B53" i="32"/>
  <c r="B53" i="36"/>
  <c r="C53" i="36"/>
  <c r="D51" i="30"/>
  <c r="D51" i="34"/>
  <c r="D51" i="76"/>
  <c r="DH51" i="67"/>
  <c r="DH3" i="149" s="1"/>
  <c r="DF51" i="67"/>
  <c r="DQ51" i="4"/>
  <c r="J3" i="149"/>
  <c r="B53" i="77"/>
  <c r="C53" i="77"/>
  <c r="DD50" i="67"/>
  <c r="DD2" i="149" s="1"/>
  <c r="DC2" i="149"/>
  <c r="D51" i="38"/>
  <c r="DE51" i="67"/>
  <c r="DE3" i="149" s="1"/>
  <c r="DC51" i="67"/>
  <c r="D51" i="75"/>
  <c r="DP51" i="4"/>
  <c r="F3" i="149"/>
  <c r="D51" i="28"/>
  <c r="DI2" i="149"/>
  <c r="DK50" i="67"/>
  <c r="DK2" i="149" s="1"/>
  <c r="DJ50" i="67"/>
  <c r="DJ2" i="149" s="1"/>
  <c r="B53" i="76"/>
  <c r="C53" i="76"/>
  <c r="AB51" i="67"/>
  <c r="D51" i="36"/>
  <c r="D51" i="77"/>
  <c r="DM51" i="67"/>
  <c r="DM3" i="149" s="1"/>
  <c r="D51" i="32"/>
  <c r="DL51" i="67"/>
  <c r="DL3" i="149" s="1"/>
  <c r="DI51" i="67"/>
  <c r="N3" i="149"/>
  <c r="DR51" i="4"/>
  <c r="A54" i="155"/>
  <c r="A54" i="154"/>
  <c r="A55" i="67"/>
  <c r="A6" i="149"/>
  <c r="A54" i="76"/>
  <c r="A54" i="77"/>
  <c r="A54" i="34"/>
  <c r="A54" i="38"/>
  <c r="A54" i="28"/>
  <c r="A54" i="36"/>
  <c r="A54" i="30"/>
  <c r="A54" i="32"/>
  <c r="A54" i="75"/>
  <c r="B54" i="67"/>
  <c r="C54" i="67"/>
  <c r="C6" i="149" s="1"/>
  <c r="DG50" i="67"/>
  <c r="DG2" i="149" s="1"/>
  <c r="DF2" i="149"/>
  <c r="E50" i="36"/>
  <c r="F50" i="77"/>
  <c r="AB2" i="149"/>
  <c r="D50" i="154"/>
  <c r="L50" i="154" s="1"/>
  <c r="M50" i="154" s="1"/>
  <c r="B53" i="28"/>
  <c r="C53" i="28"/>
  <c r="C53" i="154"/>
  <c r="B53" i="154"/>
  <c r="V236" i="150"/>
  <c r="AT235" i="150"/>
  <c r="S236" i="150"/>
  <c r="AQ235" i="150"/>
  <c r="U236" i="150"/>
  <c r="AS235" i="150"/>
  <c r="X236" i="150"/>
  <c r="AV235" i="150"/>
  <c r="AA236" i="150"/>
  <c r="AY235" i="150"/>
  <c r="T236" i="150"/>
  <c r="AR235" i="150"/>
  <c r="W236" i="150"/>
  <c r="AU235" i="150"/>
  <c r="Q237" i="150"/>
  <c r="AO236" i="150"/>
  <c r="Z235" i="150"/>
  <c r="AX234" i="150"/>
  <c r="R236" i="150"/>
  <c r="AP235" i="150"/>
  <c r="Y236" i="150"/>
  <c r="AW235" i="150"/>
  <c r="BT40" i="67"/>
  <c r="B54" i="30" l="1"/>
  <c r="C54" i="30"/>
  <c r="B54" i="36"/>
  <c r="C54" i="36"/>
  <c r="B54" i="28"/>
  <c r="C54" i="28"/>
  <c r="E51" i="36"/>
  <c r="F51" i="77"/>
  <c r="D51" i="154"/>
  <c r="L51" i="154" s="1"/>
  <c r="M51" i="154" s="1"/>
  <c r="AB3" i="149"/>
  <c r="C54" i="32"/>
  <c r="B54" i="32"/>
  <c r="D52" i="36"/>
  <c r="D52" i="77"/>
  <c r="D52" i="32"/>
  <c r="DM52" i="67"/>
  <c r="DM4" i="149" s="1"/>
  <c r="DI52" i="67"/>
  <c r="DL52" i="67"/>
  <c r="DL4" i="149" s="1"/>
  <c r="AB52" i="67"/>
  <c r="DR52" i="4"/>
  <c r="N4" i="149"/>
  <c r="B54" i="76"/>
  <c r="C54" i="76"/>
  <c r="DG51" i="67"/>
  <c r="DG3" i="149" s="1"/>
  <c r="DF3" i="149"/>
  <c r="DF52" i="67"/>
  <c r="D52" i="76"/>
  <c r="D52" i="34"/>
  <c r="D52" i="30"/>
  <c r="DH52" i="67"/>
  <c r="DH4" i="149" s="1"/>
  <c r="DQ52" i="4"/>
  <c r="J4" i="149"/>
  <c r="B54" i="77"/>
  <c r="C54" i="77"/>
  <c r="DC52" i="67"/>
  <c r="DP52" i="4"/>
  <c r="F4" i="149"/>
  <c r="D52" i="75"/>
  <c r="D52" i="38"/>
  <c r="D52" i="28"/>
  <c r="DE52" i="67"/>
  <c r="DE4" i="149" s="1"/>
  <c r="A55" i="155"/>
  <c r="A55" i="154"/>
  <c r="A56" i="67"/>
  <c r="A7" i="149"/>
  <c r="A55" i="75"/>
  <c r="A55" i="32"/>
  <c r="A55" i="76"/>
  <c r="A55" i="77"/>
  <c r="A55" i="34"/>
  <c r="A55" i="38"/>
  <c r="A55" i="28"/>
  <c r="A55" i="36"/>
  <c r="A55" i="30"/>
  <c r="B55" i="67"/>
  <c r="C55" i="67"/>
  <c r="C7" i="149" s="1"/>
  <c r="F53" i="67"/>
  <c r="E5" i="149"/>
  <c r="N53" i="67"/>
  <c r="M5" i="149"/>
  <c r="J53" i="67"/>
  <c r="I5" i="149"/>
  <c r="C54" i="154"/>
  <c r="B54" i="154"/>
  <c r="B6" i="149"/>
  <c r="E54" i="67"/>
  <c r="M54" i="67"/>
  <c r="I54" i="67"/>
  <c r="DI3" i="149"/>
  <c r="DK51" i="67"/>
  <c r="DK3" i="149" s="1"/>
  <c r="DJ51" i="67"/>
  <c r="DJ3" i="149" s="1"/>
  <c r="DD51" i="67"/>
  <c r="DD3" i="149" s="1"/>
  <c r="DC3" i="149"/>
  <c r="C54" i="155"/>
  <c r="B54" i="155"/>
  <c r="B54" i="75"/>
  <c r="C54" i="75"/>
  <c r="Q238" i="150"/>
  <c r="AO237" i="150"/>
  <c r="AA237" i="150"/>
  <c r="AY236" i="150"/>
  <c r="W237" i="150"/>
  <c r="AU236" i="150"/>
  <c r="X237" i="150"/>
  <c r="AV236" i="150"/>
  <c r="U237" i="150"/>
  <c r="AS236" i="150"/>
  <c r="T237" i="150"/>
  <c r="AR236" i="150"/>
  <c r="Y237" i="150"/>
  <c r="AW236" i="150"/>
  <c r="R237" i="150"/>
  <c r="AP236" i="150"/>
  <c r="S237" i="150"/>
  <c r="AQ236" i="150"/>
  <c r="Z236" i="150"/>
  <c r="AX235" i="150"/>
  <c r="V237" i="150"/>
  <c r="AT236" i="150"/>
  <c r="BT41" i="67"/>
  <c r="C55" i="75" l="1"/>
  <c r="B55" i="75"/>
  <c r="C55" i="32"/>
  <c r="B55" i="32"/>
  <c r="A56" i="155"/>
  <c r="A56" i="154"/>
  <c r="A57" i="67"/>
  <c r="A8" i="149"/>
  <c r="A56" i="75"/>
  <c r="A56" i="76"/>
  <c r="A56" i="77"/>
  <c r="A56" i="32"/>
  <c r="A56" i="34"/>
  <c r="A56" i="38"/>
  <c r="A56" i="36"/>
  <c r="A56" i="30"/>
  <c r="A56" i="28"/>
  <c r="C56" i="67"/>
  <c r="C8" i="149" s="1"/>
  <c r="B56" i="67"/>
  <c r="C55" i="154"/>
  <c r="B55" i="154"/>
  <c r="DH53" i="67"/>
  <c r="DH5" i="149" s="1"/>
  <c r="DF53" i="67"/>
  <c r="D53" i="76"/>
  <c r="D53" i="34"/>
  <c r="D53" i="30"/>
  <c r="DQ53" i="4"/>
  <c r="J5" i="149"/>
  <c r="C55" i="155"/>
  <c r="B55" i="155"/>
  <c r="DG52" i="67"/>
  <c r="DG4" i="149" s="1"/>
  <c r="DF4" i="149"/>
  <c r="D53" i="75"/>
  <c r="DE53" i="67"/>
  <c r="DE5" i="149" s="1"/>
  <c r="D53" i="38"/>
  <c r="D53" i="28"/>
  <c r="DC53" i="67"/>
  <c r="DP53" i="4"/>
  <c r="F5" i="149"/>
  <c r="B55" i="30"/>
  <c r="C55" i="30"/>
  <c r="D53" i="36"/>
  <c r="D53" i="77"/>
  <c r="D53" i="32"/>
  <c r="DI53" i="67"/>
  <c r="DM53" i="67"/>
  <c r="DM5" i="149" s="1"/>
  <c r="N5" i="149"/>
  <c r="AB53" i="67"/>
  <c r="DL53" i="67"/>
  <c r="DL5" i="149" s="1"/>
  <c r="DR53" i="4"/>
  <c r="B7" i="149"/>
  <c r="E55" i="67"/>
  <c r="I55" i="67"/>
  <c r="M55" i="67"/>
  <c r="N54" i="67"/>
  <c r="M6" i="149"/>
  <c r="F54" i="67"/>
  <c r="E6" i="149"/>
  <c r="E52" i="36"/>
  <c r="F52" i="77"/>
  <c r="AB4" i="149"/>
  <c r="D52" i="154"/>
  <c r="L52" i="154" s="1"/>
  <c r="M52" i="154" s="1"/>
  <c r="C55" i="28"/>
  <c r="B55" i="28"/>
  <c r="DD52" i="67"/>
  <c r="DD4" i="149" s="1"/>
  <c r="DC4" i="149"/>
  <c r="B55" i="77"/>
  <c r="C55" i="77"/>
  <c r="B55" i="36"/>
  <c r="C55" i="36"/>
  <c r="J54" i="67"/>
  <c r="I6" i="149"/>
  <c r="B55" i="76"/>
  <c r="C55" i="76"/>
  <c r="DI4" i="149"/>
  <c r="DJ52" i="67"/>
  <c r="DJ4" i="149" s="1"/>
  <c r="DK52" i="67"/>
  <c r="DK4" i="149" s="1"/>
  <c r="R238" i="150"/>
  <c r="AP237" i="150"/>
  <c r="T238" i="150"/>
  <c r="AR237" i="150"/>
  <c r="X238" i="150"/>
  <c r="AV237" i="150"/>
  <c r="Y238" i="150"/>
  <c r="AW237" i="150"/>
  <c r="V238" i="150"/>
  <c r="AT237" i="150"/>
  <c r="U238" i="150"/>
  <c r="AS237" i="150"/>
  <c r="W238" i="150"/>
  <c r="AU237" i="150"/>
  <c r="Z237" i="150"/>
  <c r="AX236" i="150"/>
  <c r="AA238" i="150"/>
  <c r="AY237" i="150"/>
  <c r="S238" i="150"/>
  <c r="AQ237" i="150"/>
  <c r="Q239" i="150"/>
  <c r="AO238" i="150"/>
  <c r="BT42" i="67"/>
  <c r="E53" i="36" l="1"/>
  <c r="F53" i="77"/>
  <c r="D53" i="154"/>
  <c r="L53" i="154" s="1"/>
  <c r="M53" i="154" s="1"/>
  <c r="AB5" i="149"/>
  <c r="B56" i="30"/>
  <c r="C56" i="30"/>
  <c r="B56" i="36"/>
  <c r="C56" i="36"/>
  <c r="DK53" i="67"/>
  <c r="DK5" i="149" s="1"/>
  <c r="DI5" i="149"/>
  <c r="DJ53" i="67"/>
  <c r="DJ5" i="149" s="1"/>
  <c r="B56" i="32"/>
  <c r="C56" i="32"/>
  <c r="B56" i="77"/>
  <c r="C56" i="77"/>
  <c r="B56" i="76"/>
  <c r="C56" i="76"/>
  <c r="B56" i="75"/>
  <c r="C56" i="75"/>
  <c r="DF5" i="149"/>
  <c r="DG53" i="67"/>
  <c r="DG5" i="149" s="1"/>
  <c r="A57" i="155"/>
  <c r="A57" i="154"/>
  <c r="A9" i="149"/>
  <c r="A58" i="67"/>
  <c r="A57" i="75"/>
  <c r="A57" i="32"/>
  <c r="A57" i="76"/>
  <c r="A57" i="77"/>
  <c r="A57" i="34"/>
  <c r="A57" i="38"/>
  <c r="A57" i="28"/>
  <c r="A57" i="30"/>
  <c r="A57" i="36"/>
  <c r="C57" i="67"/>
  <c r="C9" i="149" s="1"/>
  <c r="B57" i="67"/>
  <c r="N55" i="67"/>
  <c r="M7" i="149"/>
  <c r="C56" i="154"/>
  <c r="B56" i="154"/>
  <c r="D54" i="28"/>
  <c r="DC54" i="67"/>
  <c r="D54" i="75"/>
  <c r="DE54" i="67"/>
  <c r="DE6" i="149" s="1"/>
  <c r="D54" i="38"/>
  <c r="DP54" i="4"/>
  <c r="F6" i="149"/>
  <c r="DD53" i="67"/>
  <c r="DD5" i="149" s="1"/>
  <c r="DC5" i="149"/>
  <c r="B56" i="155"/>
  <c r="C56" i="155"/>
  <c r="D54" i="77"/>
  <c r="D54" i="36"/>
  <c r="DI54" i="67"/>
  <c r="DM54" i="67"/>
  <c r="DM6" i="149" s="1"/>
  <c r="DL54" i="67"/>
  <c r="DL6" i="149" s="1"/>
  <c r="AB54" i="67"/>
  <c r="N6" i="149"/>
  <c r="DR54" i="4"/>
  <c r="D54" i="32"/>
  <c r="O53" i="67"/>
  <c r="J55" i="67"/>
  <c r="I7" i="149"/>
  <c r="B8" i="149"/>
  <c r="E56" i="67"/>
  <c r="M56" i="67"/>
  <c r="I56" i="67"/>
  <c r="E7" i="149"/>
  <c r="F55" i="67"/>
  <c r="DF54" i="67"/>
  <c r="DH54" i="67"/>
  <c r="DH6" i="149" s="1"/>
  <c r="D54" i="76"/>
  <c r="D54" i="34"/>
  <c r="D54" i="30"/>
  <c r="DQ54" i="4"/>
  <c r="J6" i="149"/>
  <c r="C56" i="28"/>
  <c r="B56" i="28"/>
  <c r="Z238" i="150"/>
  <c r="AX237" i="150"/>
  <c r="W239" i="150"/>
  <c r="AU238" i="150"/>
  <c r="U239" i="150"/>
  <c r="AS238" i="150"/>
  <c r="Y239" i="150"/>
  <c r="AW238" i="150"/>
  <c r="S239" i="150"/>
  <c r="AQ238" i="150"/>
  <c r="Q240" i="150"/>
  <c r="AO239" i="150"/>
  <c r="V239" i="150"/>
  <c r="AT238" i="150"/>
  <c r="X239" i="150"/>
  <c r="AV238" i="150"/>
  <c r="T239" i="150"/>
  <c r="AR238" i="150"/>
  <c r="AA239" i="150"/>
  <c r="AY238" i="150"/>
  <c r="R239" i="150"/>
  <c r="AP238" i="150"/>
  <c r="BT43" i="67"/>
  <c r="B57" i="28" l="1"/>
  <c r="C57" i="28"/>
  <c r="D55" i="34"/>
  <c r="D55" i="30"/>
  <c r="DF55" i="67"/>
  <c r="DH55" i="67"/>
  <c r="DH7" i="149" s="1"/>
  <c r="D55" i="76"/>
  <c r="DQ55" i="4"/>
  <c r="J7" i="149"/>
  <c r="AC53" i="67"/>
  <c r="AC5" i="149" s="1"/>
  <c r="O5" i="149"/>
  <c r="C57" i="77"/>
  <c r="B57" i="77"/>
  <c r="B57" i="76"/>
  <c r="C57" i="76"/>
  <c r="C57" i="32"/>
  <c r="B57" i="32"/>
  <c r="B57" i="75"/>
  <c r="C57" i="75"/>
  <c r="E54" i="36"/>
  <c r="F54" i="77"/>
  <c r="AB6" i="149"/>
  <c r="D54" i="154"/>
  <c r="L54" i="154" s="1"/>
  <c r="M54" i="154" s="1"/>
  <c r="C57" i="154"/>
  <c r="B57" i="154"/>
  <c r="A58" i="155"/>
  <c r="A58" i="154"/>
  <c r="A58" i="32"/>
  <c r="A58" i="75"/>
  <c r="A59" i="67"/>
  <c r="A10" i="149"/>
  <c r="A58" i="28"/>
  <c r="A58" i="76"/>
  <c r="A58" i="77"/>
  <c r="A58" i="38"/>
  <c r="A58" i="34"/>
  <c r="A58" i="30"/>
  <c r="A58" i="36"/>
  <c r="C58" i="67"/>
  <c r="C10" i="149" s="1"/>
  <c r="B58" i="67"/>
  <c r="DI6" i="149"/>
  <c r="DJ54" i="67"/>
  <c r="DJ6" i="149" s="1"/>
  <c r="DK54" i="67"/>
  <c r="DK6" i="149" s="1"/>
  <c r="B57" i="155"/>
  <c r="C57" i="155"/>
  <c r="DE55" i="67"/>
  <c r="DE7" i="149" s="1"/>
  <c r="DC55" i="67"/>
  <c r="D55" i="75"/>
  <c r="D55" i="38"/>
  <c r="D55" i="28"/>
  <c r="F7" i="149"/>
  <c r="DP55" i="4"/>
  <c r="DD54" i="67"/>
  <c r="DD6" i="149" s="1"/>
  <c r="DC6" i="149"/>
  <c r="J56" i="67"/>
  <c r="I8" i="149"/>
  <c r="DG54" i="67"/>
  <c r="DG6" i="149" s="1"/>
  <c r="DF6" i="149"/>
  <c r="B9" i="149"/>
  <c r="I57" i="67"/>
  <c r="M57" i="67"/>
  <c r="E57" i="67"/>
  <c r="N56" i="67"/>
  <c r="M8" i="149"/>
  <c r="C57" i="36"/>
  <c r="B57" i="36"/>
  <c r="AB55" i="67"/>
  <c r="D55" i="77"/>
  <c r="D55" i="36"/>
  <c r="DM55" i="67"/>
  <c r="DM7" i="149" s="1"/>
  <c r="D55" i="32"/>
  <c r="DL55" i="67"/>
  <c r="DL7" i="149" s="1"/>
  <c r="DI55" i="67"/>
  <c r="DR55" i="4"/>
  <c r="N7" i="149"/>
  <c r="F56" i="67"/>
  <c r="E8" i="149"/>
  <c r="C57" i="30"/>
  <c r="B57" i="30"/>
  <c r="X240" i="150"/>
  <c r="AV239" i="150"/>
  <c r="V240" i="150"/>
  <c r="AT239" i="150"/>
  <c r="S240" i="150"/>
  <c r="AQ239" i="150"/>
  <c r="Y240" i="150"/>
  <c r="AW239" i="150"/>
  <c r="U240" i="150"/>
  <c r="AS239" i="150"/>
  <c r="Q241" i="150"/>
  <c r="AO240" i="150"/>
  <c r="R240" i="150"/>
  <c r="AP239" i="150"/>
  <c r="AA240" i="150"/>
  <c r="AY239" i="150"/>
  <c r="W240" i="150"/>
  <c r="AU239" i="150"/>
  <c r="T240" i="150"/>
  <c r="AR239" i="150"/>
  <c r="Z239" i="150"/>
  <c r="AX238" i="150"/>
  <c r="BT44" i="67"/>
  <c r="B58" i="28" l="1"/>
  <c r="C58" i="28"/>
  <c r="AB56" i="67"/>
  <c r="D56" i="77"/>
  <c r="D56" i="36"/>
  <c r="D56" i="32"/>
  <c r="DI56" i="67"/>
  <c r="DM56" i="67"/>
  <c r="DM8" i="149" s="1"/>
  <c r="DL56" i="67"/>
  <c r="DL8" i="149" s="1"/>
  <c r="DR56" i="4"/>
  <c r="N8" i="149"/>
  <c r="DD55" i="67"/>
  <c r="DD7" i="149" s="1"/>
  <c r="DC7" i="149"/>
  <c r="F57" i="67"/>
  <c r="E9" i="149"/>
  <c r="A59" i="155"/>
  <c r="A59" i="154"/>
  <c r="A59" i="36"/>
  <c r="A59" i="30"/>
  <c r="A59" i="32"/>
  <c r="A59" i="75"/>
  <c r="A59" i="76"/>
  <c r="A59" i="77"/>
  <c r="A59" i="34"/>
  <c r="A59" i="38"/>
  <c r="A59" i="28"/>
  <c r="A60" i="67"/>
  <c r="A11" i="149"/>
  <c r="C59" i="67"/>
  <c r="C11" i="149" s="1"/>
  <c r="B59" i="67"/>
  <c r="C58" i="75"/>
  <c r="B58" i="75"/>
  <c r="I9" i="149"/>
  <c r="J57" i="67"/>
  <c r="C58" i="32"/>
  <c r="B58" i="32"/>
  <c r="D56" i="75"/>
  <c r="D56" i="38"/>
  <c r="DC56" i="67"/>
  <c r="D56" i="28"/>
  <c r="DE56" i="67"/>
  <c r="DE8" i="149" s="1"/>
  <c r="DP56" i="4"/>
  <c r="F8" i="149"/>
  <c r="C58" i="154"/>
  <c r="B58" i="154"/>
  <c r="C58" i="155"/>
  <c r="B58" i="155"/>
  <c r="DI7" i="149"/>
  <c r="DJ55" i="67"/>
  <c r="DJ7" i="149" s="1"/>
  <c r="DK55" i="67"/>
  <c r="DK7" i="149" s="1"/>
  <c r="DH56" i="67"/>
  <c r="DH8" i="149" s="1"/>
  <c r="D56" i="76"/>
  <c r="D56" i="34"/>
  <c r="D56" i="30"/>
  <c r="DF56" i="67"/>
  <c r="DQ56" i="4"/>
  <c r="J8" i="149"/>
  <c r="N57" i="67"/>
  <c r="M9" i="149"/>
  <c r="B58" i="36"/>
  <c r="C58" i="36"/>
  <c r="DG55" i="67"/>
  <c r="DG7" i="149" s="1"/>
  <c r="DF7" i="149"/>
  <c r="B58" i="30"/>
  <c r="C58" i="30"/>
  <c r="E55" i="36"/>
  <c r="F55" i="77"/>
  <c r="AB7" i="149"/>
  <c r="D55" i="154"/>
  <c r="L55" i="154" s="1"/>
  <c r="M55" i="154" s="1"/>
  <c r="B58" i="77"/>
  <c r="C58" i="77"/>
  <c r="B10" i="149"/>
  <c r="I58" i="67"/>
  <c r="M58" i="67"/>
  <c r="E58" i="67"/>
  <c r="B58" i="76"/>
  <c r="C58" i="76"/>
  <c r="AA241" i="150"/>
  <c r="AY240" i="150"/>
  <c r="Y241" i="150"/>
  <c r="AW240" i="150"/>
  <c r="R241" i="150"/>
  <c r="AP240" i="150"/>
  <c r="Z240" i="150"/>
  <c r="AX239" i="150"/>
  <c r="Q242" i="150"/>
  <c r="AO241" i="150"/>
  <c r="U241" i="150"/>
  <c r="AS240" i="150"/>
  <c r="S241" i="150"/>
  <c r="AQ240" i="150"/>
  <c r="T241" i="150"/>
  <c r="AR240" i="150"/>
  <c r="V241" i="150"/>
  <c r="AT240" i="150"/>
  <c r="W241" i="150"/>
  <c r="AU240" i="150"/>
  <c r="X241" i="150"/>
  <c r="AV240" i="150"/>
  <c r="BT45" i="67"/>
  <c r="C59" i="155" l="1"/>
  <c r="B59" i="155"/>
  <c r="B11" i="149"/>
  <c r="E59" i="67"/>
  <c r="M59" i="67"/>
  <c r="I59" i="67"/>
  <c r="D57" i="75"/>
  <c r="D57" i="38"/>
  <c r="D57" i="28"/>
  <c r="DE57" i="67"/>
  <c r="DE9" i="149" s="1"/>
  <c r="DC57" i="67"/>
  <c r="DP57" i="4"/>
  <c r="F9" i="149"/>
  <c r="E10" i="149"/>
  <c r="F58" i="67"/>
  <c r="A60" i="155"/>
  <c r="A60" i="154"/>
  <c r="A60" i="75"/>
  <c r="A61" i="67"/>
  <c r="A12" i="149"/>
  <c r="A60" i="76"/>
  <c r="A60" i="36"/>
  <c r="A60" i="30"/>
  <c r="A60" i="28"/>
  <c r="A60" i="34"/>
  <c r="A60" i="77"/>
  <c r="A60" i="38"/>
  <c r="A60" i="32"/>
  <c r="C60" i="67"/>
  <c r="C12" i="149" s="1"/>
  <c r="B60" i="67"/>
  <c r="B59" i="77"/>
  <c r="C59" i="77"/>
  <c r="DI8" i="149"/>
  <c r="DJ56" i="67"/>
  <c r="DJ8" i="149" s="1"/>
  <c r="DK56" i="67"/>
  <c r="DK8" i="149" s="1"/>
  <c r="B59" i="76"/>
  <c r="C59" i="76"/>
  <c r="B59" i="75"/>
  <c r="C59" i="75"/>
  <c r="J58" i="67"/>
  <c r="I10" i="149"/>
  <c r="DG56" i="67"/>
  <c r="DG8" i="149" s="1"/>
  <c r="DF8" i="149"/>
  <c r="DD56" i="67"/>
  <c r="DD8" i="149" s="1"/>
  <c r="DC8" i="149"/>
  <c r="C59" i="30"/>
  <c r="B59" i="30"/>
  <c r="F56" i="77"/>
  <c r="E56" i="36"/>
  <c r="AB8" i="149"/>
  <c r="D56" i="154"/>
  <c r="L56" i="154" s="1"/>
  <c r="M56" i="154" s="1"/>
  <c r="B59" i="32"/>
  <c r="C59" i="32"/>
  <c r="D57" i="34"/>
  <c r="DF57" i="67"/>
  <c r="DH57" i="67"/>
  <c r="DH9" i="149" s="1"/>
  <c r="D57" i="76"/>
  <c r="D57" i="30"/>
  <c r="DQ57" i="4"/>
  <c r="J9" i="149"/>
  <c r="B59" i="36"/>
  <c r="C59" i="36"/>
  <c r="N58" i="67"/>
  <c r="M10" i="149"/>
  <c r="AB57" i="67"/>
  <c r="D57" i="77"/>
  <c r="D57" i="36"/>
  <c r="D57" i="32"/>
  <c r="DM57" i="67"/>
  <c r="DM9" i="149" s="1"/>
  <c r="DL57" i="67"/>
  <c r="DL9" i="149" s="1"/>
  <c r="DI57" i="67"/>
  <c r="DR57" i="4"/>
  <c r="N9" i="149"/>
  <c r="B59" i="28"/>
  <c r="C59" i="28"/>
  <c r="C59" i="154"/>
  <c r="B59" i="154"/>
  <c r="S242" i="150"/>
  <c r="AQ241" i="150"/>
  <c r="T242" i="150"/>
  <c r="AR241" i="150"/>
  <c r="Q243" i="150"/>
  <c r="AO242" i="150"/>
  <c r="Z241" i="150"/>
  <c r="AX240" i="150"/>
  <c r="X242" i="150"/>
  <c r="AV241" i="150"/>
  <c r="U242" i="150"/>
  <c r="AS241" i="150"/>
  <c r="R242" i="150"/>
  <c r="AP241" i="150"/>
  <c r="W242" i="150"/>
  <c r="AU241" i="150"/>
  <c r="Y242" i="150"/>
  <c r="AW241" i="150"/>
  <c r="V242" i="150"/>
  <c r="AT241" i="150"/>
  <c r="AA242" i="150"/>
  <c r="AY241" i="150"/>
  <c r="BT46" i="67"/>
  <c r="B60" i="77" l="1"/>
  <c r="C60" i="77"/>
  <c r="C60" i="155"/>
  <c r="B60" i="155"/>
  <c r="DP58" i="4"/>
  <c r="F10" i="149"/>
  <c r="D58" i="75"/>
  <c r="D58" i="38"/>
  <c r="D58" i="28"/>
  <c r="DE58" i="67"/>
  <c r="DE10" i="149" s="1"/>
  <c r="DC58" i="67"/>
  <c r="B12" i="149"/>
  <c r="M60" i="67"/>
  <c r="E60" i="67"/>
  <c r="I60" i="67"/>
  <c r="B60" i="32"/>
  <c r="C60" i="32"/>
  <c r="DD57" i="67"/>
  <c r="DD9" i="149" s="1"/>
  <c r="DC9" i="149"/>
  <c r="B60" i="30"/>
  <c r="C60" i="30"/>
  <c r="B60" i="36"/>
  <c r="C60" i="36"/>
  <c r="I11" i="149"/>
  <c r="J59" i="67"/>
  <c r="AB58" i="67"/>
  <c r="D58" i="77"/>
  <c r="D58" i="36"/>
  <c r="DL58" i="67"/>
  <c r="DL10" i="149" s="1"/>
  <c r="DM58" i="67"/>
  <c r="DM10" i="149" s="1"/>
  <c r="D58" i="32"/>
  <c r="DI58" i="67"/>
  <c r="DR58" i="4"/>
  <c r="N10" i="149"/>
  <c r="DH58" i="67"/>
  <c r="DH10" i="149" s="1"/>
  <c r="D58" i="30"/>
  <c r="D58" i="34"/>
  <c r="D58" i="76"/>
  <c r="J10" i="149"/>
  <c r="DF58" i="67"/>
  <c r="DQ58" i="4"/>
  <c r="N59" i="67"/>
  <c r="M11" i="149"/>
  <c r="DI9" i="149"/>
  <c r="DJ57" i="67"/>
  <c r="DJ9" i="149" s="1"/>
  <c r="DK57" i="67"/>
  <c r="DK9" i="149" s="1"/>
  <c r="E11" i="149"/>
  <c r="F59" i="67"/>
  <c r="A61" i="155"/>
  <c r="A61" i="154"/>
  <c r="A61" i="38"/>
  <c r="A13" i="149"/>
  <c r="A62" i="67"/>
  <c r="A61" i="32"/>
  <c r="A61" i="77"/>
  <c r="A61" i="30"/>
  <c r="A61" i="34"/>
  <c r="A61" i="76"/>
  <c r="A61" i="75"/>
  <c r="A61" i="36"/>
  <c r="A61" i="28"/>
  <c r="C61" i="67"/>
  <c r="C13" i="149" s="1"/>
  <c r="B61" i="67"/>
  <c r="DG57" i="67"/>
  <c r="DG9" i="149" s="1"/>
  <c r="DF9" i="149"/>
  <c r="B60" i="76"/>
  <c r="C60" i="76"/>
  <c r="B60" i="75"/>
  <c r="C60" i="75"/>
  <c r="C60" i="28"/>
  <c r="B60" i="28"/>
  <c r="E57" i="36"/>
  <c r="F57" i="77"/>
  <c r="D57" i="154"/>
  <c r="L57" i="154" s="1"/>
  <c r="M57" i="154" s="1"/>
  <c r="AB9" i="149"/>
  <c r="C60" i="154"/>
  <c r="B60" i="154"/>
  <c r="R243" i="150"/>
  <c r="AP242" i="150"/>
  <c r="W243" i="150"/>
  <c r="AU242" i="150"/>
  <c r="U243" i="150"/>
  <c r="AS242" i="150"/>
  <c r="X243" i="150"/>
  <c r="AV242" i="150"/>
  <c r="Z242" i="150"/>
  <c r="AX241" i="150"/>
  <c r="Q244" i="150"/>
  <c r="AO243" i="150"/>
  <c r="AA243" i="150"/>
  <c r="AY242" i="150"/>
  <c r="V243" i="150"/>
  <c r="AT242" i="150"/>
  <c r="T243" i="150"/>
  <c r="AR242" i="150"/>
  <c r="Y243" i="150"/>
  <c r="AW242" i="150"/>
  <c r="S243" i="150"/>
  <c r="AQ242" i="150"/>
  <c r="BT47" i="67"/>
  <c r="C61" i="76" l="1"/>
  <c r="B61" i="76"/>
  <c r="D59" i="76"/>
  <c r="D59" i="34"/>
  <c r="D59" i="30"/>
  <c r="DF59" i="67"/>
  <c r="DH59" i="67"/>
  <c r="DH11" i="149" s="1"/>
  <c r="DQ59" i="4"/>
  <c r="J11" i="149"/>
  <c r="DE59" i="67"/>
  <c r="DE11" i="149" s="1"/>
  <c r="D59" i="75"/>
  <c r="D59" i="38"/>
  <c r="D59" i="28"/>
  <c r="DC59" i="67"/>
  <c r="DP59" i="4"/>
  <c r="F11" i="149"/>
  <c r="DI10" i="149"/>
  <c r="DK58" i="67"/>
  <c r="DK10" i="149" s="1"/>
  <c r="DJ58" i="67"/>
  <c r="DJ10" i="149" s="1"/>
  <c r="J60" i="67"/>
  <c r="I12" i="149"/>
  <c r="E12" i="149"/>
  <c r="F60" i="67"/>
  <c r="C61" i="28"/>
  <c r="B61" i="28"/>
  <c r="N60" i="67"/>
  <c r="M12" i="149"/>
  <c r="B13" i="149"/>
  <c r="I61" i="67"/>
  <c r="M61" i="67"/>
  <c r="E61" i="67"/>
  <c r="C61" i="36"/>
  <c r="B61" i="36"/>
  <c r="B61" i="75"/>
  <c r="C61" i="75"/>
  <c r="DD58" i="67"/>
  <c r="DD10" i="149" s="1"/>
  <c r="DC10" i="149"/>
  <c r="AB59" i="67"/>
  <c r="D59" i="36"/>
  <c r="D59" i="77"/>
  <c r="DM59" i="67"/>
  <c r="DM11" i="149" s="1"/>
  <c r="DL59" i="67"/>
  <c r="DL11" i="149" s="1"/>
  <c r="DI59" i="67"/>
  <c r="D59" i="32"/>
  <c r="DR59" i="4"/>
  <c r="N11" i="149"/>
  <c r="E58" i="36"/>
  <c r="F58" i="77"/>
  <c r="D58" i="154"/>
  <c r="L58" i="154" s="1"/>
  <c r="M58" i="154" s="1"/>
  <c r="AB10" i="149"/>
  <c r="B61" i="77"/>
  <c r="C61" i="77"/>
  <c r="A62" i="155"/>
  <c r="A62" i="154"/>
  <c r="A63" i="67"/>
  <c r="A14" i="149"/>
  <c r="A62" i="75"/>
  <c r="A62" i="76"/>
  <c r="A62" i="77"/>
  <c r="A62" i="32"/>
  <c r="A62" i="36"/>
  <c r="A62" i="34"/>
  <c r="A62" i="28"/>
  <c r="A62" i="38"/>
  <c r="A62" i="30"/>
  <c r="B62" i="67"/>
  <c r="B14" i="149" s="1"/>
  <c r="C62" i="67"/>
  <c r="C14" i="149" s="1"/>
  <c r="B61" i="30"/>
  <c r="C61" i="30"/>
  <c r="DG58" i="67"/>
  <c r="DG10" i="149" s="1"/>
  <c r="DF10" i="149"/>
  <c r="C61" i="32"/>
  <c r="B61" i="32"/>
  <c r="C61" i="154"/>
  <c r="B61" i="154"/>
  <c r="B61" i="155"/>
  <c r="C61" i="155"/>
  <c r="Z243" i="150"/>
  <c r="AX242" i="150"/>
  <c r="X244" i="150"/>
  <c r="AV243" i="150"/>
  <c r="Y244" i="150"/>
  <c r="AW243" i="150"/>
  <c r="V244" i="150"/>
  <c r="AT243" i="150"/>
  <c r="U244" i="150"/>
  <c r="AS243" i="150"/>
  <c r="AA244" i="150"/>
  <c r="AY243" i="150"/>
  <c r="Q245" i="150"/>
  <c r="AO244" i="150"/>
  <c r="S244" i="150"/>
  <c r="AQ243" i="150"/>
  <c r="W244" i="150"/>
  <c r="AU243" i="150"/>
  <c r="T244" i="150"/>
  <c r="AR243" i="150"/>
  <c r="R244" i="150"/>
  <c r="AP243" i="150"/>
  <c r="BT48" i="67"/>
  <c r="E13" i="149" l="1"/>
  <c r="F61" i="67"/>
  <c r="C62" i="28"/>
  <c r="B62" i="28"/>
  <c r="N61" i="67"/>
  <c r="M13" i="149"/>
  <c r="DD59" i="67"/>
  <c r="DD11" i="149" s="1"/>
  <c r="DC11" i="149"/>
  <c r="B62" i="36"/>
  <c r="C62" i="36"/>
  <c r="J61" i="67"/>
  <c r="I13" i="149"/>
  <c r="C62" i="32"/>
  <c r="B62" i="32"/>
  <c r="C62" i="77"/>
  <c r="B62" i="77"/>
  <c r="DI11" i="149"/>
  <c r="DJ59" i="67"/>
  <c r="DJ11" i="149" s="1"/>
  <c r="DK59" i="67"/>
  <c r="DK11" i="149" s="1"/>
  <c r="B62" i="76"/>
  <c r="C62" i="76"/>
  <c r="AB60" i="67"/>
  <c r="D60" i="36"/>
  <c r="D60" i="77"/>
  <c r="DI60" i="67"/>
  <c r="DM60" i="67"/>
  <c r="DM12" i="149" s="1"/>
  <c r="DL60" i="67"/>
  <c r="DL12" i="149" s="1"/>
  <c r="D60" i="32"/>
  <c r="DR60" i="4"/>
  <c r="N12" i="149"/>
  <c r="B62" i="75"/>
  <c r="C62" i="75"/>
  <c r="DF11" i="149"/>
  <c r="DG59" i="67"/>
  <c r="DG11" i="149" s="1"/>
  <c r="C62" i="154"/>
  <c r="B62" i="154"/>
  <c r="A63" i="155"/>
  <c r="A63" i="154"/>
  <c r="A15" i="149"/>
  <c r="A63" i="32"/>
  <c r="A64" i="67"/>
  <c r="A63" i="75"/>
  <c r="A63" i="28"/>
  <c r="A63" i="76"/>
  <c r="A63" i="36"/>
  <c r="A63" i="34"/>
  <c r="A63" i="38"/>
  <c r="A63" i="77"/>
  <c r="A63" i="30"/>
  <c r="C63" i="67"/>
  <c r="C15" i="149" s="1"/>
  <c r="B63" i="67"/>
  <c r="B15" i="149" s="1"/>
  <c r="DP60" i="4"/>
  <c r="DC60" i="67"/>
  <c r="D60" i="75"/>
  <c r="D60" i="38"/>
  <c r="D60" i="28"/>
  <c r="DE60" i="67"/>
  <c r="DE12" i="149" s="1"/>
  <c r="F12" i="149"/>
  <c r="E59" i="36"/>
  <c r="F59" i="77"/>
  <c r="AB11" i="149"/>
  <c r="D59" i="154"/>
  <c r="L59" i="154" s="1"/>
  <c r="M59" i="154" s="1"/>
  <c r="DF60" i="67"/>
  <c r="D60" i="76"/>
  <c r="D60" i="34"/>
  <c r="D60" i="30"/>
  <c r="J12" i="149"/>
  <c r="DH60" i="67"/>
  <c r="DH12" i="149" s="1"/>
  <c r="DQ60" i="4"/>
  <c r="C62" i="155"/>
  <c r="B62" i="155"/>
  <c r="B62" i="30"/>
  <c r="C62" i="30"/>
  <c r="U245" i="150"/>
  <c r="AS244" i="150"/>
  <c r="T245" i="150"/>
  <c r="AR244" i="150"/>
  <c r="S245" i="150"/>
  <c r="AQ244" i="150"/>
  <c r="AA245" i="150"/>
  <c r="AY244" i="150"/>
  <c r="V245" i="150"/>
  <c r="AT244" i="150"/>
  <c r="R245" i="150"/>
  <c r="AP244" i="150"/>
  <c r="Q246" i="150"/>
  <c r="AO245" i="150"/>
  <c r="Y245" i="150"/>
  <c r="AW244" i="150"/>
  <c r="X245" i="150"/>
  <c r="AV244" i="150"/>
  <c r="W245" i="150"/>
  <c r="AU244" i="150"/>
  <c r="Z244" i="150"/>
  <c r="AX243" i="150"/>
  <c r="BT49" i="67"/>
  <c r="B63" i="77" l="1"/>
  <c r="C63" i="77"/>
  <c r="B63" i="76"/>
  <c r="C63" i="76"/>
  <c r="DG60" i="67"/>
  <c r="DG12" i="149" s="1"/>
  <c r="DF12" i="149"/>
  <c r="B63" i="28"/>
  <c r="C63" i="28"/>
  <c r="DF61" i="67"/>
  <c r="D61" i="76"/>
  <c r="D61" i="30"/>
  <c r="DH61" i="67"/>
  <c r="DH13" i="149" s="1"/>
  <c r="D61" i="34"/>
  <c r="DQ61" i="4"/>
  <c r="J13" i="149"/>
  <c r="A64" i="155"/>
  <c r="A64" i="154"/>
  <c r="A65" i="67"/>
  <c r="A16" i="149"/>
  <c r="A64" i="38"/>
  <c r="A64" i="75"/>
  <c r="A64" i="76"/>
  <c r="A64" i="36"/>
  <c r="A64" i="32"/>
  <c r="C64" i="67"/>
  <c r="C16" i="149" s="1"/>
  <c r="B64" i="67"/>
  <c r="B16" i="149" s="1"/>
  <c r="A64" i="30"/>
  <c r="A64" i="34"/>
  <c r="A64" i="77"/>
  <c r="A64" i="28"/>
  <c r="DI12" i="149"/>
  <c r="DJ60" i="67"/>
  <c r="DJ12" i="149" s="1"/>
  <c r="DK60" i="67"/>
  <c r="DK12" i="149" s="1"/>
  <c r="C63" i="32"/>
  <c r="B63" i="32"/>
  <c r="E60" i="36"/>
  <c r="F60" i="77"/>
  <c r="AB12" i="149"/>
  <c r="D60" i="154"/>
  <c r="L60" i="154" s="1"/>
  <c r="M60" i="154" s="1"/>
  <c r="D61" i="36"/>
  <c r="D61" i="77"/>
  <c r="DM61" i="67"/>
  <c r="DM13" i="149" s="1"/>
  <c r="DL61" i="67"/>
  <c r="DL13" i="149" s="1"/>
  <c r="DI61" i="67"/>
  <c r="D61" i="32"/>
  <c r="AB61" i="67"/>
  <c r="DR61" i="4"/>
  <c r="N13" i="149"/>
  <c r="C63" i="155"/>
  <c r="B63" i="155"/>
  <c r="B63" i="75"/>
  <c r="C63" i="75"/>
  <c r="B63" i="36"/>
  <c r="C63" i="36"/>
  <c r="DP61" i="4"/>
  <c r="DE61" i="67"/>
  <c r="DE13" i="149" s="1"/>
  <c r="F13" i="149"/>
  <c r="D61" i="75"/>
  <c r="DC61" i="67"/>
  <c r="D61" i="28"/>
  <c r="D61" i="38"/>
  <c r="C63" i="154"/>
  <c r="B63" i="154"/>
  <c r="DC12" i="149"/>
  <c r="DD60" i="67"/>
  <c r="DD12" i="149" s="1"/>
  <c r="C63" i="30"/>
  <c r="B63" i="30"/>
  <c r="Q247" i="150"/>
  <c r="AO246" i="150"/>
  <c r="R246" i="150"/>
  <c r="AP245" i="150"/>
  <c r="V246" i="150"/>
  <c r="AT245" i="150"/>
  <c r="AA246" i="150"/>
  <c r="AY245" i="150"/>
  <c r="Z245" i="150"/>
  <c r="AX244" i="150"/>
  <c r="Y246" i="150"/>
  <c r="AW245" i="150"/>
  <c r="S246" i="150"/>
  <c r="AQ245" i="150"/>
  <c r="W246" i="150"/>
  <c r="AU245" i="150"/>
  <c r="T246" i="150"/>
  <c r="AR245" i="150"/>
  <c r="X246" i="150"/>
  <c r="AV245" i="150"/>
  <c r="U246" i="150"/>
  <c r="AS245" i="150"/>
  <c r="BT50" i="67"/>
  <c r="BT2" i="149" s="1"/>
  <c r="L98" i="34"/>
  <c r="L99" i="34"/>
  <c r="L100" i="34"/>
  <c r="L101" i="34"/>
  <c r="L102" i="34"/>
  <c r="L103" i="34"/>
  <c r="L104" i="34"/>
  <c r="L105" i="34"/>
  <c r="L106" i="34"/>
  <c r="L107" i="34"/>
  <c r="L108" i="34"/>
  <c r="L109" i="34"/>
  <c r="L110" i="34"/>
  <c r="L111" i="34"/>
  <c r="L112" i="34"/>
  <c r="L113" i="34"/>
  <c r="L114" i="34"/>
  <c r="L115" i="34"/>
  <c r="L116" i="34"/>
  <c r="L117" i="34"/>
  <c r="L118" i="34"/>
  <c r="L119" i="34"/>
  <c r="L120" i="34"/>
  <c r="L121" i="34"/>
  <c r="L122" i="34"/>
  <c r="L123" i="34"/>
  <c r="L124" i="34"/>
  <c r="L125" i="34"/>
  <c r="L126" i="34"/>
  <c r="L127" i="34"/>
  <c r="L134" i="34"/>
  <c r="L135" i="34"/>
  <c r="L136" i="34"/>
  <c r="L137" i="34"/>
  <c r="L138" i="34"/>
  <c r="L139" i="34"/>
  <c r="L140" i="34"/>
  <c r="L141" i="34"/>
  <c r="L142" i="34"/>
  <c r="L143" i="34"/>
  <c r="L144" i="34"/>
  <c r="L145" i="34"/>
  <c r="M147" i="76" s="1"/>
  <c r="X30" i="23"/>
  <c r="P31" i="23"/>
  <c r="P34" i="23"/>
  <c r="D30" i="23"/>
  <c r="I74" i="32"/>
  <c r="J74" i="32"/>
  <c r="I75" i="32"/>
  <c r="J75" i="32"/>
  <c r="I76" i="32"/>
  <c r="J76" i="32"/>
  <c r="I77" i="32"/>
  <c r="I78" i="32"/>
  <c r="I79" i="32"/>
  <c r="I80" i="32"/>
  <c r="I81" i="32"/>
  <c r="J81" i="32"/>
  <c r="I82" i="32"/>
  <c r="J82" i="32"/>
  <c r="I83" i="32"/>
  <c r="I84" i="32"/>
  <c r="J84" i="32"/>
  <c r="I85" i="32"/>
  <c r="J85" i="32"/>
  <c r="I86" i="32"/>
  <c r="I87" i="32"/>
  <c r="I88" i="32"/>
  <c r="I89" i="32"/>
  <c r="J89" i="32"/>
  <c r="I90" i="32"/>
  <c r="J90" i="32"/>
  <c r="I91" i="32"/>
  <c r="I92" i="32"/>
  <c r="J92" i="32"/>
  <c r="I93" i="32"/>
  <c r="I94" i="32"/>
  <c r="J94" i="32"/>
  <c r="I95" i="32"/>
  <c r="I96" i="32"/>
  <c r="I97" i="32"/>
  <c r="I98" i="32"/>
  <c r="J98" i="32"/>
  <c r="I99" i="32"/>
  <c r="I100" i="32"/>
  <c r="J100" i="32"/>
  <c r="I101" i="32"/>
  <c r="I102" i="32"/>
  <c r="J102" i="32"/>
  <c r="I103" i="32"/>
  <c r="I104" i="32"/>
  <c r="I105" i="32"/>
  <c r="I106" i="32"/>
  <c r="I107" i="32"/>
  <c r="I108" i="32"/>
  <c r="I109" i="32"/>
  <c r="I110" i="32"/>
  <c r="I111" i="32"/>
  <c r="I112" i="32"/>
  <c r="J112" i="32"/>
  <c r="I113" i="32"/>
  <c r="I114" i="32"/>
  <c r="I115" i="32"/>
  <c r="I116" i="32"/>
  <c r="I117" i="32"/>
  <c r="I118" i="32"/>
  <c r="I119" i="32"/>
  <c r="C64" i="155" l="1"/>
  <c r="B64" i="155"/>
  <c r="E61" i="36"/>
  <c r="F61" i="77"/>
  <c r="AB13" i="149"/>
  <c r="D61" i="154"/>
  <c r="L61" i="154" s="1"/>
  <c r="M61" i="154" s="1"/>
  <c r="C64" i="28"/>
  <c r="B64" i="28"/>
  <c r="B64" i="77"/>
  <c r="C64" i="77"/>
  <c r="DI13" i="149"/>
  <c r="DK61" i="67"/>
  <c r="DK13" i="149" s="1"/>
  <c r="DJ61" i="67"/>
  <c r="DJ13" i="149" s="1"/>
  <c r="DC13" i="149"/>
  <c r="DD61" i="67"/>
  <c r="DD13" i="149" s="1"/>
  <c r="C64" i="30"/>
  <c r="B64" i="30"/>
  <c r="DG61" i="67"/>
  <c r="DG13" i="149" s="1"/>
  <c r="DF13" i="149"/>
  <c r="B64" i="32"/>
  <c r="C64" i="32"/>
  <c r="B64" i="36"/>
  <c r="C64" i="36"/>
  <c r="B64" i="76"/>
  <c r="C64" i="76"/>
  <c r="B64" i="75"/>
  <c r="C64" i="75"/>
  <c r="A65" i="155"/>
  <c r="A65" i="154"/>
  <c r="C65" i="67"/>
  <c r="C17" i="149" s="1"/>
  <c r="B65" i="67"/>
  <c r="B17" i="149" s="1"/>
  <c r="A65" i="75"/>
  <c r="A65" i="76"/>
  <c r="A65" i="36"/>
  <c r="A65" i="32"/>
  <c r="A65" i="34"/>
  <c r="A65" i="77"/>
  <c r="A65" i="28"/>
  <c r="A66" i="67"/>
  <c r="A17" i="149"/>
  <c r="A65" i="38"/>
  <c r="A65" i="30"/>
  <c r="C64" i="154"/>
  <c r="B64" i="154"/>
  <c r="Y247" i="150"/>
  <c r="AW246" i="150"/>
  <c r="S247" i="150"/>
  <c r="AQ246" i="150"/>
  <c r="Z246" i="150"/>
  <c r="AX245" i="150"/>
  <c r="W247" i="150"/>
  <c r="AU246" i="150"/>
  <c r="AA247" i="150"/>
  <c r="AY246" i="150"/>
  <c r="U247" i="150"/>
  <c r="AS246" i="150"/>
  <c r="V247" i="150"/>
  <c r="AT246" i="150"/>
  <c r="X247" i="150"/>
  <c r="AV246" i="150"/>
  <c r="R247" i="150"/>
  <c r="AP246" i="150"/>
  <c r="T247" i="150"/>
  <c r="AR246" i="150"/>
  <c r="Q248" i="150"/>
  <c r="AO247" i="150"/>
  <c r="BT51" i="67"/>
  <c r="BT3" i="149" s="1"/>
  <c r="X33" i="23"/>
  <c r="P33" i="23"/>
  <c r="P32" i="23"/>
  <c r="I121" i="32"/>
  <c r="L121" i="30"/>
  <c r="M120" i="30"/>
  <c r="M121" i="30"/>
  <c r="I120" i="32"/>
  <c r="L120" i="30"/>
  <c r="J87" i="32"/>
  <c r="X34" i="23"/>
  <c r="D31" i="23"/>
  <c r="H33" i="23"/>
  <c r="X29" i="23"/>
  <c r="J103" i="32"/>
  <c r="J97" i="32"/>
  <c r="J117" i="32"/>
  <c r="J109" i="32"/>
  <c r="J77" i="32"/>
  <c r="J106" i="32"/>
  <c r="J93" i="32"/>
  <c r="J110" i="32"/>
  <c r="J80" i="32"/>
  <c r="J96" i="32"/>
  <c r="J116" i="32"/>
  <c r="J101" i="32"/>
  <c r="J119" i="32"/>
  <c r="J113" i="32"/>
  <c r="J120" i="32"/>
  <c r="J104" i="32"/>
  <c r="J88" i="32"/>
  <c r="J108" i="32"/>
  <c r="J86" i="32"/>
  <c r="J114" i="32"/>
  <c r="J118" i="32"/>
  <c r="J105" i="32"/>
  <c r="J78" i="32"/>
  <c r="J107" i="32"/>
  <c r="J91" i="32"/>
  <c r="J95" i="32"/>
  <c r="J111" i="32"/>
  <c r="D35" i="23"/>
  <c r="J99" i="32"/>
  <c r="J79" i="32"/>
  <c r="D34" i="23"/>
  <c r="H31" i="23"/>
  <c r="H32" i="23"/>
  <c r="J121" i="32"/>
  <c r="J115" i="32"/>
  <c r="J83" i="32"/>
  <c r="L33" i="23"/>
  <c r="L31" i="23"/>
  <c r="H35" i="23"/>
  <c r="D32" i="23"/>
  <c r="X32" i="23"/>
  <c r="D33" i="23"/>
  <c r="H34" i="23"/>
  <c r="P35" i="23"/>
  <c r="X31" i="23"/>
  <c r="X28" i="23"/>
  <c r="L34" i="23"/>
  <c r="L32" i="23"/>
  <c r="H30" i="23"/>
  <c r="X35" i="23"/>
  <c r="L35" i="23"/>
  <c r="B40" i="65"/>
  <c r="B41" i="65"/>
  <c r="B42" i="65"/>
  <c r="B43" i="65"/>
  <c r="B44" i="65"/>
  <c r="B45" i="65"/>
  <c r="B46" i="65"/>
  <c r="B47" i="65"/>
  <c r="B48" i="65"/>
  <c r="B49" i="65"/>
  <c r="B50" i="65"/>
  <c r="B51" i="65"/>
  <c r="B52" i="65"/>
  <c r="B53" i="65"/>
  <c r="B54" i="65"/>
  <c r="B55" i="65"/>
  <c r="B56" i="65"/>
  <c r="B57" i="65"/>
  <c r="B58" i="65"/>
  <c r="B59" i="65"/>
  <c r="B60" i="65"/>
  <c r="B61" i="65"/>
  <c r="B62" i="65"/>
  <c r="B63" i="65"/>
  <c r="B64" i="65"/>
  <c r="B65" i="65"/>
  <c r="B66" i="65"/>
  <c r="B67" i="65"/>
  <c r="B68" i="65"/>
  <c r="B69" i="65"/>
  <c r="B70" i="65"/>
  <c r="B71" i="65"/>
  <c r="B72" i="65"/>
  <c r="B73" i="65"/>
  <c r="B74" i="65"/>
  <c r="B75" i="65"/>
  <c r="B76" i="65"/>
  <c r="B77" i="65"/>
  <c r="B78" i="65"/>
  <c r="B79" i="65"/>
  <c r="B80" i="65"/>
  <c r="B81" i="65"/>
  <c r="B82" i="65"/>
  <c r="B83" i="65"/>
  <c r="B84" i="65"/>
  <c r="B85" i="65"/>
  <c r="B86" i="65"/>
  <c r="B87" i="65"/>
  <c r="B88" i="65"/>
  <c r="B89" i="65"/>
  <c r="B90" i="65"/>
  <c r="B91" i="65"/>
  <c r="B92" i="65"/>
  <c r="B93" i="65"/>
  <c r="B94" i="65"/>
  <c r="B95" i="65"/>
  <c r="B96" i="65"/>
  <c r="B97" i="65"/>
  <c r="B98" i="65"/>
  <c r="B99" i="65"/>
  <c r="C17" i="65"/>
  <c r="C29" i="65" s="1"/>
  <c r="C41" i="65" s="1"/>
  <c r="C53" i="65" s="1"/>
  <c r="C65" i="65" s="1"/>
  <c r="C77" i="65" s="1"/>
  <c r="C89" i="65" s="1"/>
  <c r="C18" i="65"/>
  <c r="C30" i="65" s="1"/>
  <c r="C42" i="65" s="1"/>
  <c r="C54" i="65" s="1"/>
  <c r="C66" i="65" s="1"/>
  <c r="C78" i="65" s="1"/>
  <c r="C90" i="65" s="1"/>
  <c r="C19" i="65"/>
  <c r="C31" i="65" s="1"/>
  <c r="C43" i="65" s="1"/>
  <c r="C55" i="65" s="1"/>
  <c r="C67" i="65" s="1"/>
  <c r="C79" i="65" s="1"/>
  <c r="C91" i="65" s="1"/>
  <c r="C20" i="65"/>
  <c r="C32" i="65" s="1"/>
  <c r="C44" i="65" s="1"/>
  <c r="C56" i="65" s="1"/>
  <c r="C68" i="65" s="1"/>
  <c r="C80" i="65" s="1"/>
  <c r="C92" i="65" s="1"/>
  <c r="C21" i="65"/>
  <c r="C33" i="65" s="1"/>
  <c r="C45" i="65" s="1"/>
  <c r="C57" i="65" s="1"/>
  <c r="C69" i="65" s="1"/>
  <c r="C81" i="65" s="1"/>
  <c r="C93" i="65" s="1"/>
  <c r="C22" i="65"/>
  <c r="C34" i="65" s="1"/>
  <c r="C46" i="65" s="1"/>
  <c r="C58" i="65" s="1"/>
  <c r="C70" i="65" s="1"/>
  <c r="C82" i="65" s="1"/>
  <c r="C94" i="65" s="1"/>
  <c r="C23" i="65"/>
  <c r="C35" i="65" s="1"/>
  <c r="C47" i="65" s="1"/>
  <c r="C59" i="65" s="1"/>
  <c r="C71" i="65" s="1"/>
  <c r="C83" i="65" s="1"/>
  <c r="C95" i="65" s="1"/>
  <c r="C24" i="65"/>
  <c r="C36" i="65" s="1"/>
  <c r="C48" i="65" s="1"/>
  <c r="C60" i="65" s="1"/>
  <c r="C72" i="65" s="1"/>
  <c r="C84" i="65" s="1"/>
  <c r="C96" i="65" s="1"/>
  <c r="C26" i="65"/>
  <c r="C38" i="65" s="1"/>
  <c r="C50" i="65" s="1"/>
  <c r="C62" i="65" s="1"/>
  <c r="C74" i="65" s="1"/>
  <c r="C86" i="65" s="1"/>
  <c r="C98" i="65" s="1"/>
  <c r="C27" i="65"/>
  <c r="C39" i="65" s="1"/>
  <c r="C51" i="65" s="1"/>
  <c r="C63" i="65" s="1"/>
  <c r="C75" i="65" s="1"/>
  <c r="C87" i="65" s="1"/>
  <c r="C99" i="65" s="1"/>
  <c r="C25" i="65"/>
  <c r="C37" i="65" s="1"/>
  <c r="C49" i="65" s="1"/>
  <c r="C61" i="65" s="1"/>
  <c r="C73" i="65" s="1"/>
  <c r="C85" i="65" s="1"/>
  <c r="C97" i="65" s="1"/>
  <c r="C16" i="65"/>
  <c r="C28" i="65" s="1"/>
  <c r="C40" i="65" s="1"/>
  <c r="C52" i="65" s="1"/>
  <c r="C64" i="65" s="1"/>
  <c r="C76" i="65" s="1"/>
  <c r="C88" i="65" s="1"/>
  <c r="B124" i="65"/>
  <c r="B125" i="65"/>
  <c r="B126" i="65"/>
  <c r="B127" i="65"/>
  <c r="B128" i="65"/>
  <c r="B129" i="65"/>
  <c r="B130" i="65"/>
  <c r="B131" i="65"/>
  <c r="B132" i="65"/>
  <c r="B133" i="65"/>
  <c r="B134" i="65"/>
  <c r="B135" i="65"/>
  <c r="C65" i="154" l="1"/>
  <c r="B65" i="154"/>
  <c r="C65" i="75"/>
  <c r="B65" i="75"/>
  <c r="B65" i="155"/>
  <c r="C65" i="155"/>
  <c r="C65" i="30"/>
  <c r="B65" i="30"/>
  <c r="B65" i="28"/>
  <c r="C65" i="28"/>
  <c r="A66" i="155"/>
  <c r="A66" i="154"/>
  <c r="A66" i="28"/>
  <c r="B66" i="67"/>
  <c r="B18" i="149" s="1"/>
  <c r="C66" i="67"/>
  <c r="C18" i="149" s="1"/>
  <c r="A67" i="67"/>
  <c r="A18" i="149"/>
  <c r="A66" i="38"/>
  <c r="A66" i="75"/>
  <c r="A66" i="30"/>
  <c r="A66" i="76"/>
  <c r="A66" i="36"/>
  <c r="A66" i="32"/>
  <c r="A66" i="34"/>
  <c r="A66" i="77"/>
  <c r="B65" i="32"/>
  <c r="C65" i="32"/>
  <c r="C65" i="36"/>
  <c r="B65" i="36"/>
  <c r="C65" i="77"/>
  <c r="B65" i="77"/>
  <c r="B65" i="76"/>
  <c r="C65" i="76"/>
  <c r="X248" i="150"/>
  <c r="AV247" i="150"/>
  <c r="U248" i="150"/>
  <c r="AS247" i="150"/>
  <c r="V248" i="150"/>
  <c r="AT247" i="150"/>
  <c r="AA248" i="150"/>
  <c r="AY247" i="150"/>
  <c r="W248" i="150"/>
  <c r="AU247" i="150"/>
  <c r="Q249" i="150"/>
  <c r="AO248" i="150"/>
  <c r="Z247" i="150"/>
  <c r="AX246" i="150"/>
  <c r="T248" i="150"/>
  <c r="AR247" i="150"/>
  <c r="S248" i="150"/>
  <c r="AQ247" i="150"/>
  <c r="R248" i="150"/>
  <c r="AP247" i="150"/>
  <c r="Y248" i="150"/>
  <c r="AW247" i="150"/>
  <c r="C101" i="65"/>
  <c r="C113" i="65" s="1"/>
  <c r="C125" i="65" s="1"/>
  <c r="C137" i="65" s="1"/>
  <c r="C109" i="65"/>
  <c r="C121" i="65" s="1"/>
  <c r="C133" i="65" s="1"/>
  <c r="C145" i="65" s="1"/>
  <c r="C110" i="65"/>
  <c r="C122" i="65" s="1"/>
  <c r="C134" i="65" s="1"/>
  <c r="C146" i="65" s="1"/>
  <c r="C100" i="65"/>
  <c r="C112" i="65" s="1"/>
  <c r="C124" i="65" s="1"/>
  <c r="C136" i="65" s="1"/>
  <c r="C108" i="65"/>
  <c r="C120" i="65" s="1"/>
  <c r="C132" i="65" s="1"/>
  <c r="C144" i="65" s="1"/>
  <c r="C104" i="65"/>
  <c r="C116" i="65" s="1"/>
  <c r="C128" i="65" s="1"/>
  <c r="C140" i="65" s="1"/>
  <c r="C106" i="65"/>
  <c r="C118" i="65" s="1"/>
  <c r="C130" i="65" s="1"/>
  <c r="C142" i="65" s="1"/>
  <c r="C111" i="65"/>
  <c r="C123" i="65" s="1"/>
  <c r="C135" i="65" s="1"/>
  <c r="C147" i="65" s="1"/>
  <c r="C107" i="65"/>
  <c r="C119" i="65" s="1"/>
  <c r="C131" i="65" s="1"/>
  <c r="C143" i="65" s="1"/>
  <c r="C105" i="65"/>
  <c r="C117" i="65" s="1"/>
  <c r="C129" i="65" s="1"/>
  <c r="C141" i="65" s="1"/>
  <c r="C103" i="65"/>
  <c r="C115" i="65" s="1"/>
  <c r="C127" i="65" s="1"/>
  <c r="C139" i="65" s="1"/>
  <c r="C102" i="65"/>
  <c r="C114" i="65" s="1"/>
  <c r="C126" i="65" s="1"/>
  <c r="C138" i="65" s="1"/>
  <c r="BT52" i="67"/>
  <c r="BT4" i="149" s="1"/>
  <c r="O94" i="38"/>
  <c r="O73" i="38"/>
  <c r="O41" i="38"/>
  <c r="O25" i="38"/>
  <c r="O9" i="38"/>
  <c r="O53" i="38"/>
  <c r="O57" i="38"/>
  <c r="O117" i="38"/>
  <c r="O93" i="38"/>
  <c r="O72" i="38"/>
  <c r="O56" i="38"/>
  <c r="O40" i="38"/>
  <c r="O24" i="38"/>
  <c r="O8" i="38"/>
  <c r="O97" i="38"/>
  <c r="O81" i="38"/>
  <c r="O92" i="38"/>
  <c r="O22" i="38"/>
  <c r="O112" i="38"/>
  <c r="O5" i="38"/>
  <c r="O110" i="38"/>
  <c r="O85" i="38"/>
  <c r="O68" i="38"/>
  <c r="O52" i="38"/>
  <c r="O36" i="38"/>
  <c r="O20" i="38"/>
  <c r="O4" i="38"/>
  <c r="O109" i="38"/>
  <c r="O84" i="38"/>
  <c r="O67" i="38"/>
  <c r="O51" i="38"/>
  <c r="O35" i="38"/>
  <c r="O19" i="38"/>
  <c r="O3" i="38"/>
  <c r="O7" i="38"/>
  <c r="O21" i="38"/>
  <c r="O108" i="38"/>
  <c r="O83" i="38"/>
  <c r="O66" i="38"/>
  <c r="O50" i="38"/>
  <c r="O34" i="38"/>
  <c r="O18" i="38"/>
  <c r="O2" i="28"/>
  <c r="O2" i="38"/>
  <c r="O54" i="38"/>
  <c r="O69" i="38"/>
  <c r="O107" i="38"/>
  <c r="O82" i="38"/>
  <c r="O65" i="38"/>
  <c r="O49" i="38"/>
  <c r="O33" i="38"/>
  <c r="O17" i="38"/>
  <c r="O115" i="38"/>
  <c r="O114" i="38"/>
  <c r="O37" i="38"/>
  <c r="O106" i="38"/>
  <c r="O80" i="38"/>
  <c r="O64" i="38"/>
  <c r="O48" i="38"/>
  <c r="O32" i="38"/>
  <c r="O16" i="38"/>
  <c r="O101" i="38"/>
  <c r="O79" i="38"/>
  <c r="O63" i="38"/>
  <c r="O47" i="38"/>
  <c r="O31" i="38"/>
  <c r="O15" i="38"/>
  <c r="O100" i="38"/>
  <c r="O78" i="38"/>
  <c r="O62" i="38"/>
  <c r="O46" i="38"/>
  <c r="O30" i="38"/>
  <c r="O14" i="38"/>
  <c r="O23" i="38"/>
  <c r="O70" i="38"/>
  <c r="O99" i="38"/>
  <c r="O77" i="38"/>
  <c r="O61" i="38"/>
  <c r="O45" i="38"/>
  <c r="O29" i="38"/>
  <c r="O13" i="38"/>
  <c r="O102" i="38"/>
  <c r="O86" i="38"/>
  <c r="O71" i="38"/>
  <c r="O98" i="38"/>
  <c r="O76" i="38"/>
  <c r="O60" i="38"/>
  <c r="O44" i="38"/>
  <c r="O28" i="38"/>
  <c r="O12" i="38"/>
  <c r="O55" i="38"/>
  <c r="O91" i="38"/>
  <c r="O6" i="38"/>
  <c r="O96" i="38"/>
  <c r="O75" i="38"/>
  <c r="O59" i="38"/>
  <c r="O43" i="38"/>
  <c r="O27" i="38"/>
  <c r="O11" i="38"/>
  <c r="O39" i="38"/>
  <c r="O38" i="38"/>
  <c r="O90" i="38"/>
  <c r="O95" i="38"/>
  <c r="O74" i="38"/>
  <c r="O58" i="38"/>
  <c r="O42" i="38"/>
  <c r="O26" i="38"/>
  <c r="O10" i="38"/>
  <c r="N99" i="65"/>
  <c r="AN97" i="67" s="1"/>
  <c r="AN49" i="149" s="1"/>
  <c r="P117" i="34"/>
  <c r="P109" i="34"/>
  <c r="P101" i="34"/>
  <c r="P114" i="34"/>
  <c r="P106" i="34"/>
  <c r="P98" i="34"/>
  <c r="P119" i="34"/>
  <c r="P111" i="34"/>
  <c r="P103" i="34"/>
  <c r="P116" i="34"/>
  <c r="P108" i="34"/>
  <c r="P100" i="34"/>
  <c r="P121" i="34"/>
  <c r="P113" i="34"/>
  <c r="P105" i="34"/>
  <c r="P118" i="34"/>
  <c r="P110" i="34"/>
  <c r="P102" i="34"/>
  <c r="P115" i="34"/>
  <c r="P107" i="34"/>
  <c r="P99" i="34"/>
  <c r="P120" i="34"/>
  <c r="P112" i="34"/>
  <c r="P104" i="34"/>
  <c r="N94" i="65"/>
  <c r="AN92" i="67" s="1"/>
  <c r="AN44" i="149" s="1"/>
  <c r="N88" i="65"/>
  <c r="AN86" i="67" s="1"/>
  <c r="AN38" i="149" s="1"/>
  <c r="A67" i="155" l="1"/>
  <c r="A67" i="154"/>
  <c r="A67" i="75"/>
  <c r="A67" i="30"/>
  <c r="A67" i="76"/>
  <c r="A67" i="28"/>
  <c r="A67" i="36"/>
  <c r="A67" i="32"/>
  <c r="A67" i="34"/>
  <c r="A67" i="77"/>
  <c r="B67" i="67"/>
  <c r="B19" i="149" s="1"/>
  <c r="C67" i="67"/>
  <c r="C19" i="149" s="1"/>
  <c r="A68" i="67"/>
  <c r="A19" i="149"/>
  <c r="A67" i="38"/>
  <c r="B66" i="28"/>
  <c r="C66" i="28"/>
  <c r="C66" i="154"/>
  <c r="B66" i="154"/>
  <c r="C66" i="155"/>
  <c r="B66" i="155"/>
  <c r="B66" i="77"/>
  <c r="C66" i="77"/>
  <c r="C66" i="32"/>
  <c r="B66" i="32"/>
  <c r="B66" i="36"/>
  <c r="C66" i="36"/>
  <c r="B66" i="76"/>
  <c r="C66" i="76"/>
  <c r="B66" i="30"/>
  <c r="C66" i="30"/>
  <c r="B66" i="75"/>
  <c r="C66" i="75"/>
  <c r="Q250" i="150"/>
  <c r="AO249" i="150"/>
  <c r="T249" i="150"/>
  <c r="AR248" i="150"/>
  <c r="W249" i="150"/>
  <c r="AU248" i="150"/>
  <c r="AA249" i="150"/>
  <c r="AY248" i="150"/>
  <c r="Z248" i="150"/>
  <c r="AX247" i="150"/>
  <c r="Y249" i="150"/>
  <c r="AW248" i="150"/>
  <c r="U249" i="150"/>
  <c r="AS248" i="150"/>
  <c r="V249" i="150"/>
  <c r="AT248" i="150"/>
  <c r="R249" i="150"/>
  <c r="AP248" i="150"/>
  <c r="S249" i="150"/>
  <c r="AQ248" i="150"/>
  <c r="X249" i="150"/>
  <c r="AV248" i="150"/>
  <c r="O106" i="65"/>
  <c r="AO104" i="67" s="1"/>
  <c r="AO56" i="149" s="1"/>
  <c r="O107" i="65"/>
  <c r="AO105" i="67" s="1"/>
  <c r="AO57" i="149" s="1"/>
  <c r="BT53" i="67"/>
  <c r="BT5" i="149" s="1"/>
  <c r="N91" i="65"/>
  <c r="AN89" i="67" s="1"/>
  <c r="AN41" i="149" s="1"/>
  <c r="N89" i="65"/>
  <c r="AN87" i="67" s="1"/>
  <c r="AN39" i="149" s="1"/>
  <c r="N111" i="65"/>
  <c r="AN109" i="67" s="1"/>
  <c r="AN61" i="149" s="1"/>
  <c r="O104" i="38"/>
  <c r="O88" i="38"/>
  <c r="O116" i="38"/>
  <c r="O89" i="38"/>
  <c r="O105" i="38"/>
  <c r="O113" i="38"/>
  <c r="O111" i="38"/>
  <c r="O87" i="38"/>
  <c r="O103" i="38"/>
  <c r="N90" i="65"/>
  <c r="AN88" i="67" s="1"/>
  <c r="AN40" i="149" s="1"/>
  <c r="N102" i="65"/>
  <c r="AN100" i="67" s="1"/>
  <c r="AN52" i="149" s="1"/>
  <c r="N100" i="65"/>
  <c r="AN98" i="67" s="1"/>
  <c r="AN50" i="149" s="1"/>
  <c r="N106" i="65"/>
  <c r="AN104" i="67" s="1"/>
  <c r="AN56" i="149" s="1"/>
  <c r="N101" i="65"/>
  <c r="AN99" i="67" s="1"/>
  <c r="AN51" i="149" s="1"/>
  <c r="N103" i="65"/>
  <c r="AN101" i="67" s="1"/>
  <c r="AN53" i="149" s="1"/>
  <c r="N97" i="65"/>
  <c r="AN95" i="67" s="1"/>
  <c r="AN47" i="149" s="1"/>
  <c r="N96" i="65"/>
  <c r="AN94" i="67" s="1"/>
  <c r="AN46" i="149" s="1"/>
  <c r="N98" i="65"/>
  <c r="AN96" i="67" s="1"/>
  <c r="AN48" i="149" s="1"/>
  <c r="N95" i="65"/>
  <c r="AN93" i="67" s="1"/>
  <c r="AN45" i="149" s="1"/>
  <c r="A68" i="155" l="1"/>
  <c r="A68" i="154"/>
  <c r="C68" i="67"/>
  <c r="C20" i="149" s="1"/>
  <c r="A69" i="67"/>
  <c r="A68" i="77"/>
  <c r="A20" i="149"/>
  <c r="A68" i="38"/>
  <c r="A68" i="75"/>
  <c r="A68" i="76"/>
  <c r="A68" i="30"/>
  <c r="A68" i="28"/>
  <c r="A68" i="36"/>
  <c r="A68" i="34"/>
  <c r="A68" i="32"/>
  <c r="B68" i="67"/>
  <c r="B20" i="149" s="1"/>
  <c r="B67" i="77"/>
  <c r="C67" i="77"/>
  <c r="B67" i="32"/>
  <c r="C67" i="32"/>
  <c r="B67" i="36"/>
  <c r="C67" i="36"/>
  <c r="C67" i="28"/>
  <c r="B67" i="28"/>
  <c r="B67" i="76"/>
  <c r="C67" i="76"/>
  <c r="C67" i="30"/>
  <c r="B67" i="30"/>
  <c r="B67" i="75"/>
  <c r="C67" i="75"/>
  <c r="C67" i="154"/>
  <c r="B67" i="154"/>
  <c r="B67" i="155"/>
  <c r="C67" i="155"/>
  <c r="Y250" i="150"/>
  <c r="AW249" i="150"/>
  <c r="V250" i="150"/>
  <c r="AT249" i="150"/>
  <c r="U250" i="150"/>
  <c r="AS249" i="150"/>
  <c r="Z249" i="150"/>
  <c r="AX248" i="150"/>
  <c r="AA250" i="150"/>
  <c r="AY249" i="150"/>
  <c r="X250" i="150"/>
  <c r="AV249" i="150"/>
  <c r="W250" i="150"/>
  <c r="AU249" i="150"/>
  <c r="S250" i="150"/>
  <c r="AQ249" i="150"/>
  <c r="T250" i="150"/>
  <c r="AR249" i="150"/>
  <c r="R250" i="150"/>
  <c r="AP249" i="150"/>
  <c r="Q251" i="150"/>
  <c r="AO250" i="150"/>
  <c r="N105" i="30"/>
  <c r="N104" i="30"/>
  <c r="O129" i="34"/>
  <c r="O128" i="34"/>
  <c r="O109" i="65"/>
  <c r="AO107" i="67" s="1"/>
  <c r="AO59" i="149" s="1"/>
  <c r="O110" i="65"/>
  <c r="AO108" i="67" s="1"/>
  <c r="AO60" i="149" s="1"/>
  <c r="O117" i="65"/>
  <c r="O111" i="65"/>
  <c r="AO109" i="67" s="1"/>
  <c r="AO61" i="149" s="1"/>
  <c r="O116" i="65"/>
  <c r="O108" i="65"/>
  <c r="AO106" i="67" s="1"/>
  <c r="AO58" i="149" s="1"/>
  <c r="O118" i="65"/>
  <c r="BT54" i="67"/>
  <c r="BT6" i="149" s="1"/>
  <c r="O119" i="65"/>
  <c r="AO117" i="67" s="1"/>
  <c r="AO69" i="149" s="1"/>
  <c r="O114" i="65"/>
  <c r="AO112" i="67" s="1"/>
  <c r="AO64" i="149" s="1"/>
  <c r="O113" i="65"/>
  <c r="AO111" i="67" s="1"/>
  <c r="AO63" i="149" s="1"/>
  <c r="O112" i="65"/>
  <c r="AO110" i="67" s="1"/>
  <c r="AO62" i="149" s="1"/>
  <c r="O115" i="65"/>
  <c r="AO113" i="67" s="1"/>
  <c r="AO65" i="149" s="1"/>
  <c r="N93" i="65"/>
  <c r="AN91" i="67" s="1"/>
  <c r="AN43" i="149" s="1"/>
  <c r="N92" i="65"/>
  <c r="AN90" i="67" s="1"/>
  <c r="AN42" i="149" s="1"/>
  <c r="O118" i="38"/>
  <c r="N114" i="65"/>
  <c r="AN112" i="67" s="1"/>
  <c r="AN64" i="149" s="1"/>
  <c r="AE121" i="67"/>
  <c r="AE73" i="149" s="1"/>
  <c r="AE120" i="67"/>
  <c r="AE72" i="149" s="1"/>
  <c r="AE119" i="67"/>
  <c r="AE71" i="149" s="1"/>
  <c r="N118" i="65"/>
  <c r="AN116" i="67" s="1"/>
  <c r="AN68" i="149" s="1"/>
  <c r="N107" i="65"/>
  <c r="AN105" i="67" s="1"/>
  <c r="AN57" i="149" s="1"/>
  <c r="N104" i="65"/>
  <c r="AN102" i="67" s="1"/>
  <c r="AN54" i="149" s="1"/>
  <c r="N108" i="65"/>
  <c r="AN106" i="67" s="1"/>
  <c r="AN58" i="149" s="1"/>
  <c r="N110" i="65"/>
  <c r="AN108" i="67" s="1"/>
  <c r="AN60" i="149" s="1"/>
  <c r="N115" i="65"/>
  <c r="AN113" i="67" s="1"/>
  <c r="AN65" i="149" s="1"/>
  <c r="N112" i="65"/>
  <c r="AN110" i="67" s="1"/>
  <c r="AN62" i="149" s="1"/>
  <c r="N105" i="65"/>
  <c r="AN103" i="67" s="1"/>
  <c r="AN55" i="149" s="1"/>
  <c r="N109" i="65"/>
  <c r="AN107" i="67" s="1"/>
  <c r="AN59" i="149" s="1"/>
  <c r="N113" i="65"/>
  <c r="AN111" i="67" s="1"/>
  <c r="AN63" i="149" s="1"/>
  <c r="B68" i="32" l="1"/>
  <c r="C68" i="32"/>
  <c r="B68" i="36"/>
  <c r="C68" i="36"/>
  <c r="C68" i="28"/>
  <c r="B68" i="28"/>
  <c r="B68" i="30"/>
  <c r="C68" i="30"/>
  <c r="B68" i="76"/>
  <c r="C68" i="76"/>
  <c r="B68" i="75"/>
  <c r="C68" i="75"/>
  <c r="B68" i="77"/>
  <c r="C68" i="77"/>
  <c r="A69" i="155"/>
  <c r="A69" i="154"/>
  <c r="A69" i="38"/>
  <c r="A69" i="75"/>
  <c r="A69" i="76"/>
  <c r="A69" i="30"/>
  <c r="A69" i="36"/>
  <c r="C69" i="67"/>
  <c r="C21" i="149" s="1"/>
  <c r="B69" i="67"/>
  <c r="B21" i="149" s="1"/>
  <c r="A70" i="67"/>
  <c r="A21" i="149"/>
  <c r="A69" i="34"/>
  <c r="A69" i="77"/>
  <c r="A69" i="32"/>
  <c r="A69" i="28"/>
  <c r="C68" i="154"/>
  <c r="B68" i="154"/>
  <c r="C68" i="155"/>
  <c r="B68" i="155"/>
  <c r="S251" i="150"/>
  <c r="AQ250" i="150"/>
  <c r="X251" i="150"/>
  <c r="AV250" i="150"/>
  <c r="W251" i="150"/>
  <c r="AU250" i="150"/>
  <c r="AA251" i="150"/>
  <c r="AY250" i="150"/>
  <c r="Z250" i="150"/>
  <c r="AX249" i="150"/>
  <c r="Q252" i="150"/>
  <c r="AO251" i="150"/>
  <c r="U251" i="150"/>
  <c r="AS250" i="150"/>
  <c r="R251" i="150"/>
  <c r="AP250" i="150"/>
  <c r="V251" i="150"/>
  <c r="AT250" i="150"/>
  <c r="T251" i="150"/>
  <c r="AR250" i="150"/>
  <c r="Y251" i="150"/>
  <c r="AW250" i="150"/>
  <c r="O119" i="38"/>
  <c r="N110" i="30"/>
  <c r="AO115" i="67"/>
  <c r="AO67" i="149" s="1"/>
  <c r="N108" i="30"/>
  <c r="N107" i="30"/>
  <c r="N112" i="30"/>
  <c r="N117" i="30"/>
  <c r="N123" i="65"/>
  <c r="AN121" i="67" s="1"/>
  <c r="AN73" i="149" s="1"/>
  <c r="AD121" i="67"/>
  <c r="AO116" i="67"/>
  <c r="AO68" i="149" s="1"/>
  <c r="O120" i="38"/>
  <c r="P138" i="76"/>
  <c r="AO114" i="67"/>
  <c r="AO66" i="149" s="1"/>
  <c r="N111" i="30"/>
  <c r="N106" i="30"/>
  <c r="N109" i="30"/>
  <c r="O121" i="38"/>
  <c r="N113" i="30"/>
  <c r="N135" i="65"/>
  <c r="N147" i="65"/>
  <c r="O140" i="65"/>
  <c r="P139" i="76"/>
  <c r="O130" i="34"/>
  <c r="O133" i="34"/>
  <c r="O132" i="34"/>
  <c r="O131" i="34"/>
  <c r="O127" i="65"/>
  <c r="O122" i="65"/>
  <c r="O125" i="65"/>
  <c r="O121" i="65"/>
  <c r="O128" i="65"/>
  <c r="O129" i="65"/>
  <c r="O126" i="65"/>
  <c r="P140" i="76"/>
  <c r="O120" i="65"/>
  <c r="BT55" i="67"/>
  <c r="BT7" i="149" s="1"/>
  <c r="P136" i="76"/>
  <c r="P141" i="76"/>
  <c r="P137" i="76"/>
  <c r="P134" i="76"/>
  <c r="O124" i="65"/>
  <c r="O131" i="65"/>
  <c r="O130" i="65"/>
  <c r="O123" i="65"/>
  <c r="AO121" i="67" s="1"/>
  <c r="AO73" i="149" s="1"/>
  <c r="P135" i="76"/>
  <c r="N117" i="65"/>
  <c r="AN115" i="67" s="1"/>
  <c r="AN67" i="149" s="1"/>
  <c r="N124" i="65"/>
  <c r="N116" i="65"/>
  <c r="AN114" i="67" s="1"/>
  <c r="AN66" i="149" s="1"/>
  <c r="N119" i="65"/>
  <c r="AN117" i="67" s="1"/>
  <c r="AN69" i="149" s="1"/>
  <c r="N120" i="65"/>
  <c r="AN118" i="67" s="1"/>
  <c r="AN70" i="149" s="1"/>
  <c r="C69" i="154" l="1"/>
  <c r="B69" i="154"/>
  <c r="B69" i="155"/>
  <c r="C69" i="155"/>
  <c r="B69" i="28"/>
  <c r="C69" i="28"/>
  <c r="B69" i="32"/>
  <c r="C69" i="32"/>
  <c r="C69" i="77"/>
  <c r="B69" i="77"/>
  <c r="A70" i="155"/>
  <c r="A70" i="154"/>
  <c r="A70" i="34"/>
  <c r="A70" i="77"/>
  <c r="A70" i="32"/>
  <c r="A70" i="38"/>
  <c r="A70" i="28"/>
  <c r="A70" i="75"/>
  <c r="A70" i="76"/>
  <c r="B70" i="67"/>
  <c r="B22" i="149" s="1"/>
  <c r="A70" i="36"/>
  <c r="A70" i="30"/>
  <c r="C70" i="67"/>
  <c r="C22" i="149" s="1"/>
  <c r="A71" i="67"/>
  <c r="A22" i="149"/>
  <c r="B69" i="36"/>
  <c r="C69" i="36"/>
  <c r="B69" i="76"/>
  <c r="C69" i="76"/>
  <c r="B69" i="30"/>
  <c r="C69" i="30"/>
  <c r="B69" i="75"/>
  <c r="C69" i="75"/>
  <c r="R252" i="150"/>
  <c r="AP251" i="150"/>
  <c r="Y252" i="150"/>
  <c r="AW251" i="150"/>
  <c r="U252" i="150"/>
  <c r="AS251" i="150"/>
  <c r="Q253" i="150"/>
  <c r="AO252" i="150"/>
  <c r="Z251" i="150"/>
  <c r="AX250" i="150"/>
  <c r="AA252" i="150"/>
  <c r="AY251" i="150"/>
  <c r="W252" i="150"/>
  <c r="AU251" i="150"/>
  <c r="T252" i="150"/>
  <c r="AR251" i="150"/>
  <c r="X252" i="150"/>
  <c r="AV251" i="150"/>
  <c r="V252" i="150"/>
  <c r="AT251" i="150"/>
  <c r="S252" i="150"/>
  <c r="AQ251" i="150"/>
  <c r="AD73" i="149"/>
  <c r="G121" i="34"/>
  <c r="G121" i="30"/>
  <c r="N121" i="30" s="1"/>
  <c r="I121" i="76"/>
  <c r="O139" i="65"/>
  <c r="AO120" i="67"/>
  <c r="AO72" i="149" s="1"/>
  <c r="O142" i="65"/>
  <c r="N116" i="30"/>
  <c r="N115" i="30"/>
  <c r="N114" i="30"/>
  <c r="O141" i="65"/>
  <c r="O138" i="65"/>
  <c r="AO118" i="67"/>
  <c r="AO70" i="149" s="1"/>
  <c r="O143" i="65"/>
  <c r="N121" i="65"/>
  <c r="AN119" i="67" s="1"/>
  <c r="AN71" i="149" s="1"/>
  <c r="AD119" i="67"/>
  <c r="N122" i="65"/>
  <c r="AN120" i="67" s="1"/>
  <c r="AN72" i="149" s="1"/>
  <c r="AD120" i="67"/>
  <c r="P143" i="76"/>
  <c r="AO119" i="67"/>
  <c r="AO71" i="149" s="1"/>
  <c r="O145" i="65"/>
  <c r="O137" i="65"/>
  <c r="N127" i="65"/>
  <c r="N139" i="65"/>
  <c r="N126" i="65"/>
  <c r="N138" i="65"/>
  <c r="N130" i="65"/>
  <c r="N142" i="65"/>
  <c r="O136" i="65"/>
  <c r="N125" i="65"/>
  <c r="N137" i="65"/>
  <c r="P144" i="76"/>
  <c r="P142" i="76"/>
  <c r="O134" i="65"/>
  <c r="O133" i="65"/>
  <c r="O132" i="65"/>
  <c r="O135" i="65"/>
  <c r="BT56" i="67"/>
  <c r="BT8" i="149" s="1"/>
  <c r="P145" i="76"/>
  <c r="B70" i="32" l="1"/>
  <c r="C70" i="32"/>
  <c r="B70" i="77"/>
  <c r="C70" i="77"/>
  <c r="C70" i="154"/>
  <c r="B70" i="154"/>
  <c r="C70" i="155"/>
  <c r="B70" i="155"/>
  <c r="A71" i="155"/>
  <c r="A71" i="154"/>
  <c r="B71" i="67"/>
  <c r="B23" i="149" s="1"/>
  <c r="C71" i="67"/>
  <c r="C23" i="149" s="1"/>
  <c r="A71" i="34"/>
  <c r="A71" i="32"/>
  <c r="A71" i="75"/>
  <c r="A71" i="77"/>
  <c r="A71" i="30"/>
  <c r="A72" i="67"/>
  <c r="A23" i="149"/>
  <c r="A71" i="38"/>
  <c r="A71" i="28"/>
  <c r="A71" i="36"/>
  <c r="A71" i="76"/>
  <c r="C70" i="30"/>
  <c r="B70" i="30"/>
  <c r="B70" i="76"/>
  <c r="C70" i="76"/>
  <c r="C70" i="36"/>
  <c r="B70" i="36"/>
  <c r="C70" i="75"/>
  <c r="B70" i="75"/>
  <c r="C70" i="28"/>
  <c r="B70" i="28"/>
  <c r="T253" i="150"/>
  <c r="AR252" i="150"/>
  <c r="W253" i="150"/>
  <c r="AU252" i="150"/>
  <c r="S253" i="150"/>
  <c r="AQ252" i="150"/>
  <c r="Y253" i="150"/>
  <c r="AW252" i="150"/>
  <c r="AA253" i="150"/>
  <c r="AY252" i="150"/>
  <c r="Z252" i="150"/>
  <c r="AX251" i="150"/>
  <c r="Q254" i="150"/>
  <c r="AO253" i="150"/>
  <c r="U253" i="150"/>
  <c r="AS252" i="150"/>
  <c r="V253" i="150"/>
  <c r="AT252" i="150"/>
  <c r="X253" i="150"/>
  <c r="AV252" i="150"/>
  <c r="R253" i="150"/>
  <c r="AP252" i="150"/>
  <c r="AD72" i="149"/>
  <c r="G120" i="30"/>
  <c r="N120" i="30" s="1"/>
  <c r="I120" i="76"/>
  <c r="G120" i="34"/>
  <c r="AD71" i="149"/>
  <c r="G119" i="30"/>
  <c r="N119" i="30" s="1"/>
  <c r="I119" i="76"/>
  <c r="G119" i="34"/>
  <c r="O144" i="65"/>
  <c r="O147" i="65"/>
  <c r="O146" i="65"/>
  <c r="N118" i="30"/>
  <c r="N132" i="65"/>
  <c r="N144" i="65"/>
  <c r="N128" i="65"/>
  <c r="N140" i="65"/>
  <c r="N129" i="65"/>
  <c r="N141" i="65"/>
  <c r="N133" i="65"/>
  <c r="N145" i="65"/>
  <c r="N134" i="65"/>
  <c r="N146" i="65"/>
  <c r="N131" i="65"/>
  <c r="N143" i="65"/>
  <c r="BT57" i="67"/>
  <c r="BT9" i="149" s="1"/>
  <c r="B71" i="77" l="1"/>
  <c r="C71" i="77"/>
  <c r="C71" i="75"/>
  <c r="B71" i="75"/>
  <c r="B71" i="32"/>
  <c r="C71" i="32"/>
  <c r="B71" i="155"/>
  <c r="C71" i="155"/>
  <c r="C71" i="76"/>
  <c r="B71" i="76"/>
  <c r="C71" i="36"/>
  <c r="B71" i="36"/>
  <c r="B71" i="28"/>
  <c r="C71" i="28"/>
  <c r="A72" i="155"/>
  <c r="A72" i="154"/>
  <c r="B72" i="67"/>
  <c r="B24" i="149" s="1"/>
  <c r="A24" i="149"/>
  <c r="A72" i="28"/>
  <c r="A73" i="67"/>
  <c r="A72" i="34"/>
  <c r="A72" i="32"/>
  <c r="C72" i="67"/>
  <c r="C24" i="149" s="1"/>
  <c r="A72" i="77"/>
  <c r="A72" i="30"/>
  <c r="A72" i="75"/>
  <c r="A72" i="38"/>
  <c r="A72" i="76"/>
  <c r="A72" i="36"/>
  <c r="C71" i="154"/>
  <c r="B71" i="154"/>
  <c r="C71" i="30"/>
  <c r="B71" i="30"/>
  <c r="Y254" i="150"/>
  <c r="AW253" i="150"/>
  <c r="R254" i="150"/>
  <c r="AP253" i="150"/>
  <c r="X254" i="150"/>
  <c r="AV253" i="150"/>
  <c r="U254" i="150"/>
  <c r="AS253" i="150"/>
  <c r="Q255" i="150"/>
  <c r="AO254" i="150"/>
  <c r="Z253" i="150"/>
  <c r="AX252" i="150"/>
  <c r="AA254" i="150"/>
  <c r="AY253" i="150"/>
  <c r="S254" i="150"/>
  <c r="AQ253" i="150"/>
  <c r="W254" i="150"/>
  <c r="AU253" i="150"/>
  <c r="V254" i="150"/>
  <c r="AT253" i="150"/>
  <c r="T254" i="150"/>
  <c r="AR253" i="150"/>
  <c r="BT58" i="67"/>
  <c r="BT10" i="149" s="1"/>
  <c r="C72" i="154" l="1"/>
  <c r="B72" i="154"/>
  <c r="B72" i="155"/>
  <c r="C72" i="155"/>
  <c r="B72" i="75"/>
  <c r="C72" i="75"/>
  <c r="C72" i="30"/>
  <c r="B72" i="30"/>
  <c r="B72" i="36"/>
  <c r="C72" i="36"/>
  <c r="C72" i="28"/>
  <c r="B72" i="28"/>
  <c r="B72" i="77"/>
  <c r="C72" i="77"/>
  <c r="B72" i="76"/>
  <c r="C72" i="76"/>
  <c r="B72" i="32"/>
  <c r="C72" i="32"/>
  <c r="A73" i="155"/>
  <c r="A73" i="154"/>
  <c r="A74" i="67"/>
  <c r="A25" i="149"/>
  <c r="A73" i="36"/>
  <c r="A73" i="30"/>
  <c r="A73" i="34"/>
  <c r="A73" i="77"/>
  <c r="A73" i="38"/>
  <c r="A73" i="28"/>
  <c r="A73" i="75"/>
  <c r="A73" i="32"/>
  <c r="A73" i="76"/>
  <c r="C73" i="67"/>
  <c r="C25" i="149" s="1"/>
  <c r="B73" i="67"/>
  <c r="B25" i="149" s="1"/>
  <c r="Q256" i="150"/>
  <c r="AO255" i="150"/>
  <c r="T255" i="150"/>
  <c r="AR254" i="150"/>
  <c r="S255" i="150"/>
  <c r="AQ254" i="150"/>
  <c r="AA255" i="150"/>
  <c r="AY254" i="150"/>
  <c r="Z254" i="150"/>
  <c r="AX253" i="150"/>
  <c r="U255" i="150"/>
  <c r="AS254" i="150"/>
  <c r="X255" i="150"/>
  <c r="AV254" i="150"/>
  <c r="V255" i="150"/>
  <c r="AT254" i="150"/>
  <c r="R255" i="150"/>
  <c r="AP254" i="150"/>
  <c r="W255" i="150"/>
  <c r="AU254" i="150"/>
  <c r="Y255" i="150"/>
  <c r="AW254" i="150"/>
  <c r="BT59" i="67"/>
  <c r="BT11" i="149" s="1"/>
  <c r="C61" i="4"/>
  <c r="C73" i="4" s="1"/>
  <c r="C85" i="4" s="1"/>
  <c r="C97" i="4" s="1"/>
  <c r="C109" i="4" s="1"/>
  <c r="C121" i="4" s="1"/>
  <c r="B61" i="4"/>
  <c r="B73" i="4" s="1"/>
  <c r="B85" i="4" s="1"/>
  <c r="B97" i="4" s="1"/>
  <c r="B109" i="4" s="1"/>
  <c r="B121" i="4" s="1"/>
  <c r="C60" i="4"/>
  <c r="C72" i="4" s="1"/>
  <c r="C84" i="4" s="1"/>
  <c r="C96" i="4" s="1"/>
  <c r="C108" i="4" s="1"/>
  <c r="C120" i="4" s="1"/>
  <c r="B60" i="4"/>
  <c r="B72" i="4" s="1"/>
  <c r="B84" i="4" s="1"/>
  <c r="B96" i="4" s="1"/>
  <c r="B108" i="4" s="1"/>
  <c r="B120" i="4" s="1"/>
  <c r="C59" i="4"/>
  <c r="C71" i="4" s="1"/>
  <c r="C83" i="4" s="1"/>
  <c r="C95" i="4" s="1"/>
  <c r="C107" i="4" s="1"/>
  <c r="C119" i="4" s="1"/>
  <c r="B59" i="4"/>
  <c r="B71" i="4" s="1"/>
  <c r="B83" i="4" s="1"/>
  <c r="B95" i="4" s="1"/>
  <c r="B107" i="4" s="1"/>
  <c r="B119" i="4" s="1"/>
  <c r="C58" i="4"/>
  <c r="C70" i="4" s="1"/>
  <c r="C82" i="4" s="1"/>
  <c r="C94" i="4" s="1"/>
  <c r="C106" i="4" s="1"/>
  <c r="C118" i="4" s="1"/>
  <c r="B58" i="4"/>
  <c r="B70" i="4" s="1"/>
  <c r="B82" i="4" s="1"/>
  <c r="B94" i="4" s="1"/>
  <c r="B106" i="4" s="1"/>
  <c r="B118" i="4" s="1"/>
  <c r="C57" i="4"/>
  <c r="C69" i="4" s="1"/>
  <c r="C81" i="4" s="1"/>
  <c r="C93" i="4" s="1"/>
  <c r="C105" i="4" s="1"/>
  <c r="C117" i="4" s="1"/>
  <c r="B57" i="4"/>
  <c r="B69" i="4" s="1"/>
  <c r="B81" i="4" s="1"/>
  <c r="B93" i="4" s="1"/>
  <c r="B105" i="4" s="1"/>
  <c r="B117" i="4" s="1"/>
  <c r="C56" i="4"/>
  <c r="C68" i="4" s="1"/>
  <c r="C80" i="4" s="1"/>
  <c r="C92" i="4" s="1"/>
  <c r="C104" i="4" s="1"/>
  <c r="C116" i="4" s="1"/>
  <c r="B56" i="4"/>
  <c r="B68" i="4" s="1"/>
  <c r="B80" i="4" s="1"/>
  <c r="B92" i="4" s="1"/>
  <c r="B104" i="4" s="1"/>
  <c r="B116" i="4" s="1"/>
  <c r="C55" i="4"/>
  <c r="C67" i="4" s="1"/>
  <c r="C79" i="4" s="1"/>
  <c r="C91" i="4" s="1"/>
  <c r="C103" i="4" s="1"/>
  <c r="C115" i="4" s="1"/>
  <c r="B55" i="4"/>
  <c r="B67" i="4" s="1"/>
  <c r="B79" i="4" s="1"/>
  <c r="B91" i="4" s="1"/>
  <c r="B103" i="4" s="1"/>
  <c r="B115" i="4" s="1"/>
  <c r="C54" i="4"/>
  <c r="C66" i="4" s="1"/>
  <c r="C78" i="4" s="1"/>
  <c r="C90" i="4" s="1"/>
  <c r="C102" i="4" s="1"/>
  <c r="C114" i="4" s="1"/>
  <c r="B54" i="4"/>
  <c r="B66" i="4" s="1"/>
  <c r="B78" i="4" s="1"/>
  <c r="B90" i="4" s="1"/>
  <c r="B102" i="4" s="1"/>
  <c r="B114" i="4" s="1"/>
  <c r="C53" i="4"/>
  <c r="C65" i="4" s="1"/>
  <c r="C77" i="4" s="1"/>
  <c r="C89" i="4" s="1"/>
  <c r="C101" i="4" s="1"/>
  <c r="C113" i="4" s="1"/>
  <c r="B53" i="4"/>
  <c r="B65" i="4" s="1"/>
  <c r="B77" i="4" s="1"/>
  <c r="B89" i="4" s="1"/>
  <c r="B101" i="4" s="1"/>
  <c r="B113" i="4" s="1"/>
  <c r="C52" i="4"/>
  <c r="C64" i="4" s="1"/>
  <c r="C76" i="4" s="1"/>
  <c r="C88" i="4" s="1"/>
  <c r="C100" i="4" s="1"/>
  <c r="C112" i="4" s="1"/>
  <c r="B52" i="4"/>
  <c r="B64" i="4" s="1"/>
  <c r="B76" i="4" s="1"/>
  <c r="B88" i="4" s="1"/>
  <c r="B100" i="4" s="1"/>
  <c r="B112" i="4" s="1"/>
  <c r="C51" i="4"/>
  <c r="C63" i="4" s="1"/>
  <c r="C75" i="4" s="1"/>
  <c r="C87" i="4" s="1"/>
  <c r="C99" i="4" s="1"/>
  <c r="C111" i="4" s="1"/>
  <c r="B51" i="4"/>
  <c r="B63" i="4" s="1"/>
  <c r="B75" i="4" s="1"/>
  <c r="B87" i="4" s="1"/>
  <c r="B99" i="4" s="1"/>
  <c r="B111" i="4" s="1"/>
  <c r="C50" i="4"/>
  <c r="C62" i="4" s="1"/>
  <c r="C74" i="4" s="1"/>
  <c r="C86" i="4" s="1"/>
  <c r="C98" i="4" s="1"/>
  <c r="C110" i="4" s="1"/>
  <c r="B50" i="4"/>
  <c r="B73" i="30" l="1"/>
  <c r="C73" i="30"/>
  <c r="B73" i="32"/>
  <c r="C73" i="32"/>
  <c r="B73" i="75"/>
  <c r="C73" i="75"/>
  <c r="B73" i="28"/>
  <c r="C73" i="28"/>
  <c r="C73" i="36"/>
  <c r="B73" i="36"/>
  <c r="B73" i="155"/>
  <c r="C73" i="155"/>
  <c r="C73" i="154"/>
  <c r="B73" i="154"/>
  <c r="B73" i="76"/>
  <c r="C73" i="76"/>
  <c r="B73" i="77"/>
  <c r="C73" i="77"/>
  <c r="A74" i="155"/>
  <c r="A74" i="154"/>
  <c r="A74" i="28"/>
  <c r="B74" i="67"/>
  <c r="B26" i="149" s="1"/>
  <c r="C74" i="67"/>
  <c r="C26" i="149" s="1"/>
  <c r="A75" i="67"/>
  <c r="A26" i="149"/>
  <c r="A74" i="36"/>
  <c r="A74" i="34"/>
  <c r="A74" i="30"/>
  <c r="A74" i="77"/>
  <c r="A74" i="38"/>
  <c r="A74" i="32"/>
  <c r="A74" i="75"/>
  <c r="A74" i="76"/>
  <c r="U256" i="150"/>
  <c r="AS255" i="150"/>
  <c r="Z255" i="150"/>
  <c r="AX254" i="150"/>
  <c r="Y256" i="150"/>
  <c r="AW255" i="150"/>
  <c r="T256" i="150"/>
  <c r="AR255" i="150"/>
  <c r="V256" i="150"/>
  <c r="AT255" i="150"/>
  <c r="X256" i="150"/>
  <c r="AV255" i="150"/>
  <c r="AA256" i="150"/>
  <c r="AY255" i="150"/>
  <c r="S256" i="150"/>
  <c r="AQ255" i="150"/>
  <c r="W256" i="150"/>
  <c r="AU255" i="150"/>
  <c r="R256" i="150"/>
  <c r="AP255" i="150"/>
  <c r="Q257" i="150"/>
  <c r="AO256" i="150"/>
  <c r="CO21" i="4"/>
  <c r="BT60" i="67"/>
  <c r="BT12" i="149" s="1"/>
  <c r="BY5" i="4"/>
  <c r="B62" i="4"/>
  <c r="CJ21" i="4" s="1"/>
  <c r="B39" i="65"/>
  <c r="B38" i="65"/>
  <c r="B37" i="65"/>
  <c r="B36" i="65"/>
  <c r="B35" i="65"/>
  <c r="B34" i="65"/>
  <c r="B33" i="65"/>
  <c r="B32" i="65"/>
  <c r="B31" i="65"/>
  <c r="B30" i="65"/>
  <c r="B29" i="65"/>
  <c r="B28" i="65"/>
  <c r="B27" i="65"/>
  <c r="B26" i="65"/>
  <c r="B25" i="65"/>
  <c r="B24" i="65"/>
  <c r="B23" i="65"/>
  <c r="B22" i="65"/>
  <c r="B21" i="65"/>
  <c r="B20" i="65"/>
  <c r="B19" i="65"/>
  <c r="B18" i="65"/>
  <c r="B17" i="65"/>
  <c r="B16" i="65"/>
  <c r="B15" i="65"/>
  <c r="B14" i="65"/>
  <c r="B13" i="65"/>
  <c r="B12" i="65"/>
  <c r="B11" i="65"/>
  <c r="B10" i="65"/>
  <c r="B9" i="65"/>
  <c r="B8" i="65"/>
  <c r="B7" i="65"/>
  <c r="B6" i="65"/>
  <c r="B5" i="65"/>
  <c r="B4" i="65"/>
  <c r="BT4" i="4" l="1"/>
  <c r="DJ21" i="4"/>
  <c r="BB4" i="4"/>
  <c r="BR4" i="4"/>
  <c r="CQ21" i="4"/>
  <c r="CD4" i="4"/>
  <c r="CK4" i="4"/>
  <c r="BF21" i="4"/>
  <c r="BW4" i="4"/>
  <c r="DM4" i="4"/>
  <c r="CC4" i="4"/>
  <c r="Y21" i="4"/>
  <c r="DL4" i="4"/>
  <c r="CP21" i="4"/>
  <c r="BO21" i="4"/>
  <c r="AY4" i="4"/>
  <c r="BE21" i="4"/>
  <c r="AS21" i="4"/>
  <c r="X21" i="4"/>
  <c r="CJ4" i="4"/>
  <c r="BD21" i="4"/>
  <c r="BM21" i="4"/>
  <c r="DK4" i="4"/>
  <c r="BS4" i="4"/>
  <c r="AS4" i="4"/>
  <c r="DC4" i="4"/>
  <c r="DG21" i="4"/>
  <c r="AA21" i="4"/>
  <c r="DF21" i="4"/>
  <c r="CI4" i="4"/>
  <c r="BT21" i="4"/>
  <c r="CU21" i="4"/>
  <c r="BB21" i="4"/>
  <c r="Z21" i="4"/>
  <c r="BA21" i="4"/>
  <c r="CD21" i="4"/>
  <c r="CH4" i="4"/>
  <c r="CF4" i="4"/>
  <c r="CI5" i="4"/>
  <c r="CD5" i="4"/>
  <c r="CH5" i="4"/>
  <c r="CG5" i="4"/>
  <c r="CB5" i="4"/>
  <c r="CE5" i="4"/>
  <c r="CF5" i="4"/>
  <c r="CJ5" i="4"/>
  <c r="CK5" i="4"/>
  <c r="BI21" i="4"/>
  <c r="CT21" i="4"/>
  <c r="CY4" i="4"/>
  <c r="BP21" i="4"/>
  <c r="CY21" i="4"/>
  <c r="BQ21" i="4"/>
  <c r="BR21" i="4"/>
  <c r="AN4" i="4"/>
  <c r="AP4" i="4"/>
  <c r="DH21" i="4"/>
  <c r="CB21" i="4"/>
  <c r="CU4" i="4"/>
  <c r="AK21" i="4"/>
  <c r="CW21" i="4"/>
  <c r="BV4" i="4"/>
  <c r="BC4" i="4"/>
  <c r="BD4" i="4"/>
  <c r="CQ4" i="4"/>
  <c r="CT4" i="4"/>
  <c r="CV21" i="4"/>
  <c r="CX4" i="4"/>
  <c r="BN21" i="4"/>
  <c r="BA4" i="4"/>
  <c r="DG4" i="4"/>
  <c r="DH4" i="4"/>
  <c r="AB21" i="4"/>
  <c r="BF4" i="4"/>
  <c r="CA4" i="4"/>
  <c r="CG4" i="4"/>
  <c r="AR4" i="4"/>
  <c r="AL4" i="4"/>
  <c r="CS21" i="4"/>
  <c r="DM21" i="4"/>
  <c r="CH21" i="4"/>
  <c r="DF4" i="4"/>
  <c r="CI21" i="4"/>
  <c r="CA21" i="4"/>
  <c r="AZ4" i="4"/>
  <c r="BV21" i="4"/>
  <c r="DI21" i="4"/>
  <c r="BM4" i="4"/>
  <c r="BN4" i="4"/>
  <c r="CG21" i="4"/>
  <c r="DE4" i="4"/>
  <c r="BS21" i="4"/>
  <c r="DE21" i="4"/>
  <c r="BC21" i="4"/>
  <c r="BW21" i="4"/>
  <c r="AN21" i="4"/>
  <c r="CC21" i="4"/>
  <c r="CB4" i="4"/>
  <c r="AY21" i="4"/>
  <c r="AZ21" i="4"/>
  <c r="DJ4" i="4"/>
  <c r="CF21" i="4"/>
  <c r="CO4" i="4"/>
  <c r="BO4" i="4"/>
  <c r="BP4" i="4"/>
  <c r="BH4" i="4"/>
  <c r="AO4" i="4"/>
  <c r="AD21" i="4"/>
  <c r="AE21" i="4"/>
  <c r="AG21" i="4"/>
  <c r="BH21" i="4"/>
  <c r="DD4" i="4"/>
  <c r="BE4" i="4"/>
  <c r="AU4" i="4"/>
  <c r="DL21" i="4"/>
  <c r="CE21" i="4"/>
  <c r="AO21" i="4"/>
  <c r="CX21" i="4"/>
  <c r="DC21" i="4"/>
  <c r="DD21" i="4"/>
  <c r="CK21" i="4"/>
  <c r="DI4" i="4"/>
  <c r="BU21" i="4"/>
  <c r="CC5" i="4"/>
  <c r="CA5" i="4"/>
  <c r="B74" i="75"/>
  <c r="C74" i="75"/>
  <c r="C74" i="32"/>
  <c r="B74" i="32"/>
  <c r="B74" i="38"/>
  <c r="C74" i="38"/>
  <c r="B74" i="77"/>
  <c r="C74" i="77"/>
  <c r="B74" i="30"/>
  <c r="C74" i="30"/>
  <c r="B74" i="36"/>
  <c r="C74" i="36"/>
  <c r="B74" i="28"/>
  <c r="C74" i="28"/>
  <c r="C74" i="154"/>
  <c r="B74" i="154"/>
  <c r="C74" i="155"/>
  <c r="B74" i="155"/>
  <c r="A75" i="155"/>
  <c r="A75" i="154"/>
  <c r="A76" i="67"/>
  <c r="A75" i="38"/>
  <c r="A75" i="32"/>
  <c r="A27" i="149"/>
  <c r="A75" i="36"/>
  <c r="A75" i="34"/>
  <c r="A75" i="30"/>
  <c r="A75" i="77"/>
  <c r="A75" i="28"/>
  <c r="A75" i="75"/>
  <c r="A75" i="76"/>
  <c r="C75" i="67"/>
  <c r="C27" i="149" s="1"/>
  <c r="B75" i="67"/>
  <c r="B27" i="149" s="1"/>
  <c r="C74" i="76"/>
  <c r="B74" i="76"/>
  <c r="S257" i="150"/>
  <c r="AQ256" i="150"/>
  <c r="AA257" i="150"/>
  <c r="AY256" i="150"/>
  <c r="X257" i="150"/>
  <c r="AV256" i="150"/>
  <c r="V257" i="150"/>
  <c r="AT256" i="150"/>
  <c r="T257" i="150"/>
  <c r="AR256" i="150"/>
  <c r="Q258" i="150"/>
  <c r="AO257" i="150"/>
  <c r="Y257" i="150"/>
  <c r="AW256" i="150"/>
  <c r="R257" i="150"/>
  <c r="AP256" i="150"/>
  <c r="Z256" i="150"/>
  <c r="AX255" i="150"/>
  <c r="W257" i="150"/>
  <c r="AU256" i="150"/>
  <c r="U257" i="150"/>
  <c r="AS256" i="150"/>
  <c r="DK21" i="4"/>
  <c r="CS4" i="4"/>
  <c r="BQ4" i="4"/>
  <c r="CR21" i="4"/>
  <c r="BG21" i="4"/>
  <c r="AB4" i="4"/>
  <c r="AA4" i="4"/>
  <c r="Z4" i="4"/>
  <c r="AG4" i="4"/>
  <c r="Y4" i="4"/>
  <c r="AF4" i="4"/>
  <c r="X4" i="4"/>
  <c r="AE4" i="4"/>
  <c r="W4" i="4"/>
  <c r="BT61" i="67"/>
  <c r="BT13" i="149" s="1"/>
  <c r="DA5" i="4"/>
  <c r="DD5" i="4" s="1"/>
  <c r="B74" i="4"/>
  <c r="BY6" i="4"/>
  <c r="CM5" i="4"/>
  <c r="CX5" i="4" s="1"/>
  <c r="AI5" i="4"/>
  <c r="AW5" i="4"/>
  <c r="BK5" i="4"/>
  <c r="BV5" i="4" s="1"/>
  <c r="AP21" i="4" l="1"/>
  <c r="AQ4" i="4"/>
  <c r="BG4" i="4"/>
  <c r="AC21" i="4"/>
  <c r="AQ21" i="4"/>
  <c r="BI4" i="4"/>
  <c r="AL21" i="4"/>
  <c r="AK4" i="4"/>
  <c r="AC4" i="4"/>
  <c r="AD4" i="4"/>
  <c r="AF21" i="4"/>
  <c r="CV4" i="4"/>
  <c r="W21" i="4"/>
  <c r="CE4" i="4"/>
  <c r="CP4" i="4"/>
  <c r="BU4" i="4"/>
  <c r="AU21" i="4"/>
  <c r="AT4" i="4"/>
  <c r="CW4" i="4"/>
  <c r="AM4" i="4"/>
  <c r="CR4" i="4"/>
  <c r="AM21" i="4"/>
  <c r="AR21" i="4"/>
  <c r="AT21" i="4"/>
  <c r="BB5" i="4"/>
  <c r="BF5" i="4"/>
  <c r="AZ5" i="4"/>
  <c r="BE5" i="4"/>
  <c r="AY5" i="4"/>
  <c r="BD5" i="4"/>
  <c r="BH5" i="4"/>
  <c r="BC5" i="4"/>
  <c r="BG5" i="4"/>
  <c r="BA5" i="4"/>
  <c r="BI5" i="4"/>
  <c r="BP5" i="4"/>
  <c r="BT5" i="4"/>
  <c r="BN5" i="4"/>
  <c r="BO5" i="4"/>
  <c r="BM5" i="4"/>
  <c r="BQ5" i="4"/>
  <c r="BS5" i="4"/>
  <c r="BU5" i="4"/>
  <c r="BW5" i="4"/>
  <c r="BR5" i="4"/>
  <c r="AT5" i="4"/>
  <c r="AS5" i="4"/>
  <c r="AP5" i="4"/>
  <c r="AK5" i="4"/>
  <c r="AL5" i="4"/>
  <c r="AR5" i="4"/>
  <c r="AM5" i="4"/>
  <c r="AO5" i="4"/>
  <c r="AU5" i="4"/>
  <c r="AQ5" i="4"/>
  <c r="AN5" i="4"/>
  <c r="CS5" i="4"/>
  <c r="CY5" i="4"/>
  <c r="CW5" i="4"/>
  <c r="CP5" i="4"/>
  <c r="CQ5" i="4"/>
  <c r="CT5" i="4"/>
  <c r="CV5" i="4"/>
  <c r="CO5" i="4"/>
  <c r="CR5" i="4"/>
  <c r="CU5" i="4"/>
  <c r="CD6" i="4"/>
  <c r="CK6" i="4"/>
  <c r="CI6" i="4"/>
  <c r="CA6" i="4"/>
  <c r="CF6" i="4"/>
  <c r="CG6" i="4"/>
  <c r="CE6" i="4"/>
  <c r="CH6" i="4"/>
  <c r="CB6" i="4"/>
  <c r="CJ6" i="4"/>
  <c r="CC6" i="4"/>
  <c r="DE5" i="4"/>
  <c r="DJ5" i="4"/>
  <c r="DF5" i="4"/>
  <c r="DH5" i="4"/>
  <c r="DI5" i="4"/>
  <c r="DM5" i="4"/>
  <c r="DL5" i="4"/>
  <c r="DC5" i="4"/>
  <c r="DG5" i="4"/>
  <c r="DK5" i="4"/>
  <c r="B75" i="76"/>
  <c r="C75" i="76"/>
  <c r="B75" i="75"/>
  <c r="C75" i="75"/>
  <c r="C75" i="28"/>
  <c r="B75" i="28"/>
  <c r="B75" i="77"/>
  <c r="C75" i="77"/>
  <c r="B75" i="30"/>
  <c r="C75" i="30"/>
  <c r="B75" i="36"/>
  <c r="C75" i="36"/>
  <c r="C75" i="32"/>
  <c r="B75" i="32"/>
  <c r="B75" i="38"/>
  <c r="C75" i="38"/>
  <c r="A76" i="155"/>
  <c r="A76" i="154"/>
  <c r="A76" i="77"/>
  <c r="A77" i="67"/>
  <c r="A28" i="149"/>
  <c r="A76" i="76"/>
  <c r="A76" i="36"/>
  <c r="A76" i="34"/>
  <c r="A76" i="30"/>
  <c r="B76" i="67"/>
  <c r="A76" i="28"/>
  <c r="A76" i="38"/>
  <c r="A76" i="32"/>
  <c r="A76" i="75"/>
  <c r="C76" i="67"/>
  <c r="C28" i="149" s="1"/>
  <c r="C75" i="154"/>
  <c r="B75" i="154"/>
  <c r="C75" i="155"/>
  <c r="B75" i="155"/>
  <c r="Y258" i="150"/>
  <c r="AW257" i="150"/>
  <c r="Q259" i="150"/>
  <c r="AO258" i="150"/>
  <c r="R258" i="150"/>
  <c r="AP257" i="150"/>
  <c r="T258" i="150"/>
  <c r="AR257" i="150"/>
  <c r="V258" i="150"/>
  <c r="AT257" i="150"/>
  <c r="X258" i="150"/>
  <c r="AV257" i="150"/>
  <c r="W258" i="150"/>
  <c r="AU257" i="150"/>
  <c r="AA258" i="150"/>
  <c r="AY257" i="150"/>
  <c r="U258" i="150"/>
  <c r="AS257" i="150"/>
  <c r="Z257" i="150"/>
  <c r="AX256" i="150"/>
  <c r="S258" i="150"/>
  <c r="AQ257" i="150"/>
  <c r="W5" i="4"/>
  <c r="X5" i="4"/>
  <c r="Y5" i="4"/>
  <c r="Z5" i="4"/>
  <c r="AA5" i="4"/>
  <c r="AB5" i="4"/>
  <c r="AC5" i="4"/>
  <c r="AD5" i="4"/>
  <c r="AG5" i="4"/>
  <c r="AE5" i="4"/>
  <c r="AF5" i="4"/>
  <c r="BT62" i="67"/>
  <c r="BT14" i="149" s="1"/>
  <c r="CM6" i="4"/>
  <c r="B86" i="4"/>
  <c r="BY7" i="4"/>
  <c r="BK6" i="4"/>
  <c r="AI6" i="4"/>
  <c r="AW6" i="4"/>
  <c r="DA6" i="4"/>
  <c r="DC6" i="4" l="1"/>
  <c r="DE6" i="4"/>
  <c r="DF6" i="4"/>
  <c r="DD6" i="4"/>
  <c r="DK6" i="4"/>
  <c r="DG6" i="4"/>
  <c r="DH6" i="4"/>
  <c r="DJ6" i="4"/>
  <c r="DL6" i="4"/>
  <c r="DM6" i="4"/>
  <c r="DI6" i="4"/>
  <c r="BP6" i="4"/>
  <c r="BU6" i="4"/>
  <c r="BV6" i="4"/>
  <c r="BN6" i="4"/>
  <c r="BO6" i="4"/>
  <c r="BS6" i="4"/>
  <c r="BT6" i="4"/>
  <c r="BR6" i="4"/>
  <c r="BW6" i="4"/>
  <c r="BM6" i="4"/>
  <c r="BQ6" i="4"/>
  <c r="CD7" i="4"/>
  <c r="CE7" i="4"/>
  <c r="CF7" i="4"/>
  <c r="CK7" i="4"/>
  <c r="CC7" i="4"/>
  <c r="CG7" i="4"/>
  <c r="CB7" i="4"/>
  <c r="CI7" i="4"/>
  <c r="CA7" i="4"/>
  <c r="CJ7" i="4"/>
  <c r="CH7" i="4"/>
  <c r="BF6" i="4"/>
  <c r="BG6" i="4"/>
  <c r="BE6" i="4"/>
  <c r="BC6" i="4"/>
  <c r="AZ6" i="4"/>
  <c r="BA6" i="4"/>
  <c r="AY6" i="4"/>
  <c r="BB6" i="4"/>
  <c r="BI6" i="4"/>
  <c r="BD6" i="4"/>
  <c r="BH6" i="4"/>
  <c r="AU6" i="4"/>
  <c r="AL6" i="4"/>
  <c r="AS6" i="4"/>
  <c r="AK6" i="4"/>
  <c r="AM6" i="4"/>
  <c r="AP6" i="4"/>
  <c r="AT6" i="4"/>
  <c r="AR6" i="4"/>
  <c r="AQ6" i="4"/>
  <c r="AN6" i="4"/>
  <c r="AO6" i="4"/>
  <c r="CS6" i="4"/>
  <c r="CO6" i="4"/>
  <c r="CR6" i="4"/>
  <c r="CQ6" i="4"/>
  <c r="CP6" i="4"/>
  <c r="CX6" i="4"/>
  <c r="CT6" i="4"/>
  <c r="CY6" i="4"/>
  <c r="CV6" i="4"/>
  <c r="CU6" i="4"/>
  <c r="CW6" i="4"/>
  <c r="C76" i="75"/>
  <c r="B76" i="75"/>
  <c r="B76" i="32"/>
  <c r="C76" i="32"/>
  <c r="B76" i="38"/>
  <c r="C76" i="38"/>
  <c r="B76" i="28"/>
  <c r="C76" i="28"/>
  <c r="B28" i="149"/>
  <c r="B76" i="30"/>
  <c r="C76" i="30"/>
  <c r="C76" i="36"/>
  <c r="B76" i="36"/>
  <c r="C76" i="76"/>
  <c r="B76" i="76"/>
  <c r="A77" i="155"/>
  <c r="A77" i="154"/>
  <c r="A77" i="75"/>
  <c r="A77" i="34"/>
  <c r="A77" i="77"/>
  <c r="A77" i="76"/>
  <c r="A77" i="38"/>
  <c r="B77" i="67"/>
  <c r="B29" i="149" s="1"/>
  <c r="A77" i="36"/>
  <c r="A77" i="28"/>
  <c r="C77" i="67"/>
  <c r="C29" i="149" s="1"/>
  <c r="A77" i="30"/>
  <c r="A77" i="32"/>
  <c r="A78" i="67"/>
  <c r="A29" i="149"/>
  <c r="B76" i="77"/>
  <c r="C76" i="77"/>
  <c r="C76" i="154"/>
  <c r="B76" i="154"/>
  <c r="C76" i="155"/>
  <c r="B76" i="155"/>
  <c r="AA259" i="150"/>
  <c r="AY258" i="150"/>
  <c r="W259" i="150"/>
  <c r="AU258" i="150"/>
  <c r="X259" i="150"/>
  <c r="AV258" i="150"/>
  <c r="V259" i="150"/>
  <c r="AT258" i="150"/>
  <c r="T259" i="150"/>
  <c r="AR258" i="150"/>
  <c r="S259" i="150"/>
  <c r="AQ258" i="150"/>
  <c r="R259" i="150"/>
  <c r="AP258" i="150"/>
  <c r="Z258" i="150"/>
  <c r="AX257" i="150"/>
  <c r="Q260" i="150"/>
  <c r="AO259" i="150"/>
  <c r="U259" i="150"/>
  <c r="AS258" i="150"/>
  <c r="Y259" i="150"/>
  <c r="AW258" i="150"/>
  <c r="B98" i="4"/>
  <c r="W6" i="4"/>
  <c r="X6" i="4"/>
  <c r="Z6" i="4"/>
  <c r="AC6" i="4"/>
  <c r="AD6" i="4"/>
  <c r="AE6" i="4"/>
  <c r="AF6" i="4"/>
  <c r="AG6" i="4"/>
  <c r="AA6" i="4"/>
  <c r="Y6" i="4"/>
  <c r="AB6" i="4"/>
  <c r="BT63" i="67"/>
  <c r="BT15" i="149" s="1"/>
  <c r="BY8" i="4"/>
  <c r="BK7" i="4"/>
  <c r="CM7" i="4"/>
  <c r="AW7" i="4"/>
  <c r="DA7" i="4"/>
  <c r="AI7" i="4"/>
  <c r="U22" i="4"/>
  <c r="DA22" i="4"/>
  <c r="CM22" i="4"/>
  <c r="BK22" i="4"/>
  <c r="AI22" i="4"/>
  <c r="AW22" i="4"/>
  <c r="BY22" i="4"/>
  <c r="CA8" i="4" l="1"/>
  <c r="CC8" i="4"/>
  <c r="CG8" i="4"/>
  <c r="CD8" i="4"/>
  <c r="CK8" i="4"/>
  <c r="CH8" i="4"/>
  <c r="CF8" i="4"/>
  <c r="CJ8" i="4"/>
  <c r="CI8" i="4"/>
  <c r="CB8" i="4"/>
  <c r="CE8" i="4"/>
  <c r="AR22" i="4"/>
  <c r="AK22" i="4"/>
  <c r="AU22" i="4"/>
  <c r="AO22" i="4"/>
  <c r="AM22" i="4"/>
  <c r="AL22" i="4"/>
  <c r="AN22" i="4"/>
  <c r="AS22" i="4"/>
  <c r="AP22" i="4"/>
  <c r="AQ22" i="4"/>
  <c r="AT22" i="4"/>
  <c r="BA22" i="4"/>
  <c r="AZ22" i="4"/>
  <c r="BH22" i="4"/>
  <c r="BC22" i="4"/>
  <c r="BD22" i="4"/>
  <c r="BE22" i="4"/>
  <c r="AY22" i="4"/>
  <c r="BG22" i="4"/>
  <c r="BI22" i="4"/>
  <c r="BB22" i="4"/>
  <c r="BF22" i="4"/>
  <c r="DH22" i="4"/>
  <c r="DI22" i="4"/>
  <c r="DC22" i="4"/>
  <c r="DG22" i="4"/>
  <c r="DF22" i="4"/>
  <c r="DK22" i="4"/>
  <c r="DD22" i="4"/>
  <c r="DJ22" i="4"/>
  <c r="DL22" i="4"/>
  <c r="DM22" i="4"/>
  <c r="DE22" i="4"/>
  <c r="BU22" i="4"/>
  <c r="BV22" i="4"/>
  <c r="BW22" i="4"/>
  <c r="BT22" i="4"/>
  <c r="BP22" i="4"/>
  <c r="BS22" i="4"/>
  <c r="BR22" i="4"/>
  <c r="BM22" i="4"/>
  <c r="BQ22" i="4"/>
  <c r="BO22" i="4"/>
  <c r="BN22" i="4"/>
  <c r="AU7" i="4"/>
  <c r="AP7" i="4"/>
  <c r="AS7" i="4"/>
  <c r="AQ7" i="4"/>
  <c r="AN7" i="4"/>
  <c r="AR7" i="4"/>
  <c r="AK7" i="4"/>
  <c r="AT7" i="4"/>
  <c r="AM7" i="4"/>
  <c r="AL7" i="4"/>
  <c r="AO7" i="4"/>
  <c r="CE22" i="4"/>
  <c r="CG22" i="4"/>
  <c r="CF22" i="4"/>
  <c r="CA22" i="4"/>
  <c r="CH22" i="4"/>
  <c r="CK22" i="4"/>
  <c r="CI22" i="4"/>
  <c r="CD22" i="4"/>
  <c r="CC22" i="4"/>
  <c r="CB22" i="4"/>
  <c r="CJ22" i="4"/>
  <c r="CT22" i="4"/>
  <c r="CX22" i="4"/>
  <c r="CS22" i="4"/>
  <c r="CO22" i="4"/>
  <c r="CP22" i="4"/>
  <c r="CY22" i="4"/>
  <c r="CR22" i="4"/>
  <c r="CU22" i="4"/>
  <c r="CV22" i="4"/>
  <c r="CQ22" i="4"/>
  <c r="CW22" i="4"/>
  <c r="Y22" i="4"/>
  <c r="Z22" i="4"/>
  <c r="AE22" i="4"/>
  <c r="AC22" i="4"/>
  <c r="AD22" i="4"/>
  <c r="W22" i="4"/>
  <c r="AB22" i="4"/>
  <c r="X22" i="4"/>
  <c r="AF22" i="4"/>
  <c r="AG22" i="4"/>
  <c r="AA22" i="4"/>
  <c r="DL7" i="4"/>
  <c r="DH7" i="4"/>
  <c r="DM7" i="4"/>
  <c r="DE7" i="4"/>
  <c r="DD7" i="4"/>
  <c r="DI7" i="4"/>
  <c r="DK7" i="4"/>
  <c r="DJ7" i="4"/>
  <c r="DC7" i="4"/>
  <c r="DG7" i="4"/>
  <c r="DF7" i="4"/>
  <c r="AY7" i="4"/>
  <c r="BE7" i="4"/>
  <c r="BD7" i="4"/>
  <c r="BB7" i="4"/>
  <c r="BC7" i="4"/>
  <c r="BG7" i="4"/>
  <c r="AZ7" i="4"/>
  <c r="BA7" i="4"/>
  <c r="BF7" i="4"/>
  <c r="BH7" i="4"/>
  <c r="BI7" i="4"/>
  <c r="CP7" i="4"/>
  <c r="CO7" i="4"/>
  <c r="CX7" i="4"/>
  <c r="CT7" i="4"/>
  <c r="CW7" i="4"/>
  <c r="CQ7" i="4"/>
  <c r="CY7" i="4"/>
  <c r="CS7" i="4"/>
  <c r="CU7" i="4"/>
  <c r="CV7" i="4"/>
  <c r="CR7" i="4"/>
  <c r="BR7" i="4"/>
  <c r="BV7" i="4"/>
  <c r="BT7" i="4"/>
  <c r="BU7" i="4"/>
  <c r="BQ7" i="4"/>
  <c r="BO7" i="4"/>
  <c r="BM7" i="4"/>
  <c r="BN7" i="4"/>
  <c r="BW7" i="4"/>
  <c r="BS7" i="4"/>
  <c r="BP7" i="4"/>
  <c r="A78" i="155"/>
  <c r="A78" i="154"/>
  <c r="A78" i="30"/>
  <c r="A78" i="38"/>
  <c r="A78" i="32"/>
  <c r="C78" i="67"/>
  <c r="C30" i="149" s="1"/>
  <c r="A79" i="67"/>
  <c r="B78" i="67"/>
  <c r="A78" i="76"/>
  <c r="A78" i="75"/>
  <c r="A30" i="149"/>
  <c r="A78" i="36"/>
  <c r="A78" i="34"/>
  <c r="A78" i="77"/>
  <c r="A78" i="28"/>
  <c r="B77" i="32"/>
  <c r="C77" i="32"/>
  <c r="C77" i="30"/>
  <c r="B77" i="30"/>
  <c r="B77" i="28"/>
  <c r="C77" i="28"/>
  <c r="C77" i="36"/>
  <c r="B77" i="36"/>
  <c r="B77" i="38"/>
  <c r="C77" i="38"/>
  <c r="B77" i="77"/>
  <c r="C77" i="77"/>
  <c r="B77" i="75"/>
  <c r="C77" i="75"/>
  <c r="C77" i="76"/>
  <c r="B77" i="76"/>
  <c r="C77" i="154"/>
  <c r="B77" i="154"/>
  <c r="B77" i="155"/>
  <c r="C77" i="155"/>
  <c r="Z259" i="150"/>
  <c r="AX258" i="150"/>
  <c r="AP259" i="150"/>
  <c r="R260" i="150"/>
  <c r="T260" i="150"/>
  <c r="AR259" i="150"/>
  <c r="AT259" i="150"/>
  <c r="V260" i="150"/>
  <c r="AQ259" i="150"/>
  <c r="S260" i="150"/>
  <c r="AU259" i="150"/>
  <c r="W260" i="150"/>
  <c r="AW259" i="150"/>
  <c r="Y260" i="150"/>
  <c r="AV259" i="150"/>
  <c r="X260" i="150"/>
  <c r="AS259" i="150"/>
  <c r="U260" i="150"/>
  <c r="Q261" i="150"/>
  <c r="AO260" i="150"/>
  <c r="AY259" i="150"/>
  <c r="AA260" i="150"/>
  <c r="B110" i="4"/>
  <c r="BZ21" i="4" s="1"/>
  <c r="CL21" i="4" s="1"/>
  <c r="BL21" i="4"/>
  <c r="BX21" i="4" s="1"/>
  <c r="DB4" i="4"/>
  <c r="DN4" i="4" s="1"/>
  <c r="V21" i="4"/>
  <c r="AH21" i="4" s="1"/>
  <c r="BZ7" i="4"/>
  <c r="CL7" i="4" s="1"/>
  <c r="DB5" i="4"/>
  <c r="DN5" i="4" s="1"/>
  <c r="BL5" i="4"/>
  <c r="BX5" i="4" s="1"/>
  <c r="AJ8" i="4"/>
  <c r="AB7" i="4"/>
  <c r="AC7" i="4"/>
  <c r="AE7" i="4"/>
  <c r="AG7" i="4"/>
  <c r="AD7" i="4"/>
  <c r="W7" i="4"/>
  <c r="AF7" i="4"/>
  <c r="X7" i="4"/>
  <c r="Y7" i="4"/>
  <c r="AA7" i="4"/>
  <c r="Z7" i="4"/>
  <c r="BT64" i="67"/>
  <c r="BT16" i="149" s="1"/>
  <c r="AW8" i="4"/>
  <c r="BY9" i="4"/>
  <c r="DA8" i="4"/>
  <c r="BK8" i="4"/>
  <c r="AI8" i="4"/>
  <c r="CM8" i="4"/>
  <c r="BY23" i="4"/>
  <c r="AI23" i="4"/>
  <c r="BK23" i="4"/>
  <c r="DA23" i="4"/>
  <c r="AW23" i="4"/>
  <c r="AX23" i="4" s="1"/>
  <c r="CM23" i="4"/>
  <c r="U23" i="4"/>
  <c r="CN7" i="4" l="1"/>
  <c r="CZ7" i="4" s="1"/>
  <c r="AJ22" i="4"/>
  <c r="AV22" i="4" s="1"/>
  <c r="AT8" i="4"/>
  <c r="AP8" i="4"/>
  <c r="AS8" i="4"/>
  <c r="AR8" i="4"/>
  <c r="AN8" i="4"/>
  <c r="AQ8" i="4"/>
  <c r="AK8" i="4"/>
  <c r="AV8" i="4" s="1"/>
  <c r="AM8" i="4"/>
  <c r="AL8" i="4"/>
  <c r="AO8" i="4"/>
  <c r="AU8" i="4"/>
  <c r="BS8" i="4"/>
  <c r="BW8" i="4"/>
  <c r="BU8" i="4"/>
  <c r="BM8" i="4"/>
  <c r="BN8" i="4"/>
  <c r="BO8" i="4"/>
  <c r="BP8" i="4"/>
  <c r="BQ8" i="4"/>
  <c r="BT8" i="4"/>
  <c r="BR8" i="4"/>
  <c r="BV8" i="4"/>
  <c r="AJ6" i="4"/>
  <c r="AV6" i="4" s="1"/>
  <c r="CB9" i="4"/>
  <c r="CF9" i="4"/>
  <c r="CJ9" i="4"/>
  <c r="CH9" i="4"/>
  <c r="CG9" i="4"/>
  <c r="CA9" i="4"/>
  <c r="CI9" i="4"/>
  <c r="CK9" i="4"/>
  <c r="CC9" i="4"/>
  <c r="CD9" i="4"/>
  <c r="CE9" i="4"/>
  <c r="BO23" i="4"/>
  <c r="BN23" i="4"/>
  <c r="BU23" i="4"/>
  <c r="BW23" i="4"/>
  <c r="BP23" i="4"/>
  <c r="BQ23" i="4"/>
  <c r="BM23" i="4"/>
  <c r="BT23" i="4"/>
  <c r="BV23" i="4"/>
  <c r="BR23" i="4"/>
  <c r="BS23" i="4"/>
  <c r="AU23" i="4"/>
  <c r="AT23" i="4"/>
  <c r="AQ23" i="4"/>
  <c r="AS23" i="4"/>
  <c r="AM23" i="4"/>
  <c r="AO23" i="4"/>
  <c r="AR23" i="4"/>
  <c r="AN23" i="4"/>
  <c r="AP23" i="4"/>
  <c r="AL23" i="4"/>
  <c r="AK23" i="4"/>
  <c r="CE23" i="4"/>
  <c r="CG23" i="4"/>
  <c r="CA23" i="4"/>
  <c r="CF23" i="4"/>
  <c r="CI23" i="4"/>
  <c r="CC23" i="4"/>
  <c r="CJ23" i="4"/>
  <c r="CB23" i="4"/>
  <c r="CH23" i="4"/>
  <c r="CD23" i="4"/>
  <c r="CK23" i="4"/>
  <c r="BL22" i="4"/>
  <c r="BX22" i="4" s="1"/>
  <c r="DK8" i="4"/>
  <c r="DL8" i="4"/>
  <c r="DJ8" i="4"/>
  <c r="DF8" i="4"/>
  <c r="DD8" i="4"/>
  <c r="DI8" i="4"/>
  <c r="DE8" i="4"/>
  <c r="DH8" i="4"/>
  <c r="DG8" i="4"/>
  <c r="DM8" i="4"/>
  <c r="DC8" i="4"/>
  <c r="BH8" i="4"/>
  <c r="BF8" i="4"/>
  <c r="BA8" i="4"/>
  <c r="BE8" i="4"/>
  <c r="AY8" i="4"/>
  <c r="BD8" i="4"/>
  <c r="AZ8" i="4"/>
  <c r="BG8" i="4"/>
  <c r="BB8" i="4"/>
  <c r="BC8" i="4"/>
  <c r="BI8" i="4"/>
  <c r="BL6" i="4"/>
  <c r="BX6" i="4" s="1"/>
  <c r="DB21" i="4"/>
  <c r="DN21" i="4" s="1"/>
  <c r="CY8" i="4"/>
  <c r="CQ8" i="4"/>
  <c r="CR8" i="4"/>
  <c r="CX8" i="4"/>
  <c r="CS8" i="4"/>
  <c r="CP8" i="4"/>
  <c r="CT8" i="4"/>
  <c r="CU8" i="4"/>
  <c r="CO8" i="4"/>
  <c r="CV8" i="4"/>
  <c r="CW8" i="4"/>
  <c r="AG23" i="4"/>
  <c r="Y23" i="4"/>
  <c r="X23" i="4"/>
  <c r="AF23" i="4"/>
  <c r="AA23" i="4"/>
  <c r="AC23" i="4"/>
  <c r="Z23" i="4"/>
  <c r="AB23" i="4"/>
  <c r="AD23" i="4"/>
  <c r="W23" i="4"/>
  <c r="AE23" i="4"/>
  <c r="CR23" i="4"/>
  <c r="CW23" i="4"/>
  <c r="CO23" i="4"/>
  <c r="CQ23" i="4"/>
  <c r="CP23" i="4"/>
  <c r="CV23" i="4"/>
  <c r="CX23" i="4"/>
  <c r="CS23" i="4"/>
  <c r="CT23" i="4"/>
  <c r="CU23" i="4"/>
  <c r="CY23" i="4"/>
  <c r="BC23" i="4"/>
  <c r="BF23" i="4"/>
  <c r="BE23" i="4"/>
  <c r="BH23" i="4"/>
  <c r="BI23" i="4"/>
  <c r="BB23" i="4"/>
  <c r="BD23" i="4"/>
  <c r="BG23" i="4"/>
  <c r="AY23" i="4"/>
  <c r="BJ23" i="4" s="1"/>
  <c r="AZ23" i="4"/>
  <c r="BA23" i="4"/>
  <c r="DB6" i="4"/>
  <c r="DN6" i="4" s="1"/>
  <c r="DM23" i="4"/>
  <c r="DL23" i="4"/>
  <c r="DK23" i="4"/>
  <c r="DG23" i="4"/>
  <c r="DJ23" i="4"/>
  <c r="DC23" i="4"/>
  <c r="DI23" i="4"/>
  <c r="DF23" i="4"/>
  <c r="DH23" i="4"/>
  <c r="DD23" i="4"/>
  <c r="DE23" i="4"/>
  <c r="V7" i="4"/>
  <c r="AH7" i="4" s="1"/>
  <c r="V23" i="4"/>
  <c r="A79" i="155"/>
  <c r="A79" i="154"/>
  <c r="A79" i="34"/>
  <c r="A79" i="77"/>
  <c r="A79" i="30"/>
  <c r="A79" i="28"/>
  <c r="A79" i="38"/>
  <c r="B79" i="67"/>
  <c r="C79" i="67"/>
  <c r="C31" i="149" s="1"/>
  <c r="A31" i="149"/>
  <c r="A80" i="67"/>
  <c r="A79" i="32"/>
  <c r="A79" i="75"/>
  <c r="A79" i="36"/>
  <c r="A79" i="76"/>
  <c r="B78" i="32"/>
  <c r="C78" i="32"/>
  <c r="B78" i="38"/>
  <c r="C78" i="38"/>
  <c r="B78" i="30"/>
  <c r="C78" i="30"/>
  <c r="C78" i="154"/>
  <c r="B78" i="154"/>
  <c r="C78" i="155"/>
  <c r="B78" i="155"/>
  <c r="B78" i="28"/>
  <c r="C78" i="28"/>
  <c r="B78" i="77"/>
  <c r="C78" i="77"/>
  <c r="B78" i="36"/>
  <c r="C78" i="36"/>
  <c r="B78" i="75"/>
  <c r="C78" i="75"/>
  <c r="B78" i="76"/>
  <c r="C78" i="76"/>
  <c r="B30" i="149"/>
  <c r="Y261" i="150"/>
  <c r="AW260" i="150"/>
  <c r="X261" i="150"/>
  <c r="AV260" i="150"/>
  <c r="W261" i="150"/>
  <c r="AU260" i="150"/>
  <c r="S261" i="150"/>
  <c r="AQ260" i="150"/>
  <c r="V261" i="150"/>
  <c r="AT260" i="150"/>
  <c r="AA261" i="150"/>
  <c r="AY260" i="150"/>
  <c r="R261" i="150"/>
  <c r="AP260" i="150"/>
  <c r="U261" i="150"/>
  <c r="AS260" i="150"/>
  <c r="T261" i="150"/>
  <c r="AR260" i="150"/>
  <c r="Q262" i="150"/>
  <c r="AO262" i="150" s="1"/>
  <c r="AO261" i="150"/>
  <c r="Z260" i="150"/>
  <c r="AX259" i="150"/>
  <c r="AX22" i="4"/>
  <c r="BJ22" i="4" s="1"/>
  <c r="V4" i="4"/>
  <c r="AH4" i="4" s="1"/>
  <c r="V5" i="4"/>
  <c r="AH5" i="4" s="1"/>
  <c r="CN21" i="4"/>
  <c r="CZ21" i="4" s="1"/>
  <c r="AX5" i="4"/>
  <c r="BJ5" i="4" s="1"/>
  <c r="AX21" i="4"/>
  <c r="BJ21" i="4" s="1"/>
  <c r="CN23" i="4"/>
  <c r="BZ23" i="4"/>
  <c r="AX8" i="4"/>
  <c r="AJ4" i="4"/>
  <c r="AV4" i="4" s="1"/>
  <c r="BZ22" i="4"/>
  <c r="CL22" i="4" s="1"/>
  <c r="BL23" i="4"/>
  <c r="BX23" i="4" s="1"/>
  <c r="BZ5" i="4"/>
  <c r="CL5" i="4" s="1"/>
  <c r="CN5" i="4"/>
  <c r="CZ5" i="4" s="1"/>
  <c r="AJ5" i="4"/>
  <c r="AV5" i="4" s="1"/>
  <c r="CN8" i="4"/>
  <c r="AJ23" i="4"/>
  <c r="AV23" i="4" s="1"/>
  <c r="BL7" i="4"/>
  <c r="BX7" i="4" s="1"/>
  <c r="BZ10" i="4"/>
  <c r="DB23" i="4"/>
  <c r="DN23" i="4" s="1"/>
  <c r="BL8" i="4"/>
  <c r="BX8" i="4" s="1"/>
  <c r="V22" i="4"/>
  <c r="AH22" i="4" s="1"/>
  <c r="AX7" i="4"/>
  <c r="BJ7" i="4" s="1"/>
  <c r="AJ21" i="4"/>
  <c r="AV21" i="4" s="1"/>
  <c r="DB8" i="4"/>
  <c r="BZ8" i="4"/>
  <c r="CL8" i="4" s="1"/>
  <c r="BZ9" i="4"/>
  <c r="CL9" i="4" s="1"/>
  <c r="CN4" i="4"/>
  <c r="CZ4" i="4" s="1"/>
  <c r="CN6" i="4"/>
  <c r="CZ6" i="4" s="1"/>
  <c r="AJ7" i="4"/>
  <c r="AV7" i="4" s="1"/>
  <c r="BZ6" i="4"/>
  <c r="CL6" i="4" s="1"/>
  <c r="V6" i="4"/>
  <c r="AH6" i="4" s="1"/>
  <c r="AX6" i="4"/>
  <c r="BJ6" i="4" s="1"/>
  <c r="DB7" i="4"/>
  <c r="DN7" i="4" s="1"/>
  <c r="DB22" i="4"/>
  <c r="DN22" i="4" s="1"/>
  <c r="BL4" i="4"/>
  <c r="BX4" i="4" s="1"/>
  <c r="BZ4" i="4"/>
  <c r="CL4" i="4" s="1"/>
  <c r="CN22" i="4"/>
  <c r="CZ22" i="4" s="1"/>
  <c r="AX4" i="4"/>
  <c r="BJ4" i="4" s="1"/>
  <c r="AG8" i="4"/>
  <c r="W8" i="4"/>
  <c r="X8" i="4"/>
  <c r="Y8" i="4"/>
  <c r="Z8" i="4"/>
  <c r="AA8" i="4"/>
  <c r="AB8" i="4"/>
  <c r="AC8" i="4"/>
  <c r="AD8" i="4"/>
  <c r="V8" i="4"/>
  <c r="AH8" i="4" s="1"/>
  <c r="AE8" i="4"/>
  <c r="AF8" i="4"/>
  <c r="BT65" i="67"/>
  <c r="BT17" i="149" s="1"/>
  <c r="CM9" i="4"/>
  <c r="CN9" i="4" s="1"/>
  <c r="AW9" i="4"/>
  <c r="AX9" i="4" s="1"/>
  <c r="BY10" i="4"/>
  <c r="DA9" i="4"/>
  <c r="BK9" i="4"/>
  <c r="AI9" i="4"/>
  <c r="AW24" i="4"/>
  <c r="DA24" i="4"/>
  <c r="DB24" i="4" s="1"/>
  <c r="AI24" i="4"/>
  <c r="BK24" i="4"/>
  <c r="BL24" i="4" s="1"/>
  <c r="CM24" i="4"/>
  <c r="CN24" i="4" s="1"/>
  <c r="U24" i="4"/>
  <c r="V24" i="4" s="1"/>
  <c r="BY24" i="4"/>
  <c r="BZ24" i="4" s="1"/>
  <c r="CZ8" i="4" l="1"/>
  <c r="DN8" i="4"/>
  <c r="BJ8" i="4"/>
  <c r="CL23" i="4"/>
  <c r="CZ23" i="4"/>
  <c r="AH23" i="4"/>
  <c r="AU9" i="4"/>
  <c r="AS9" i="4"/>
  <c r="AL9" i="4"/>
  <c r="AN9" i="4"/>
  <c r="AQ9" i="4"/>
  <c r="AP9" i="4"/>
  <c r="AT9" i="4"/>
  <c r="AK9" i="4"/>
  <c r="AR9" i="4"/>
  <c r="AM9" i="4"/>
  <c r="AO9" i="4"/>
  <c r="BV9" i="4"/>
  <c r="BP9" i="4"/>
  <c r="BO9" i="4"/>
  <c r="BQ9" i="4"/>
  <c r="BM9" i="4"/>
  <c r="BN9" i="4"/>
  <c r="BT9" i="4"/>
  <c r="BU9" i="4"/>
  <c r="BS9" i="4"/>
  <c r="BR9" i="4"/>
  <c r="BW9" i="4"/>
  <c r="BL9" i="4"/>
  <c r="CK10" i="4"/>
  <c r="CG10" i="4"/>
  <c r="CB10" i="4"/>
  <c r="CE10" i="4"/>
  <c r="CA10" i="4"/>
  <c r="CL10" i="4" s="1"/>
  <c r="CF10" i="4"/>
  <c r="CI10" i="4"/>
  <c r="CD10" i="4"/>
  <c r="CC10" i="4"/>
  <c r="CJ10" i="4"/>
  <c r="CH10" i="4"/>
  <c r="BA24" i="4"/>
  <c r="BH24" i="4"/>
  <c r="AZ24" i="4"/>
  <c r="BD24" i="4"/>
  <c r="BE24" i="4"/>
  <c r="BB24" i="4"/>
  <c r="AY24" i="4"/>
  <c r="BC24" i="4"/>
  <c r="BI24" i="4"/>
  <c r="BG24" i="4"/>
  <c r="BF24" i="4"/>
  <c r="AX24" i="4"/>
  <c r="BC9" i="4"/>
  <c r="BF9" i="4"/>
  <c r="BG9" i="4"/>
  <c r="BI9" i="4"/>
  <c r="BE9" i="4"/>
  <c r="BA9" i="4"/>
  <c r="BB9" i="4"/>
  <c r="BD9" i="4"/>
  <c r="AZ9" i="4"/>
  <c r="AY9" i="4"/>
  <c r="BJ9" i="4" s="1"/>
  <c r="BH9" i="4"/>
  <c r="CS9" i="4"/>
  <c r="CP9" i="4"/>
  <c r="CY9" i="4"/>
  <c r="CQ9" i="4"/>
  <c r="CV9" i="4"/>
  <c r="CT9" i="4"/>
  <c r="CU9" i="4"/>
  <c r="CX9" i="4"/>
  <c r="CO9" i="4"/>
  <c r="CZ9" i="4" s="1"/>
  <c r="CR9" i="4"/>
  <c r="CW9" i="4"/>
  <c r="DM9" i="4"/>
  <c r="DI9" i="4"/>
  <c r="DK9" i="4"/>
  <c r="DF9" i="4"/>
  <c r="DE9" i="4"/>
  <c r="DJ9" i="4"/>
  <c r="DD9" i="4"/>
  <c r="DL9" i="4"/>
  <c r="DG9" i="4"/>
  <c r="DC9" i="4"/>
  <c r="DH9" i="4"/>
  <c r="DF24" i="4"/>
  <c r="DC24" i="4"/>
  <c r="DN24" i="4" s="1"/>
  <c r="DG24" i="4"/>
  <c r="DK24" i="4"/>
  <c r="DL24" i="4"/>
  <c r="DH24" i="4"/>
  <c r="DJ24" i="4"/>
  <c r="DD24" i="4"/>
  <c r="DI24" i="4"/>
  <c r="DE24" i="4"/>
  <c r="DM24" i="4"/>
  <c r="CJ24" i="4"/>
  <c r="CA24" i="4"/>
  <c r="CL24" i="4" s="1"/>
  <c r="CG24" i="4"/>
  <c r="CH24" i="4"/>
  <c r="CI24" i="4"/>
  <c r="CF24" i="4"/>
  <c r="CC24" i="4"/>
  <c r="CB24" i="4"/>
  <c r="CK24" i="4"/>
  <c r="CD24" i="4"/>
  <c r="CE24" i="4"/>
  <c r="DB9" i="4"/>
  <c r="Z24" i="4"/>
  <c r="AE24" i="4"/>
  <c r="AB24" i="4"/>
  <c r="W24" i="4"/>
  <c r="AH24" i="4" s="1"/>
  <c r="AC24" i="4"/>
  <c r="AF24" i="4"/>
  <c r="X24" i="4"/>
  <c r="AG24" i="4"/>
  <c r="AD24" i="4"/>
  <c r="Y24" i="4"/>
  <c r="AA24" i="4"/>
  <c r="CS24" i="4"/>
  <c r="CW24" i="4"/>
  <c r="CV24" i="4"/>
  <c r="CU24" i="4"/>
  <c r="CO24" i="4"/>
  <c r="CZ24" i="4" s="1"/>
  <c r="CR24" i="4"/>
  <c r="CP24" i="4"/>
  <c r="CY24" i="4"/>
  <c r="CT24" i="4"/>
  <c r="CX24" i="4"/>
  <c r="CQ24" i="4"/>
  <c r="BT24" i="4"/>
  <c r="BO24" i="4"/>
  <c r="BN24" i="4"/>
  <c r="BU24" i="4"/>
  <c r="BR24" i="4"/>
  <c r="BV24" i="4"/>
  <c r="BW24" i="4"/>
  <c r="BS24" i="4"/>
  <c r="BQ24" i="4"/>
  <c r="BP24" i="4"/>
  <c r="BM24" i="4"/>
  <c r="BX24" i="4" s="1"/>
  <c r="AJ9" i="4"/>
  <c r="AV9" i="4" s="1"/>
  <c r="AN24" i="4"/>
  <c r="AQ24" i="4"/>
  <c r="AR24" i="4"/>
  <c r="AK24" i="4"/>
  <c r="AP24" i="4"/>
  <c r="AU24" i="4"/>
  <c r="AS24" i="4"/>
  <c r="AO24" i="4"/>
  <c r="AT24" i="4"/>
  <c r="AL24" i="4"/>
  <c r="AM24" i="4"/>
  <c r="AJ24" i="4"/>
  <c r="B79" i="76"/>
  <c r="C79" i="76"/>
  <c r="B79" i="36"/>
  <c r="C79" i="36"/>
  <c r="C79" i="75"/>
  <c r="B79" i="75"/>
  <c r="C79" i="32"/>
  <c r="B79" i="32"/>
  <c r="A80" i="155"/>
  <c r="A80" i="154"/>
  <c r="A80" i="76"/>
  <c r="C80" i="67"/>
  <c r="C32" i="149" s="1"/>
  <c r="A80" i="32"/>
  <c r="A80" i="36"/>
  <c r="A80" i="30"/>
  <c r="A80" i="34"/>
  <c r="A80" i="28"/>
  <c r="B80" i="67"/>
  <c r="A80" i="77"/>
  <c r="A80" i="75"/>
  <c r="A32" i="149"/>
  <c r="A81" i="67"/>
  <c r="A80" i="38"/>
  <c r="B31" i="149"/>
  <c r="B79" i="38"/>
  <c r="C79" i="38"/>
  <c r="B79" i="28"/>
  <c r="C79" i="28"/>
  <c r="B79" i="30"/>
  <c r="C79" i="30"/>
  <c r="B79" i="77"/>
  <c r="C79" i="77"/>
  <c r="C79" i="154"/>
  <c r="B79" i="154"/>
  <c r="C79" i="155"/>
  <c r="B79" i="155"/>
  <c r="U262" i="150"/>
  <c r="AS262" i="150" s="1"/>
  <c r="AS261" i="150"/>
  <c r="R262" i="150"/>
  <c r="AP262" i="150" s="1"/>
  <c r="AP261" i="150"/>
  <c r="AA262" i="150"/>
  <c r="AY262" i="150" s="1"/>
  <c r="AY261" i="150"/>
  <c r="V262" i="150"/>
  <c r="AT262" i="150" s="1"/>
  <c r="AT261" i="150"/>
  <c r="S262" i="150"/>
  <c r="AQ262" i="150" s="1"/>
  <c r="AQ261" i="150"/>
  <c r="Z261" i="150"/>
  <c r="AX260" i="150"/>
  <c r="W262" i="150"/>
  <c r="AU262" i="150" s="1"/>
  <c r="AU261" i="150"/>
  <c r="X262" i="150"/>
  <c r="AV262" i="150" s="1"/>
  <c r="AV261" i="150"/>
  <c r="T262" i="150"/>
  <c r="AR262" i="150" s="1"/>
  <c r="AR261" i="150"/>
  <c r="Y262" i="150"/>
  <c r="AW262" i="150" s="1"/>
  <c r="AW261" i="150"/>
  <c r="X9" i="4"/>
  <c r="W9" i="4"/>
  <c r="Y9" i="4"/>
  <c r="AB9" i="4"/>
  <c r="AC9" i="4"/>
  <c r="AD9" i="4"/>
  <c r="Z9" i="4"/>
  <c r="AE9" i="4"/>
  <c r="AF9" i="4"/>
  <c r="AG9" i="4"/>
  <c r="AA9" i="4"/>
  <c r="V9" i="4"/>
  <c r="AH9" i="4" s="1"/>
  <c r="BT66" i="67"/>
  <c r="BT18" i="149" s="1"/>
  <c r="AW10" i="4"/>
  <c r="BY11" i="4"/>
  <c r="DA10" i="4"/>
  <c r="BK10" i="4"/>
  <c r="AI10" i="4"/>
  <c r="CM10" i="4"/>
  <c r="BY25" i="4"/>
  <c r="DA25" i="4"/>
  <c r="AI25" i="4"/>
  <c r="CM25" i="4"/>
  <c r="U25" i="4"/>
  <c r="BK25" i="4"/>
  <c r="AW25" i="4"/>
  <c r="BX9" i="4" l="1"/>
  <c r="DN9" i="4"/>
  <c r="AV24" i="4"/>
  <c r="BJ24" i="4"/>
  <c r="DK25" i="4"/>
  <c r="DE25" i="4"/>
  <c r="DD25" i="4"/>
  <c r="DC25" i="4"/>
  <c r="DM25" i="4"/>
  <c r="DL25" i="4"/>
  <c r="DI25" i="4"/>
  <c r="DG25" i="4"/>
  <c r="DJ25" i="4"/>
  <c r="DF25" i="4"/>
  <c r="DH25" i="4"/>
  <c r="DB25" i="4"/>
  <c r="CI25" i="4"/>
  <c r="CC25" i="4"/>
  <c r="CF25" i="4"/>
  <c r="CK25" i="4"/>
  <c r="CG25" i="4"/>
  <c r="CB25" i="4"/>
  <c r="CJ25" i="4"/>
  <c r="CD25" i="4"/>
  <c r="CA25" i="4"/>
  <c r="CH25" i="4"/>
  <c r="CE25" i="4"/>
  <c r="BZ25" i="4"/>
  <c r="CY10" i="4"/>
  <c r="CX10" i="4"/>
  <c r="CW10" i="4"/>
  <c r="CS10" i="4"/>
  <c r="CT10" i="4"/>
  <c r="CQ10" i="4"/>
  <c r="CP10" i="4"/>
  <c r="CV10" i="4"/>
  <c r="CR10" i="4"/>
  <c r="CU10" i="4"/>
  <c r="CO10" i="4"/>
  <c r="CN10" i="4"/>
  <c r="CZ10" i="4" s="1"/>
  <c r="AS10" i="4"/>
  <c r="AU10" i="4"/>
  <c r="AK10" i="4"/>
  <c r="AR10" i="4"/>
  <c r="AQ10" i="4"/>
  <c r="AT10" i="4"/>
  <c r="AL10" i="4"/>
  <c r="AN10" i="4"/>
  <c r="AM10" i="4"/>
  <c r="AO10" i="4"/>
  <c r="AP10" i="4"/>
  <c r="AJ10" i="4"/>
  <c r="BS25" i="4"/>
  <c r="BO25" i="4"/>
  <c r="BR25" i="4"/>
  <c r="BQ25" i="4"/>
  <c r="BW25" i="4"/>
  <c r="BN25" i="4"/>
  <c r="BT25" i="4"/>
  <c r="BP25" i="4"/>
  <c r="BV25" i="4"/>
  <c r="BU25" i="4"/>
  <c r="BM25" i="4"/>
  <c r="BL25" i="4"/>
  <c r="BP10" i="4"/>
  <c r="BQ10" i="4"/>
  <c r="BU10" i="4"/>
  <c r="BT10" i="4"/>
  <c r="BR10" i="4"/>
  <c r="BV10" i="4"/>
  <c r="BW10" i="4"/>
  <c r="BS10" i="4"/>
  <c r="BM10" i="4"/>
  <c r="BN10" i="4"/>
  <c r="BO10" i="4"/>
  <c r="BL10" i="4"/>
  <c r="DI10" i="4"/>
  <c r="DE10" i="4"/>
  <c r="DF10" i="4"/>
  <c r="DD10" i="4"/>
  <c r="DC10" i="4"/>
  <c r="DJ10" i="4"/>
  <c r="DK10" i="4"/>
  <c r="DG10" i="4"/>
  <c r="DL10" i="4"/>
  <c r="DH10" i="4"/>
  <c r="DM10" i="4"/>
  <c r="DB10" i="4"/>
  <c r="CJ11" i="4"/>
  <c r="CA11" i="4"/>
  <c r="CH11" i="4"/>
  <c r="CI11" i="4"/>
  <c r="CG11" i="4"/>
  <c r="CB11" i="4"/>
  <c r="CF11" i="4"/>
  <c r="CE11" i="4"/>
  <c r="CD11" i="4"/>
  <c r="CC11" i="4"/>
  <c r="CK11" i="4"/>
  <c r="BZ11" i="4"/>
  <c r="BG10" i="4"/>
  <c r="BA10" i="4"/>
  <c r="AZ10" i="4"/>
  <c r="AY10" i="4"/>
  <c r="BH10" i="4"/>
  <c r="BD10" i="4"/>
  <c r="BI10" i="4"/>
  <c r="BE10" i="4"/>
  <c r="BF10" i="4"/>
  <c r="BC10" i="4"/>
  <c r="BB10" i="4"/>
  <c r="AX10" i="4"/>
  <c r="BA25" i="4"/>
  <c r="BF25" i="4"/>
  <c r="AZ25" i="4"/>
  <c r="AY25" i="4"/>
  <c r="BH25" i="4"/>
  <c r="BG25" i="4"/>
  <c r="BE25" i="4"/>
  <c r="BD25" i="4"/>
  <c r="BB25" i="4"/>
  <c r="BC25" i="4"/>
  <c r="BI25" i="4"/>
  <c r="AX25" i="4"/>
  <c r="Z25" i="4"/>
  <c r="AF25" i="4"/>
  <c r="AB25" i="4"/>
  <c r="AA25" i="4"/>
  <c r="W25" i="4"/>
  <c r="AC25" i="4"/>
  <c r="X25" i="4"/>
  <c r="AE25" i="4"/>
  <c r="AD25" i="4"/>
  <c r="AG25" i="4"/>
  <c r="Y25" i="4"/>
  <c r="V25" i="4"/>
  <c r="CQ25" i="4"/>
  <c r="CX25" i="4"/>
  <c r="CY25" i="4"/>
  <c r="CW25" i="4"/>
  <c r="CU25" i="4"/>
  <c r="CR25" i="4"/>
  <c r="CT25" i="4"/>
  <c r="CP25" i="4"/>
  <c r="CS25" i="4"/>
  <c r="CO25" i="4"/>
  <c r="CV25" i="4"/>
  <c r="CN25" i="4"/>
  <c r="AR25" i="4"/>
  <c r="AN25" i="4"/>
  <c r="AP25" i="4"/>
  <c r="AL25" i="4"/>
  <c r="AQ25" i="4"/>
  <c r="AT25" i="4"/>
  <c r="AK25" i="4"/>
  <c r="AM25" i="4"/>
  <c r="AU25" i="4"/>
  <c r="AO25" i="4"/>
  <c r="AS25" i="4"/>
  <c r="AJ25" i="4"/>
  <c r="C80" i="30"/>
  <c r="B80" i="30"/>
  <c r="B80" i="36"/>
  <c r="C80" i="36"/>
  <c r="B80" i="32"/>
  <c r="C80" i="32"/>
  <c r="B80" i="76"/>
  <c r="C80" i="76"/>
  <c r="C80" i="154"/>
  <c r="B80" i="154"/>
  <c r="C80" i="155"/>
  <c r="B80" i="155"/>
  <c r="B80" i="38"/>
  <c r="C80" i="38"/>
  <c r="A81" i="155"/>
  <c r="A81" i="154"/>
  <c r="A81" i="32"/>
  <c r="A81" i="30"/>
  <c r="A81" i="34"/>
  <c r="A81" i="77"/>
  <c r="A81" i="75"/>
  <c r="A81" i="76"/>
  <c r="A81" i="28"/>
  <c r="A81" i="36"/>
  <c r="C81" i="67"/>
  <c r="C33" i="149" s="1"/>
  <c r="B81" i="67"/>
  <c r="A81" i="38"/>
  <c r="A82" i="67"/>
  <c r="A33" i="149"/>
  <c r="B80" i="75"/>
  <c r="C80" i="75"/>
  <c r="C80" i="77"/>
  <c r="B80" i="77"/>
  <c r="B32" i="149"/>
  <c r="B80" i="28"/>
  <c r="C80" i="28"/>
  <c r="Z262" i="150"/>
  <c r="AX262" i="150" s="1"/>
  <c r="AX261" i="150"/>
  <c r="AA10" i="4"/>
  <c r="AE10" i="4"/>
  <c r="AB10" i="4"/>
  <c r="AD10" i="4"/>
  <c r="AG10" i="4"/>
  <c r="AF10" i="4"/>
  <c r="W10" i="4"/>
  <c r="AC10" i="4"/>
  <c r="X10" i="4"/>
  <c r="Z10" i="4"/>
  <c r="Y10" i="4"/>
  <c r="V10" i="4"/>
  <c r="BT67" i="67"/>
  <c r="BT19" i="149" s="1"/>
  <c r="BY12" i="4"/>
  <c r="DA11" i="4"/>
  <c r="BK11" i="4"/>
  <c r="AI11" i="4"/>
  <c r="CM11" i="4"/>
  <c r="AW11" i="4"/>
  <c r="AW26" i="4"/>
  <c r="U26" i="4"/>
  <c r="CM26" i="4"/>
  <c r="AI26" i="4"/>
  <c r="DA26" i="4"/>
  <c r="BK26" i="4"/>
  <c r="BY26" i="4"/>
  <c r="AH25" i="4" l="1"/>
  <c r="DN10" i="4"/>
  <c r="CZ25" i="4"/>
  <c r="CL11" i="4"/>
  <c r="AV10" i="4"/>
  <c r="AH10" i="4"/>
  <c r="BJ10" i="4"/>
  <c r="BX25" i="4"/>
  <c r="DN25" i="4"/>
  <c r="AV25" i="4"/>
  <c r="BJ25" i="4"/>
  <c r="BX10" i="4"/>
  <c r="CL25" i="4"/>
  <c r="BT26" i="4"/>
  <c r="BW26" i="4"/>
  <c r="BU26" i="4"/>
  <c r="BV26" i="4"/>
  <c r="BO26" i="4"/>
  <c r="BP26" i="4"/>
  <c r="BQ26" i="4"/>
  <c r="BM26" i="4"/>
  <c r="BN26" i="4"/>
  <c r="BR26" i="4"/>
  <c r="BS26" i="4"/>
  <c r="BL26" i="4"/>
  <c r="BX26" i="4" s="1"/>
  <c r="DC26" i="4"/>
  <c r="DK26" i="4"/>
  <c r="DF26" i="4"/>
  <c r="DI26" i="4"/>
  <c r="DD26" i="4"/>
  <c r="DH26" i="4"/>
  <c r="DM26" i="4"/>
  <c r="DL26" i="4"/>
  <c r="DE26" i="4"/>
  <c r="DG26" i="4"/>
  <c r="DJ26" i="4"/>
  <c r="DB26" i="4"/>
  <c r="CQ26" i="4"/>
  <c r="CP26" i="4"/>
  <c r="CX26" i="4"/>
  <c r="CO26" i="4"/>
  <c r="CW26" i="4"/>
  <c r="CS26" i="4"/>
  <c r="CY26" i="4"/>
  <c r="CU26" i="4"/>
  <c r="CV26" i="4"/>
  <c r="CR26" i="4"/>
  <c r="CT26" i="4"/>
  <c r="CN26" i="4"/>
  <c r="AE26" i="4"/>
  <c r="AB26" i="4"/>
  <c r="X26" i="4"/>
  <c r="Z26" i="4"/>
  <c r="AG26" i="4"/>
  <c r="AF26" i="4"/>
  <c r="AC26" i="4"/>
  <c r="Y26" i="4"/>
  <c r="AA26" i="4"/>
  <c r="W26" i="4"/>
  <c r="AD26" i="4"/>
  <c r="V26" i="4"/>
  <c r="AR26" i="4"/>
  <c r="AU26" i="4"/>
  <c r="AN26" i="4"/>
  <c r="AK26" i="4"/>
  <c r="AL26" i="4"/>
  <c r="AM26" i="4"/>
  <c r="AP26" i="4"/>
  <c r="AQ26" i="4"/>
  <c r="AS26" i="4"/>
  <c r="AT26" i="4"/>
  <c r="AO26" i="4"/>
  <c r="AJ26" i="4"/>
  <c r="AV26" i="4" s="1"/>
  <c r="BF26" i="4"/>
  <c r="BB26" i="4"/>
  <c r="BE26" i="4"/>
  <c r="BD26" i="4"/>
  <c r="AY26" i="4"/>
  <c r="BC26" i="4"/>
  <c r="BI26" i="4"/>
  <c r="BG26" i="4"/>
  <c r="BH26" i="4"/>
  <c r="AZ26" i="4"/>
  <c r="BA26" i="4"/>
  <c r="AX26" i="4"/>
  <c r="AZ11" i="4"/>
  <c r="BI11" i="4"/>
  <c r="BH11" i="4"/>
  <c r="BA11" i="4"/>
  <c r="BB11" i="4"/>
  <c r="BD11" i="4"/>
  <c r="BF11" i="4"/>
  <c r="BC11" i="4"/>
  <c r="BG11" i="4"/>
  <c r="AY11" i="4"/>
  <c r="BE11" i="4"/>
  <c r="AX11" i="4"/>
  <c r="CG26" i="4"/>
  <c r="CH26" i="4"/>
  <c r="CK26" i="4"/>
  <c r="CA26" i="4"/>
  <c r="CB26" i="4"/>
  <c r="CC26" i="4"/>
  <c r="CI26" i="4"/>
  <c r="CD26" i="4"/>
  <c r="CE26" i="4"/>
  <c r="CF26" i="4"/>
  <c r="CJ26" i="4"/>
  <c r="BZ26" i="4"/>
  <c r="CO11" i="4"/>
  <c r="CT11" i="4"/>
  <c r="CS11" i="4"/>
  <c r="CQ11" i="4"/>
  <c r="CX11" i="4"/>
  <c r="CP11" i="4"/>
  <c r="CW11" i="4"/>
  <c r="CV11" i="4"/>
  <c r="CU11" i="4"/>
  <c r="CY11" i="4"/>
  <c r="CR11" i="4"/>
  <c r="CN11" i="4"/>
  <c r="CZ11" i="4" s="1"/>
  <c r="BP11" i="4"/>
  <c r="BV11" i="4"/>
  <c r="BT11" i="4"/>
  <c r="BS11" i="4"/>
  <c r="BU11" i="4"/>
  <c r="BQ11" i="4"/>
  <c r="BR11" i="4"/>
  <c r="BN11" i="4"/>
  <c r="BW11" i="4"/>
  <c r="BO11" i="4"/>
  <c r="BM11" i="4"/>
  <c r="BL11" i="4"/>
  <c r="CJ12" i="4"/>
  <c r="CE12" i="4"/>
  <c r="CG12" i="4"/>
  <c r="CI12" i="4"/>
  <c r="CK12" i="4"/>
  <c r="CC12" i="4"/>
  <c r="CD12" i="4"/>
  <c r="CF12" i="4"/>
  <c r="CH12" i="4"/>
  <c r="CA12" i="4"/>
  <c r="CB12" i="4"/>
  <c r="BZ12" i="4"/>
  <c r="AR11" i="4"/>
  <c r="AP11" i="4"/>
  <c r="AN11" i="4"/>
  <c r="AT11" i="4"/>
  <c r="AO11" i="4"/>
  <c r="AU11" i="4"/>
  <c r="AL11" i="4"/>
  <c r="AM11" i="4"/>
  <c r="AK11" i="4"/>
  <c r="AQ11" i="4"/>
  <c r="AS11" i="4"/>
  <c r="AJ11" i="4"/>
  <c r="DF11" i="4"/>
  <c r="DG11" i="4"/>
  <c r="DJ11" i="4"/>
  <c r="DK11" i="4"/>
  <c r="DI11" i="4"/>
  <c r="DE11" i="4"/>
  <c r="DD11" i="4"/>
  <c r="DM11" i="4"/>
  <c r="DH11" i="4"/>
  <c r="DL11" i="4"/>
  <c r="DC11" i="4"/>
  <c r="DB11" i="4"/>
  <c r="DN11" i="4" s="1"/>
  <c r="C81" i="154"/>
  <c r="B81" i="154"/>
  <c r="B81" i="155"/>
  <c r="C81" i="155"/>
  <c r="B81" i="38"/>
  <c r="C81" i="38"/>
  <c r="B33" i="149"/>
  <c r="A82" i="155"/>
  <c r="A82" i="154"/>
  <c r="A34" i="149"/>
  <c r="A82" i="38"/>
  <c r="A82" i="32"/>
  <c r="A82" i="75"/>
  <c r="A82" i="30"/>
  <c r="A82" i="76"/>
  <c r="A82" i="34"/>
  <c r="A82" i="77"/>
  <c r="C82" i="67"/>
  <c r="C34" i="149" s="1"/>
  <c r="B82" i="67"/>
  <c r="A82" i="28"/>
  <c r="A83" i="67"/>
  <c r="A82" i="36"/>
  <c r="B81" i="77"/>
  <c r="C81" i="77"/>
  <c r="B81" i="30"/>
  <c r="C81" i="30"/>
  <c r="C81" i="36"/>
  <c r="B81" i="36"/>
  <c r="C81" i="28"/>
  <c r="B81" i="28"/>
  <c r="B81" i="76"/>
  <c r="C81" i="76"/>
  <c r="B81" i="75"/>
  <c r="C81" i="75"/>
  <c r="C81" i="32"/>
  <c r="B81" i="32"/>
  <c r="AF11" i="4"/>
  <c r="V11" i="4"/>
  <c r="AG11" i="4"/>
  <c r="W11" i="4"/>
  <c r="X11" i="4"/>
  <c r="Y11" i="4"/>
  <c r="Z11" i="4"/>
  <c r="AA11" i="4"/>
  <c r="AB11" i="4"/>
  <c r="AE11" i="4"/>
  <c r="AC11" i="4"/>
  <c r="AD11" i="4"/>
  <c r="BT68" i="67"/>
  <c r="BT20" i="149" s="1"/>
  <c r="DA12" i="4"/>
  <c r="BK12" i="4"/>
  <c r="AI12" i="4"/>
  <c r="CM12" i="4"/>
  <c r="AW12" i="4"/>
  <c r="BY13" i="4"/>
  <c r="DA27" i="4"/>
  <c r="BY27" i="4"/>
  <c r="U27" i="4"/>
  <c r="CM27" i="4"/>
  <c r="AI27" i="4"/>
  <c r="BK27" i="4"/>
  <c r="AW27" i="4"/>
  <c r="BX11" i="4" l="1"/>
  <c r="BJ26" i="4"/>
  <c r="DN26" i="4"/>
  <c r="BJ11" i="4"/>
  <c r="CZ26" i="4"/>
  <c r="AH11" i="4"/>
  <c r="CL26" i="4"/>
  <c r="AH26" i="4"/>
  <c r="CL12" i="4"/>
  <c r="AV11" i="4"/>
  <c r="BY14" i="4"/>
  <c r="BY15" i="4" s="1"/>
  <c r="CF13" i="4"/>
  <c r="CF14" i="4" s="1"/>
  <c r="CI13" i="4"/>
  <c r="CI14" i="4" s="1"/>
  <c r="CB13" i="4"/>
  <c r="CB14" i="4" s="1"/>
  <c r="CC13" i="4"/>
  <c r="CC14" i="4" s="1"/>
  <c r="CA13" i="4"/>
  <c r="CA14" i="4" s="1"/>
  <c r="CE13" i="4"/>
  <c r="CE14" i="4" s="1"/>
  <c r="CK13" i="4"/>
  <c r="CK14" i="4" s="1"/>
  <c r="CH13" i="4"/>
  <c r="CH14" i="4" s="1"/>
  <c r="CD13" i="4"/>
  <c r="CD14" i="4" s="1"/>
  <c r="CG13" i="4"/>
  <c r="CG14" i="4" s="1"/>
  <c r="CJ13" i="4"/>
  <c r="CJ14" i="4" s="1"/>
  <c r="BZ13" i="4"/>
  <c r="BE12" i="4"/>
  <c r="BH12" i="4"/>
  <c r="BF12" i="4"/>
  <c r="AY12" i="4"/>
  <c r="BI12" i="4"/>
  <c r="BB12" i="4"/>
  <c r="BC12" i="4"/>
  <c r="BG12" i="4"/>
  <c r="BA12" i="4"/>
  <c r="BD12" i="4"/>
  <c r="AZ12" i="4"/>
  <c r="AX12" i="4"/>
  <c r="DI12" i="4"/>
  <c r="DJ12" i="4"/>
  <c r="DL12" i="4"/>
  <c r="DF12" i="4"/>
  <c r="DC12" i="4"/>
  <c r="DM12" i="4"/>
  <c r="DE12" i="4"/>
  <c r="DD12" i="4"/>
  <c r="DH12" i="4"/>
  <c r="DK12" i="4"/>
  <c r="DG12" i="4"/>
  <c r="DB12" i="4"/>
  <c r="AL27" i="4"/>
  <c r="AR27" i="4"/>
  <c r="AK27" i="4"/>
  <c r="AN27" i="4"/>
  <c r="AO27" i="4"/>
  <c r="AM27" i="4"/>
  <c r="AT27" i="4"/>
  <c r="AQ27" i="4"/>
  <c r="AP27" i="4"/>
  <c r="AU27" i="4"/>
  <c r="AS27" i="4"/>
  <c r="AJ27" i="4"/>
  <c r="CS12" i="4"/>
  <c r="CT12" i="4"/>
  <c r="CR12" i="4"/>
  <c r="CQ12" i="4"/>
  <c r="CP12" i="4"/>
  <c r="CU12" i="4"/>
  <c r="CW12" i="4"/>
  <c r="CX12" i="4"/>
  <c r="CV12" i="4"/>
  <c r="CY12" i="4"/>
  <c r="CO12" i="4"/>
  <c r="CN12" i="4"/>
  <c r="CZ12" i="4" s="1"/>
  <c r="AN12" i="4"/>
  <c r="AO12" i="4"/>
  <c r="AK12" i="4"/>
  <c r="AR12" i="4"/>
  <c r="AP12" i="4"/>
  <c r="AT12" i="4"/>
  <c r="AL12" i="4"/>
  <c r="AM12" i="4"/>
  <c r="AU12" i="4"/>
  <c r="AS12" i="4"/>
  <c r="AQ12" i="4"/>
  <c r="AJ12" i="4"/>
  <c r="BP12" i="4"/>
  <c r="BS12" i="4"/>
  <c r="BN12" i="4"/>
  <c r="BU12" i="4"/>
  <c r="BQ12" i="4"/>
  <c r="BR12" i="4"/>
  <c r="BV12" i="4"/>
  <c r="BW12" i="4"/>
  <c r="BO12" i="4"/>
  <c r="BM12" i="4"/>
  <c r="BT12" i="4"/>
  <c r="BL12" i="4"/>
  <c r="BG27" i="4"/>
  <c r="BI27" i="4"/>
  <c r="BD27" i="4"/>
  <c r="BC27" i="4"/>
  <c r="AY27" i="4"/>
  <c r="AZ27" i="4"/>
  <c r="BA27" i="4"/>
  <c r="BB27" i="4"/>
  <c r="BH27" i="4"/>
  <c r="BE27" i="4"/>
  <c r="BF27" i="4"/>
  <c r="AX27" i="4"/>
  <c r="BV27" i="4"/>
  <c r="BN27" i="4"/>
  <c r="BR27" i="4"/>
  <c r="BT27" i="4"/>
  <c r="BU27" i="4"/>
  <c r="BQ27" i="4"/>
  <c r="BP27" i="4"/>
  <c r="BS27" i="4"/>
  <c r="BM27" i="4"/>
  <c r="BO27" i="4"/>
  <c r="BW27" i="4"/>
  <c r="BL27" i="4"/>
  <c r="BX27" i="4" s="1"/>
  <c r="CR27" i="4"/>
  <c r="CU27" i="4"/>
  <c r="CY27" i="4"/>
  <c r="CQ27" i="4"/>
  <c r="CW27" i="4"/>
  <c r="CX27" i="4"/>
  <c r="CO27" i="4"/>
  <c r="CT27" i="4"/>
  <c r="CS27" i="4"/>
  <c r="CV27" i="4"/>
  <c r="CP27" i="4"/>
  <c r="CN27" i="4"/>
  <c r="AE27" i="4"/>
  <c r="X27" i="4"/>
  <c r="Z27" i="4"/>
  <c r="AC27" i="4"/>
  <c r="AF27" i="4"/>
  <c r="AA27" i="4"/>
  <c r="AB27" i="4"/>
  <c r="AG27" i="4"/>
  <c r="W27" i="4"/>
  <c r="AD27" i="4"/>
  <c r="Y27" i="4"/>
  <c r="V27" i="4"/>
  <c r="CC27" i="4"/>
  <c r="CK27" i="4"/>
  <c r="CF27" i="4"/>
  <c r="CG27" i="4"/>
  <c r="CH27" i="4"/>
  <c r="CA27" i="4"/>
  <c r="CD27" i="4"/>
  <c r="CB27" i="4"/>
  <c r="CI27" i="4"/>
  <c r="CJ27" i="4"/>
  <c r="CE27" i="4"/>
  <c r="BZ27" i="4"/>
  <c r="DH27" i="4"/>
  <c r="DD27" i="4"/>
  <c r="DK27" i="4"/>
  <c r="DG27" i="4"/>
  <c r="DF27" i="4"/>
  <c r="DC27" i="4"/>
  <c r="DJ27" i="4"/>
  <c r="DM27" i="4"/>
  <c r="DL27" i="4"/>
  <c r="DE27" i="4"/>
  <c r="DI27" i="4"/>
  <c r="DB27" i="4"/>
  <c r="C82" i="36"/>
  <c r="B82" i="36"/>
  <c r="B82" i="28"/>
  <c r="C82" i="28"/>
  <c r="B34" i="149"/>
  <c r="B82" i="77"/>
  <c r="C82" i="77"/>
  <c r="B82" i="30"/>
  <c r="C82" i="30"/>
  <c r="B82" i="32"/>
  <c r="C82" i="32"/>
  <c r="C82" i="154"/>
  <c r="B82" i="154"/>
  <c r="C82" i="75"/>
  <c r="B82" i="75"/>
  <c r="B82" i="38"/>
  <c r="C82" i="38"/>
  <c r="C82" i="155"/>
  <c r="B82" i="155"/>
  <c r="A83" i="155"/>
  <c r="A83" i="154"/>
  <c r="A84" i="67"/>
  <c r="A35" i="149"/>
  <c r="A83" i="32"/>
  <c r="A83" i="75"/>
  <c r="A83" i="28"/>
  <c r="A83" i="76"/>
  <c r="A83" i="30"/>
  <c r="A83" i="38"/>
  <c r="C83" i="67"/>
  <c r="C35" i="149" s="1"/>
  <c r="A83" i="36"/>
  <c r="A83" i="34"/>
  <c r="A83" i="77"/>
  <c r="B83" i="67"/>
  <c r="B82" i="76"/>
  <c r="C82" i="76"/>
  <c r="V12" i="4"/>
  <c r="X12" i="4"/>
  <c r="AA12" i="4"/>
  <c r="Y12" i="4"/>
  <c r="AB12" i="4"/>
  <c r="AC12" i="4"/>
  <c r="AD12" i="4"/>
  <c r="AE12" i="4"/>
  <c r="AF12" i="4"/>
  <c r="AG12" i="4"/>
  <c r="W12" i="4"/>
  <c r="Z12" i="4"/>
  <c r="BT69" i="67"/>
  <c r="BT21" i="149" s="1"/>
  <c r="BK13" i="4"/>
  <c r="AI13" i="4"/>
  <c r="CM13" i="4"/>
  <c r="AW13" i="4"/>
  <c r="DA13" i="4"/>
  <c r="AW28" i="4"/>
  <c r="BY28" i="4"/>
  <c r="U28" i="4"/>
  <c r="CM28" i="4"/>
  <c r="BK28" i="4"/>
  <c r="AI28" i="4"/>
  <c r="DA28" i="4"/>
  <c r="BZ14" i="4" l="1"/>
  <c r="CL13" i="4"/>
  <c r="CJ15" i="4"/>
  <c r="CE49" i="4" s="1"/>
  <c r="CG15" i="4"/>
  <c r="CE46" i="4" s="1"/>
  <c r="CD15" i="4"/>
  <c r="CE43" i="4" s="1"/>
  <c r="DN27" i="4"/>
  <c r="CZ27" i="4"/>
  <c r="AV12" i="4"/>
  <c r="BJ12" i="4"/>
  <c r="CH15" i="4"/>
  <c r="CE47" i="4" s="1"/>
  <c r="CK15" i="4"/>
  <c r="CE50" i="4" s="1"/>
  <c r="CE15" i="4"/>
  <c r="CE44" i="4" s="1"/>
  <c r="CA15" i="4"/>
  <c r="CE40" i="4" s="1"/>
  <c r="AH27" i="4"/>
  <c r="BX12" i="4"/>
  <c r="DN12" i="4"/>
  <c r="CC15" i="4"/>
  <c r="CE42" i="4" s="1"/>
  <c r="CB15" i="4"/>
  <c r="CE41" i="4" s="1"/>
  <c r="CI15" i="4"/>
  <c r="CE48" i="4" s="1"/>
  <c r="AH12" i="4"/>
  <c r="CF15" i="4"/>
  <c r="CE45" i="4" s="1"/>
  <c r="CL27" i="4"/>
  <c r="BJ27" i="4"/>
  <c r="AV27" i="4"/>
  <c r="U29" i="4"/>
  <c r="AF28" i="4"/>
  <c r="W28" i="4"/>
  <c r="X28" i="4"/>
  <c r="AD28" i="4"/>
  <c r="AC28" i="4"/>
  <c r="AA28" i="4"/>
  <c r="AB28" i="4"/>
  <c r="Z28" i="4"/>
  <c r="Y28" i="4"/>
  <c r="AG28" i="4"/>
  <c r="AE28" i="4"/>
  <c r="V28" i="4"/>
  <c r="AH28" i="4" s="1"/>
  <c r="BY29" i="4"/>
  <c r="CI28" i="4"/>
  <c r="CA28" i="4"/>
  <c r="CH28" i="4"/>
  <c r="CC28" i="4"/>
  <c r="CK28" i="4"/>
  <c r="CF28" i="4"/>
  <c r="CB28" i="4"/>
  <c r="CG28" i="4"/>
  <c r="CJ28" i="4"/>
  <c r="CD28" i="4"/>
  <c r="CE28" i="4"/>
  <c r="BZ28" i="4"/>
  <c r="AW29" i="4"/>
  <c r="AZ28" i="4"/>
  <c r="AY28" i="4"/>
  <c r="BD28" i="4"/>
  <c r="BH28" i="4"/>
  <c r="BI28" i="4"/>
  <c r="BA28" i="4"/>
  <c r="BB28" i="4"/>
  <c r="BC28" i="4"/>
  <c r="BE28" i="4"/>
  <c r="BF28" i="4"/>
  <c r="BG28" i="4"/>
  <c r="AX28" i="4"/>
  <c r="DA14" i="4"/>
  <c r="DA15" i="4" s="1"/>
  <c r="DG13" i="4"/>
  <c r="DG14" i="4" s="1"/>
  <c r="DF13" i="4"/>
  <c r="DF14" i="4" s="1"/>
  <c r="DK13" i="4"/>
  <c r="DK14" i="4" s="1"/>
  <c r="DH13" i="4"/>
  <c r="DH14" i="4" s="1"/>
  <c r="DD13" i="4"/>
  <c r="DD14" i="4" s="1"/>
  <c r="DE13" i="4"/>
  <c r="DE14" i="4" s="1"/>
  <c r="DC13" i="4"/>
  <c r="DC14" i="4" s="1"/>
  <c r="DM13" i="4"/>
  <c r="DM14" i="4" s="1"/>
  <c r="DI13" i="4"/>
  <c r="DI14" i="4" s="1"/>
  <c r="DJ13" i="4"/>
  <c r="DJ14" i="4" s="1"/>
  <c r="DL13" i="4"/>
  <c r="DL14" i="4" s="1"/>
  <c r="DB13" i="4"/>
  <c r="AW14" i="4"/>
  <c r="AW15" i="4" s="1"/>
  <c r="BI13" i="4"/>
  <c r="BI14" i="4" s="1"/>
  <c r="BG13" i="4"/>
  <c r="BG14" i="4" s="1"/>
  <c r="BH13" i="4"/>
  <c r="BH14" i="4" s="1"/>
  <c r="BA13" i="4"/>
  <c r="BA14" i="4" s="1"/>
  <c r="AY13" i="4"/>
  <c r="AY14" i="4" s="1"/>
  <c r="BB13" i="4"/>
  <c r="BB14" i="4" s="1"/>
  <c r="AZ13" i="4"/>
  <c r="AZ14" i="4" s="1"/>
  <c r="BC13" i="4"/>
  <c r="BC14" i="4" s="1"/>
  <c r="BD13" i="4"/>
  <c r="BD14" i="4" s="1"/>
  <c r="BE13" i="4"/>
  <c r="BE14" i="4" s="1"/>
  <c r="BF13" i="4"/>
  <c r="BF14" i="4" s="1"/>
  <c r="AX13" i="4"/>
  <c r="CM14" i="4"/>
  <c r="CM15" i="4" s="1"/>
  <c r="CV13" i="4"/>
  <c r="CV14" i="4" s="1"/>
  <c r="CR13" i="4"/>
  <c r="CR14" i="4" s="1"/>
  <c r="CU13" i="4"/>
  <c r="CU14" i="4" s="1"/>
  <c r="CQ13" i="4"/>
  <c r="CQ14" i="4" s="1"/>
  <c r="CO13" i="4"/>
  <c r="CO14" i="4" s="1"/>
  <c r="CW13" i="4"/>
  <c r="CW14" i="4" s="1"/>
  <c r="CY13" i="4"/>
  <c r="CY14" i="4" s="1"/>
  <c r="CS13" i="4"/>
  <c r="CS14" i="4" s="1"/>
  <c r="CX13" i="4"/>
  <c r="CX14" i="4" s="1"/>
  <c r="CT13" i="4"/>
  <c r="CT14" i="4" s="1"/>
  <c r="CP13" i="4"/>
  <c r="CP14" i="4" s="1"/>
  <c r="CN13" i="4"/>
  <c r="AI14" i="4"/>
  <c r="AI15" i="4" s="1"/>
  <c r="AM13" i="4"/>
  <c r="AM14" i="4" s="1"/>
  <c r="AL13" i="4"/>
  <c r="AL14" i="4" s="1"/>
  <c r="AQ13" i="4"/>
  <c r="AQ14" i="4" s="1"/>
  <c r="AO13" i="4"/>
  <c r="AO14" i="4" s="1"/>
  <c r="AK13" i="4"/>
  <c r="AK14" i="4" s="1"/>
  <c r="AP13" i="4"/>
  <c r="AP14" i="4" s="1"/>
  <c r="AS13" i="4"/>
  <c r="AS14" i="4" s="1"/>
  <c r="AU13" i="4"/>
  <c r="AU14" i="4" s="1"/>
  <c r="AR13" i="4"/>
  <c r="AR14" i="4" s="1"/>
  <c r="AT13" i="4"/>
  <c r="AT14" i="4" s="1"/>
  <c r="AN13" i="4"/>
  <c r="AN14" i="4" s="1"/>
  <c r="AJ13" i="4"/>
  <c r="AJ14" i="4" s="1"/>
  <c r="BK14" i="4"/>
  <c r="BK15" i="4" s="1"/>
  <c r="BV13" i="4"/>
  <c r="BV14" i="4" s="1"/>
  <c r="BW13" i="4"/>
  <c r="BW14" i="4" s="1"/>
  <c r="BU13" i="4"/>
  <c r="BU14" i="4" s="1"/>
  <c r="BP13" i="4"/>
  <c r="BP14" i="4" s="1"/>
  <c r="BT13" i="4"/>
  <c r="BT14" i="4" s="1"/>
  <c r="BR13" i="4"/>
  <c r="BR14" i="4" s="1"/>
  <c r="BN13" i="4"/>
  <c r="BN14" i="4" s="1"/>
  <c r="BO13" i="4"/>
  <c r="BO14" i="4" s="1"/>
  <c r="BM13" i="4"/>
  <c r="BM14" i="4" s="1"/>
  <c r="BS13" i="4"/>
  <c r="BS14" i="4" s="1"/>
  <c r="BQ13" i="4"/>
  <c r="BQ14" i="4" s="1"/>
  <c r="BL13" i="4"/>
  <c r="CM29" i="4"/>
  <c r="CW28" i="4"/>
  <c r="CY28" i="4"/>
  <c r="CO28" i="4"/>
  <c r="CV28" i="4"/>
  <c r="CT28" i="4"/>
  <c r="CX28" i="4"/>
  <c r="CR28" i="4"/>
  <c r="CS28" i="4"/>
  <c r="CP28" i="4"/>
  <c r="CQ28" i="4"/>
  <c r="CU28" i="4"/>
  <c r="CN28" i="4"/>
  <c r="DA29" i="4"/>
  <c r="DE28" i="4"/>
  <c r="DD28" i="4"/>
  <c r="DI28" i="4"/>
  <c r="DC28" i="4"/>
  <c r="DK28" i="4"/>
  <c r="DG28" i="4"/>
  <c r="DF28" i="4"/>
  <c r="DH28" i="4"/>
  <c r="DL28" i="4"/>
  <c r="DM28" i="4"/>
  <c r="DJ28" i="4"/>
  <c r="DB28" i="4"/>
  <c r="AI29" i="4"/>
  <c r="AS28" i="4"/>
  <c r="AQ28" i="4"/>
  <c r="AU28" i="4"/>
  <c r="AM28" i="4"/>
  <c r="AR28" i="4"/>
  <c r="AK28" i="4"/>
  <c r="AP28" i="4"/>
  <c r="AO28" i="4"/>
  <c r="AT28" i="4"/>
  <c r="AL28" i="4"/>
  <c r="AN28" i="4"/>
  <c r="AJ28" i="4"/>
  <c r="BK29" i="4"/>
  <c r="BM28" i="4"/>
  <c r="BS28" i="4"/>
  <c r="BT28" i="4"/>
  <c r="BU28" i="4"/>
  <c r="BR28" i="4"/>
  <c r="BN28" i="4"/>
  <c r="BW28" i="4"/>
  <c r="BQ28" i="4"/>
  <c r="BP28" i="4"/>
  <c r="BO28" i="4"/>
  <c r="BV28" i="4"/>
  <c r="BL28" i="4"/>
  <c r="BX28" i="4" s="1"/>
  <c r="B83" i="77"/>
  <c r="C83" i="77"/>
  <c r="B83" i="36"/>
  <c r="C83" i="36"/>
  <c r="B83" i="38"/>
  <c r="C83" i="38"/>
  <c r="B35" i="149"/>
  <c r="B83" i="28"/>
  <c r="C83" i="28"/>
  <c r="C83" i="75"/>
  <c r="B83" i="75"/>
  <c r="C83" i="30"/>
  <c r="B83" i="30"/>
  <c r="C83" i="32"/>
  <c r="B83" i="32"/>
  <c r="A84" i="155"/>
  <c r="A84" i="154"/>
  <c r="A36" i="149"/>
  <c r="A84" i="30"/>
  <c r="A85" i="67"/>
  <c r="A84" i="76"/>
  <c r="C84" i="67"/>
  <c r="C36" i="149" s="1"/>
  <c r="A84" i="77"/>
  <c r="A84" i="34"/>
  <c r="A84" i="38"/>
  <c r="A84" i="32"/>
  <c r="A84" i="75"/>
  <c r="A84" i="36"/>
  <c r="B84" i="67"/>
  <c r="B36" i="149" s="1"/>
  <c r="A84" i="28"/>
  <c r="B83" i="76"/>
  <c r="C83" i="76"/>
  <c r="C83" i="154"/>
  <c r="B83" i="154"/>
  <c r="C83" i="155"/>
  <c r="B83" i="155"/>
  <c r="U14" i="4"/>
  <c r="Z13" i="4"/>
  <c r="Z14" i="4" s="1"/>
  <c r="AA13" i="4"/>
  <c r="AA14" i="4" s="1"/>
  <c r="AC13" i="4"/>
  <c r="AC14" i="4" s="1"/>
  <c r="AF13" i="4"/>
  <c r="AF14" i="4" s="1"/>
  <c r="AG13" i="4"/>
  <c r="AG14" i="4" s="1"/>
  <c r="AD13" i="4"/>
  <c r="AD14" i="4" s="1"/>
  <c r="AE13" i="4"/>
  <c r="AE14" i="4" s="1"/>
  <c r="Y13" i="4"/>
  <c r="Y14" i="4" s="1"/>
  <c r="AB13" i="4"/>
  <c r="AB14" i="4" s="1"/>
  <c r="V13" i="4"/>
  <c r="W13" i="4"/>
  <c r="W14" i="4" s="1"/>
  <c r="X13" i="4"/>
  <c r="X14" i="4" s="1"/>
  <c r="BT70" i="67"/>
  <c r="BT22" i="149" s="1"/>
  <c r="AJ15" i="4" l="1"/>
  <c r="AV14" i="4"/>
  <c r="BO15" i="4"/>
  <c r="BQ42" i="4" s="1"/>
  <c r="AK15" i="4"/>
  <c r="AO40" i="4" s="1"/>
  <c r="E3" i="75" s="1"/>
  <c r="CR15" i="4"/>
  <c r="CS43" i="4" s="1"/>
  <c r="DB14" i="4"/>
  <c r="DN13" i="4"/>
  <c r="AA15" i="4"/>
  <c r="AA44" i="4" s="1"/>
  <c r="E7" i="34" s="1"/>
  <c r="E19" i="34" s="1"/>
  <c r="E31" i="34" s="1"/>
  <c r="E43" i="34" s="1"/>
  <c r="E55" i="34" s="1"/>
  <c r="E67" i="34" s="1"/>
  <c r="E79" i="34" s="1"/>
  <c r="E91" i="34" s="1"/>
  <c r="E103" i="34" s="1"/>
  <c r="E115" i="34" s="1"/>
  <c r="E127" i="34" s="1"/>
  <c r="E139" i="34" s="1"/>
  <c r="BN15" i="4"/>
  <c r="BQ41" i="4" s="1"/>
  <c r="AO15" i="4"/>
  <c r="AO44" i="4" s="1"/>
  <c r="E7" i="38" s="1"/>
  <c r="E19" i="38" s="1"/>
  <c r="E31" i="38" s="1"/>
  <c r="E43" i="38" s="1"/>
  <c r="E55" i="38" s="1"/>
  <c r="E67" i="38" s="1"/>
  <c r="E79" i="38" s="1"/>
  <c r="E91" i="38" s="1"/>
  <c r="E103" i="38" s="1"/>
  <c r="E115" i="38" s="1"/>
  <c r="E127" i="38" s="1"/>
  <c r="CV15" i="4"/>
  <c r="CS47" i="4" s="1"/>
  <c r="DL15" i="4"/>
  <c r="DG49" i="4" s="1"/>
  <c r="DG15" i="4"/>
  <c r="DG44" i="4" s="1"/>
  <c r="DN28" i="4"/>
  <c r="BR15" i="4"/>
  <c r="BQ45" i="4" s="1"/>
  <c r="AQ15" i="4"/>
  <c r="AO46" i="4" s="1"/>
  <c r="E9" i="38" s="1"/>
  <c r="E21" i="38" s="1"/>
  <c r="E33" i="38" s="1"/>
  <c r="E45" i="38" s="1"/>
  <c r="E57" i="38" s="1"/>
  <c r="E69" i="38" s="1"/>
  <c r="E81" i="38" s="1"/>
  <c r="E93" i="38" s="1"/>
  <c r="E105" i="38" s="1"/>
  <c r="E117" i="38" s="1"/>
  <c r="E129" i="38" s="1"/>
  <c r="DJ15" i="4"/>
  <c r="DG47" i="4" s="1"/>
  <c r="AC15" i="4"/>
  <c r="AA46" i="4" s="1"/>
  <c r="E9" i="34" s="1"/>
  <c r="E21" i="34" s="1"/>
  <c r="E33" i="34" s="1"/>
  <c r="E45" i="34" s="1"/>
  <c r="E57" i="34" s="1"/>
  <c r="E69" i="34" s="1"/>
  <c r="E81" i="34" s="1"/>
  <c r="E93" i="34" s="1"/>
  <c r="E105" i="34" s="1"/>
  <c r="E117" i="34" s="1"/>
  <c r="E129" i="34" s="1"/>
  <c r="E141" i="34" s="1"/>
  <c r="BT15" i="4"/>
  <c r="BQ47" i="4" s="1"/>
  <c r="AL15" i="4"/>
  <c r="AO41" i="4" s="1"/>
  <c r="E4" i="38" s="1"/>
  <c r="E16" i="38" s="1"/>
  <c r="E28" i="38" s="1"/>
  <c r="E40" i="38" s="1"/>
  <c r="E52" i="38" s="1"/>
  <c r="E64" i="38" s="1"/>
  <c r="E76" i="38" s="1"/>
  <c r="E88" i="38" s="1"/>
  <c r="E100" i="38" s="1"/>
  <c r="E112" i="38" s="1"/>
  <c r="E124" i="38" s="1"/>
  <c r="AX14" i="4"/>
  <c r="BJ13" i="4"/>
  <c r="DI15" i="4"/>
  <c r="DG46" i="4" s="1"/>
  <c r="AE15" i="4"/>
  <c r="AA48" i="4" s="1"/>
  <c r="F11" i="36" s="1"/>
  <c r="P11" i="36" s="1"/>
  <c r="V11" i="36" s="1"/>
  <c r="X11" i="36" s="1"/>
  <c r="AM15" i="4"/>
  <c r="AO42" i="4" s="1"/>
  <c r="E5" i="38" s="1"/>
  <c r="E17" i="38" s="1"/>
  <c r="E29" i="38" s="1"/>
  <c r="E41" i="38" s="1"/>
  <c r="E53" i="38" s="1"/>
  <c r="E65" i="38" s="1"/>
  <c r="E77" i="38" s="1"/>
  <c r="E89" i="38" s="1"/>
  <c r="E101" i="38" s="1"/>
  <c r="E113" i="38" s="1"/>
  <c r="E125" i="38" s="1"/>
  <c r="BU15" i="4"/>
  <c r="BQ48" i="4" s="1"/>
  <c r="BE15" i="4"/>
  <c r="BC46" i="4" s="1"/>
  <c r="DC15" i="4"/>
  <c r="DG40" i="4" s="1"/>
  <c r="BA15" i="4"/>
  <c r="BC42" i="4" s="1"/>
  <c r="BF15" i="4"/>
  <c r="BC47" i="4" s="1"/>
  <c r="AV28" i="4"/>
  <c r="BW15" i="4"/>
  <c r="BQ50" i="4" s="1"/>
  <c r="CN14" i="4"/>
  <c r="CZ13" i="4"/>
  <c r="BD15" i="4"/>
  <c r="BC45" i="4" s="1"/>
  <c r="DE15" i="4"/>
  <c r="DG42" i="4" s="1"/>
  <c r="CY15" i="4"/>
  <c r="CS50" i="4" s="1"/>
  <c r="Z15" i="4"/>
  <c r="AA43" i="4" s="1"/>
  <c r="E6" i="34" s="1"/>
  <c r="E18" i="34" s="1"/>
  <c r="E30" i="34" s="1"/>
  <c r="E42" i="34" s="1"/>
  <c r="E54" i="34" s="1"/>
  <c r="E66" i="34" s="1"/>
  <c r="E78" i="34" s="1"/>
  <c r="E90" i="34" s="1"/>
  <c r="E102" i="34" s="1"/>
  <c r="E114" i="34" s="1"/>
  <c r="E126" i="34" s="1"/>
  <c r="E138" i="34" s="1"/>
  <c r="BP15" i="4"/>
  <c r="BQ43" i="4" s="1"/>
  <c r="DM15" i="4"/>
  <c r="DG50" i="4" s="1"/>
  <c r="X15" i="4"/>
  <c r="AA41" i="4" s="1"/>
  <c r="E4" i="76" s="1"/>
  <c r="BV15" i="4"/>
  <c r="BQ49" i="4" s="1"/>
  <c r="CP15" i="4"/>
  <c r="CS41" i="4" s="1"/>
  <c r="BC15" i="4"/>
  <c r="BC44" i="4" s="1"/>
  <c r="DD15" i="4"/>
  <c r="DG41" i="4" s="1"/>
  <c r="CT15" i="4"/>
  <c r="CS45" i="4" s="1"/>
  <c r="AZ15" i="4"/>
  <c r="BC41" i="4" s="1"/>
  <c r="DH15" i="4"/>
  <c r="DG45" i="4" s="1"/>
  <c r="W15" i="4"/>
  <c r="AA40" i="4" s="1"/>
  <c r="F3" i="36" s="1"/>
  <c r="P3" i="36" s="1"/>
  <c r="V3" i="36" s="1"/>
  <c r="X3" i="36" s="1"/>
  <c r="AV13" i="4"/>
  <c r="CX15" i="4"/>
  <c r="CS49" i="4" s="1"/>
  <c r="BB15" i="4"/>
  <c r="BC43" i="4" s="1"/>
  <c r="DK15" i="4"/>
  <c r="DG48" i="4" s="1"/>
  <c r="AN15" i="4"/>
  <c r="AO43" i="4" s="1"/>
  <c r="E6" i="38" s="1"/>
  <c r="E18" i="38" s="1"/>
  <c r="E30" i="38" s="1"/>
  <c r="E42" i="38" s="1"/>
  <c r="E54" i="38" s="1"/>
  <c r="E66" i="38" s="1"/>
  <c r="E78" i="38" s="1"/>
  <c r="E90" i="38" s="1"/>
  <c r="E102" i="38" s="1"/>
  <c r="E114" i="38" s="1"/>
  <c r="E126" i="38" s="1"/>
  <c r="CS15" i="4"/>
  <c r="CS44" i="4" s="1"/>
  <c r="AY15" i="4"/>
  <c r="BC40" i="4" s="1"/>
  <c r="DF15" i="4"/>
  <c r="DG43" i="4" s="1"/>
  <c r="CL28" i="4"/>
  <c r="BZ15" i="4"/>
  <c r="CL14" i="4"/>
  <c r="AT15" i="4"/>
  <c r="AO49" i="4" s="1"/>
  <c r="P13" i="70" s="1"/>
  <c r="V14" i="4"/>
  <c r="AH13" i="4"/>
  <c r="BL14" i="4"/>
  <c r="BX13" i="4"/>
  <c r="AR15" i="4"/>
  <c r="AO47" i="4" s="1"/>
  <c r="E10" i="75" s="1"/>
  <c r="CW15" i="4"/>
  <c r="CS48" i="4" s="1"/>
  <c r="BH15" i="4"/>
  <c r="BC49" i="4" s="1"/>
  <c r="AB15" i="4"/>
  <c r="AA45" i="4" s="1"/>
  <c r="E8" i="76" s="1"/>
  <c r="CO15" i="4"/>
  <c r="CS40" i="4" s="1"/>
  <c r="BG15" i="4"/>
  <c r="BC48" i="4" s="1"/>
  <c r="BJ28" i="4"/>
  <c r="Y15" i="4"/>
  <c r="AA42" i="4" s="1"/>
  <c r="E5" i="34" s="1"/>
  <c r="E17" i="34" s="1"/>
  <c r="E29" i="34" s="1"/>
  <c r="E41" i="34" s="1"/>
  <c r="E53" i="34" s="1"/>
  <c r="E65" i="34" s="1"/>
  <c r="E77" i="34" s="1"/>
  <c r="E89" i="34" s="1"/>
  <c r="E101" i="34" s="1"/>
  <c r="E113" i="34" s="1"/>
  <c r="E125" i="34" s="1"/>
  <c r="E137" i="34" s="1"/>
  <c r="AU15" i="4"/>
  <c r="AO50" i="4" s="1"/>
  <c r="E13" i="38" s="1"/>
  <c r="E25" i="38" s="1"/>
  <c r="E37" i="38" s="1"/>
  <c r="E49" i="38" s="1"/>
  <c r="E61" i="38" s="1"/>
  <c r="E73" i="38" s="1"/>
  <c r="E85" i="38" s="1"/>
  <c r="E97" i="38" s="1"/>
  <c r="E109" i="38" s="1"/>
  <c r="E121" i="38" s="1"/>
  <c r="E133" i="38" s="1"/>
  <c r="AS15" i="4"/>
  <c r="AO48" i="4" s="1"/>
  <c r="E11" i="38" s="1"/>
  <c r="E23" i="38" s="1"/>
  <c r="E35" i="38" s="1"/>
  <c r="E47" i="38" s="1"/>
  <c r="E59" i="38" s="1"/>
  <c r="E71" i="38" s="1"/>
  <c r="E83" i="38" s="1"/>
  <c r="E95" i="38" s="1"/>
  <c r="E107" i="38" s="1"/>
  <c r="E119" i="38" s="1"/>
  <c r="E131" i="38" s="1"/>
  <c r="BI15" i="4"/>
  <c r="BC50" i="4" s="1"/>
  <c r="AD15" i="4"/>
  <c r="AA47" i="4" s="1"/>
  <c r="E10" i="76" s="1"/>
  <c r="BQ15" i="4"/>
  <c r="BQ44" i="4" s="1"/>
  <c r="AG15" i="4"/>
  <c r="AA50" i="4" s="1"/>
  <c r="G13" i="77" s="1"/>
  <c r="BS15" i="4"/>
  <c r="BQ46" i="4" s="1"/>
  <c r="CQ15" i="4"/>
  <c r="CS42" i="4" s="1"/>
  <c r="AF15" i="4"/>
  <c r="AA49" i="4" s="1"/>
  <c r="F12" i="36" s="1"/>
  <c r="P12" i="36" s="1"/>
  <c r="V12" i="36" s="1"/>
  <c r="X12" i="36" s="1"/>
  <c r="CZ28" i="4"/>
  <c r="BM15" i="4"/>
  <c r="BQ40" i="4" s="1"/>
  <c r="AP15" i="4"/>
  <c r="AO45" i="4" s="1"/>
  <c r="P9" i="70" s="1"/>
  <c r="CU15" i="4"/>
  <c r="CS46" i="4" s="1"/>
  <c r="CJ29" i="4"/>
  <c r="BZ29" i="4"/>
  <c r="CH29" i="4"/>
  <c r="CI29" i="4"/>
  <c r="CK29" i="4"/>
  <c r="BY30" i="4"/>
  <c r="CF29" i="4"/>
  <c r="CC29" i="4"/>
  <c r="CA29" i="4"/>
  <c r="CG29" i="4"/>
  <c r="CD29" i="4"/>
  <c r="CB29" i="4"/>
  <c r="CE29" i="4"/>
  <c r="CP29" i="4"/>
  <c r="CN29" i="4"/>
  <c r="CO29" i="4"/>
  <c r="CQ29" i="4"/>
  <c r="CY29" i="4"/>
  <c r="CM30" i="4"/>
  <c r="CX29" i="4"/>
  <c r="CU29" i="4"/>
  <c r="CS29" i="4"/>
  <c r="CV29" i="4"/>
  <c r="CW29" i="4"/>
  <c r="CT29" i="4"/>
  <c r="CR29" i="4"/>
  <c r="BB29" i="4"/>
  <c r="AW30" i="4"/>
  <c r="AZ29" i="4"/>
  <c r="BA29" i="4"/>
  <c r="BC29" i="4"/>
  <c r="BD29" i="4"/>
  <c r="BE29" i="4"/>
  <c r="BF29" i="4"/>
  <c r="BG29" i="4"/>
  <c r="BH29" i="4"/>
  <c r="BI29" i="4"/>
  <c r="AX29" i="4"/>
  <c r="AY29" i="4"/>
  <c r="DB29" i="4"/>
  <c r="DC29" i="4"/>
  <c r="DH29" i="4"/>
  <c r="DA30" i="4"/>
  <c r="DL29" i="4"/>
  <c r="DJ29" i="4"/>
  <c r="DG29" i="4"/>
  <c r="DM29" i="4"/>
  <c r="DF29" i="4"/>
  <c r="DE29" i="4"/>
  <c r="DK29" i="4"/>
  <c r="DI29" i="4"/>
  <c r="DD29" i="4"/>
  <c r="AL29" i="4"/>
  <c r="AS29" i="4"/>
  <c r="AT29" i="4"/>
  <c r="AU29" i="4"/>
  <c r="AJ29" i="4"/>
  <c r="AK29" i="4"/>
  <c r="AM29" i="4"/>
  <c r="AI30" i="4"/>
  <c r="AN29" i="4"/>
  <c r="AO29" i="4"/>
  <c r="AP29" i="4"/>
  <c r="AQ29" i="4"/>
  <c r="AR29" i="4"/>
  <c r="E3" i="38"/>
  <c r="E15" i="38" s="1"/>
  <c r="E27" i="38" s="1"/>
  <c r="E39" i="38" s="1"/>
  <c r="E51" i="38" s="1"/>
  <c r="E63" i="38" s="1"/>
  <c r="E75" i="38" s="1"/>
  <c r="E87" i="38" s="1"/>
  <c r="E99" i="38" s="1"/>
  <c r="E111" i="38" s="1"/>
  <c r="E123" i="38" s="1"/>
  <c r="G9" i="77"/>
  <c r="AA29" i="4"/>
  <c r="AB29" i="4"/>
  <c r="AC29" i="4"/>
  <c r="AD29" i="4"/>
  <c r="AE29" i="4"/>
  <c r="AF29" i="4"/>
  <c r="AG29" i="4"/>
  <c r="V29" i="4"/>
  <c r="W29" i="4"/>
  <c r="X29" i="4"/>
  <c r="Y29" i="4"/>
  <c r="Z29" i="4"/>
  <c r="U30" i="4"/>
  <c r="BS29" i="4"/>
  <c r="BT29" i="4"/>
  <c r="BU29" i="4"/>
  <c r="BV29" i="4"/>
  <c r="BW29" i="4"/>
  <c r="BK30" i="4"/>
  <c r="BQ29" i="4"/>
  <c r="BR29" i="4"/>
  <c r="BO29" i="4"/>
  <c r="BL29" i="4"/>
  <c r="BP29" i="4"/>
  <c r="BM29" i="4"/>
  <c r="BN29" i="4"/>
  <c r="B84" i="30"/>
  <c r="C84" i="30"/>
  <c r="C84" i="154"/>
  <c r="B84" i="154"/>
  <c r="C84" i="28"/>
  <c r="B84" i="28"/>
  <c r="B84" i="32"/>
  <c r="C84" i="32"/>
  <c r="B84" i="38"/>
  <c r="C84" i="38"/>
  <c r="C84" i="155"/>
  <c r="B84" i="155"/>
  <c r="B84" i="36"/>
  <c r="C84" i="36"/>
  <c r="C84" i="75"/>
  <c r="B84" i="75"/>
  <c r="B84" i="76"/>
  <c r="C84" i="76"/>
  <c r="C84" i="77"/>
  <c r="B84" i="77"/>
  <c r="A85" i="155"/>
  <c r="A85" i="154"/>
  <c r="A85" i="34"/>
  <c r="A85" i="38"/>
  <c r="A85" i="77"/>
  <c r="A85" i="32"/>
  <c r="A85" i="30"/>
  <c r="A85" i="36"/>
  <c r="C85" i="67"/>
  <c r="C37" i="149" s="1"/>
  <c r="A85" i="28"/>
  <c r="A85" i="75"/>
  <c r="B85" i="67"/>
  <c r="B37" i="149" s="1"/>
  <c r="A85" i="76"/>
  <c r="A86" i="67"/>
  <c r="A37" i="149"/>
  <c r="BT71" i="67"/>
  <c r="BT23" i="149" s="1"/>
  <c r="U15" i="4"/>
  <c r="E6" i="75" l="1"/>
  <c r="E3" i="76"/>
  <c r="E3" i="34"/>
  <c r="E15" i="34" s="1"/>
  <c r="E27" i="34" s="1"/>
  <c r="E39" i="34" s="1"/>
  <c r="E51" i="34" s="1"/>
  <c r="E63" i="34" s="1"/>
  <c r="E75" i="34" s="1"/>
  <c r="E87" i="34" s="1"/>
  <c r="E99" i="34" s="1"/>
  <c r="E111" i="34" s="1"/>
  <c r="E123" i="34" s="1"/>
  <c r="E135" i="34" s="1"/>
  <c r="F13" i="36"/>
  <c r="P13" i="36" s="1"/>
  <c r="V13" i="36" s="1"/>
  <c r="X13" i="36" s="1"/>
  <c r="G3" i="77"/>
  <c r="M3" i="77" s="1"/>
  <c r="E13" i="34"/>
  <c r="E25" i="34" s="1"/>
  <c r="E37" i="34" s="1"/>
  <c r="E49" i="34" s="1"/>
  <c r="E61" i="34" s="1"/>
  <c r="E73" i="34" s="1"/>
  <c r="E85" i="34" s="1"/>
  <c r="E97" i="34" s="1"/>
  <c r="E109" i="34" s="1"/>
  <c r="E121" i="34" s="1"/>
  <c r="E133" i="34" s="1"/>
  <c r="E145" i="34" s="1"/>
  <c r="E13" i="76"/>
  <c r="E10" i="38"/>
  <c r="E22" i="38" s="1"/>
  <c r="E34" i="38" s="1"/>
  <c r="E46" i="38" s="1"/>
  <c r="E58" i="38" s="1"/>
  <c r="E70" i="38" s="1"/>
  <c r="E82" i="38" s="1"/>
  <c r="E94" i="38" s="1"/>
  <c r="E106" i="38" s="1"/>
  <c r="E118" i="38" s="1"/>
  <c r="E130" i="38" s="1"/>
  <c r="I130" i="38" s="1"/>
  <c r="Q130" i="38" s="1"/>
  <c r="F9" i="36"/>
  <c r="P9" i="36" s="1"/>
  <c r="V9" i="36" s="1"/>
  <c r="X9" i="36" s="1"/>
  <c r="E4" i="75"/>
  <c r="P11" i="70"/>
  <c r="E9" i="76"/>
  <c r="G7" i="77"/>
  <c r="M7" i="77" s="1"/>
  <c r="F7" i="36"/>
  <c r="P7" i="36" s="1"/>
  <c r="V7" i="36" s="1"/>
  <c r="X7" i="36" s="1"/>
  <c r="E7" i="76"/>
  <c r="G6" i="77"/>
  <c r="T6" i="77" s="1"/>
  <c r="AA6" i="77" s="1"/>
  <c r="F6" i="36"/>
  <c r="P6" i="36" s="1"/>
  <c r="V6" i="36" s="1"/>
  <c r="X6" i="36" s="1"/>
  <c r="E6" i="76"/>
  <c r="P14" i="70"/>
  <c r="E13" i="75"/>
  <c r="P12" i="70"/>
  <c r="E8" i="75"/>
  <c r="E11" i="75"/>
  <c r="E12" i="76"/>
  <c r="E4" i="34"/>
  <c r="E16" i="34" s="1"/>
  <c r="E28" i="34" s="1"/>
  <c r="E40" i="34" s="1"/>
  <c r="E52" i="34" s="1"/>
  <c r="E64" i="34" s="1"/>
  <c r="E76" i="34" s="1"/>
  <c r="E88" i="34" s="1"/>
  <c r="E100" i="34" s="1"/>
  <c r="E112" i="34" s="1"/>
  <c r="E124" i="34" s="1"/>
  <c r="E136" i="34" s="1"/>
  <c r="E7" i="75"/>
  <c r="E12" i="34"/>
  <c r="E24" i="34" s="1"/>
  <c r="E36" i="34" s="1"/>
  <c r="E48" i="34" s="1"/>
  <c r="E60" i="34" s="1"/>
  <c r="E72" i="34" s="1"/>
  <c r="E84" i="34" s="1"/>
  <c r="E96" i="34" s="1"/>
  <c r="E108" i="34" s="1"/>
  <c r="E120" i="34" s="1"/>
  <c r="E132" i="34" s="1"/>
  <c r="E144" i="34" s="1"/>
  <c r="E10" i="34"/>
  <c r="E22" i="34" s="1"/>
  <c r="E34" i="34" s="1"/>
  <c r="E46" i="34" s="1"/>
  <c r="E58" i="34" s="1"/>
  <c r="E70" i="34" s="1"/>
  <c r="E82" i="34" s="1"/>
  <c r="E94" i="34" s="1"/>
  <c r="E106" i="34" s="1"/>
  <c r="E118" i="34" s="1"/>
  <c r="E130" i="34" s="1"/>
  <c r="E142" i="34" s="1"/>
  <c r="G10" i="77"/>
  <c r="T10" i="77" s="1"/>
  <c r="AA10" i="77" s="1"/>
  <c r="F10" i="36"/>
  <c r="P10" i="36" s="1"/>
  <c r="V10" i="36" s="1"/>
  <c r="X10" i="36" s="1"/>
  <c r="F8" i="36"/>
  <c r="P8" i="36" s="1"/>
  <c r="V8" i="36" s="1"/>
  <c r="X8" i="36" s="1"/>
  <c r="G8" i="77"/>
  <c r="T8" i="77" s="1"/>
  <c r="AA8" i="77" s="1"/>
  <c r="E8" i="34"/>
  <c r="E20" i="34" s="1"/>
  <c r="E32" i="34" s="1"/>
  <c r="E44" i="34" s="1"/>
  <c r="E56" i="34" s="1"/>
  <c r="E68" i="34" s="1"/>
  <c r="E80" i="34" s="1"/>
  <c r="E92" i="34" s="1"/>
  <c r="E104" i="34" s="1"/>
  <c r="E116" i="34" s="1"/>
  <c r="E128" i="34" s="1"/>
  <c r="E140" i="34" s="1"/>
  <c r="E12" i="38"/>
  <c r="E24" i="38" s="1"/>
  <c r="E36" i="38" s="1"/>
  <c r="E48" i="38" s="1"/>
  <c r="E60" i="38" s="1"/>
  <c r="E72" i="38" s="1"/>
  <c r="E84" i="38" s="1"/>
  <c r="E96" i="38" s="1"/>
  <c r="E108" i="38" s="1"/>
  <c r="E120" i="38" s="1"/>
  <c r="E132" i="38" s="1"/>
  <c r="E144" i="38" s="1"/>
  <c r="I144" i="38" s="1"/>
  <c r="Q144" i="38" s="1"/>
  <c r="E9" i="75"/>
  <c r="E12" i="75"/>
  <c r="E11" i="76"/>
  <c r="E11" i="34"/>
  <c r="E23" i="34" s="1"/>
  <c r="E35" i="34" s="1"/>
  <c r="E47" i="34" s="1"/>
  <c r="E59" i="34" s="1"/>
  <c r="E71" i="34" s="1"/>
  <c r="E83" i="34" s="1"/>
  <c r="E95" i="34" s="1"/>
  <c r="E107" i="34" s="1"/>
  <c r="E119" i="34" s="1"/>
  <c r="E131" i="34" s="1"/>
  <c r="E143" i="34" s="1"/>
  <c r="G11" i="77"/>
  <c r="M11" i="77" s="1"/>
  <c r="P10" i="70"/>
  <c r="E5" i="75"/>
  <c r="G12" i="77"/>
  <c r="M12" i="77" s="1"/>
  <c r="G4" i="77"/>
  <c r="M4" i="77" s="1"/>
  <c r="F4" i="36"/>
  <c r="P4" i="36" s="1"/>
  <c r="V4" i="36" s="1"/>
  <c r="X4" i="36" s="1"/>
  <c r="E8" i="38"/>
  <c r="E20" i="38" s="1"/>
  <c r="E32" i="38" s="1"/>
  <c r="E44" i="38" s="1"/>
  <c r="E56" i="38" s="1"/>
  <c r="E68" i="38" s="1"/>
  <c r="E80" i="38" s="1"/>
  <c r="E92" i="38" s="1"/>
  <c r="E104" i="38" s="1"/>
  <c r="E116" i="38" s="1"/>
  <c r="E128" i="38" s="1"/>
  <c r="E140" i="38" s="1"/>
  <c r="I140" i="38" s="1"/>
  <c r="Q140" i="38" s="1"/>
  <c r="DN29" i="4"/>
  <c r="DB15" i="4"/>
  <c r="DN14" i="4"/>
  <c r="CE39" i="4"/>
  <c r="CL15" i="4"/>
  <c r="CZ29" i="4"/>
  <c r="CL29" i="4"/>
  <c r="BL15" i="4"/>
  <c r="BX14" i="4"/>
  <c r="G5" i="77"/>
  <c r="M5" i="77" s="1"/>
  <c r="F5" i="36"/>
  <c r="P5" i="36" s="1"/>
  <c r="V5" i="36" s="1"/>
  <c r="X5" i="36" s="1"/>
  <c r="V15" i="4"/>
  <c r="AH14" i="4"/>
  <c r="E5" i="76"/>
  <c r="AH18" i="4"/>
  <c r="CN15" i="4"/>
  <c r="CZ14" i="4"/>
  <c r="AX15" i="4"/>
  <c r="BJ14" i="4"/>
  <c r="BX29" i="4"/>
  <c r="AV29" i="4"/>
  <c r="BJ29" i="4"/>
  <c r="AH29" i="4"/>
  <c r="AO39" i="4"/>
  <c r="AV15" i="4"/>
  <c r="DG30" i="4"/>
  <c r="DG31" i="4" s="1"/>
  <c r="DH30" i="4"/>
  <c r="DH31" i="4" s="1"/>
  <c r="DD30" i="4"/>
  <c r="DD31" i="4" s="1"/>
  <c r="DK30" i="4"/>
  <c r="DK31" i="4" s="1"/>
  <c r="DI30" i="4"/>
  <c r="DI31" i="4" s="1"/>
  <c r="DJ30" i="4"/>
  <c r="DJ31" i="4" s="1"/>
  <c r="DL30" i="4"/>
  <c r="DL31" i="4" s="1"/>
  <c r="DA31" i="4"/>
  <c r="DA32" i="4" s="1"/>
  <c r="DF30" i="4"/>
  <c r="DF31" i="4" s="1"/>
  <c r="DM30" i="4"/>
  <c r="DM31" i="4" s="1"/>
  <c r="DE30" i="4"/>
  <c r="DE31" i="4" s="1"/>
  <c r="DB30" i="4"/>
  <c r="DC30" i="4"/>
  <c r="DC31" i="4" s="1"/>
  <c r="E139" i="38"/>
  <c r="I139" i="38" s="1"/>
  <c r="Q139" i="38" s="1"/>
  <c r="I127" i="38"/>
  <c r="Q127" i="38" s="1"/>
  <c r="BW30" i="4"/>
  <c r="BW31" i="4" s="1"/>
  <c r="BM30" i="4"/>
  <c r="BM31" i="4" s="1"/>
  <c r="BK31" i="4"/>
  <c r="BK32" i="4" s="1"/>
  <c r="BU30" i="4"/>
  <c r="BU31" i="4" s="1"/>
  <c r="BV30" i="4"/>
  <c r="BV31" i="4" s="1"/>
  <c r="BT30" i="4"/>
  <c r="BT31" i="4" s="1"/>
  <c r="BQ30" i="4"/>
  <c r="BQ31" i="4" s="1"/>
  <c r="BO30" i="4"/>
  <c r="BO31" i="4" s="1"/>
  <c r="BL30" i="4"/>
  <c r="BR30" i="4"/>
  <c r="BR31" i="4" s="1"/>
  <c r="BS30" i="4"/>
  <c r="BS31" i="4" s="1"/>
  <c r="BP30" i="4"/>
  <c r="BP31" i="4" s="1"/>
  <c r="BN30" i="4"/>
  <c r="BN31" i="4" s="1"/>
  <c r="E143" i="38"/>
  <c r="I143" i="38" s="1"/>
  <c r="Q143" i="38" s="1"/>
  <c r="I131" i="38"/>
  <c r="Q131" i="38" s="1"/>
  <c r="E145" i="38"/>
  <c r="I145" i="38" s="1"/>
  <c r="Q145" i="38" s="1"/>
  <c r="I133" i="38"/>
  <c r="Q133" i="38" s="1"/>
  <c r="CO30" i="4"/>
  <c r="CO31" i="4" s="1"/>
  <c r="CN30" i="4"/>
  <c r="CY30" i="4"/>
  <c r="CY31" i="4" s="1"/>
  <c r="CP30" i="4"/>
  <c r="CP31" i="4" s="1"/>
  <c r="CU30" i="4"/>
  <c r="CU31" i="4" s="1"/>
  <c r="CM31" i="4"/>
  <c r="CM32" i="4" s="1"/>
  <c r="CW30" i="4"/>
  <c r="CW31" i="4" s="1"/>
  <c r="CT30" i="4"/>
  <c r="CT31" i="4" s="1"/>
  <c r="CS30" i="4"/>
  <c r="CS31" i="4" s="1"/>
  <c r="CX30" i="4"/>
  <c r="CX31" i="4" s="1"/>
  <c r="CV30" i="4"/>
  <c r="CV31" i="4" s="1"/>
  <c r="CR30" i="4"/>
  <c r="CR31" i="4" s="1"/>
  <c r="CQ30" i="4"/>
  <c r="CQ31" i="4" s="1"/>
  <c r="E137" i="38"/>
  <c r="I137" i="38" s="1"/>
  <c r="Q137" i="38" s="1"/>
  <c r="I125" i="38"/>
  <c r="Q125" i="38" s="1"/>
  <c r="BZ30" i="4"/>
  <c r="CD30" i="4"/>
  <c r="CD31" i="4" s="1"/>
  <c r="CK30" i="4"/>
  <c r="CK31" i="4" s="1"/>
  <c r="CH30" i="4"/>
  <c r="CH31" i="4" s="1"/>
  <c r="BY31" i="4"/>
  <c r="BY32" i="4" s="1"/>
  <c r="CF30" i="4"/>
  <c r="CF31" i="4" s="1"/>
  <c r="CC30" i="4"/>
  <c r="CC31" i="4" s="1"/>
  <c r="CI30" i="4"/>
  <c r="CI31" i="4" s="1"/>
  <c r="CB30" i="4"/>
  <c r="CB31" i="4" s="1"/>
  <c r="CJ30" i="4"/>
  <c r="CJ31" i="4" s="1"/>
  <c r="CG30" i="4"/>
  <c r="CG31" i="4" s="1"/>
  <c r="CE30" i="4"/>
  <c r="CE31" i="4" s="1"/>
  <c r="CA30" i="4"/>
  <c r="CA31" i="4" s="1"/>
  <c r="E135" i="38"/>
  <c r="I135" i="38" s="1"/>
  <c r="Q135" i="38" s="1"/>
  <c r="I123" i="38"/>
  <c r="Q123" i="38" s="1"/>
  <c r="T13" i="77"/>
  <c r="AA13" i="77" s="1"/>
  <c r="M13" i="77"/>
  <c r="T9" i="77"/>
  <c r="AA9" i="77" s="1"/>
  <c r="M9" i="77"/>
  <c r="Y30" i="4"/>
  <c r="Y31" i="4" s="1"/>
  <c r="W30" i="4"/>
  <c r="W31" i="4" s="1"/>
  <c r="U31" i="4"/>
  <c r="U32" i="4" s="1"/>
  <c r="X30" i="4"/>
  <c r="X31" i="4" s="1"/>
  <c r="Z30" i="4"/>
  <c r="Z31" i="4" s="1"/>
  <c r="AA30" i="4"/>
  <c r="AA31" i="4" s="1"/>
  <c r="AB30" i="4"/>
  <c r="AB31" i="4" s="1"/>
  <c r="AC30" i="4"/>
  <c r="AC31" i="4" s="1"/>
  <c r="AD30" i="4"/>
  <c r="AD31" i="4" s="1"/>
  <c r="AE30" i="4"/>
  <c r="AE31" i="4" s="1"/>
  <c r="AF30" i="4"/>
  <c r="AF31" i="4" s="1"/>
  <c r="AG30" i="4"/>
  <c r="AG31" i="4" s="1"/>
  <c r="V30" i="4"/>
  <c r="I124" i="38"/>
  <c r="Q124" i="38" s="1"/>
  <c r="E136" i="38"/>
  <c r="I136" i="38" s="1"/>
  <c r="Q136" i="38" s="1"/>
  <c r="BF30" i="4"/>
  <c r="BF31" i="4" s="1"/>
  <c r="BD30" i="4"/>
  <c r="BD31" i="4" s="1"/>
  <c r="BE30" i="4"/>
  <c r="BE31" i="4" s="1"/>
  <c r="BG30" i="4"/>
  <c r="BG31" i="4" s="1"/>
  <c r="BH30" i="4"/>
  <c r="BH31" i="4" s="1"/>
  <c r="BI30" i="4"/>
  <c r="BI31" i="4" s="1"/>
  <c r="AW31" i="4"/>
  <c r="AW32" i="4" s="1"/>
  <c r="BC30" i="4"/>
  <c r="BC31" i="4" s="1"/>
  <c r="AZ30" i="4"/>
  <c r="AZ31" i="4" s="1"/>
  <c r="AX30" i="4"/>
  <c r="BA30" i="4"/>
  <c r="BA31" i="4" s="1"/>
  <c r="BB30" i="4"/>
  <c r="BB31" i="4" s="1"/>
  <c r="AY30" i="4"/>
  <c r="AY31" i="4" s="1"/>
  <c r="E141" i="38"/>
  <c r="I141" i="38" s="1"/>
  <c r="Q141" i="38" s="1"/>
  <c r="I129" i="38"/>
  <c r="Q129" i="38" s="1"/>
  <c r="E138" i="38"/>
  <c r="I138" i="38" s="1"/>
  <c r="Q138" i="38" s="1"/>
  <c r="I126" i="38"/>
  <c r="Q126" i="38" s="1"/>
  <c r="AP30" i="4"/>
  <c r="AT30" i="4"/>
  <c r="AU30" i="4"/>
  <c r="AN30" i="4"/>
  <c r="AN31" i="4" s="1"/>
  <c r="AO30" i="4"/>
  <c r="AO31" i="4" s="1"/>
  <c r="AQ30" i="4"/>
  <c r="AR30" i="4"/>
  <c r="AS30" i="4"/>
  <c r="AM30" i="4"/>
  <c r="AM31" i="4" s="1"/>
  <c r="AJ30" i="4"/>
  <c r="AK30" i="4"/>
  <c r="AK31" i="4" s="1"/>
  <c r="AL30" i="4"/>
  <c r="AL31" i="4" s="1"/>
  <c r="AI31" i="4"/>
  <c r="AI32" i="4" s="1"/>
  <c r="B85" i="28"/>
  <c r="C85" i="28"/>
  <c r="B85" i="30"/>
  <c r="C85" i="30"/>
  <c r="B85" i="155"/>
  <c r="C85" i="155"/>
  <c r="C85" i="36"/>
  <c r="B85" i="36"/>
  <c r="B85" i="38"/>
  <c r="C85" i="38"/>
  <c r="C85" i="154"/>
  <c r="B85" i="154"/>
  <c r="C85" i="77"/>
  <c r="B85" i="77"/>
  <c r="A86" i="155"/>
  <c r="A86" i="154"/>
  <c r="A38" i="149"/>
  <c r="A86" i="77"/>
  <c r="A86" i="34"/>
  <c r="A86" i="38"/>
  <c r="A86" i="75"/>
  <c r="A86" i="36"/>
  <c r="A86" i="32"/>
  <c r="A86" i="76"/>
  <c r="A86" i="30"/>
  <c r="A86" i="28"/>
  <c r="C86" i="67"/>
  <c r="C38" i="149" s="1"/>
  <c r="A87" i="67"/>
  <c r="B86" i="67"/>
  <c r="B38" i="149" s="1"/>
  <c r="B85" i="75"/>
  <c r="C85" i="75"/>
  <c r="B85" i="32"/>
  <c r="C85" i="32"/>
  <c r="B85" i="76"/>
  <c r="C85" i="76"/>
  <c r="BT72" i="67"/>
  <c r="BT24" i="149" s="1"/>
  <c r="T3" i="77" l="1"/>
  <c r="AA3" i="77" s="1"/>
  <c r="E142" i="38"/>
  <c r="I142" i="38" s="1"/>
  <c r="Q142" i="38" s="1"/>
  <c r="E2" i="38"/>
  <c r="E14" i="38" s="1"/>
  <c r="E26" i="38" s="1"/>
  <c r="E38" i="38" s="1"/>
  <c r="E50" i="38" s="1"/>
  <c r="E62" i="38" s="1"/>
  <c r="E74" i="38" s="1"/>
  <c r="E86" i="38" s="1"/>
  <c r="E98" i="38" s="1"/>
  <c r="E110" i="38" s="1"/>
  <c r="E122" i="38" s="1"/>
  <c r="T7" i="77"/>
  <c r="AA7" i="77" s="1"/>
  <c r="AC7" i="77" s="1"/>
  <c r="M6" i="77"/>
  <c r="M10" i="77"/>
  <c r="M8" i="77"/>
  <c r="T4" i="77"/>
  <c r="AA4" i="77" s="1"/>
  <c r="AC4" i="77" s="1"/>
  <c r="I132" i="38"/>
  <c r="Q132" i="38" s="1"/>
  <c r="T11" i="77"/>
  <c r="AA11" i="77" s="1"/>
  <c r="AC11" i="77" s="1"/>
  <c r="T12" i="77"/>
  <c r="AA12" i="77" s="1"/>
  <c r="AC12" i="77" s="1"/>
  <c r="I128" i="38"/>
  <c r="Q128" i="38" s="1"/>
  <c r="AK32" i="4"/>
  <c r="AP40" i="4" s="1"/>
  <c r="BC39" i="4"/>
  <c r="BJ15" i="4"/>
  <c r="DE32" i="4"/>
  <c r="DH42" i="4" s="1"/>
  <c r="CK32" i="4"/>
  <c r="CF50" i="4" s="1"/>
  <c r="F13" i="34" s="1"/>
  <c r="F25" i="34" s="1"/>
  <c r="F37" i="34" s="1"/>
  <c r="F49" i="34" s="1"/>
  <c r="F61" i="34" s="1"/>
  <c r="F73" i="34" s="1"/>
  <c r="F85" i="34" s="1"/>
  <c r="F97" i="34" s="1"/>
  <c r="F109" i="34" s="1"/>
  <c r="F121" i="34" s="1"/>
  <c r="F133" i="34" s="1"/>
  <c r="F145" i="34" s="1"/>
  <c r="BS32" i="4"/>
  <c r="BR46" i="4" s="1"/>
  <c r="DM32" i="4"/>
  <c r="DH50" i="4" s="1"/>
  <c r="CW32" i="4"/>
  <c r="CT48" i="4" s="1"/>
  <c r="H11" i="77" s="1"/>
  <c r="N11" i="77" s="1"/>
  <c r="AF32" i="4"/>
  <c r="AB49" i="4" s="1"/>
  <c r="CD32" i="4"/>
  <c r="CF43" i="4" s="1"/>
  <c r="F6" i="38" s="1"/>
  <c r="F18" i="38" s="1"/>
  <c r="F30" i="38" s="1"/>
  <c r="F42" i="38" s="1"/>
  <c r="F54" i="38" s="1"/>
  <c r="F66" i="38" s="1"/>
  <c r="F78" i="38" s="1"/>
  <c r="F90" i="38" s="1"/>
  <c r="F102" i="38" s="1"/>
  <c r="F114" i="38" s="1"/>
  <c r="F126" i="38" s="1"/>
  <c r="CU32" i="4"/>
  <c r="CT46" i="4" s="1"/>
  <c r="G9" i="36" s="1"/>
  <c r="BR32" i="4"/>
  <c r="BR45" i="4" s="1"/>
  <c r="DF32" i="4"/>
  <c r="DH43" i="4" s="1"/>
  <c r="CT32" i="4"/>
  <c r="CT45" i="4" s="1"/>
  <c r="G8" i="36" s="1"/>
  <c r="BA32" i="4"/>
  <c r="BD42" i="4" s="1"/>
  <c r="AE32" i="4"/>
  <c r="AB48" i="4" s="1"/>
  <c r="BZ31" i="4"/>
  <c r="CL30" i="4"/>
  <c r="CP32" i="4"/>
  <c r="CT41" i="4" s="1"/>
  <c r="G4" i="36" s="1"/>
  <c r="BL31" i="4"/>
  <c r="BX30" i="4"/>
  <c r="BP32" i="4"/>
  <c r="BR43" i="4" s="1"/>
  <c r="AX31" i="4"/>
  <c r="BJ30" i="4"/>
  <c r="AD32" i="4"/>
  <c r="AB47" i="4" s="1"/>
  <c r="CY32" i="4"/>
  <c r="CT50" i="4" s="1"/>
  <c r="G13" i="36" s="1"/>
  <c r="BO32" i="4"/>
  <c r="BR42" i="4" s="1"/>
  <c r="DL32" i="4"/>
  <c r="DH49" i="4" s="1"/>
  <c r="CS39" i="4"/>
  <c r="CZ15" i="4"/>
  <c r="BQ39" i="4"/>
  <c r="BX15" i="4"/>
  <c r="DB31" i="4"/>
  <c r="DN30" i="4"/>
  <c r="AZ32" i="4"/>
  <c r="BD41" i="4" s="1"/>
  <c r="AC32" i="4"/>
  <c r="AB46" i="4" s="1"/>
  <c r="CN31" i="4"/>
  <c r="CZ30" i="4"/>
  <c r="BQ32" i="4"/>
  <c r="BR44" i="4" s="1"/>
  <c r="DJ32" i="4"/>
  <c r="DH47" i="4" s="1"/>
  <c r="AY32" i="4"/>
  <c r="BD40" i="4" s="1"/>
  <c r="AO32" i="4"/>
  <c r="AP44" i="4" s="1"/>
  <c r="BC32" i="4"/>
  <c r="BD44" i="4" s="1"/>
  <c r="AB32" i="4"/>
  <c r="AB45" i="4" s="1"/>
  <c r="CO32" i="4"/>
  <c r="CT40" i="4" s="1"/>
  <c r="G3" i="36" s="1"/>
  <c r="BT32" i="4"/>
  <c r="BR47" i="4" s="1"/>
  <c r="DI32" i="4"/>
  <c r="DH46" i="4" s="1"/>
  <c r="AL32" i="4"/>
  <c r="AP41" i="4" s="1"/>
  <c r="AG32" i="4"/>
  <c r="AB50" i="4" s="1"/>
  <c r="AA32" i="4"/>
  <c r="AB44" i="4" s="1"/>
  <c r="CA32" i="4"/>
  <c r="CF40" i="4" s="1"/>
  <c r="F3" i="34" s="1"/>
  <c r="F15" i="34" s="1"/>
  <c r="F27" i="34" s="1"/>
  <c r="F39" i="34" s="1"/>
  <c r="F51" i="34" s="1"/>
  <c r="F63" i="34" s="1"/>
  <c r="F75" i="34" s="1"/>
  <c r="F87" i="34" s="1"/>
  <c r="F99" i="34" s="1"/>
  <c r="F111" i="34" s="1"/>
  <c r="F123" i="34" s="1"/>
  <c r="F135" i="34" s="1"/>
  <c r="BV32" i="4"/>
  <c r="BR49" i="4" s="1"/>
  <c r="DK32" i="4"/>
  <c r="DH48" i="4" s="1"/>
  <c r="E2" i="75"/>
  <c r="BB32" i="4"/>
  <c r="BD43" i="4" s="1"/>
  <c r="T5" i="77"/>
  <c r="AA5" i="77" s="1"/>
  <c r="AC5" i="77" s="1"/>
  <c r="Z32" i="4"/>
  <c r="AB43" i="4" s="1"/>
  <c r="CE32" i="4"/>
  <c r="CF44" i="4" s="1"/>
  <c r="F7" i="34" s="1"/>
  <c r="F19" i="34" s="1"/>
  <c r="F31" i="34" s="1"/>
  <c r="F43" i="34" s="1"/>
  <c r="F55" i="34" s="1"/>
  <c r="F67" i="34" s="1"/>
  <c r="F79" i="34" s="1"/>
  <c r="F91" i="34" s="1"/>
  <c r="F103" i="34" s="1"/>
  <c r="F115" i="34" s="1"/>
  <c r="F127" i="34" s="1"/>
  <c r="F139" i="34" s="1"/>
  <c r="BU32" i="4"/>
  <c r="BR48" i="4" s="1"/>
  <c r="DD32" i="4"/>
  <c r="DH41" i="4" s="1"/>
  <c r="BN32" i="4"/>
  <c r="BR41" i="4" s="1"/>
  <c r="AM32" i="4"/>
  <c r="AP42" i="4" s="1"/>
  <c r="BH32" i="4"/>
  <c r="BD49" i="4" s="1"/>
  <c r="X32" i="4"/>
  <c r="AB41" i="4" s="1"/>
  <c r="CG32" i="4"/>
  <c r="CF46" i="4" s="1"/>
  <c r="F9" i="76" s="1"/>
  <c r="DH32" i="4"/>
  <c r="DH45" i="4" s="1"/>
  <c r="CJ32" i="4"/>
  <c r="CF49" i="4" s="1"/>
  <c r="F12" i="34" s="1"/>
  <c r="F24" i="34" s="1"/>
  <c r="F36" i="34" s="1"/>
  <c r="F48" i="34" s="1"/>
  <c r="F60" i="34" s="1"/>
  <c r="F72" i="34" s="1"/>
  <c r="F84" i="34" s="1"/>
  <c r="F96" i="34" s="1"/>
  <c r="F108" i="34" s="1"/>
  <c r="F120" i="34" s="1"/>
  <c r="F132" i="34" s="1"/>
  <c r="F144" i="34" s="1"/>
  <c r="CQ32" i="4"/>
  <c r="CT42" i="4" s="1"/>
  <c r="G5" i="36" s="1"/>
  <c r="BM32" i="4"/>
  <c r="BR40" i="4" s="1"/>
  <c r="DG32" i="4"/>
  <c r="DH44" i="4" s="1"/>
  <c r="BI32" i="4"/>
  <c r="BD50" i="4" s="1"/>
  <c r="CB32" i="4"/>
  <c r="CF41" i="4" s="1"/>
  <c r="F4" i="75" s="1"/>
  <c r="CR32" i="4"/>
  <c r="CT43" i="4" s="1"/>
  <c r="G6" i="36" s="1"/>
  <c r="BW32" i="4"/>
  <c r="BR50" i="4" s="1"/>
  <c r="V31" i="4"/>
  <c r="AH30" i="4"/>
  <c r="AN32" i="4"/>
  <c r="AP43" i="4" s="1"/>
  <c r="BG32" i="4"/>
  <c r="BD48" i="4" s="1"/>
  <c r="CI32" i="4"/>
  <c r="CF48" i="4" s="1"/>
  <c r="F11" i="38" s="1"/>
  <c r="F23" i="38" s="1"/>
  <c r="F35" i="38" s="1"/>
  <c r="F47" i="38" s="1"/>
  <c r="F59" i="38" s="1"/>
  <c r="F71" i="38" s="1"/>
  <c r="F83" i="38" s="1"/>
  <c r="F95" i="38" s="1"/>
  <c r="F107" i="38" s="1"/>
  <c r="F119" i="38" s="1"/>
  <c r="F131" i="38" s="1"/>
  <c r="CV32" i="4"/>
  <c r="CT47" i="4" s="1"/>
  <c r="G10" i="36" s="1"/>
  <c r="DG39" i="4"/>
  <c r="DN15" i="4"/>
  <c r="CH32" i="4"/>
  <c r="CF47" i="4" s="1"/>
  <c r="F10" i="76" s="1"/>
  <c r="W32" i="4"/>
  <c r="AB40" i="4" s="1"/>
  <c r="BD32" i="4"/>
  <c r="BD45" i="4" s="1"/>
  <c r="BF32" i="4"/>
  <c r="BD47" i="4" s="1"/>
  <c r="CC32" i="4"/>
  <c r="CF42" i="4" s="1"/>
  <c r="F5" i="34" s="1"/>
  <c r="F17" i="34" s="1"/>
  <c r="F29" i="34" s="1"/>
  <c r="F41" i="34" s="1"/>
  <c r="F53" i="34" s="1"/>
  <c r="F65" i="34" s="1"/>
  <c r="F77" i="34" s="1"/>
  <c r="F89" i="34" s="1"/>
  <c r="F101" i="34" s="1"/>
  <c r="F113" i="34" s="1"/>
  <c r="F125" i="34" s="1"/>
  <c r="F137" i="34" s="1"/>
  <c r="CX32" i="4"/>
  <c r="CT49" i="4" s="1"/>
  <c r="G12" i="36" s="1"/>
  <c r="AV30" i="4"/>
  <c r="BE32" i="4"/>
  <c r="BD46" i="4" s="1"/>
  <c r="Y32" i="4"/>
  <c r="AB42" i="4" s="1"/>
  <c r="CF32" i="4"/>
  <c r="CF45" i="4" s="1"/>
  <c r="F8" i="38" s="1"/>
  <c r="F20" i="38" s="1"/>
  <c r="F32" i="38" s="1"/>
  <c r="F44" i="38" s="1"/>
  <c r="F56" i="38" s="1"/>
  <c r="F68" i="38" s="1"/>
  <c r="F80" i="38" s="1"/>
  <c r="F92" i="38" s="1"/>
  <c r="F104" i="38" s="1"/>
  <c r="F116" i="38" s="1"/>
  <c r="F128" i="38" s="1"/>
  <c r="CS32" i="4"/>
  <c r="CT44" i="4" s="1"/>
  <c r="H7" i="77" s="1"/>
  <c r="N7" i="77" s="1"/>
  <c r="O7" i="77" s="1"/>
  <c r="DC32" i="4"/>
  <c r="DH40" i="4" s="1"/>
  <c r="AH15" i="4"/>
  <c r="AC8" i="77"/>
  <c r="AC3" i="77"/>
  <c r="AC10" i="77"/>
  <c r="AC6" i="77"/>
  <c r="AC9" i="77"/>
  <c r="AC13" i="77"/>
  <c r="AJ31" i="4"/>
  <c r="B86" i="155"/>
  <c r="C86" i="155"/>
  <c r="A87" i="155"/>
  <c r="A87" i="154"/>
  <c r="A87" i="30"/>
  <c r="B87" i="67"/>
  <c r="B39" i="149" s="1"/>
  <c r="C87" i="67"/>
  <c r="C39" i="149" s="1"/>
  <c r="A88" i="67"/>
  <c r="A39" i="149"/>
  <c r="A87" i="77"/>
  <c r="A87" i="34"/>
  <c r="A87" i="75"/>
  <c r="A87" i="38"/>
  <c r="A87" i="32"/>
  <c r="A87" i="76"/>
  <c r="A87" i="28"/>
  <c r="A87" i="36"/>
  <c r="C86" i="30"/>
  <c r="B86" i="30"/>
  <c r="C86" i="154"/>
  <c r="B86" i="154"/>
  <c r="B86" i="36"/>
  <c r="C86" i="36"/>
  <c r="C86" i="75"/>
  <c r="B86" i="75"/>
  <c r="C86" i="76"/>
  <c r="B86" i="76"/>
  <c r="B86" i="77"/>
  <c r="C86" i="77"/>
  <c r="C86" i="28"/>
  <c r="B86" i="28"/>
  <c r="C86" i="32"/>
  <c r="B86" i="32"/>
  <c r="B86" i="38"/>
  <c r="C86" i="38"/>
  <c r="BT73" i="67"/>
  <c r="BT25" i="149" s="1"/>
  <c r="AE11" i="77" l="1"/>
  <c r="G11" i="36"/>
  <c r="H3" i="77"/>
  <c r="N3" i="77" s="1"/>
  <c r="O3" i="77" s="1"/>
  <c r="F13" i="75"/>
  <c r="F6" i="34"/>
  <c r="F18" i="34" s="1"/>
  <c r="F30" i="34" s="1"/>
  <c r="F42" i="34" s="1"/>
  <c r="F54" i="34" s="1"/>
  <c r="F66" i="34" s="1"/>
  <c r="F78" i="34" s="1"/>
  <c r="F90" i="34" s="1"/>
  <c r="F102" i="34" s="1"/>
  <c r="F114" i="34" s="1"/>
  <c r="F126" i="34" s="1"/>
  <c r="F138" i="34" s="1"/>
  <c r="G7" i="36"/>
  <c r="F8" i="76"/>
  <c r="H10" i="77"/>
  <c r="N10" i="77" s="1"/>
  <c r="AE10" i="77" s="1"/>
  <c r="F13" i="38"/>
  <c r="F25" i="38" s="1"/>
  <c r="F37" i="38" s="1"/>
  <c r="F49" i="38" s="1"/>
  <c r="F61" i="38" s="1"/>
  <c r="F73" i="38" s="1"/>
  <c r="F85" i="38" s="1"/>
  <c r="F97" i="38" s="1"/>
  <c r="F109" i="38" s="1"/>
  <c r="F121" i="38" s="1"/>
  <c r="F133" i="38" s="1"/>
  <c r="F145" i="38" s="1"/>
  <c r="J145" i="38" s="1"/>
  <c r="R145" i="38" s="1"/>
  <c r="F13" i="76"/>
  <c r="F8" i="34"/>
  <c r="F20" i="34" s="1"/>
  <c r="F32" i="34" s="1"/>
  <c r="F44" i="34" s="1"/>
  <c r="F56" i="34" s="1"/>
  <c r="F68" i="34" s="1"/>
  <c r="F80" i="34" s="1"/>
  <c r="F92" i="34" s="1"/>
  <c r="F104" i="34" s="1"/>
  <c r="F116" i="34" s="1"/>
  <c r="F128" i="34" s="1"/>
  <c r="F140" i="34" s="1"/>
  <c r="F6" i="76"/>
  <c r="F12" i="75"/>
  <c r="F12" i="76"/>
  <c r="F8" i="75"/>
  <c r="F9" i="75"/>
  <c r="F9" i="34"/>
  <c r="F21" i="34" s="1"/>
  <c r="F33" i="34" s="1"/>
  <c r="F45" i="34" s="1"/>
  <c r="F57" i="34" s="1"/>
  <c r="F69" i="34" s="1"/>
  <c r="F81" i="34" s="1"/>
  <c r="F93" i="34" s="1"/>
  <c r="F105" i="34" s="1"/>
  <c r="F117" i="34" s="1"/>
  <c r="F129" i="34" s="1"/>
  <c r="F141" i="34" s="1"/>
  <c r="F12" i="38"/>
  <c r="F24" i="38" s="1"/>
  <c r="F36" i="38" s="1"/>
  <c r="F48" i="38" s="1"/>
  <c r="F60" i="38" s="1"/>
  <c r="F72" i="38" s="1"/>
  <c r="F84" i="38" s="1"/>
  <c r="F96" i="38" s="1"/>
  <c r="F108" i="38" s="1"/>
  <c r="F120" i="38" s="1"/>
  <c r="F132" i="38" s="1"/>
  <c r="F144" i="38" s="1"/>
  <c r="J144" i="38" s="1"/>
  <c r="R144" i="38" s="1"/>
  <c r="F6" i="75"/>
  <c r="F3" i="75"/>
  <c r="F11" i="75"/>
  <c r="H4" i="77"/>
  <c r="N4" i="77" s="1"/>
  <c r="AE4" i="77" s="1"/>
  <c r="H12" i="77"/>
  <c r="N12" i="77" s="1"/>
  <c r="O12" i="77" s="1"/>
  <c r="H9" i="77"/>
  <c r="N9" i="77" s="1"/>
  <c r="AE9" i="77" s="1"/>
  <c r="F11" i="76"/>
  <c r="H5" i="77"/>
  <c r="N5" i="77" s="1"/>
  <c r="O5" i="77" s="1"/>
  <c r="F5" i="75"/>
  <c r="F11" i="34"/>
  <c r="F23" i="34" s="1"/>
  <c r="F35" i="34" s="1"/>
  <c r="F47" i="34" s="1"/>
  <c r="F59" i="34" s="1"/>
  <c r="F71" i="34" s="1"/>
  <c r="F83" i="34" s="1"/>
  <c r="F95" i="34" s="1"/>
  <c r="F107" i="34" s="1"/>
  <c r="F119" i="34" s="1"/>
  <c r="F131" i="34" s="1"/>
  <c r="F143" i="34" s="1"/>
  <c r="F10" i="75"/>
  <c r="F10" i="38"/>
  <c r="F22" i="38" s="1"/>
  <c r="F34" i="38" s="1"/>
  <c r="F46" i="38" s="1"/>
  <c r="F58" i="38" s="1"/>
  <c r="F70" i="38" s="1"/>
  <c r="F82" i="38" s="1"/>
  <c r="F94" i="38" s="1"/>
  <c r="F106" i="38" s="1"/>
  <c r="F118" i="38" s="1"/>
  <c r="F130" i="38" s="1"/>
  <c r="J130" i="38" s="1"/>
  <c r="R130" i="38" s="1"/>
  <c r="F4" i="34"/>
  <c r="F16" i="34" s="1"/>
  <c r="F28" i="34" s="1"/>
  <c r="F40" i="34" s="1"/>
  <c r="F52" i="34" s="1"/>
  <c r="F64" i="34" s="1"/>
  <c r="F76" i="34" s="1"/>
  <c r="F88" i="34" s="1"/>
  <c r="F100" i="34" s="1"/>
  <c r="F112" i="34" s="1"/>
  <c r="F124" i="34" s="1"/>
  <c r="F136" i="34" s="1"/>
  <c r="F3" i="76"/>
  <c r="F3" i="38"/>
  <c r="F15" i="38" s="1"/>
  <c r="F27" i="38" s="1"/>
  <c r="F39" i="38" s="1"/>
  <c r="F51" i="38" s="1"/>
  <c r="F63" i="38" s="1"/>
  <c r="F75" i="38" s="1"/>
  <c r="F87" i="38" s="1"/>
  <c r="F99" i="38" s="1"/>
  <c r="F111" i="38" s="1"/>
  <c r="F123" i="38" s="1"/>
  <c r="J123" i="38" s="1"/>
  <c r="R123" i="38" s="1"/>
  <c r="H8" i="77"/>
  <c r="N8" i="77" s="1"/>
  <c r="AE8" i="77" s="1"/>
  <c r="H13" i="77"/>
  <c r="N13" i="77" s="1"/>
  <c r="O13" i="77" s="1"/>
  <c r="F10" i="34"/>
  <c r="F22" i="34" s="1"/>
  <c r="F34" i="34" s="1"/>
  <c r="F46" i="34" s="1"/>
  <c r="F58" i="34" s="1"/>
  <c r="F70" i="34" s="1"/>
  <c r="F82" i="34" s="1"/>
  <c r="F94" i="34" s="1"/>
  <c r="F106" i="34" s="1"/>
  <c r="F118" i="34" s="1"/>
  <c r="F130" i="34" s="1"/>
  <c r="F142" i="34" s="1"/>
  <c r="F4" i="76"/>
  <c r="F4" i="38"/>
  <c r="F16" i="38" s="1"/>
  <c r="F28" i="38" s="1"/>
  <c r="F40" i="38" s="1"/>
  <c r="F52" i="38" s="1"/>
  <c r="F64" i="38" s="1"/>
  <c r="F76" i="38" s="1"/>
  <c r="F88" i="38" s="1"/>
  <c r="F100" i="38" s="1"/>
  <c r="F112" i="38" s="1"/>
  <c r="F124" i="38" s="1"/>
  <c r="J124" i="38" s="1"/>
  <c r="R124" i="38" s="1"/>
  <c r="F7" i="75"/>
  <c r="F7" i="38"/>
  <c r="F19" i="38" s="1"/>
  <c r="F31" i="38" s="1"/>
  <c r="F43" i="38" s="1"/>
  <c r="F55" i="38" s="1"/>
  <c r="F67" i="38" s="1"/>
  <c r="F79" i="38" s="1"/>
  <c r="F91" i="38" s="1"/>
  <c r="F103" i="38" s="1"/>
  <c r="F115" i="38" s="1"/>
  <c r="F127" i="38" s="1"/>
  <c r="F139" i="38" s="1"/>
  <c r="J139" i="38" s="1"/>
  <c r="R139" i="38" s="1"/>
  <c r="F5" i="38"/>
  <c r="F17" i="38" s="1"/>
  <c r="F29" i="38" s="1"/>
  <c r="F41" i="38" s="1"/>
  <c r="F53" i="38" s="1"/>
  <c r="F65" i="38" s="1"/>
  <c r="F77" i="38" s="1"/>
  <c r="F89" i="38" s="1"/>
  <c r="F101" i="38" s="1"/>
  <c r="F113" i="38" s="1"/>
  <c r="F125" i="38" s="1"/>
  <c r="F137" i="38" s="1"/>
  <c r="J137" i="38" s="1"/>
  <c r="R137" i="38" s="1"/>
  <c r="F5" i="76"/>
  <c r="H6" i="77"/>
  <c r="N6" i="77" s="1"/>
  <c r="AE6" i="77" s="1"/>
  <c r="F7" i="76"/>
  <c r="AJ32" i="4"/>
  <c r="V32" i="4"/>
  <c r="AH31" i="4"/>
  <c r="BZ32" i="4"/>
  <c r="CJ39" i="4"/>
  <c r="CL31" i="4"/>
  <c r="DB32" i="4"/>
  <c r="DN31" i="4"/>
  <c r="AX32" i="4"/>
  <c r="BJ31" i="4"/>
  <c r="BL32" i="4"/>
  <c r="BX31" i="4"/>
  <c r="F9" i="38"/>
  <c r="F21" i="38" s="1"/>
  <c r="F33" i="38" s="1"/>
  <c r="F45" i="38" s="1"/>
  <c r="F57" i="38" s="1"/>
  <c r="F69" i="38" s="1"/>
  <c r="F81" i="38" s="1"/>
  <c r="F93" i="38" s="1"/>
  <c r="F105" i="38" s="1"/>
  <c r="F117" i="38" s="1"/>
  <c r="F129" i="38" s="1"/>
  <c r="F141" i="38" s="1"/>
  <c r="J141" i="38" s="1"/>
  <c r="R141" i="38" s="1"/>
  <c r="E14" i="75"/>
  <c r="Q2" i="75"/>
  <c r="CN32" i="4"/>
  <c r="CZ31" i="4"/>
  <c r="F2" i="36"/>
  <c r="G2" i="77"/>
  <c r="E14" i="34"/>
  <c r="E26" i="34" s="1"/>
  <c r="E38" i="34" s="1"/>
  <c r="E50" i="34" s="1"/>
  <c r="E62" i="34" s="1"/>
  <c r="E74" i="34" s="1"/>
  <c r="E86" i="34" s="1"/>
  <c r="E98" i="34" s="1"/>
  <c r="E110" i="34" s="1"/>
  <c r="E122" i="34" s="1"/>
  <c r="E134" i="34" s="1"/>
  <c r="E2" i="76"/>
  <c r="E134" i="38"/>
  <c r="I134" i="38" s="1"/>
  <c r="Q134" i="38" s="1"/>
  <c r="I122" i="38"/>
  <c r="Q122" i="38" s="1"/>
  <c r="O11" i="77"/>
  <c r="F140" i="38"/>
  <c r="J140" i="38" s="1"/>
  <c r="R140" i="38" s="1"/>
  <c r="J128" i="38"/>
  <c r="R128" i="38" s="1"/>
  <c r="AE7" i="77"/>
  <c r="F143" i="38"/>
  <c r="J143" i="38" s="1"/>
  <c r="R143" i="38" s="1"/>
  <c r="J131" i="38"/>
  <c r="R131" i="38" s="1"/>
  <c r="J126" i="38"/>
  <c r="R126" i="38" s="1"/>
  <c r="F138" i="38"/>
  <c r="J138" i="38" s="1"/>
  <c r="R138" i="38" s="1"/>
  <c r="B87" i="28"/>
  <c r="C87" i="28"/>
  <c r="B87" i="32"/>
  <c r="C87" i="32"/>
  <c r="B87" i="38"/>
  <c r="C87" i="38"/>
  <c r="B87" i="75"/>
  <c r="C87" i="75"/>
  <c r="C87" i="76"/>
  <c r="B87" i="76"/>
  <c r="C87" i="77"/>
  <c r="B87" i="77"/>
  <c r="B87" i="30"/>
  <c r="C87" i="30"/>
  <c r="C87" i="155"/>
  <c r="B87" i="155"/>
  <c r="A88" i="155"/>
  <c r="A88" i="154"/>
  <c r="A88" i="38"/>
  <c r="A88" i="75"/>
  <c r="A88" i="36"/>
  <c r="B88" i="67"/>
  <c r="A88" i="32"/>
  <c r="A88" i="30"/>
  <c r="A88" i="76"/>
  <c r="C88" i="67"/>
  <c r="C40" i="149" s="1"/>
  <c r="A88" i="77"/>
  <c r="A89" i="67"/>
  <c r="A40" i="149"/>
  <c r="A88" i="34"/>
  <c r="A88" i="28"/>
  <c r="C87" i="154"/>
  <c r="B87" i="154"/>
  <c r="B87" i="36"/>
  <c r="C87" i="36"/>
  <c r="BT74" i="67"/>
  <c r="BT26" i="149" s="1"/>
  <c r="B6" i="57"/>
  <c r="J6" i="57"/>
  <c r="AL2" i="34" l="1"/>
  <c r="AM2" i="38"/>
  <c r="P2" i="36"/>
  <c r="J2" i="36"/>
  <c r="AE3" i="77"/>
  <c r="O10" i="77"/>
  <c r="J133" i="38"/>
  <c r="R133" i="38" s="1"/>
  <c r="AE13" i="77"/>
  <c r="J132" i="38"/>
  <c r="R132" i="38" s="1"/>
  <c r="AE5" i="77"/>
  <c r="O9" i="77"/>
  <c r="AE12" i="77"/>
  <c r="O4" i="77"/>
  <c r="O8" i="77"/>
  <c r="F135" i="38"/>
  <c r="J135" i="38" s="1"/>
  <c r="R135" i="38" s="1"/>
  <c r="F142" i="38"/>
  <c r="J142" i="38" s="1"/>
  <c r="R142" i="38" s="1"/>
  <c r="J125" i="38"/>
  <c r="R125" i="38" s="1"/>
  <c r="F136" i="38"/>
  <c r="J136" i="38" s="1"/>
  <c r="R136" i="38" s="1"/>
  <c r="J127" i="38"/>
  <c r="R127" i="38" s="1"/>
  <c r="O6" i="77"/>
  <c r="J129" i="38"/>
  <c r="R129" i="38" s="1"/>
  <c r="T2" i="77"/>
  <c r="AA2" i="77" s="1"/>
  <c r="AC2" i="77" s="1"/>
  <c r="M2" i="77"/>
  <c r="BR39" i="4"/>
  <c r="BX32" i="4"/>
  <c r="CF39" i="4"/>
  <c r="CL32" i="4"/>
  <c r="DL50" i="4"/>
  <c r="BV45" i="4"/>
  <c r="CX41" i="4"/>
  <c r="AQ4" i="36" s="1"/>
  <c r="BV42" i="4"/>
  <c r="AT43" i="4"/>
  <c r="CJ47" i="4"/>
  <c r="BH44" i="4"/>
  <c r="DL41" i="4"/>
  <c r="BH50" i="4"/>
  <c r="AT40" i="4"/>
  <c r="DL45" i="4"/>
  <c r="CX48" i="4"/>
  <c r="AQ11" i="36" s="1"/>
  <c r="DL43" i="4"/>
  <c r="DL49" i="4"/>
  <c r="BH43" i="4"/>
  <c r="BV41" i="4"/>
  <c r="BH48" i="4"/>
  <c r="BH46" i="4"/>
  <c r="CJ41" i="4"/>
  <c r="BV44" i="4"/>
  <c r="BV43" i="4"/>
  <c r="CJ49" i="4"/>
  <c r="CX45" i="4"/>
  <c r="AQ8" i="36" s="1"/>
  <c r="CX40" i="4"/>
  <c r="AQ3" i="36" s="1"/>
  <c r="AT42" i="4"/>
  <c r="CJ48" i="4"/>
  <c r="BH45" i="4"/>
  <c r="DL47" i="4"/>
  <c r="CX43" i="4"/>
  <c r="AQ6" i="36" s="1"/>
  <c r="DL42" i="4"/>
  <c r="CJ40" i="4"/>
  <c r="CX42" i="4"/>
  <c r="AQ5" i="36" s="1"/>
  <c r="BH47" i="4"/>
  <c r="CJ45" i="4"/>
  <c r="CJ43" i="4"/>
  <c r="BH42" i="4"/>
  <c r="BH49" i="4"/>
  <c r="CJ50" i="4"/>
  <c r="BH40" i="4"/>
  <c r="BV47" i="4"/>
  <c r="BV50" i="4"/>
  <c r="CX47" i="4"/>
  <c r="AQ10" i="36" s="1"/>
  <c r="CJ44" i="4"/>
  <c r="BV40" i="4"/>
  <c r="CJ42" i="4"/>
  <c r="CX44" i="4"/>
  <c r="AQ7" i="36" s="1"/>
  <c r="CX46" i="4"/>
  <c r="AQ9" i="36" s="1"/>
  <c r="BH41" i="4"/>
  <c r="DL46" i="4"/>
  <c r="BV49" i="4"/>
  <c r="CX50" i="4"/>
  <c r="AQ13" i="36" s="1"/>
  <c r="AT44" i="4"/>
  <c r="BV48" i="4"/>
  <c r="BV46" i="4"/>
  <c r="DL48" i="4"/>
  <c r="CX49" i="4"/>
  <c r="AQ12" i="36" s="1"/>
  <c r="DL40" i="4"/>
  <c r="AT41" i="4"/>
  <c r="CJ46" i="4"/>
  <c r="DL44" i="4"/>
  <c r="CT39" i="4"/>
  <c r="CZ32" i="4"/>
  <c r="BH39" i="4"/>
  <c r="AB39" i="4"/>
  <c r="AH32" i="4"/>
  <c r="BD39" i="4"/>
  <c r="BJ32" i="4"/>
  <c r="DL39" i="4"/>
  <c r="AT39" i="4"/>
  <c r="DH39" i="4"/>
  <c r="DN32" i="4"/>
  <c r="BV39" i="4"/>
  <c r="AP39" i="4"/>
  <c r="A89" i="155"/>
  <c r="A89" i="154"/>
  <c r="A89" i="38"/>
  <c r="A89" i="32"/>
  <c r="B89" i="67"/>
  <c r="B41" i="149" s="1"/>
  <c r="A89" i="75"/>
  <c r="A89" i="76"/>
  <c r="C89" i="67"/>
  <c r="C41" i="149" s="1"/>
  <c r="A90" i="67"/>
  <c r="A89" i="34"/>
  <c r="A89" i="36"/>
  <c r="A41" i="149"/>
  <c r="A89" i="30"/>
  <c r="A89" i="77"/>
  <c r="A89" i="28"/>
  <c r="C88" i="77"/>
  <c r="B88" i="77"/>
  <c r="C88" i="76"/>
  <c r="B88" i="76"/>
  <c r="C88" i="28"/>
  <c r="B88" i="28"/>
  <c r="B88" i="32"/>
  <c r="C88" i="32"/>
  <c r="B88" i="30"/>
  <c r="C88" i="30"/>
  <c r="B88" i="36"/>
  <c r="C88" i="36"/>
  <c r="C88" i="38"/>
  <c r="B88" i="38"/>
  <c r="B40" i="149"/>
  <c r="C88" i="154"/>
  <c r="B88" i="154"/>
  <c r="B88" i="75"/>
  <c r="C88" i="75"/>
  <c r="B88" i="155"/>
  <c r="C88" i="155"/>
  <c r="BT75" i="67"/>
  <c r="BT27" i="149" s="1"/>
  <c r="K74" i="32"/>
  <c r="J7" i="57"/>
  <c r="B7" i="57"/>
  <c r="AV4" i="36" l="1"/>
  <c r="AQ16" i="36"/>
  <c r="AQ25" i="36"/>
  <c r="AV13" i="36"/>
  <c r="AL6" i="34"/>
  <c r="AM6" i="38"/>
  <c r="AM4" i="38"/>
  <c r="AL4" i="34"/>
  <c r="AL8" i="34"/>
  <c r="AM8" i="38"/>
  <c r="AL3" i="34"/>
  <c r="AM3" i="38"/>
  <c r="AQ23" i="36"/>
  <c r="AV11" i="36"/>
  <c r="AV9" i="36"/>
  <c r="AQ21" i="36"/>
  <c r="AV5" i="36"/>
  <c r="AQ17" i="36"/>
  <c r="AV3" i="36"/>
  <c r="AQ15" i="36"/>
  <c r="AQ18" i="36"/>
  <c r="AV6" i="36"/>
  <c r="AL9" i="34"/>
  <c r="AM9" i="38"/>
  <c r="AQ22" i="36"/>
  <c r="AV10" i="36"/>
  <c r="AQ20" i="36"/>
  <c r="AV8" i="36"/>
  <c r="AM14" i="38"/>
  <c r="AR2" i="38"/>
  <c r="AV7" i="36"/>
  <c r="AQ19" i="36"/>
  <c r="AL5" i="34"/>
  <c r="AM5" i="38"/>
  <c r="AL7" i="34"/>
  <c r="AM7" i="38"/>
  <c r="AL11" i="34"/>
  <c r="AM11" i="38"/>
  <c r="AQ24" i="36"/>
  <c r="AV12" i="36"/>
  <c r="AL13" i="34"/>
  <c r="AM13" i="38"/>
  <c r="AM12" i="38"/>
  <c r="AL12" i="34"/>
  <c r="AL10" i="34"/>
  <c r="AM10" i="38"/>
  <c r="AL14" i="34"/>
  <c r="AQ2" i="34"/>
  <c r="V2" i="36"/>
  <c r="X2" i="36" s="1"/>
  <c r="AQ14" i="36"/>
  <c r="AV14" i="36" s="1"/>
  <c r="F2" i="38"/>
  <c r="F14" i="38" s="1"/>
  <c r="F26" i="38" s="1"/>
  <c r="F38" i="38" s="1"/>
  <c r="F50" i="38" s="1"/>
  <c r="F62" i="38" s="1"/>
  <c r="F74" i="38" s="1"/>
  <c r="F86" i="38" s="1"/>
  <c r="F98" i="38" s="1"/>
  <c r="F110" i="38" s="1"/>
  <c r="F122" i="38" s="1"/>
  <c r="F2" i="75"/>
  <c r="F2" i="34"/>
  <c r="F14" i="34" s="1"/>
  <c r="F26" i="34" s="1"/>
  <c r="F38" i="34" s="1"/>
  <c r="F50" i="34" s="1"/>
  <c r="F62" i="34" s="1"/>
  <c r="F74" i="34" s="1"/>
  <c r="F86" i="34" s="1"/>
  <c r="F98" i="34" s="1"/>
  <c r="F110" i="34" s="1"/>
  <c r="F122" i="34" s="1"/>
  <c r="F134" i="34" s="1"/>
  <c r="F2" i="76"/>
  <c r="G2" i="36"/>
  <c r="H2" i="77"/>
  <c r="N2" i="77" s="1"/>
  <c r="AE2" i="77" s="1"/>
  <c r="BI44" i="4"/>
  <c r="AU41" i="4"/>
  <c r="DM41" i="4"/>
  <c r="CK46" i="4"/>
  <c r="DM50" i="4"/>
  <c r="CY41" i="4"/>
  <c r="AR4" i="36" s="1"/>
  <c r="BW42" i="4"/>
  <c r="AU43" i="4"/>
  <c r="DM43" i="4"/>
  <c r="BI50" i="4"/>
  <c r="BI46" i="4"/>
  <c r="AU40" i="4"/>
  <c r="DM45" i="4"/>
  <c r="BI43" i="4"/>
  <c r="BW41" i="4"/>
  <c r="BI48" i="4"/>
  <c r="CY48" i="4"/>
  <c r="AR11" i="36" s="1"/>
  <c r="DM49" i="4"/>
  <c r="CY45" i="4"/>
  <c r="AR8" i="36" s="1"/>
  <c r="BW44" i="4"/>
  <c r="CK41" i="4"/>
  <c r="BI45" i="4"/>
  <c r="BW43" i="4"/>
  <c r="CK49" i="4"/>
  <c r="DM42" i="4"/>
  <c r="CY40" i="4"/>
  <c r="AR3" i="36" s="1"/>
  <c r="AU42" i="4"/>
  <c r="CK48" i="4"/>
  <c r="BI42" i="4"/>
  <c r="DM47" i="4"/>
  <c r="CY43" i="4"/>
  <c r="AR6" i="36" s="1"/>
  <c r="BW47" i="4"/>
  <c r="CK40" i="4"/>
  <c r="CY42" i="4"/>
  <c r="AR5" i="36" s="1"/>
  <c r="CY47" i="4"/>
  <c r="AR10" i="36" s="1"/>
  <c r="BI47" i="4"/>
  <c r="CK45" i="4"/>
  <c r="CK43" i="4"/>
  <c r="CK44" i="4"/>
  <c r="BI49" i="4"/>
  <c r="CK50" i="4"/>
  <c r="BI40" i="4"/>
  <c r="BW49" i="4"/>
  <c r="BW50" i="4"/>
  <c r="BW40" i="4"/>
  <c r="CK42" i="4"/>
  <c r="CY44" i="4"/>
  <c r="AR7" i="36" s="1"/>
  <c r="BW46" i="4"/>
  <c r="CY46" i="4"/>
  <c r="AR9" i="36" s="1"/>
  <c r="BI41" i="4"/>
  <c r="DM46" i="4"/>
  <c r="CY50" i="4"/>
  <c r="AR13" i="36" s="1"/>
  <c r="AU44" i="4"/>
  <c r="BW48" i="4"/>
  <c r="DM44" i="4"/>
  <c r="BW45" i="4"/>
  <c r="DM48" i="4"/>
  <c r="CK47" i="4"/>
  <c r="CY49" i="4"/>
  <c r="AR12" i="36" s="1"/>
  <c r="DM40" i="4"/>
  <c r="BW39" i="4"/>
  <c r="AU39" i="4"/>
  <c r="DM39" i="4"/>
  <c r="BI39" i="4"/>
  <c r="CY39" i="4"/>
  <c r="AR2" i="36" s="1"/>
  <c r="CK39" i="4"/>
  <c r="B89" i="28"/>
  <c r="C89" i="28"/>
  <c r="B89" i="77"/>
  <c r="C89" i="77"/>
  <c r="B89" i="30"/>
  <c r="C89" i="30"/>
  <c r="B89" i="36"/>
  <c r="C89" i="36"/>
  <c r="B89" i="75"/>
  <c r="C89" i="75"/>
  <c r="C89" i="38"/>
  <c r="B89" i="38"/>
  <c r="C89" i="154"/>
  <c r="B89" i="154"/>
  <c r="A90" i="155"/>
  <c r="A90" i="154"/>
  <c r="A90" i="28"/>
  <c r="A90" i="32"/>
  <c r="A90" i="76"/>
  <c r="C90" i="67"/>
  <c r="C42" i="149" s="1"/>
  <c r="A90" i="38"/>
  <c r="A90" i="75"/>
  <c r="B90" i="67"/>
  <c r="A90" i="77"/>
  <c r="A90" i="36"/>
  <c r="A91" i="67"/>
  <c r="A42" i="149"/>
  <c r="A90" i="34"/>
  <c r="A90" i="30"/>
  <c r="B89" i="76"/>
  <c r="C89" i="76"/>
  <c r="C89" i="32"/>
  <c r="B89" i="32"/>
  <c r="B89" i="155"/>
  <c r="C89" i="155"/>
  <c r="BT76" i="67"/>
  <c r="BT28" i="149" s="1"/>
  <c r="K75" i="32"/>
  <c r="B8" i="57"/>
  <c r="J8" i="57"/>
  <c r="AW10" i="36" l="1"/>
  <c r="AR22" i="36"/>
  <c r="AN12" i="38"/>
  <c r="AM12" i="34"/>
  <c r="AV19" i="36"/>
  <c r="AQ31" i="36"/>
  <c r="AV21" i="36"/>
  <c r="AQ33" i="36"/>
  <c r="AL26" i="34"/>
  <c r="AQ14" i="34"/>
  <c r="AN6" i="38"/>
  <c r="AM6" i="34"/>
  <c r="AR16" i="36"/>
  <c r="AW4" i="36"/>
  <c r="AM22" i="38"/>
  <c r="AR10" i="38"/>
  <c r="AM26" i="38"/>
  <c r="AR14" i="38"/>
  <c r="AV23" i="36"/>
  <c r="AQ35" i="36"/>
  <c r="AN7" i="38"/>
  <c r="AM7" i="34"/>
  <c r="AN9" i="38"/>
  <c r="AM9" i="34"/>
  <c r="AQ12" i="34"/>
  <c r="AL24" i="34"/>
  <c r="AM15" i="38"/>
  <c r="AR3" i="38"/>
  <c r="AW13" i="36"/>
  <c r="AR25" i="36"/>
  <c r="AV20" i="36"/>
  <c r="AQ32" i="36"/>
  <c r="AL15" i="34"/>
  <c r="AQ3" i="34"/>
  <c r="AM20" i="38"/>
  <c r="AR8" i="38"/>
  <c r="AW5" i="36"/>
  <c r="AR17" i="36"/>
  <c r="AL20" i="34"/>
  <c r="AQ8" i="34"/>
  <c r="AW2" i="36"/>
  <c r="AR14" i="36"/>
  <c r="AM21" i="38"/>
  <c r="AR9" i="38"/>
  <c r="AQ4" i="34"/>
  <c r="AL16" i="34"/>
  <c r="AN8" i="38"/>
  <c r="AM8" i="34"/>
  <c r="AN4" i="38"/>
  <c r="AM4" i="34"/>
  <c r="AN2" i="38"/>
  <c r="AM2" i="34"/>
  <c r="AQ9" i="34"/>
  <c r="AL21" i="34"/>
  <c r="AM16" i="38"/>
  <c r="AR4" i="38"/>
  <c r="AM24" i="38"/>
  <c r="AR12" i="38"/>
  <c r="AW11" i="36"/>
  <c r="AR23" i="36"/>
  <c r="AM18" i="38"/>
  <c r="AR6" i="38"/>
  <c r="AW8" i="36"/>
  <c r="AR20" i="36"/>
  <c r="AN3" i="38"/>
  <c r="AM3" i="34"/>
  <c r="AV18" i="36"/>
  <c r="AQ30" i="36"/>
  <c r="AQ6" i="34"/>
  <c r="AL18" i="34"/>
  <c r="AQ10" i="34"/>
  <c r="AL22" i="34"/>
  <c r="AQ13" i="34"/>
  <c r="AL25" i="34"/>
  <c r="AM19" i="38"/>
  <c r="AR7" i="38"/>
  <c r="AV15" i="36"/>
  <c r="AQ27" i="36"/>
  <c r="AV22" i="36"/>
  <c r="AQ34" i="36"/>
  <c r="AM23" i="38"/>
  <c r="AR11" i="38"/>
  <c r="AN11" i="38"/>
  <c r="AM11" i="34"/>
  <c r="AL19" i="34"/>
  <c r="AQ7" i="34"/>
  <c r="AV25" i="36"/>
  <c r="AQ37" i="36"/>
  <c r="AM25" i="38"/>
  <c r="AR13" i="38"/>
  <c r="AR21" i="36"/>
  <c r="AW9" i="36"/>
  <c r="AW7" i="36"/>
  <c r="AR19" i="36"/>
  <c r="AR15" i="36"/>
  <c r="AW3" i="36"/>
  <c r="AM17" i="38"/>
  <c r="AR5" i="38"/>
  <c r="AV17" i="36"/>
  <c r="AQ29" i="36"/>
  <c r="AV16" i="36"/>
  <c r="AQ28" i="36"/>
  <c r="AR18" i="36"/>
  <c r="AW6" i="36"/>
  <c r="AV24" i="36"/>
  <c r="AQ36" i="36"/>
  <c r="AN5" i="38"/>
  <c r="AM5" i="34"/>
  <c r="AL23" i="34"/>
  <c r="AQ11" i="34"/>
  <c r="AW12" i="36"/>
  <c r="AR24" i="36"/>
  <c r="AN10" i="38"/>
  <c r="AM10" i="34"/>
  <c r="AN13" i="38"/>
  <c r="AM13" i="34"/>
  <c r="AQ5" i="34"/>
  <c r="AL17" i="34"/>
  <c r="AQ26" i="36"/>
  <c r="AV26" i="36" s="1"/>
  <c r="O2" i="77"/>
  <c r="J122" i="38"/>
  <c r="R122" i="38" s="1"/>
  <c r="F134" i="38"/>
  <c r="J134" i="38" s="1"/>
  <c r="R134" i="38" s="1"/>
  <c r="C90" i="154"/>
  <c r="B90" i="154"/>
  <c r="B90" i="30"/>
  <c r="C90" i="30"/>
  <c r="B90" i="77"/>
  <c r="C90" i="77"/>
  <c r="C90" i="155"/>
  <c r="B90" i="155"/>
  <c r="B90" i="38"/>
  <c r="C90" i="38"/>
  <c r="B90" i="75"/>
  <c r="C90" i="75"/>
  <c r="C90" i="76"/>
  <c r="B90" i="76"/>
  <c r="A91" i="155"/>
  <c r="A91" i="154"/>
  <c r="A91" i="36"/>
  <c r="A91" i="28"/>
  <c r="A91" i="32"/>
  <c r="A91" i="34"/>
  <c r="A91" i="30"/>
  <c r="A91" i="77"/>
  <c r="A91" i="75"/>
  <c r="A91" i="38"/>
  <c r="A91" i="76"/>
  <c r="A92" i="67"/>
  <c r="B91" i="67"/>
  <c r="C91" i="67"/>
  <c r="C43" i="149" s="1"/>
  <c r="A43" i="149"/>
  <c r="B90" i="36"/>
  <c r="C90" i="36"/>
  <c r="B90" i="32"/>
  <c r="C90" i="32"/>
  <c r="B42" i="149"/>
  <c r="C90" i="28"/>
  <c r="B90" i="28"/>
  <c r="J9" i="57"/>
  <c r="BT77" i="67"/>
  <c r="BT29" i="149" s="1"/>
  <c r="K76" i="32"/>
  <c r="J10" i="57"/>
  <c r="B9" i="57"/>
  <c r="AM20" i="34" l="1"/>
  <c r="AR8" i="34"/>
  <c r="AV32" i="36"/>
  <c r="AQ44" i="36"/>
  <c r="AR27" i="36"/>
  <c r="AW15" i="36"/>
  <c r="AN20" i="38"/>
  <c r="AS8" i="38"/>
  <c r="AM34" i="38"/>
  <c r="AR22" i="38"/>
  <c r="AW16" i="36"/>
  <c r="AR28" i="36"/>
  <c r="AW24" i="36"/>
  <c r="AR36" i="36"/>
  <c r="AW19" i="36"/>
  <c r="AR31" i="36"/>
  <c r="AW25" i="36"/>
  <c r="AR37" i="36"/>
  <c r="AM18" i="34"/>
  <c r="AR6" i="34"/>
  <c r="AM33" i="38"/>
  <c r="AR21" i="38"/>
  <c r="AM27" i="38"/>
  <c r="AR15" i="38"/>
  <c r="AN18" i="38"/>
  <c r="AS6" i="38"/>
  <c r="AM17" i="34"/>
  <c r="AR5" i="34"/>
  <c r="AW14" i="36"/>
  <c r="AR26" i="36"/>
  <c r="AQ24" i="34"/>
  <c r="AL36" i="34"/>
  <c r="AL38" i="34"/>
  <c r="AQ26" i="34"/>
  <c r="AM21" i="34"/>
  <c r="AR9" i="34"/>
  <c r="AV33" i="36"/>
  <c r="AQ45" i="36"/>
  <c r="AM30" i="38"/>
  <c r="AR18" i="38"/>
  <c r="AN17" i="38"/>
  <c r="AS5" i="38"/>
  <c r="AW21" i="36"/>
  <c r="AR33" i="36"/>
  <c r="AV36" i="36"/>
  <c r="AQ48" i="36"/>
  <c r="AV37" i="36"/>
  <c r="AQ49" i="36"/>
  <c r="AV31" i="36"/>
  <c r="AQ43" i="36"/>
  <c r="AW23" i="36"/>
  <c r="AR35" i="36"/>
  <c r="AM31" i="38"/>
  <c r="AR19" i="38"/>
  <c r="AR30" i="36"/>
  <c r="AW18" i="36"/>
  <c r="AN19" i="38"/>
  <c r="AS7" i="38"/>
  <c r="AV34" i="36"/>
  <c r="AQ46" i="36"/>
  <c r="AW20" i="36"/>
  <c r="AR32" i="36"/>
  <c r="AN21" i="38"/>
  <c r="AS9" i="38"/>
  <c r="AM14" i="34"/>
  <c r="AR2" i="34"/>
  <c r="AM24" i="34"/>
  <c r="AR12" i="34"/>
  <c r="AL37" i="34"/>
  <c r="AQ25" i="34"/>
  <c r="AM37" i="38"/>
  <c r="AR25" i="38"/>
  <c r="AV28" i="36"/>
  <c r="AQ40" i="36"/>
  <c r="AL30" i="34"/>
  <c r="AQ18" i="34"/>
  <c r="AM19" i="34"/>
  <c r="AR7" i="34"/>
  <c r="AV30" i="36"/>
  <c r="AQ42" i="36"/>
  <c r="AN25" i="38"/>
  <c r="AS13" i="38"/>
  <c r="AN23" i="38"/>
  <c r="AS11" i="38"/>
  <c r="AN14" i="38"/>
  <c r="AS2" i="38"/>
  <c r="AM32" i="38"/>
  <c r="AR20" i="38"/>
  <c r="AN24" i="38"/>
  <c r="AS12" i="38"/>
  <c r="AV27" i="36"/>
  <c r="AQ39" i="36"/>
  <c r="AQ16" i="34"/>
  <c r="AL28" i="34"/>
  <c r="AL35" i="34"/>
  <c r="AQ23" i="34"/>
  <c r="AL34" i="34"/>
  <c r="AQ22" i="34"/>
  <c r="AM28" i="38"/>
  <c r="AR16" i="38"/>
  <c r="AL32" i="34"/>
  <c r="AQ20" i="34"/>
  <c r="AL29" i="34"/>
  <c r="AQ17" i="34"/>
  <c r="AL33" i="34"/>
  <c r="AQ21" i="34"/>
  <c r="AM23" i="34"/>
  <c r="AR11" i="34"/>
  <c r="AM22" i="34"/>
  <c r="AR10" i="34"/>
  <c r="AM15" i="34"/>
  <c r="AR3" i="34"/>
  <c r="AR4" i="34"/>
  <c r="AM16" i="34"/>
  <c r="AW22" i="36"/>
  <c r="AR34" i="36"/>
  <c r="AM36" i="38"/>
  <c r="AR24" i="38"/>
  <c r="AR29" i="36"/>
  <c r="AW17" i="36"/>
  <c r="AL31" i="34"/>
  <c r="AQ19" i="34"/>
  <c r="AM25" i="34"/>
  <c r="AR13" i="34"/>
  <c r="AV29" i="36"/>
  <c r="AQ41" i="36"/>
  <c r="AV35" i="36"/>
  <c r="AQ47" i="36"/>
  <c r="AN22" i="38"/>
  <c r="AS10" i="38"/>
  <c r="AM29" i="38"/>
  <c r="AR17" i="38"/>
  <c r="AM35" i="38"/>
  <c r="AR23" i="38"/>
  <c r="AN15" i="38"/>
  <c r="AS3" i="38"/>
  <c r="AN16" i="38"/>
  <c r="AS4" i="38"/>
  <c r="AL27" i="34"/>
  <c r="AQ15" i="34"/>
  <c r="AM38" i="38"/>
  <c r="AR26" i="38"/>
  <c r="AQ38" i="36"/>
  <c r="AV38" i="36" s="1"/>
  <c r="C91" i="154"/>
  <c r="B91" i="154"/>
  <c r="B43" i="149"/>
  <c r="B91" i="75"/>
  <c r="C91" i="75"/>
  <c r="C91" i="77"/>
  <c r="B91" i="77"/>
  <c r="C91" i="30"/>
  <c r="B91" i="30"/>
  <c r="B91" i="32"/>
  <c r="C91" i="32"/>
  <c r="B91" i="155"/>
  <c r="C91" i="155"/>
  <c r="C91" i="28"/>
  <c r="B91" i="28"/>
  <c r="A92" i="155"/>
  <c r="A92" i="154"/>
  <c r="A44" i="149"/>
  <c r="A92" i="76"/>
  <c r="A93" i="67"/>
  <c r="A92" i="36"/>
  <c r="A92" i="34"/>
  <c r="A92" i="77"/>
  <c r="A92" i="30"/>
  <c r="A92" i="38"/>
  <c r="C92" i="67"/>
  <c r="C44" i="149" s="1"/>
  <c r="A92" i="28"/>
  <c r="A92" i="75"/>
  <c r="A92" i="32"/>
  <c r="B92" i="67"/>
  <c r="C91" i="76"/>
  <c r="B91" i="76"/>
  <c r="C91" i="38"/>
  <c r="B91" i="38"/>
  <c r="C91" i="36"/>
  <c r="B91" i="36"/>
  <c r="BT78" i="67"/>
  <c r="BT30" i="149" s="1"/>
  <c r="K77" i="32"/>
  <c r="B10" i="57"/>
  <c r="B11" i="57" s="1"/>
  <c r="B12" i="57" s="1"/>
  <c r="B13" i="57" s="1"/>
  <c r="B14" i="57" s="1"/>
  <c r="J11" i="57"/>
  <c r="P28" i="23"/>
  <c r="P27" i="23"/>
  <c r="X26" i="23"/>
  <c r="P26" i="23"/>
  <c r="H29" i="23"/>
  <c r="L26" i="23"/>
  <c r="H28" i="23"/>
  <c r="H25" i="23"/>
  <c r="L29" i="23"/>
  <c r="H27" i="23"/>
  <c r="L27" i="23"/>
  <c r="L28" i="23"/>
  <c r="H26" i="23"/>
  <c r="D26" i="23"/>
  <c r="D27" i="23"/>
  <c r="X25" i="23"/>
  <c r="D28" i="23"/>
  <c r="L25" i="23"/>
  <c r="D29" i="23"/>
  <c r="D25" i="23"/>
  <c r="P25" i="23"/>
  <c r="X27" i="23"/>
  <c r="L30" i="23"/>
  <c r="P29" i="23"/>
  <c r="AQ36" i="34" l="1"/>
  <c r="AL48" i="34"/>
  <c r="AW31" i="36"/>
  <c r="AR43" i="36"/>
  <c r="AL47" i="34"/>
  <c r="AQ35" i="34"/>
  <c r="AV49" i="36"/>
  <c r="AQ61" i="36"/>
  <c r="AM27" i="34"/>
  <c r="AR15" i="34"/>
  <c r="AN33" i="38"/>
  <c r="AS21" i="38"/>
  <c r="AV41" i="36"/>
  <c r="AQ53" i="36"/>
  <c r="AL40" i="34"/>
  <c r="AQ28" i="34"/>
  <c r="AW32" i="36"/>
  <c r="AR44" i="36"/>
  <c r="AV48" i="36"/>
  <c r="AQ60" i="36"/>
  <c r="AR38" i="36"/>
  <c r="AW26" i="36"/>
  <c r="AW36" i="36"/>
  <c r="AR48" i="36"/>
  <c r="AM34" i="34"/>
  <c r="AR22" i="34"/>
  <c r="AM31" i="34"/>
  <c r="AR19" i="34"/>
  <c r="AM50" i="38"/>
  <c r="AR38" i="38"/>
  <c r="AV39" i="36"/>
  <c r="AQ51" i="36"/>
  <c r="AV46" i="36"/>
  <c r="AQ58" i="36"/>
  <c r="AW33" i="36"/>
  <c r="AR45" i="36"/>
  <c r="AW28" i="36"/>
  <c r="AR40" i="36"/>
  <c r="AR17" i="34"/>
  <c r="AM29" i="34"/>
  <c r="AV40" i="36"/>
  <c r="AQ52" i="36"/>
  <c r="AM46" i="38"/>
  <c r="AR34" i="38"/>
  <c r="AV47" i="36"/>
  <c r="AQ59" i="36"/>
  <c r="AL39" i="34"/>
  <c r="AQ27" i="34"/>
  <c r="AV42" i="36"/>
  <c r="AQ54" i="36"/>
  <c r="AL43" i="34"/>
  <c r="AQ31" i="34"/>
  <c r="AN36" i="38"/>
  <c r="AS24" i="38"/>
  <c r="AW29" i="36"/>
  <c r="AR41" i="36"/>
  <c r="AW30" i="36"/>
  <c r="AR42" i="36"/>
  <c r="AM42" i="38"/>
  <c r="AR30" i="38"/>
  <c r="AM39" i="38"/>
  <c r="AR27" i="38"/>
  <c r="AN32" i="38"/>
  <c r="AS20" i="38"/>
  <c r="AM37" i="34"/>
  <c r="AR25" i="34"/>
  <c r="AL42" i="34"/>
  <c r="AQ30" i="34"/>
  <c r="AN28" i="38"/>
  <c r="AS16" i="38"/>
  <c r="AL45" i="34"/>
  <c r="AQ33" i="34"/>
  <c r="AL41" i="34"/>
  <c r="AQ29" i="34"/>
  <c r="AM44" i="38"/>
  <c r="AR32" i="38"/>
  <c r="AL49" i="34"/>
  <c r="AQ37" i="34"/>
  <c r="AM45" i="38"/>
  <c r="AR33" i="38"/>
  <c r="AW27" i="36"/>
  <c r="AR39" i="36"/>
  <c r="AV45" i="36"/>
  <c r="AQ57" i="36"/>
  <c r="AV44" i="36"/>
  <c r="AQ56" i="36"/>
  <c r="AM43" i="38"/>
  <c r="AR31" i="38"/>
  <c r="AW34" i="36"/>
  <c r="AR46" i="36"/>
  <c r="AM41" i="38"/>
  <c r="AR29" i="38"/>
  <c r="AM40" i="38"/>
  <c r="AR28" i="38"/>
  <c r="AN35" i="38"/>
  <c r="AS23" i="38"/>
  <c r="AM36" i="34"/>
  <c r="AR24" i="34"/>
  <c r="AM33" i="34"/>
  <c r="AR21" i="34"/>
  <c r="AR18" i="34"/>
  <c r="AM30" i="34"/>
  <c r="AR23" i="34"/>
  <c r="AM35" i="34"/>
  <c r="AN30" i="38"/>
  <c r="AS18" i="38"/>
  <c r="AM49" i="38"/>
  <c r="AR37" i="38"/>
  <c r="AM47" i="38"/>
  <c r="AR35" i="38"/>
  <c r="AW35" i="36"/>
  <c r="AR47" i="36"/>
  <c r="AM28" i="34"/>
  <c r="AR16" i="34"/>
  <c r="AV43" i="36"/>
  <c r="AQ55" i="36"/>
  <c r="AW37" i="36"/>
  <c r="AR49" i="36"/>
  <c r="AN31" i="38"/>
  <c r="AS19" i="38"/>
  <c r="AN29" i="38"/>
  <c r="AS17" i="38"/>
  <c r="AN27" i="38"/>
  <c r="AS15" i="38"/>
  <c r="AM48" i="38"/>
  <c r="AR36" i="38"/>
  <c r="AL44" i="34"/>
  <c r="AQ32" i="34"/>
  <c r="AN26" i="38"/>
  <c r="AS14" i="38"/>
  <c r="AN34" i="38"/>
  <c r="AS22" i="38"/>
  <c r="AQ34" i="34"/>
  <c r="AL46" i="34"/>
  <c r="AN37" i="38"/>
  <c r="AS25" i="38"/>
  <c r="AM26" i="34"/>
  <c r="AR14" i="34"/>
  <c r="AL50" i="34"/>
  <c r="AQ38" i="34"/>
  <c r="AR20" i="34"/>
  <c r="AM32" i="34"/>
  <c r="AQ50" i="36"/>
  <c r="AV50" i="36" s="1"/>
  <c r="B92" i="32"/>
  <c r="C92" i="32"/>
  <c r="B92" i="75"/>
  <c r="C92" i="75"/>
  <c r="C92" i="28"/>
  <c r="B92" i="28"/>
  <c r="C92" i="38"/>
  <c r="B92" i="38"/>
  <c r="B92" i="30"/>
  <c r="C92" i="30"/>
  <c r="B92" i="77"/>
  <c r="C92" i="77"/>
  <c r="B92" i="36"/>
  <c r="C92" i="36"/>
  <c r="A93" i="155"/>
  <c r="A93" i="154"/>
  <c r="A93" i="32"/>
  <c r="C93" i="67"/>
  <c r="C45" i="149" s="1"/>
  <c r="B93" i="67"/>
  <c r="A45" i="149"/>
  <c r="A93" i="75"/>
  <c r="A94" i="67"/>
  <c r="A93" i="34"/>
  <c r="A93" i="28"/>
  <c r="A93" i="38"/>
  <c r="A93" i="76"/>
  <c r="A93" i="36"/>
  <c r="A93" i="77"/>
  <c r="A93" i="30"/>
  <c r="B92" i="76"/>
  <c r="C92" i="76"/>
  <c r="C92" i="155"/>
  <c r="B92" i="155"/>
  <c r="C92" i="154"/>
  <c r="B92" i="154"/>
  <c r="B44" i="149"/>
  <c r="BT79" i="67"/>
  <c r="BT31" i="149" s="1"/>
  <c r="K78" i="32"/>
  <c r="J12" i="57"/>
  <c r="Q1" i="38"/>
  <c r="P1" i="38"/>
  <c r="C73" i="38"/>
  <c r="B73" i="38"/>
  <c r="C72" i="38"/>
  <c r="B72" i="38"/>
  <c r="C71" i="38"/>
  <c r="B71" i="38"/>
  <c r="C70" i="38"/>
  <c r="B70" i="38"/>
  <c r="C69" i="38"/>
  <c r="B69" i="38"/>
  <c r="C68" i="38"/>
  <c r="B68" i="38"/>
  <c r="C67" i="38"/>
  <c r="B67" i="38"/>
  <c r="C66" i="38"/>
  <c r="B66" i="38"/>
  <c r="C65" i="38"/>
  <c r="B65" i="38"/>
  <c r="C64" i="38"/>
  <c r="B64" i="38"/>
  <c r="C63" i="38"/>
  <c r="B63" i="38"/>
  <c r="C62" i="38"/>
  <c r="B62" i="38"/>
  <c r="C61" i="38"/>
  <c r="B61" i="38"/>
  <c r="C60" i="38"/>
  <c r="B60" i="38"/>
  <c r="C59" i="38"/>
  <c r="B59" i="38"/>
  <c r="C58" i="38"/>
  <c r="B57" i="38"/>
  <c r="C56" i="38"/>
  <c r="B55" i="38"/>
  <c r="C54" i="38"/>
  <c r="B53" i="38"/>
  <c r="C52" i="38"/>
  <c r="B51" i="38"/>
  <c r="C50" i="38"/>
  <c r="C48" i="38"/>
  <c r="C46" i="38"/>
  <c r="C44" i="38"/>
  <c r="C42" i="38"/>
  <c r="B41" i="38"/>
  <c r="C40" i="38"/>
  <c r="B39" i="38"/>
  <c r="C38" i="38"/>
  <c r="B37" i="38"/>
  <c r="C36" i="38"/>
  <c r="C34" i="38"/>
  <c r="B33" i="38"/>
  <c r="C32" i="38"/>
  <c r="B31" i="38"/>
  <c r="C30" i="38"/>
  <c r="B29" i="38"/>
  <c r="C28" i="38"/>
  <c r="C26" i="38"/>
  <c r="B25" i="38"/>
  <c r="C24" i="38"/>
  <c r="B23" i="38"/>
  <c r="C22" i="38"/>
  <c r="B21" i="38"/>
  <c r="C20" i="38"/>
  <c r="C18" i="38"/>
  <c r="B17" i="38"/>
  <c r="C16" i="38"/>
  <c r="B15" i="38"/>
  <c r="C14" i="38"/>
  <c r="B13" i="38"/>
  <c r="C12" i="38"/>
  <c r="C10" i="38"/>
  <c r="B9" i="38"/>
  <c r="C8" i="38"/>
  <c r="B7" i="38"/>
  <c r="AV51" i="36" l="1"/>
  <c r="AQ63" i="36"/>
  <c r="AL56" i="34"/>
  <c r="AQ44" i="34"/>
  <c r="AQ40" i="34"/>
  <c r="AL52" i="34"/>
  <c r="AN47" i="38"/>
  <c r="AS35" i="38"/>
  <c r="AM57" i="38"/>
  <c r="AR45" i="38"/>
  <c r="AN44" i="38"/>
  <c r="AS32" i="38"/>
  <c r="AL51" i="34"/>
  <c r="AQ39" i="34"/>
  <c r="AM44" i="34"/>
  <c r="AR32" i="34"/>
  <c r="AV59" i="36"/>
  <c r="AQ71" i="36"/>
  <c r="AV53" i="36"/>
  <c r="AQ65" i="36"/>
  <c r="AM62" i="38"/>
  <c r="AR50" i="38"/>
  <c r="AL62" i="34"/>
  <c r="AQ50" i="34"/>
  <c r="AN39" i="38"/>
  <c r="AS27" i="38"/>
  <c r="AM61" i="38"/>
  <c r="AR49" i="38"/>
  <c r="AM53" i="38"/>
  <c r="AR41" i="38"/>
  <c r="AM56" i="38"/>
  <c r="AR44" i="38"/>
  <c r="AM54" i="38"/>
  <c r="AR42" i="38"/>
  <c r="AM58" i="38"/>
  <c r="AR46" i="38"/>
  <c r="AR31" i="34"/>
  <c r="AM43" i="34"/>
  <c r="AN45" i="38"/>
  <c r="AS33" i="38"/>
  <c r="AW42" i="36"/>
  <c r="AR54" i="36"/>
  <c r="AV52" i="36"/>
  <c r="AQ64" i="36"/>
  <c r="AM39" i="34"/>
  <c r="AR27" i="34"/>
  <c r="AM60" i="38"/>
  <c r="AR48" i="38"/>
  <c r="AM52" i="38"/>
  <c r="AR40" i="38"/>
  <c r="AW41" i="36"/>
  <c r="AR53" i="36"/>
  <c r="AM41" i="34"/>
  <c r="AR29" i="34"/>
  <c r="AW48" i="36"/>
  <c r="AR60" i="36"/>
  <c r="AV61" i="36"/>
  <c r="AQ73" i="36"/>
  <c r="AL61" i="34"/>
  <c r="AQ49" i="34"/>
  <c r="AM55" i="38"/>
  <c r="AR43" i="38"/>
  <c r="AL57" i="34"/>
  <c r="AQ45" i="34"/>
  <c r="AL59" i="34"/>
  <c r="AQ47" i="34"/>
  <c r="AW47" i="36"/>
  <c r="AR59" i="36"/>
  <c r="AW49" i="36"/>
  <c r="AR61" i="36"/>
  <c r="AW43" i="36"/>
  <c r="AR55" i="36"/>
  <c r="AN43" i="38"/>
  <c r="AS31" i="38"/>
  <c r="AQ46" i="34"/>
  <c r="AL58" i="34"/>
  <c r="AW40" i="36"/>
  <c r="AR52" i="36"/>
  <c r="AW38" i="36"/>
  <c r="AR50" i="36"/>
  <c r="AN46" i="38"/>
  <c r="AS34" i="38"/>
  <c r="AR33" i="34"/>
  <c r="AM45" i="34"/>
  <c r="AL54" i="34"/>
  <c r="AQ42" i="34"/>
  <c r="AL55" i="34"/>
  <c r="AQ43" i="34"/>
  <c r="AM59" i="38"/>
  <c r="AR47" i="38"/>
  <c r="AM51" i="38"/>
  <c r="AR39" i="38"/>
  <c r="AN49" i="38"/>
  <c r="AS37" i="38"/>
  <c r="AM42" i="34"/>
  <c r="AR30" i="34"/>
  <c r="AV56" i="36"/>
  <c r="AQ68" i="36"/>
  <c r="AN40" i="38"/>
  <c r="AS28" i="38"/>
  <c r="AW45" i="36"/>
  <c r="AR57" i="36"/>
  <c r="AW39" i="36"/>
  <c r="AR51" i="36"/>
  <c r="AV54" i="36"/>
  <c r="AQ66" i="36"/>
  <c r="AV58" i="36"/>
  <c r="AQ70" i="36"/>
  <c r="AW44" i="36"/>
  <c r="AR56" i="36"/>
  <c r="AQ48" i="34"/>
  <c r="AL60" i="34"/>
  <c r="AW46" i="36"/>
  <c r="AR58" i="36"/>
  <c r="AM38" i="34"/>
  <c r="AR26" i="34"/>
  <c r="AN41" i="38"/>
  <c r="AS29" i="38"/>
  <c r="AN42" i="38"/>
  <c r="AS30" i="38"/>
  <c r="AL53" i="34"/>
  <c r="AQ41" i="34"/>
  <c r="AR34" i="34"/>
  <c r="AM46" i="34"/>
  <c r="AR35" i="34"/>
  <c r="AM47" i="34"/>
  <c r="AN48" i="38"/>
  <c r="AS36" i="38"/>
  <c r="AQ67" i="36"/>
  <c r="AV55" i="36"/>
  <c r="AV57" i="36"/>
  <c r="AQ69" i="36"/>
  <c r="AV60" i="36"/>
  <c r="AQ72" i="36"/>
  <c r="AN38" i="38"/>
  <c r="AS26" i="38"/>
  <c r="AR28" i="34"/>
  <c r="AM40" i="34"/>
  <c r="AM48" i="34"/>
  <c r="AR36" i="34"/>
  <c r="AM49" i="34"/>
  <c r="AR37" i="34"/>
  <c r="AQ62" i="36"/>
  <c r="AV62" i="36" s="1"/>
  <c r="B93" i="155"/>
  <c r="C93" i="155"/>
  <c r="B93" i="30"/>
  <c r="C93" i="30"/>
  <c r="B93" i="77"/>
  <c r="C93" i="77"/>
  <c r="C93" i="76"/>
  <c r="B93" i="76"/>
  <c r="C93" i="36"/>
  <c r="B93" i="36"/>
  <c r="B93" i="38"/>
  <c r="C93" i="38"/>
  <c r="B93" i="28"/>
  <c r="C93" i="28"/>
  <c r="A94" i="155"/>
  <c r="A94" i="154"/>
  <c r="A95" i="67"/>
  <c r="A94" i="36"/>
  <c r="A46" i="149"/>
  <c r="A94" i="75"/>
  <c r="A94" i="76"/>
  <c r="B94" i="67"/>
  <c r="A94" i="34"/>
  <c r="A94" i="30"/>
  <c r="A94" i="32"/>
  <c r="A94" i="77"/>
  <c r="A94" i="28"/>
  <c r="A94" i="38"/>
  <c r="C94" i="67"/>
  <c r="C46" i="149" s="1"/>
  <c r="B93" i="75"/>
  <c r="C93" i="75"/>
  <c r="B45" i="149"/>
  <c r="C93" i="32"/>
  <c r="B93" i="32"/>
  <c r="C93" i="154"/>
  <c r="B93" i="154"/>
  <c r="J13" i="57"/>
  <c r="BT80" i="67"/>
  <c r="BT32" i="149" s="1"/>
  <c r="K79" i="32"/>
  <c r="B54" i="38"/>
  <c r="C37" i="38"/>
  <c r="C15" i="38"/>
  <c r="B46" i="38"/>
  <c r="C23" i="38"/>
  <c r="C39" i="38"/>
  <c r="B48" i="38"/>
  <c r="C7" i="38"/>
  <c r="C21" i="38"/>
  <c r="C31" i="38"/>
  <c r="B44" i="38"/>
  <c r="C13" i="38"/>
  <c r="C29" i="38"/>
  <c r="B45" i="38"/>
  <c r="C45" i="38"/>
  <c r="B50" i="38"/>
  <c r="B58" i="38"/>
  <c r="C49" i="38"/>
  <c r="B49" i="38"/>
  <c r="B19" i="38"/>
  <c r="C19" i="38"/>
  <c r="B35" i="38"/>
  <c r="C35" i="38"/>
  <c r="B47" i="38"/>
  <c r="C47" i="38"/>
  <c r="B52" i="38"/>
  <c r="B11" i="38"/>
  <c r="C11" i="38"/>
  <c r="B27" i="38"/>
  <c r="C27" i="38"/>
  <c r="B43" i="38"/>
  <c r="C43" i="38"/>
  <c r="B56" i="38"/>
  <c r="C9" i="38"/>
  <c r="C17" i="38"/>
  <c r="C25" i="38"/>
  <c r="C33" i="38"/>
  <c r="C41" i="38"/>
  <c r="C51" i="38"/>
  <c r="C53" i="38"/>
  <c r="C55" i="38"/>
  <c r="C57" i="38"/>
  <c r="C6" i="38"/>
  <c r="B6" i="38"/>
  <c r="B8" i="38"/>
  <c r="B10" i="38"/>
  <c r="B12" i="38"/>
  <c r="B14" i="38"/>
  <c r="B16" i="38"/>
  <c r="B18" i="38"/>
  <c r="B20" i="38"/>
  <c r="B22" i="38"/>
  <c r="B24" i="38"/>
  <c r="B26" i="38"/>
  <c r="B28" i="38"/>
  <c r="B30" i="38"/>
  <c r="B32" i="38"/>
  <c r="B34" i="38"/>
  <c r="B36" i="38"/>
  <c r="B38" i="38"/>
  <c r="B40" i="38"/>
  <c r="B42" i="38"/>
  <c r="AW50" i="36" l="1"/>
  <c r="AR62" i="36"/>
  <c r="AN60" i="38"/>
  <c r="AS48" i="38"/>
  <c r="AM54" i="34"/>
  <c r="AR42" i="34"/>
  <c r="AL69" i="34"/>
  <c r="AQ57" i="34"/>
  <c r="AM72" i="38"/>
  <c r="AR60" i="38"/>
  <c r="AM68" i="38"/>
  <c r="AR56" i="38"/>
  <c r="AR44" i="34"/>
  <c r="AM56" i="34"/>
  <c r="AW52" i="36"/>
  <c r="AR64" i="36"/>
  <c r="AL72" i="34"/>
  <c r="AQ60" i="34"/>
  <c r="AM61" i="34"/>
  <c r="AR49" i="34"/>
  <c r="AM51" i="34"/>
  <c r="AR39" i="34"/>
  <c r="AM65" i="38"/>
  <c r="AR53" i="38"/>
  <c r="AL63" i="34"/>
  <c r="AQ51" i="34"/>
  <c r="AN61" i="38"/>
  <c r="AS49" i="38"/>
  <c r="AM67" i="38"/>
  <c r="AR55" i="38"/>
  <c r="AM58" i="34"/>
  <c r="AR46" i="34"/>
  <c r="AV70" i="36"/>
  <c r="AQ82" i="36"/>
  <c r="AQ58" i="34"/>
  <c r="AL70" i="34"/>
  <c r="AV64" i="36"/>
  <c r="AQ76" i="36"/>
  <c r="AN56" i="38"/>
  <c r="AS44" i="38"/>
  <c r="AV73" i="36"/>
  <c r="AQ85" i="36"/>
  <c r="AW54" i="36"/>
  <c r="AR66" i="36"/>
  <c r="AN51" i="38"/>
  <c r="AS39" i="38"/>
  <c r="AM69" i="38"/>
  <c r="AR57" i="38"/>
  <c r="AL74" i="34"/>
  <c r="AQ62" i="34"/>
  <c r="AN59" i="38"/>
  <c r="AS47" i="38"/>
  <c r="AN54" i="38"/>
  <c r="AS42" i="38"/>
  <c r="AW61" i="36"/>
  <c r="AR73" i="36"/>
  <c r="AL64" i="34"/>
  <c r="AQ52" i="34"/>
  <c r="AM52" i="34"/>
  <c r="AR40" i="34"/>
  <c r="AV66" i="36"/>
  <c r="AQ78" i="36"/>
  <c r="AM71" i="38"/>
  <c r="AR59" i="38"/>
  <c r="AN55" i="38"/>
  <c r="AS43" i="38"/>
  <c r="AW51" i="36"/>
  <c r="AR63" i="36"/>
  <c r="AN50" i="38"/>
  <c r="AS38" i="38"/>
  <c r="AN57" i="38"/>
  <c r="AS45" i="38"/>
  <c r="AV72" i="36"/>
  <c r="AQ84" i="36"/>
  <c r="AM53" i="34"/>
  <c r="AR41" i="34"/>
  <c r="AW59" i="36"/>
  <c r="AR71" i="36"/>
  <c r="AM59" i="34"/>
  <c r="AR47" i="34"/>
  <c r="AM63" i="38"/>
  <c r="AR51" i="38"/>
  <c r="AW55" i="36"/>
  <c r="AR67" i="36"/>
  <c r="AW60" i="36"/>
  <c r="AR72" i="36"/>
  <c r="AM55" i="34"/>
  <c r="AR43" i="34"/>
  <c r="AN53" i="38"/>
  <c r="AS41" i="38"/>
  <c r="AM74" i="38"/>
  <c r="AR62" i="38"/>
  <c r="AM57" i="34"/>
  <c r="AR45" i="34"/>
  <c r="AV65" i="36"/>
  <c r="AQ77" i="36"/>
  <c r="AM50" i="34"/>
  <c r="AR38" i="34"/>
  <c r="AN52" i="38"/>
  <c r="AS40" i="38"/>
  <c r="AM70" i="38"/>
  <c r="AR58" i="38"/>
  <c r="AL68" i="34"/>
  <c r="AQ56" i="34"/>
  <c r="AW56" i="36"/>
  <c r="AR68" i="36"/>
  <c r="AM60" i="34"/>
  <c r="AR48" i="34"/>
  <c r="AL73" i="34"/>
  <c r="AQ61" i="34"/>
  <c r="AM73" i="38"/>
  <c r="AR61" i="38"/>
  <c r="AL65" i="34"/>
  <c r="AQ53" i="34"/>
  <c r="AW57" i="36"/>
  <c r="AR69" i="36"/>
  <c r="AQ54" i="34"/>
  <c r="AL66" i="34"/>
  <c r="AW53" i="36"/>
  <c r="AR65" i="36"/>
  <c r="AW58" i="36"/>
  <c r="AR70" i="36"/>
  <c r="AV68" i="36"/>
  <c r="AQ80" i="36"/>
  <c r="AV71" i="36"/>
  <c r="AQ83" i="36"/>
  <c r="AV63" i="36"/>
  <c r="AQ75" i="36"/>
  <c r="AL67" i="34"/>
  <c r="AQ55" i="34"/>
  <c r="AV69" i="36"/>
  <c r="AQ81" i="36"/>
  <c r="AV67" i="36"/>
  <c r="AQ79" i="36"/>
  <c r="AN58" i="38"/>
  <c r="AS46" i="38"/>
  <c r="AL71" i="34"/>
  <c r="AQ59" i="34"/>
  <c r="AM64" i="38"/>
  <c r="AR52" i="38"/>
  <c r="AM66" i="38"/>
  <c r="AR54" i="38"/>
  <c r="AQ74" i="36"/>
  <c r="AV74" i="36" s="1"/>
  <c r="C94" i="154"/>
  <c r="B94" i="154"/>
  <c r="B94" i="155"/>
  <c r="C94" i="155"/>
  <c r="C94" i="38"/>
  <c r="B94" i="38"/>
  <c r="B94" i="28"/>
  <c r="C94" i="28"/>
  <c r="B94" i="77"/>
  <c r="C94" i="77"/>
  <c r="C94" i="32"/>
  <c r="B94" i="32"/>
  <c r="B94" i="30"/>
  <c r="C94" i="30"/>
  <c r="B46" i="149"/>
  <c r="B94" i="76"/>
  <c r="C94" i="76"/>
  <c r="B94" i="75"/>
  <c r="C94" i="75"/>
  <c r="B94" i="36"/>
  <c r="C94" i="36"/>
  <c r="A95" i="155"/>
  <c r="A95" i="154"/>
  <c r="A95" i="32"/>
  <c r="A95" i="36"/>
  <c r="A96" i="67"/>
  <c r="A95" i="76"/>
  <c r="A95" i="34"/>
  <c r="C95" i="34" s="1"/>
  <c r="A47" i="149"/>
  <c r="A95" i="75"/>
  <c r="A95" i="30"/>
  <c r="C95" i="67"/>
  <c r="C47" i="149" s="1"/>
  <c r="A95" i="38"/>
  <c r="A95" i="77"/>
  <c r="B95" i="67"/>
  <c r="A95" i="28"/>
  <c r="J14" i="57"/>
  <c r="BT81" i="67"/>
  <c r="BT33" i="149" s="1"/>
  <c r="K80" i="32"/>
  <c r="R2" i="34"/>
  <c r="R3" i="34"/>
  <c r="R4" i="34"/>
  <c r="R5" i="34"/>
  <c r="R6" i="34"/>
  <c r="R8" i="34"/>
  <c r="R9" i="34"/>
  <c r="R10" i="34"/>
  <c r="R11" i="34"/>
  <c r="R12" i="34"/>
  <c r="R13" i="34"/>
  <c r="R14" i="34"/>
  <c r="R15" i="34"/>
  <c r="R16" i="34"/>
  <c r="R17" i="34"/>
  <c r="R18" i="34"/>
  <c r="R19" i="34"/>
  <c r="R20" i="34"/>
  <c r="R21" i="34"/>
  <c r="R22" i="34"/>
  <c r="R23" i="34"/>
  <c r="R24" i="34"/>
  <c r="R25" i="34"/>
  <c r="R26" i="34"/>
  <c r="R27" i="34"/>
  <c r="R28" i="34"/>
  <c r="R29" i="34"/>
  <c r="R30" i="34"/>
  <c r="R31" i="34"/>
  <c r="R32" i="34"/>
  <c r="R33" i="34"/>
  <c r="R34" i="34"/>
  <c r="R35" i="34"/>
  <c r="R36" i="34"/>
  <c r="R37" i="34"/>
  <c r="R38" i="34"/>
  <c r="R39" i="34"/>
  <c r="R40" i="34"/>
  <c r="R41" i="34"/>
  <c r="R42" i="34"/>
  <c r="R43" i="34"/>
  <c r="R44" i="34"/>
  <c r="R45" i="34"/>
  <c r="R46" i="34"/>
  <c r="R47" i="34"/>
  <c r="R48" i="34"/>
  <c r="R49" i="34"/>
  <c r="R50" i="34"/>
  <c r="R51" i="34"/>
  <c r="R52" i="34"/>
  <c r="R53" i="34"/>
  <c r="R54" i="34"/>
  <c r="R55" i="34"/>
  <c r="R56" i="34"/>
  <c r="R57" i="34"/>
  <c r="R58" i="34"/>
  <c r="R59" i="34"/>
  <c r="R60" i="34"/>
  <c r="R61" i="34"/>
  <c r="R62" i="34"/>
  <c r="R63" i="34"/>
  <c r="R64" i="34"/>
  <c r="R65" i="34"/>
  <c r="R66" i="34"/>
  <c r="R67" i="34"/>
  <c r="R68" i="34"/>
  <c r="R69" i="34"/>
  <c r="R70" i="34"/>
  <c r="R71" i="34"/>
  <c r="R72" i="34"/>
  <c r="R73" i="34"/>
  <c r="L2" i="34"/>
  <c r="L3" i="34"/>
  <c r="L4" i="34"/>
  <c r="L5" i="34"/>
  <c r="L6" i="34"/>
  <c r="L7" i="34"/>
  <c r="L8" i="34"/>
  <c r="L9" i="34"/>
  <c r="L10" i="34"/>
  <c r="L11" i="34"/>
  <c r="L12" i="34"/>
  <c r="L13" i="34"/>
  <c r="L14" i="34"/>
  <c r="L15" i="34"/>
  <c r="L16" i="34"/>
  <c r="L17" i="34"/>
  <c r="L18" i="34"/>
  <c r="L19" i="34"/>
  <c r="L20" i="34"/>
  <c r="L21" i="34"/>
  <c r="L22" i="34"/>
  <c r="L23" i="34"/>
  <c r="L24" i="34"/>
  <c r="L25" i="34"/>
  <c r="L26" i="34"/>
  <c r="L27" i="34"/>
  <c r="L28" i="34"/>
  <c r="L29" i="34"/>
  <c r="L30" i="34"/>
  <c r="L31" i="34"/>
  <c r="L32" i="34"/>
  <c r="L33" i="34"/>
  <c r="L34" i="34"/>
  <c r="L35" i="34"/>
  <c r="L36" i="34"/>
  <c r="L37" i="34"/>
  <c r="L38" i="34"/>
  <c r="L39" i="34"/>
  <c r="L40" i="34"/>
  <c r="L41" i="34"/>
  <c r="L42" i="34"/>
  <c r="L43" i="34"/>
  <c r="L44" i="34"/>
  <c r="L45" i="34"/>
  <c r="L46" i="34"/>
  <c r="L47" i="34"/>
  <c r="L48" i="34"/>
  <c r="L49" i="34"/>
  <c r="L50" i="34"/>
  <c r="L51" i="34"/>
  <c r="L52" i="34"/>
  <c r="L53" i="34"/>
  <c r="L54" i="34"/>
  <c r="L55" i="34"/>
  <c r="L56" i="34"/>
  <c r="L57" i="34"/>
  <c r="L58" i="34"/>
  <c r="L59" i="34"/>
  <c r="L60" i="34"/>
  <c r="L61" i="34"/>
  <c r="L62" i="34"/>
  <c r="L63" i="34"/>
  <c r="L64" i="34"/>
  <c r="L65" i="34"/>
  <c r="L66" i="34"/>
  <c r="L67" i="34"/>
  <c r="L68" i="34"/>
  <c r="L69" i="34"/>
  <c r="L70" i="34"/>
  <c r="L71" i="34"/>
  <c r="L72" i="34"/>
  <c r="L73" i="34"/>
  <c r="L74" i="34"/>
  <c r="L75" i="34"/>
  <c r="L76" i="34"/>
  <c r="L77" i="34"/>
  <c r="L78" i="34"/>
  <c r="L79" i="34"/>
  <c r="L80" i="34"/>
  <c r="L81" i="34"/>
  <c r="L82" i="34"/>
  <c r="L83" i="34"/>
  <c r="L84" i="34"/>
  <c r="L85" i="34"/>
  <c r="L86" i="34"/>
  <c r="L87" i="34"/>
  <c r="L88" i="34"/>
  <c r="L89" i="34"/>
  <c r="L90" i="34"/>
  <c r="L91" i="34"/>
  <c r="L92" i="34"/>
  <c r="L93" i="34"/>
  <c r="L94" i="34"/>
  <c r="L95" i="34"/>
  <c r="L96" i="34"/>
  <c r="L97" i="34"/>
  <c r="Q2" i="34"/>
  <c r="Q3" i="34"/>
  <c r="Q4" i="34"/>
  <c r="Q5" i="34"/>
  <c r="Q6" i="34"/>
  <c r="Q7" i="34"/>
  <c r="Q8" i="34"/>
  <c r="Q9" i="34"/>
  <c r="Q10" i="34"/>
  <c r="Q11" i="34"/>
  <c r="Q12" i="34"/>
  <c r="Q13" i="34"/>
  <c r="Q14" i="34"/>
  <c r="Q15" i="34"/>
  <c r="Q16" i="34"/>
  <c r="Q17" i="34"/>
  <c r="Q18" i="34"/>
  <c r="Q19" i="34"/>
  <c r="Q20" i="34"/>
  <c r="Q21" i="34"/>
  <c r="Q22" i="34"/>
  <c r="Q23" i="34"/>
  <c r="Q24" i="34"/>
  <c r="Q25" i="34"/>
  <c r="Q26" i="34"/>
  <c r="Q27" i="34"/>
  <c r="Q28" i="34"/>
  <c r="Q29" i="34"/>
  <c r="Q30" i="34"/>
  <c r="Q31" i="34"/>
  <c r="Q32" i="34"/>
  <c r="Q33" i="34"/>
  <c r="Q34" i="34"/>
  <c r="Q35" i="34"/>
  <c r="Q36" i="34"/>
  <c r="Q37" i="34"/>
  <c r="Q38" i="34"/>
  <c r="Q39" i="34"/>
  <c r="Q40" i="34"/>
  <c r="Q41" i="34"/>
  <c r="Q42" i="34"/>
  <c r="Q43" i="34"/>
  <c r="Q44" i="34"/>
  <c r="Q45" i="34"/>
  <c r="Q46" i="34"/>
  <c r="Q47" i="34"/>
  <c r="Q48" i="34"/>
  <c r="Q49" i="34"/>
  <c r="Q50" i="34"/>
  <c r="Q51" i="34"/>
  <c r="Q52" i="34"/>
  <c r="Q53" i="34"/>
  <c r="Q54" i="34"/>
  <c r="Q55" i="34"/>
  <c r="Q56" i="34"/>
  <c r="Q57" i="34"/>
  <c r="Q58" i="34"/>
  <c r="Q59" i="34"/>
  <c r="Q60" i="34"/>
  <c r="Q61" i="34"/>
  <c r="O1" i="34"/>
  <c r="C94" i="34"/>
  <c r="B94" i="34"/>
  <c r="C93" i="34"/>
  <c r="B93" i="34"/>
  <c r="C92" i="34"/>
  <c r="B92" i="34"/>
  <c r="C91" i="34"/>
  <c r="B91" i="34"/>
  <c r="C90" i="34"/>
  <c r="B90" i="34"/>
  <c r="C89" i="34"/>
  <c r="B89" i="34"/>
  <c r="C88" i="34"/>
  <c r="B88" i="34"/>
  <c r="C87" i="34"/>
  <c r="B87" i="34"/>
  <c r="C86" i="34"/>
  <c r="B86" i="34"/>
  <c r="C85" i="34"/>
  <c r="B85" i="34"/>
  <c r="C84" i="34"/>
  <c r="B84" i="34"/>
  <c r="C83" i="34"/>
  <c r="B83" i="34"/>
  <c r="C82" i="34"/>
  <c r="B82" i="34"/>
  <c r="C81" i="34"/>
  <c r="B81" i="34"/>
  <c r="C80" i="34"/>
  <c r="B80" i="34"/>
  <c r="C79" i="34"/>
  <c r="B79" i="34"/>
  <c r="C78" i="34"/>
  <c r="B78" i="34"/>
  <c r="C77" i="34"/>
  <c r="B77" i="34"/>
  <c r="C76" i="34"/>
  <c r="B76" i="34"/>
  <c r="C75" i="34"/>
  <c r="B75" i="34"/>
  <c r="C74" i="34"/>
  <c r="B74" i="34"/>
  <c r="C73" i="34"/>
  <c r="B73" i="34"/>
  <c r="C72" i="34"/>
  <c r="B72" i="34"/>
  <c r="C71" i="34"/>
  <c r="B71" i="34"/>
  <c r="C70" i="34"/>
  <c r="B70" i="34"/>
  <c r="C69" i="34"/>
  <c r="B69" i="34"/>
  <c r="C68" i="34"/>
  <c r="B68" i="34"/>
  <c r="C67" i="34"/>
  <c r="B67" i="34"/>
  <c r="C66" i="34"/>
  <c r="B66" i="34"/>
  <c r="C65" i="34"/>
  <c r="B65" i="34"/>
  <c r="C64" i="34"/>
  <c r="B64" i="34"/>
  <c r="C63" i="34"/>
  <c r="B63" i="34"/>
  <c r="C62" i="34"/>
  <c r="B62" i="34"/>
  <c r="C61" i="34"/>
  <c r="B61" i="34"/>
  <c r="C60" i="34"/>
  <c r="B60" i="34"/>
  <c r="C59" i="34"/>
  <c r="B59" i="34"/>
  <c r="C58" i="34"/>
  <c r="C57" i="34"/>
  <c r="C56" i="34"/>
  <c r="C55" i="34"/>
  <c r="C54" i="34"/>
  <c r="B53" i="34"/>
  <c r="C52" i="34"/>
  <c r="B51" i="34"/>
  <c r="C50" i="34"/>
  <c r="B49" i="34"/>
  <c r="C48" i="34"/>
  <c r="B47" i="34"/>
  <c r="C46" i="34"/>
  <c r="B45" i="34"/>
  <c r="B44" i="34"/>
  <c r="C42" i="34"/>
  <c r="C41" i="34"/>
  <c r="C40" i="34"/>
  <c r="C39" i="34"/>
  <c r="C38" i="34"/>
  <c r="C37" i="34"/>
  <c r="C36" i="34"/>
  <c r="C34" i="34"/>
  <c r="C33" i="34"/>
  <c r="C32" i="34"/>
  <c r="C31" i="34"/>
  <c r="C30" i="34"/>
  <c r="C29" i="34"/>
  <c r="C28" i="34"/>
  <c r="C26" i="34"/>
  <c r="C25" i="34"/>
  <c r="C24" i="34"/>
  <c r="C23" i="34"/>
  <c r="C22" i="34"/>
  <c r="C21" i="34"/>
  <c r="C20" i="34"/>
  <c r="C18" i="34"/>
  <c r="C17" i="34"/>
  <c r="C16" i="34"/>
  <c r="C15" i="34"/>
  <c r="C14" i="34"/>
  <c r="P2" i="28"/>
  <c r="P1" i="28"/>
  <c r="Q2" i="28"/>
  <c r="Q1" i="28"/>
  <c r="AW64" i="36" l="1"/>
  <c r="AR76" i="36"/>
  <c r="AM85" i="38"/>
  <c r="AR73" i="38"/>
  <c r="AM71" i="34"/>
  <c r="AR59" i="34"/>
  <c r="AM83" i="38"/>
  <c r="AR71" i="38"/>
  <c r="AM81" i="38"/>
  <c r="AR69" i="38"/>
  <c r="AM70" i="34"/>
  <c r="AR58" i="34"/>
  <c r="AV83" i="36"/>
  <c r="AQ95" i="36"/>
  <c r="AW71" i="36"/>
  <c r="AR83" i="36"/>
  <c r="AV78" i="36"/>
  <c r="AQ90" i="36"/>
  <c r="AR56" i="34"/>
  <c r="AM68" i="34"/>
  <c r="AM69" i="34"/>
  <c r="AR57" i="34"/>
  <c r="AN63" i="38"/>
  <c r="AS51" i="38"/>
  <c r="AM79" i="38"/>
  <c r="AR67" i="38"/>
  <c r="AV75" i="36"/>
  <c r="AQ87" i="36"/>
  <c r="AW66" i="36"/>
  <c r="AR78" i="36"/>
  <c r="AM76" i="38"/>
  <c r="AR64" i="38"/>
  <c r="AR60" i="34"/>
  <c r="AM72" i="34"/>
  <c r="AM86" i="38"/>
  <c r="AR74" i="38"/>
  <c r="AR53" i="34"/>
  <c r="AM65" i="34"/>
  <c r="AM64" i="34"/>
  <c r="AR52" i="34"/>
  <c r="AN73" i="38"/>
  <c r="AS61" i="38"/>
  <c r="AM80" i="38"/>
  <c r="AR68" i="38"/>
  <c r="AV85" i="36"/>
  <c r="AQ97" i="36"/>
  <c r="AL83" i="34"/>
  <c r="AQ71" i="34"/>
  <c r="AN65" i="38"/>
  <c r="AS53" i="38"/>
  <c r="AL76" i="34"/>
  <c r="AQ64" i="34"/>
  <c r="AL75" i="34"/>
  <c r="AQ63" i="34"/>
  <c r="AM84" i="38"/>
  <c r="AR72" i="38"/>
  <c r="AV77" i="36"/>
  <c r="AQ89" i="36"/>
  <c r="AM67" i="34"/>
  <c r="AR55" i="34"/>
  <c r="AN69" i="38"/>
  <c r="AS57" i="38"/>
  <c r="AN68" i="38"/>
  <c r="AS56" i="38"/>
  <c r="AM77" i="38"/>
  <c r="AR65" i="38"/>
  <c r="AL81" i="34"/>
  <c r="AQ69" i="34"/>
  <c r="AW72" i="36"/>
  <c r="AR84" i="36"/>
  <c r="AV76" i="36"/>
  <c r="AQ88" i="36"/>
  <c r="AW73" i="36"/>
  <c r="AR85" i="36"/>
  <c r="AL80" i="34"/>
  <c r="AQ68" i="34"/>
  <c r="AV79" i="36"/>
  <c r="AQ91" i="36"/>
  <c r="AN62" i="38"/>
  <c r="AS50" i="38"/>
  <c r="AN66" i="38"/>
  <c r="AS54" i="38"/>
  <c r="AM63" i="34"/>
  <c r="AR51" i="34"/>
  <c r="AM66" i="34"/>
  <c r="AR54" i="34"/>
  <c r="AM78" i="38"/>
  <c r="AR66" i="38"/>
  <c r="AV80" i="36"/>
  <c r="AQ92" i="36"/>
  <c r="AL78" i="34"/>
  <c r="AQ66" i="34"/>
  <c r="AV81" i="36"/>
  <c r="AQ93" i="36"/>
  <c r="AW67" i="36"/>
  <c r="AR79" i="36"/>
  <c r="AL82" i="34"/>
  <c r="AQ70" i="34"/>
  <c r="AW68" i="36"/>
  <c r="AR80" i="36"/>
  <c r="AM82" i="38"/>
  <c r="AR70" i="38"/>
  <c r="AN64" i="38"/>
  <c r="AS52" i="38"/>
  <c r="AN71" i="38"/>
  <c r="AS59" i="38"/>
  <c r="AM73" i="34"/>
  <c r="AR61" i="34"/>
  <c r="AN72" i="38"/>
  <c r="AS60" i="38"/>
  <c r="AQ73" i="34"/>
  <c r="AL85" i="34"/>
  <c r="AW70" i="36"/>
  <c r="AR82" i="36"/>
  <c r="AV84" i="36"/>
  <c r="AQ96" i="36"/>
  <c r="AR77" i="36"/>
  <c r="AW65" i="36"/>
  <c r="AN70" i="38"/>
  <c r="AS58" i="38"/>
  <c r="AW63" i="36"/>
  <c r="AR75" i="36"/>
  <c r="AV82" i="36"/>
  <c r="AQ94" i="36"/>
  <c r="AW62" i="36"/>
  <c r="AR74" i="36"/>
  <c r="AW69" i="36"/>
  <c r="AR81" i="36"/>
  <c r="AL79" i="34"/>
  <c r="AQ67" i="34"/>
  <c r="AL77" i="34"/>
  <c r="AQ65" i="34"/>
  <c r="AM62" i="34"/>
  <c r="AR50" i="34"/>
  <c r="AM75" i="38"/>
  <c r="AR63" i="38"/>
  <c r="AN67" i="38"/>
  <c r="AS55" i="38"/>
  <c r="AL86" i="34"/>
  <c r="AQ74" i="34"/>
  <c r="AQ72" i="34"/>
  <c r="AL84" i="34"/>
  <c r="AQ86" i="36"/>
  <c r="AV86" i="36" s="1"/>
  <c r="B95" i="34"/>
  <c r="C95" i="76"/>
  <c r="B95" i="76"/>
  <c r="A96" i="155"/>
  <c r="A96" i="154"/>
  <c r="A96" i="36"/>
  <c r="A96" i="30"/>
  <c r="C96" i="67"/>
  <c r="C48" i="149" s="1"/>
  <c r="A96" i="28"/>
  <c r="A96" i="77"/>
  <c r="A48" i="149"/>
  <c r="A96" i="34"/>
  <c r="B96" i="67"/>
  <c r="A97" i="67"/>
  <c r="A96" i="38"/>
  <c r="A96" i="75"/>
  <c r="A96" i="32"/>
  <c r="A96" i="76"/>
  <c r="B95" i="36"/>
  <c r="C95" i="36"/>
  <c r="C95" i="32"/>
  <c r="B95" i="32"/>
  <c r="C95" i="154"/>
  <c r="B95" i="154"/>
  <c r="C95" i="155"/>
  <c r="B95" i="155"/>
  <c r="B95" i="28"/>
  <c r="C95" i="28"/>
  <c r="B47" i="149"/>
  <c r="B95" i="38"/>
  <c r="C95" i="38"/>
  <c r="C95" i="30"/>
  <c r="B95" i="30"/>
  <c r="B95" i="75"/>
  <c r="C95" i="75"/>
  <c r="C95" i="77"/>
  <c r="B95" i="77"/>
  <c r="BT82" i="67"/>
  <c r="BT34" i="149" s="1"/>
  <c r="K81" i="32"/>
  <c r="B42" i="34"/>
  <c r="B17" i="34"/>
  <c r="B39" i="34"/>
  <c r="B23" i="34"/>
  <c r="C44" i="34"/>
  <c r="C45" i="34"/>
  <c r="C49" i="34"/>
  <c r="B52" i="34"/>
  <c r="C53" i="34"/>
  <c r="B33" i="34"/>
  <c r="C47" i="34"/>
  <c r="B25" i="34"/>
  <c r="B41" i="34"/>
  <c r="B54" i="34"/>
  <c r="B55" i="34"/>
  <c r="B56" i="34"/>
  <c r="B57" i="34"/>
  <c r="B58" i="34"/>
  <c r="B15" i="34"/>
  <c r="B21" i="34"/>
  <c r="B31" i="34"/>
  <c r="B37" i="34"/>
  <c r="B46" i="34"/>
  <c r="B48" i="34"/>
  <c r="B50" i="34"/>
  <c r="C51" i="34"/>
  <c r="C35" i="34"/>
  <c r="B35" i="34"/>
  <c r="C43" i="34"/>
  <c r="B43" i="34"/>
  <c r="C27" i="34"/>
  <c r="B27" i="34"/>
  <c r="C19" i="34"/>
  <c r="B19" i="34"/>
  <c r="B29" i="34"/>
  <c r="B14" i="34"/>
  <c r="B18" i="34"/>
  <c r="B22" i="34"/>
  <c r="B26" i="34"/>
  <c r="B30" i="34"/>
  <c r="B34" i="34"/>
  <c r="B38" i="34"/>
  <c r="B16" i="34"/>
  <c r="B20" i="34"/>
  <c r="B24" i="34"/>
  <c r="B28" i="34"/>
  <c r="B32" i="34"/>
  <c r="B36" i="34"/>
  <c r="B40" i="34"/>
  <c r="N1" i="30"/>
  <c r="AL97" i="34" l="1"/>
  <c r="AQ85" i="34"/>
  <c r="AW83" i="36"/>
  <c r="AR95" i="36"/>
  <c r="AW81" i="36"/>
  <c r="AR93" i="36"/>
  <c r="AW79" i="36"/>
  <c r="AR91" i="36"/>
  <c r="AN74" i="38"/>
  <c r="AS62" i="38"/>
  <c r="AN80" i="38"/>
  <c r="AS68" i="38"/>
  <c r="AL95" i="34"/>
  <c r="AQ83" i="34"/>
  <c r="AM88" i="38"/>
  <c r="AR76" i="38"/>
  <c r="AV95" i="36"/>
  <c r="AQ107" i="36"/>
  <c r="AV97" i="36"/>
  <c r="AQ109" i="36"/>
  <c r="AN84" i="38"/>
  <c r="AS72" i="38"/>
  <c r="AN81" i="38"/>
  <c r="AS69" i="38"/>
  <c r="AV87" i="36"/>
  <c r="AQ99" i="36"/>
  <c r="AM82" i="34"/>
  <c r="AR70" i="34"/>
  <c r="AL98" i="34"/>
  <c r="AQ86" i="34"/>
  <c r="AV92" i="36"/>
  <c r="AQ104" i="36"/>
  <c r="AW85" i="36"/>
  <c r="AR97" i="36"/>
  <c r="AV89" i="36"/>
  <c r="AQ101" i="36"/>
  <c r="AN79" i="38"/>
  <c r="AS67" i="38"/>
  <c r="AN83" i="38"/>
  <c r="AS71" i="38"/>
  <c r="AN85" i="38"/>
  <c r="AS73" i="38"/>
  <c r="AM91" i="38"/>
  <c r="AR79" i="38"/>
  <c r="AM93" i="38"/>
  <c r="AR81" i="38"/>
  <c r="AM96" i="38"/>
  <c r="AR84" i="38"/>
  <c r="AR64" i="34"/>
  <c r="AM76" i="34"/>
  <c r="AN75" i="38"/>
  <c r="AS63" i="38"/>
  <c r="AM95" i="38"/>
  <c r="AR83" i="38"/>
  <c r="AQ84" i="34"/>
  <c r="AL96" i="34"/>
  <c r="AW74" i="36"/>
  <c r="AR86" i="36"/>
  <c r="AV94" i="36"/>
  <c r="AQ106" i="36"/>
  <c r="AL90" i="34"/>
  <c r="AQ78" i="34"/>
  <c r="AW75" i="36"/>
  <c r="AR87" i="36"/>
  <c r="AN82" i="38"/>
  <c r="AS70" i="38"/>
  <c r="AN76" i="38"/>
  <c r="AS64" i="38"/>
  <c r="AM90" i="38"/>
  <c r="AR78" i="38"/>
  <c r="AW77" i="36"/>
  <c r="AR89" i="36"/>
  <c r="AL87" i="34"/>
  <c r="AQ75" i="34"/>
  <c r="AR71" i="34"/>
  <c r="AM83" i="34"/>
  <c r="AV93" i="36"/>
  <c r="AQ105" i="36"/>
  <c r="AV91" i="36"/>
  <c r="AQ103" i="36"/>
  <c r="AW78" i="36"/>
  <c r="AR90" i="36"/>
  <c r="AL92" i="34"/>
  <c r="AQ80" i="34"/>
  <c r="AM92" i="38"/>
  <c r="AR80" i="38"/>
  <c r="AM87" i="38"/>
  <c r="AR75" i="38"/>
  <c r="AV96" i="36"/>
  <c r="AQ108" i="36"/>
  <c r="AL89" i="34"/>
  <c r="AQ77" i="34"/>
  <c r="AM75" i="34"/>
  <c r="AR63" i="34"/>
  <c r="AL93" i="34"/>
  <c r="AQ81" i="34"/>
  <c r="AQ76" i="34"/>
  <c r="AL88" i="34"/>
  <c r="AM98" i="38"/>
  <c r="AR86" i="38"/>
  <c r="AM97" i="38"/>
  <c r="AR85" i="38"/>
  <c r="AM85" i="34"/>
  <c r="AR73" i="34"/>
  <c r="AM79" i="34"/>
  <c r="AR67" i="34"/>
  <c r="AV88" i="36"/>
  <c r="AQ100" i="36"/>
  <c r="AW82" i="36"/>
  <c r="AR94" i="36"/>
  <c r="AM84" i="34"/>
  <c r="AR72" i="34"/>
  <c r="AV90" i="36"/>
  <c r="AQ102" i="36"/>
  <c r="AW76" i="36"/>
  <c r="AR88" i="36"/>
  <c r="AW84" i="36"/>
  <c r="AR96" i="36"/>
  <c r="AM77" i="34"/>
  <c r="AR65" i="34"/>
  <c r="AM74" i="34"/>
  <c r="AR62" i="34"/>
  <c r="AM94" i="38"/>
  <c r="AR82" i="38"/>
  <c r="AM78" i="34"/>
  <c r="AR66" i="34"/>
  <c r="AM81" i="34"/>
  <c r="AR69" i="34"/>
  <c r="AW80" i="36"/>
  <c r="AR92" i="36"/>
  <c r="AR68" i="34"/>
  <c r="AM80" i="34"/>
  <c r="AL91" i="34"/>
  <c r="AQ79" i="34"/>
  <c r="AL94" i="34"/>
  <c r="AQ82" i="34"/>
  <c r="AN78" i="38"/>
  <c r="AS66" i="38"/>
  <c r="AM89" i="38"/>
  <c r="AR77" i="38"/>
  <c r="AN77" i="38"/>
  <c r="AS65" i="38"/>
  <c r="AQ98" i="36"/>
  <c r="AV98" i="36" s="1"/>
  <c r="B96" i="32"/>
  <c r="C96" i="32"/>
  <c r="B96" i="75"/>
  <c r="C96" i="75"/>
  <c r="C96" i="38"/>
  <c r="B96" i="38"/>
  <c r="A97" i="155"/>
  <c r="A97" i="154"/>
  <c r="A98" i="67"/>
  <c r="A49" i="149"/>
  <c r="A97" i="76"/>
  <c r="A97" i="38"/>
  <c r="A97" i="32"/>
  <c r="A97" i="75"/>
  <c r="A97" i="36"/>
  <c r="A97" i="34"/>
  <c r="A97" i="30"/>
  <c r="A97" i="77"/>
  <c r="A97" i="28"/>
  <c r="C97" i="67"/>
  <c r="C49" i="149" s="1"/>
  <c r="B97" i="67"/>
  <c r="B48" i="149"/>
  <c r="C96" i="34"/>
  <c r="B96" i="34"/>
  <c r="C96" i="77"/>
  <c r="B96" i="77"/>
  <c r="B96" i="28"/>
  <c r="C96" i="28"/>
  <c r="C96" i="30"/>
  <c r="B96" i="30"/>
  <c r="B96" i="36"/>
  <c r="C96" i="36"/>
  <c r="C96" i="154"/>
  <c r="B96" i="154"/>
  <c r="B96" i="155"/>
  <c r="C96" i="155"/>
  <c r="C96" i="76"/>
  <c r="B96" i="76"/>
  <c r="BT83" i="67"/>
  <c r="BT35" i="149" s="1"/>
  <c r="K82" i="32"/>
  <c r="AM108" i="38" l="1"/>
  <c r="AR96" i="38"/>
  <c r="AM100" i="38"/>
  <c r="AR88" i="38"/>
  <c r="AV103" i="36"/>
  <c r="AQ115" i="36"/>
  <c r="AW87" i="36"/>
  <c r="AR99" i="36"/>
  <c r="AW94" i="36"/>
  <c r="AR106" i="36"/>
  <c r="AL107" i="34"/>
  <c r="AQ95" i="34"/>
  <c r="AV104" i="36"/>
  <c r="AQ116" i="36"/>
  <c r="AM94" i="34"/>
  <c r="AR82" i="34"/>
  <c r="AN92" i="38"/>
  <c r="AS80" i="38"/>
  <c r="AL102" i="34"/>
  <c r="AQ90" i="34"/>
  <c r="AL110" i="34"/>
  <c r="AQ98" i="34"/>
  <c r="AM106" i="38"/>
  <c r="AR94" i="38"/>
  <c r="AL101" i="34"/>
  <c r="AQ89" i="34"/>
  <c r="AW86" i="36"/>
  <c r="AR98" i="36"/>
  <c r="AL105" i="34"/>
  <c r="AQ93" i="34"/>
  <c r="AN86" i="38"/>
  <c r="AS74" i="38"/>
  <c r="AV100" i="36"/>
  <c r="AQ112" i="36"/>
  <c r="AW91" i="36"/>
  <c r="AR103" i="36"/>
  <c r="AV106" i="36"/>
  <c r="AQ118" i="36"/>
  <c r="AQ94" i="34"/>
  <c r="AL106" i="34"/>
  <c r="AN97" i="38"/>
  <c r="AS85" i="38"/>
  <c r="AW93" i="36"/>
  <c r="AR105" i="36"/>
  <c r="AR78" i="34"/>
  <c r="AM90" i="34"/>
  <c r="AM103" i="38"/>
  <c r="AR91" i="38"/>
  <c r="AL99" i="34"/>
  <c r="AQ87" i="34"/>
  <c r="AW89" i="36"/>
  <c r="AR101" i="36"/>
  <c r="AN96" i="38"/>
  <c r="AS84" i="38"/>
  <c r="AM96" i="34"/>
  <c r="AR84" i="34"/>
  <c r="AV108" i="36"/>
  <c r="AQ120" i="36"/>
  <c r="AL108" i="34"/>
  <c r="AQ96" i="34"/>
  <c r="AW88" i="36"/>
  <c r="AR100" i="36"/>
  <c r="AW95" i="36"/>
  <c r="AR107" i="36"/>
  <c r="AM99" i="38"/>
  <c r="AR87" i="38"/>
  <c r="AL103" i="34"/>
  <c r="AQ91" i="34"/>
  <c r="AM104" i="38"/>
  <c r="AR92" i="38"/>
  <c r="AN91" i="38"/>
  <c r="AS79" i="38"/>
  <c r="AM110" i="38"/>
  <c r="AR98" i="38"/>
  <c r="AL104" i="34"/>
  <c r="AQ92" i="34"/>
  <c r="AN88" i="38"/>
  <c r="AS76" i="38"/>
  <c r="AN87" i="38"/>
  <c r="AS75" i="38"/>
  <c r="AR75" i="34"/>
  <c r="AM87" i="34"/>
  <c r="AM105" i="38"/>
  <c r="AR93" i="38"/>
  <c r="AM95" i="34"/>
  <c r="AR83" i="34"/>
  <c r="AM101" i="38"/>
  <c r="AR89" i="38"/>
  <c r="AN90" i="38"/>
  <c r="AS78" i="38"/>
  <c r="AR74" i="34"/>
  <c r="AM86" i="34"/>
  <c r="AM91" i="34"/>
  <c r="AR79" i="34"/>
  <c r="AR77" i="34"/>
  <c r="AM89" i="34"/>
  <c r="AN93" i="38"/>
  <c r="AS81" i="38"/>
  <c r="AW96" i="36"/>
  <c r="AR108" i="36"/>
  <c r="AM102" i="38"/>
  <c r="AR90" i="38"/>
  <c r="AM92" i="34"/>
  <c r="AR80" i="34"/>
  <c r="AV101" i="36"/>
  <c r="AQ113" i="36"/>
  <c r="AW92" i="36"/>
  <c r="AR104" i="36"/>
  <c r="AV102" i="36"/>
  <c r="AQ114" i="36"/>
  <c r="AL100" i="34"/>
  <c r="AQ88" i="34"/>
  <c r="AW90" i="36"/>
  <c r="AR102" i="36"/>
  <c r="AM88" i="34"/>
  <c r="AR76" i="34"/>
  <c r="AW97" i="36"/>
  <c r="AR109" i="36"/>
  <c r="AV107" i="36"/>
  <c r="AQ119" i="36"/>
  <c r="AR81" i="34"/>
  <c r="AM93" i="34"/>
  <c r="AV105" i="36"/>
  <c r="AQ117" i="36"/>
  <c r="AN89" i="38"/>
  <c r="AS77" i="38"/>
  <c r="AV99" i="36"/>
  <c r="AQ111" i="36"/>
  <c r="AM97" i="34"/>
  <c r="AR85" i="34"/>
  <c r="AN95" i="38"/>
  <c r="AS83" i="38"/>
  <c r="AM109" i="38"/>
  <c r="AR97" i="38"/>
  <c r="AM107" i="38"/>
  <c r="AR95" i="38"/>
  <c r="AV109" i="36"/>
  <c r="AQ121" i="36"/>
  <c r="AN94" i="38"/>
  <c r="AS82" i="38"/>
  <c r="AL109" i="34"/>
  <c r="AQ97" i="34"/>
  <c r="AQ110" i="36"/>
  <c r="AV110" i="36" s="1"/>
  <c r="B97" i="34"/>
  <c r="C97" i="34"/>
  <c r="C97" i="36"/>
  <c r="B97" i="36"/>
  <c r="B97" i="75"/>
  <c r="C97" i="75"/>
  <c r="C97" i="32"/>
  <c r="B97" i="32"/>
  <c r="B97" i="38"/>
  <c r="C97" i="38"/>
  <c r="B97" i="76"/>
  <c r="C97" i="76"/>
  <c r="A98" i="155"/>
  <c r="A98" i="154"/>
  <c r="A98" i="32"/>
  <c r="A98" i="76"/>
  <c r="A50" i="149"/>
  <c r="A98" i="36"/>
  <c r="A99" i="67"/>
  <c r="A98" i="75"/>
  <c r="A98" i="30"/>
  <c r="C98" i="67"/>
  <c r="C50" i="149" s="1"/>
  <c r="A98" i="38"/>
  <c r="A98" i="28"/>
  <c r="A98" i="34"/>
  <c r="A98" i="77"/>
  <c r="B98" i="67"/>
  <c r="C97" i="154"/>
  <c r="B97" i="154"/>
  <c r="B97" i="155"/>
  <c r="C97" i="155"/>
  <c r="C97" i="28"/>
  <c r="B97" i="28"/>
  <c r="B49" i="149"/>
  <c r="B97" i="77"/>
  <c r="C97" i="77"/>
  <c r="B97" i="30"/>
  <c r="C97" i="30"/>
  <c r="BT84" i="67"/>
  <c r="BT36" i="149" s="1"/>
  <c r="K83" i="32"/>
  <c r="P80" i="34"/>
  <c r="P79" i="34"/>
  <c r="P78" i="34"/>
  <c r="P77" i="34"/>
  <c r="P76" i="34"/>
  <c r="P75" i="34"/>
  <c r="AL121" i="34" l="1"/>
  <c r="AQ109" i="34"/>
  <c r="AN101" i="38"/>
  <c r="AS89" i="38"/>
  <c r="AM105" i="34"/>
  <c r="AR93" i="34"/>
  <c r="AV120" i="36"/>
  <c r="AQ132" i="36"/>
  <c r="AV111" i="36"/>
  <c r="AQ123" i="36"/>
  <c r="AM101" i="34"/>
  <c r="AR89" i="34"/>
  <c r="AW107" i="36"/>
  <c r="AR119" i="36"/>
  <c r="AL112" i="34"/>
  <c r="AQ100" i="34"/>
  <c r="AN99" i="38"/>
  <c r="AS87" i="38"/>
  <c r="AM115" i="38"/>
  <c r="AR103" i="38"/>
  <c r="AN98" i="38"/>
  <c r="AS86" i="38"/>
  <c r="AR94" i="34"/>
  <c r="AM106" i="34"/>
  <c r="AV114" i="36"/>
  <c r="AQ126" i="36"/>
  <c r="AW100" i="36"/>
  <c r="AR112" i="36"/>
  <c r="AM102" i="34"/>
  <c r="AR90" i="34"/>
  <c r="AV116" i="36"/>
  <c r="AQ128" i="36"/>
  <c r="AM103" i="34"/>
  <c r="AR91" i="34"/>
  <c r="AN100" i="38"/>
  <c r="AS88" i="38"/>
  <c r="AL117" i="34"/>
  <c r="AQ105" i="34"/>
  <c r="AW98" i="36"/>
  <c r="AR110" i="36"/>
  <c r="AL119" i="34"/>
  <c r="AQ107" i="34"/>
  <c r="AW106" i="36"/>
  <c r="AR118" i="36"/>
  <c r="AV117" i="36"/>
  <c r="AQ129" i="36"/>
  <c r="AW105" i="36"/>
  <c r="AR117" i="36"/>
  <c r="AN106" i="38"/>
  <c r="AS94" i="38"/>
  <c r="AV119" i="36"/>
  <c r="AQ131" i="36"/>
  <c r="AQ106" i="34"/>
  <c r="AL118" i="34"/>
  <c r="AW99" i="36"/>
  <c r="AR111" i="36"/>
  <c r="AM104" i="34"/>
  <c r="AR92" i="34"/>
  <c r="AM113" i="38"/>
  <c r="AR101" i="38"/>
  <c r="AN103" i="38"/>
  <c r="AS91" i="38"/>
  <c r="AR96" i="34"/>
  <c r="AM108" i="34"/>
  <c r="AM118" i="38"/>
  <c r="AR106" i="38"/>
  <c r="AL113" i="34"/>
  <c r="AQ101" i="34"/>
  <c r="AM119" i="38"/>
  <c r="AR107" i="38"/>
  <c r="AV118" i="36"/>
  <c r="AQ130" i="36"/>
  <c r="AV115" i="36"/>
  <c r="AQ127" i="36"/>
  <c r="AW104" i="36"/>
  <c r="AR116" i="36"/>
  <c r="AR86" i="34"/>
  <c r="AM98" i="34"/>
  <c r="AL116" i="34"/>
  <c r="AQ104" i="34"/>
  <c r="AV121" i="36"/>
  <c r="AQ133" i="36"/>
  <c r="AM121" i="38"/>
  <c r="AR109" i="38"/>
  <c r="AM116" i="38"/>
  <c r="AR104" i="38"/>
  <c r="AL122" i="34"/>
  <c r="AQ110" i="34"/>
  <c r="AQ108" i="34"/>
  <c r="AL120" i="34"/>
  <c r="AV113" i="36"/>
  <c r="AQ125" i="36"/>
  <c r="AN102" i="38"/>
  <c r="AS90" i="38"/>
  <c r="AM122" i="38"/>
  <c r="AR110" i="38"/>
  <c r="AN109" i="38"/>
  <c r="AS97" i="38"/>
  <c r="AW101" i="36"/>
  <c r="AR113" i="36"/>
  <c r="AW108" i="36"/>
  <c r="AR120" i="36"/>
  <c r="AW103" i="36"/>
  <c r="AR115" i="36"/>
  <c r="AM100" i="34"/>
  <c r="AR88" i="34"/>
  <c r="AM117" i="38"/>
  <c r="AR105" i="38"/>
  <c r="AL115" i="34"/>
  <c r="AQ103" i="34"/>
  <c r="AL114" i="34"/>
  <c r="AQ102" i="34"/>
  <c r="AM112" i="38"/>
  <c r="AR100" i="38"/>
  <c r="AM107" i="34"/>
  <c r="AR95" i="34"/>
  <c r="AN108" i="38"/>
  <c r="AS96" i="38"/>
  <c r="AW102" i="36"/>
  <c r="AR114" i="36"/>
  <c r="AR87" i="34"/>
  <c r="AM99" i="34"/>
  <c r="AV112" i="36"/>
  <c r="AQ124" i="36"/>
  <c r="AW109" i="36"/>
  <c r="AR121" i="36"/>
  <c r="AM114" i="38"/>
  <c r="AR102" i="38"/>
  <c r="AN107" i="38"/>
  <c r="AS95" i="38"/>
  <c r="AM109" i="34"/>
  <c r="AR97" i="34"/>
  <c r="AN105" i="38"/>
  <c r="AS93" i="38"/>
  <c r="AM111" i="38"/>
  <c r="AR99" i="38"/>
  <c r="AL111" i="34"/>
  <c r="AQ99" i="34"/>
  <c r="AN104" i="38"/>
  <c r="AS92" i="38"/>
  <c r="AM120" i="38"/>
  <c r="AR108" i="38"/>
  <c r="AQ122" i="36"/>
  <c r="AV122" i="36" s="1"/>
  <c r="C98" i="76"/>
  <c r="B98" i="76"/>
  <c r="B98" i="32"/>
  <c r="C98" i="32"/>
  <c r="C98" i="154"/>
  <c r="B98" i="154"/>
  <c r="C98" i="155"/>
  <c r="B98" i="155"/>
  <c r="B50" i="149"/>
  <c r="C98" i="77"/>
  <c r="B98" i="77"/>
  <c r="B98" i="34"/>
  <c r="C98" i="34"/>
  <c r="B98" i="38"/>
  <c r="C98" i="38"/>
  <c r="B98" i="30"/>
  <c r="C98" i="30"/>
  <c r="B98" i="28"/>
  <c r="C98" i="28"/>
  <c r="C98" i="36"/>
  <c r="B98" i="36"/>
  <c r="C98" i="75"/>
  <c r="B98" i="75"/>
  <c r="A99" i="155"/>
  <c r="A99" i="154"/>
  <c r="A99" i="77"/>
  <c r="A100" i="67"/>
  <c r="A51" i="149"/>
  <c r="B99" i="67"/>
  <c r="C99" i="67"/>
  <c r="C51" i="149" s="1"/>
  <c r="A99" i="38"/>
  <c r="A99" i="28"/>
  <c r="A99" i="75"/>
  <c r="A99" i="36"/>
  <c r="A99" i="34"/>
  <c r="A99" i="32"/>
  <c r="A99" i="76"/>
  <c r="A99" i="30"/>
  <c r="BT85" i="67"/>
  <c r="BT37" i="149" s="1"/>
  <c r="K84" i="32"/>
  <c r="P81" i="34"/>
  <c r="P83" i="34"/>
  <c r="P85" i="34"/>
  <c r="P82" i="34"/>
  <c r="P84" i="34"/>
  <c r="P74" i="34"/>
  <c r="J59" i="32"/>
  <c r="J55" i="32"/>
  <c r="J53" i="32"/>
  <c r="J51" i="32"/>
  <c r="J49" i="32"/>
  <c r="J47" i="32"/>
  <c r="J35" i="32"/>
  <c r="J33" i="32"/>
  <c r="J31" i="32"/>
  <c r="J29" i="32"/>
  <c r="J23" i="32"/>
  <c r="J21" i="32"/>
  <c r="J13" i="32"/>
  <c r="J9" i="32"/>
  <c r="J5" i="32"/>
  <c r="J3" i="32"/>
  <c r="J73" i="32"/>
  <c r="I70" i="32"/>
  <c r="J65" i="32"/>
  <c r="I61" i="32"/>
  <c r="I59" i="32"/>
  <c r="I57" i="32"/>
  <c r="I55" i="32"/>
  <c r="I53" i="32"/>
  <c r="I51" i="32"/>
  <c r="I49" i="32"/>
  <c r="I47" i="32"/>
  <c r="I45" i="32"/>
  <c r="I43" i="32"/>
  <c r="I41" i="32"/>
  <c r="I39" i="32"/>
  <c r="I37" i="32"/>
  <c r="I35" i="32"/>
  <c r="I33" i="32"/>
  <c r="I31" i="32"/>
  <c r="I29" i="32"/>
  <c r="I27" i="32"/>
  <c r="I25" i="32"/>
  <c r="I23" i="32"/>
  <c r="I21" i="32"/>
  <c r="I19" i="32"/>
  <c r="I17" i="32"/>
  <c r="I15" i="32"/>
  <c r="I13" i="32"/>
  <c r="I11" i="32"/>
  <c r="I9" i="32"/>
  <c r="I7" i="32"/>
  <c r="I5" i="32"/>
  <c r="I3" i="32"/>
  <c r="J1" i="36"/>
  <c r="I1" i="32"/>
  <c r="I73" i="32"/>
  <c r="J72" i="32"/>
  <c r="I69" i="32"/>
  <c r="J68" i="32"/>
  <c r="I65" i="32"/>
  <c r="J64" i="32"/>
  <c r="J61" i="32"/>
  <c r="J41" i="32"/>
  <c r="J39" i="32"/>
  <c r="J37" i="32"/>
  <c r="J27" i="32"/>
  <c r="J25" i="32"/>
  <c r="N1" i="38"/>
  <c r="K1" i="36"/>
  <c r="N1" i="28"/>
  <c r="J1" i="32"/>
  <c r="J60" i="32"/>
  <c r="J58" i="32"/>
  <c r="J56" i="32"/>
  <c r="J54" i="32"/>
  <c r="J52" i="32"/>
  <c r="J50" i="32"/>
  <c r="J48" i="32"/>
  <c r="J46" i="32"/>
  <c r="J44" i="32"/>
  <c r="J42" i="32"/>
  <c r="J40" i="32"/>
  <c r="J38" i="32"/>
  <c r="J36" i="32"/>
  <c r="J34" i="32"/>
  <c r="J32" i="32"/>
  <c r="J30" i="32"/>
  <c r="J28" i="32"/>
  <c r="J26" i="32"/>
  <c r="J24" i="32"/>
  <c r="J22" i="32"/>
  <c r="J20" i="32"/>
  <c r="J18" i="32"/>
  <c r="J16" i="32"/>
  <c r="J14" i="32"/>
  <c r="J12" i="32"/>
  <c r="J10" i="32"/>
  <c r="J8" i="32"/>
  <c r="J6" i="32"/>
  <c r="J4" i="32"/>
  <c r="N2" i="28"/>
  <c r="S2" i="28" s="1"/>
  <c r="V13" i="28" s="1"/>
  <c r="V14" i="28" s="1"/>
  <c r="V15" i="28" s="1"/>
  <c r="J2" i="32"/>
  <c r="N1" i="34"/>
  <c r="M1" i="30"/>
  <c r="I72" i="32"/>
  <c r="J71" i="32"/>
  <c r="I68" i="32"/>
  <c r="J67" i="32"/>
  <c r="I64" i="32"/>
  <c r="J63" i="32"/>
  <c r="J57" i="32"/>
  <c r="J45" i="32"/>
  <c r="J43" i="32"/>
  <c r="J19" i="32"/>
  <c r="J17" i="32"/>
  <c r="J15" i="32"/>
  <c r="J11" i="32"/>
  <c r="J7" i="32"/>
  <c r="J69" i="32"/>
  <c r="I66" i="32"/>
  <c r="I62" i="32"/>
  <c r="I60" i="32"/>
  <c r="I58" i="32"/>
  <c r="I56" i="32"/>
  <c r="I54" i="32"/>
  <c r="I52" i="32"/>
  <c r="I50" i="32"/>
  <c r="I48" i="32"/>
  <c r="I46" i="32"/>
  <c r="I44" i="32"/>
  <c r="I42" i="32"/>
  <c r="I40" i="32"/>
  <c r="I38" i="32"/>
  <c r="I36" i="32"/>
  <c r="I34" i="32"/>
  <c r="I32" i="32"/>
  <c r="I30" i="32"/>
  <c r="I28" i="32"/>
  <c r="I26" i="32"/>
  <c r="I24" i="32"/>
  <c r="I22" i="32"/>
  <c r="I20" i="32"/>
  <c r="I18" i="32"/>
  <c r="I16" i="32"/>
  <c r="I14" i="32"/>
  <c r="I12" i="32"/>
  <c r="I10" i="32"/>
  <c r="I8" i="32"/>
  <c r="I6" i="32"/>
  <c r="I4" i="32"/>
  <c r="I2" i="32"/>
  <c r="M1" i="38"/>
  <c r="M1" i="34"/>
  <c r="M1" i="28"/>
  <c r="L1" i="30"/>
  <c r="I71" i="32"/>
  <c r="J70" i="32"/>
  <c r="I67" i="32"/>
  <c r="J66" i="32"/>
  <c r="I63" i="32"/>
  <c r="J62" i="32"/>
  <c r="P70" i="34"/>
  <c r="P62" i="34"/>
  <c r="P73" i="34"/>
  <c r="P69" i="34"/>
  <c r="P65" i="34"/>
  <c r="P66" i="34"/>
  <c r="P72" i="34"/>
  <c r="P68" i="34"/>
  <c r="P64" i="34"/>
  <c r="P71" i="34"/>
  <c r="P67" i="34"/>
  <c r="P63" i="34"/>
  <c r="AM120" i="34" l="1"/>
  <c r="AR108" i="34"/>
  <c r="AW117" i="36"/>
  <c r="AR129" i="36"/>
  <c r="AV128" i="36"/>
  <c r="AQ140" i="36"/>
  <c r="AV140" i="36" s="1"/>
  <c r="AL126" i="34"/>
  <c r="AQ114" i="34"/>
  <c r="AM134" i="38"/>
  <c r="AR134" i="38" s="1"/>
  <c r="AR122" i="38"/>
  <c r="AL128" i="34"/>
  <c r="AQ116" i="34"/>
  <c r="AQ112" i="34"/>
  <c r="AL124" i="34"/>
  <c r="AN116" i="38"/>
  <c r="AS104" i="38"/>
  <c r="AM111" i="34"/>
  <c r="AR99" i="34"/>
  <c r="AL123" i="34"/>
  <c r="AQ111" i="34"/>
  <c r="AR100" i="34"/>
  <c r="AM112" i="34"/>
  <c r="AM126" i="38"/>
  <c r="AR114" i="38"/>
  <c r="AM110" i="34"/>
  <c r="AR98" i="34"/>
  <c r="AV129" i="36"/>
  <c r="AQ141" i="36"/>
  <c r="AV141" i="36" s="1"/>
  <c r="AW119" i="36"/>
  <c r="AR131" i="36"/>
  <c r="AW121" i="36"/>
  <c r="AR133" i="36"/>
  <c r="AM132" i="38"/>
  <c r="AR120" i="38"/>
  <c r="AL127" i="34"/>
  <c r="AQ115" i="34"/>
  <c r="AN114" i="38"/>
  <c r="AS102" i="38"/>
  <c r="AN115" i="38"/>
  <c r="AS103" i="38"/>
  <c r="AM114" i="34"/>
  <c r="AR102" i="34"/>
  <c r="AV126" i="36"/>
  <c r="AQ138" i="36"/>
  <c r="AV138" i="36" s="1"/>
  <c r="AV124" i="36"/>
  <c r="AQ136" i="36"/>
  <c r="AV136" i="36" s="1"/>
  <c r="AV125" i="36"/>
  <c r="AQ137" i="36"/>
  <c r="AV137" i="36" s="1"/>
  <c r="AW116" i="36"/>
  <c r="AR128" i="36"/>
  <c r="AW118" i="36"/>
  <c r="AR130" i="36"/>
  <c r="AW112" i="36"/>
  <c r="AR124" i="36"/>
  <c r="AM129" i="38"/>
  <c r="AR117" i="38"/>
  <c r="AM125" i="38"/>
  <c r="AR113" i="38"/>
  <c r="AM113" i="34"/>
  <c r="AR101" i="34"/>
  <c r="AV123" i="36"/>
  <c r="AQ135" i="36"/>
  <c r="AV135" i="36" s="1"/>
  <c r="AL131" i="34"/>
  <c r="AQ119" i="34"/>
  <c r="AR104" i="34"/>
  <c r="AM116" i="34"/>
  <c r="AW114" i="36"/>
  <c r="AR126" i="36"/>
  <c r="AW115" i="36"/>
  <c r="AR127" i="36"/>
  <c r="AV130" i="36"/>
  <c r="AQ142" i="36"/>
  <c r="AV142" i="36" s="1"/>
  <c r="AW111" i="36"/>
  <c r="AR123" i="36"/>
  <c r="AW110" i="36"/>
  <c r="AR122" i="36"/>
  <c r="AM118" i="34"/>
  <c r="AR106" i="34"/>
  <c r="AV132" i="36"/>
  <c r="AQ144" i="36"/>
  <c r="AV144" i="36" s="1"/>
  <c r="AV127" i="36"/>
  <c r="AQ139" i="36"/>
  <c r="AV139" i="36" s="1"/>
  <c r="AM123" i="38"/>
  <c r="AR111" i="38"/>
  <c r="AL134" i="34"/>
  <c r="AQ134" i="34" s="1"/>
  <c r="AQ122" i="34"/>
  <c r="AQ117" i="34"/>
  <c r="AL129" i="34"/>
  <c r="AN110" i="38"/>
  <c r="AS98" i="38"/>
  <c r="AM117" i="34"/>
  <c r="AR105" i="34"/>
  <c r="AN120" i="38"/>
  <c r="AS108" i="38"/>
  <c r="AW113" i="36"/>
  <c r="AR125" i="36"/>
  <c r="AQ120" i="34"/>
  <c r="AL132" i="34"/>
  <c r="AM128" i="38"/>
  <c r="AR116" i="38"/>
  <c r="AM121" i="34"/>
  <c r="AR109" i="34"/>
  <c r="AM119" i="34"/>
  <c r="AR107" i="34"/>
  <c r="AM133" i="38"/>
  <c r="AR121" i="38"/>
  <c r="AL125" i="34"/>
  <c r="AQ113" i="34"/>
  <c r="AN112" i="38"/>
  <c r="AS100" i="38"/>
  <c r="AM127" i="38"/>
  <c r="AR115" i="38"/>
  <c r="AN113" i="38"/>
  <c r="AS101" i="38"/>
  <c r="AW120" i="36"/>
  <c r="AR132" i="36"/>
  <c r="AQ118" i="34"/>
  <c r="AL130" i="34"/>
  <c r="AN117" i="38"/>
  <c r="AS105" i="38"/>
  <c r="AM131" i="38"/>
  <c r="AR119" i="38"/>
  <c r="AV133" i="36"/>
  <c r="AQ145" i="36"/>
  <c r="AV145" i="36" s="1"/>
  <c r="AV131" i="36"/>
  <c r="AQ143" i="36"/>
  <c r="AV143" i="36" s="1"/>
  <c r="AN119" i="38"/>
  <c r="AS107" i="38"/>
  <c r="AM124" i="38"/>
  <c r="AR112" i="38"/>
  <c r="AN121" i="38"/>
  <c r="AS109" i="38"/>
  <c r="AM130" i="38"/>
  <c r="AR118" i="38"/>
  <c r="AN118" i="38"/>
  <c r="AS106" i="38"/>
  <c r="AR103" i="34"/>
  <c r="AM115" i="34"/>
  <c r="AN111" i="38"/>
  <c r="AS99" i="38"/>
  <c r="AL133" i="34"/>
  <c r="AQ121" i="34"/>
  <c r="AQ134" i="36"/>
  <c r="AV134" i="36" s="1"/>
  <c r="C99" i="154"/>
  <c r="B99" i="154"/>
  <c r="C99" i="155"/>
  <c r="B99" i="155"/>
  <c r="C99" i="30"/>
  <c r="B99" i="30"/>
  <c r="C99" i="76"/>
  <c r="B99" i="76"/>
  <c r="C99" i="32"/>
  <c r="B99" i="32"/>
  <c r="B99" i="34"/>
  <c r="C99" i="34"/>
  <c r="B99" i="36"/>
  <c r="C99" i="36"/>
  <c r="B99" i="75"/>
  <c r="C99" i="75"/>
  <c r="C99" i="28"/>
  <c r="B99" i="28"/>
  <c r="C99" i="38"/>
  <c r="B99" i="38"/>
  <c r="B51" i="149"/>
  <c r="A100" i="155"/>
  <c r="A100" i="154"/>
  <c r="A100" i="34"/>
  <c r="A52" i="149"/>
  <c r="B100" i="67"/>
  <c r="A100" i="76"/>
  <c r="C100" i="67"/>
  <c r="C52" i="149" s="1"/>
  <c r="A100" i="32"/>
  <c r="A100" i="75"/>
  <c r="A101" i="67"/>
  <c r="A100" i="77"/>
  <c r="A100" i="28"/>
  <c r="A100" i="38"/>
  <c r="A100" i="36"/>
  <c r="A100" i="30"/>
  <c r="B99" i="77"/>
  <c r="C99" i="77"/>
  <c r="K33" i="32"/>
  <c r="K10" i="32"/>
  <c r="BT86" i="67"/>
  <c r="BT38" i="149" s="1"/>
  <c r="K85" i="32"/>
  <c r="K42" i="32"/>
  <c r="K34" i="32"/>
  <c r="K12" i="32"/>
  <c r="K29" i="32"/>
  <c r="K6" i="32"/>
  <c r="K4" i="32"/>
  <c r="K38" i="32"/>
  <c r="K5" i="32"/>
  <c r="K27" i="32"/>
  <c r="K58" i="32"/>
  <c r="K59" i="32"/>
  <c r="K31" i="32"/>
  <c r="K40" i="32"/>
  <c r="K14" i="32"/>
  <c r="K13" i="32"/>
  <c r="K43" i="32"/>
  <c r="K19" i="32"/>
  <c r="K8" i="32"/>
  <c r="K36" i="32"/>
  <c r="K3" i="32"/>
  <c r="K20" i="32"/>
  <c r="K22" i="32"/>
  <c r="K48" i="32"/>
  <c r="K66" i="32"/>
  <c r="K15" i="32"/>
  <c r="K41" i="32"/>
  <c r="K17" i="32"/>
  <c r="K26" i="32"/>
  <c r="K54" i="32"/>
  <c r="K52" i="32"/>
  <c r="K56" i="32"/>
  <c r="K57" i="32"/>
  <c r="K73" i="32"/>
  <c r="K50" i="32"/>
  <c r="K71" i="32"/>
  <c r="K24" i="32"/>
  <c r="K9" i="32"/>
  <c r="K64" i="32"/>
  <c r="K65" i="32"/>
  <c r="K47" i="32"/>
  <c r="K49" i="32"/>
  <c r="K21" i="32"/>
  <c r="K28" i="32"/>
  <c r="K68" i="32"/>
  <c r="K37" i="32"/>
  <c r="K51" i="32"/>
  <c r="K44" i="32"/>
  <c r="K69" i="32"/>
  <c r="K7" i="32"/>
  <c r="K45" i="32"/>
  <c r="K70" i="32"/>
  <c r="K62" i="32"/>
  <c r="K35" i="32"/>
  <c r="K63" i="32"/>
  <c r="K30" i="32"/>
  <c r="K23" i="32"/>
  <c r="K53" i="32"/>
  <c r="K16" i="32"/>
  <c r="K2" i="32"/>
  <c r="K32" i="32"/>
  <c r="K46" i="32"/>
  <c r="K72" i="32"/>
  <c r="K25" i="32"/>
  <c r="K55" i="32"/>
  <c r="K61" i="32"/>
  <c r="K67" i="32"/>
  <c r="K60" i="32"/>
  <c r="K39" i="32"/>
  <c r="K18" i="32"/>
  <c r="K11" i="32"/>
  <c r="P92" i="34"/>
  <c r="P87" i="34"/>
  <c r="P94" i="34"/>
  <c r="P97" i="34"/>
  <c r="P93" i="34"/>
  <c r="P90" i="34"/>
  <c r="P88" i="34"/>
  <c r="P95" i="34"/>
  <c r="P89" i="34"/>
  <c r="P86" i="34"/>
  <c r="Q68" i="34"/>
  <c r="Q63" i="34"/>
  <c r="Q66" i="34"/>
  <c r="Q69" i="34"/>
  <c r="Q71" i="34"/>
  <c r="Q67" i="34"/>
  <c r="Q62" i="34"/>
  <c r="Q64" i="34"/>
  <c r="Q70" i="34"/>
  <c r="Q65" i="34"/>
  <c r="Q73" i="34"/>
  <c r="Q72" i="34"/>
  <c r="AN131" i="38" l="1"/>
  <c r="AS119" i="38"/>
  <c r="AW125" i="36"/>
  <c r="AR137" i="36"/>
  <c r="AW137" i="36" s="1"/>
  <c r="AW133" i="36"/>
  <c r="AR145" i="36"/>
  <c r="AW145" i="36" s="1"/>
  <c r="AN128" i="38"/>
  <c r="AS116" i="38"/>
  <c r="AL143" i="34"/>
  <c r="AQ143" i="34" s="1"/>
  <c r="AQ131" i="34"/>
  <c r="AW131" i="36"/>
  <c r="AR143" i="36"/>
  <c r="AW143" i="36" s="1"/>
  <c r="AL136" i="34"/>
  <c r="AQ136" i="34" s="1"/>
  <c r="AQ124" i="34"/>
  <c r="AL145" i="34"/>
  <c r="AQ145" i="34" s="1"/>
  <c r="AQ133" i="34"/>
  <c r="AN124" i="38"/>
  <c r="AS112" i="38"/>
  <c r="AN132" i="38"/>
  <c r="AS120" i="38"/>
  <c r="AM130" i="34"/>
  <c r="AR118" i="34"/>
  <c r="AM125" i="34"/>
  <c r="AR113" i="34"/>
  <c r="AL140" i="34"/>
  <c r="AQ140" i="34" s="1"/>
  <c r="AQ128" i="34"/>
  <c r="AW122" i="36"/>
  <c r="AR134" i="36"/>
  <c r="AW134" i="36" s="1"/>
  <c r="AN123" i="38"/>
  <c r="AS111" i="38"/>
  <c r="AL137" i="34"/>
  <c r="AQ137" i="34" s="1"/>
  <c r="AQ125" i="34"/>
  <c r="AM129" i="34"/>
  <c r="AR117" i="34"/>
  <c r="AM127" i="34"/>
  <c r="AR115" i="34"/>
  <c r="AW123" i="36"/>
  <c r="AR135" i="36"/>
  <c r="AW135" i="36" s="1"/>
  <c r="AR110" i="34"/>
  <c r="AM122" i="34"/>
  <c r="AL141" i="34"/>
  <c r="AQ141" i="34" s="1"/>
  <c r="AQ129" i="34"/>
  <c r="AM141" i="38"/>
  <c r="AR141" i="38" s="1"/>
  <c r="AR129" i="38"/>
  <c r="AN127" i="38"/>
  <c r="AS115" i="38"/>
  <c r="AM138" i="38"/>
  <c r="AR138" i="38" s="1"/>
  <c r="AR126" i="38"/>
  <c r="AL138" i="34"/>
  <c r="AQ138" i="34" s="1"/>
  <c r="AQ126" i="34"/>
  <c r="AW124" i="36"/>
  <c r="AR136" i="36"/>
  <c r="AW136" i="36" s="1"/>
  <c r="AM124" i="34"/>
  <c r="AR112" i="34"/>
  <c r="AM137" i="38"/>
  <c r="AR137" i="38" s="1"/>
  <c r="AR125" i="38"/>
  <c r="AW129" i="36"/>
  <c r="AR141" i="36"/>
  <c r="AW141" i="36" s="1"/>
  <c r="AR114" i="34"/>
  <c r="AM126" i="34"/>
  <c r="AN129" i="38"/>
  <c r="AS117" i="38"/>
  <c r="AR119" i="34"/>
  <c r="AM131" i="34"/>
  <c r="AL142" i="34"/>
  <c r="AQ142" i="34" s="1"/>
  <c r="AQ130" i="34"/>
  <c r="AR121" i="34"/>
  <c r="AM133" i="34"/>
  <c r="AN133" i="38"/>
  <c r="AS121" i="38"/>
  <c r="AM140" i="38"/>
  <c r="AR140" i="38" s="1"/>
  <c r="AR128" i="38"/>
  <c r="AM135" i="38"/>
  <c r="AR135" i="38" s="1"/>
  <c r="AR123" i="38"/>
  <c r="AL139" i="34"/>
  <c r="AQ139" i="34" s="1"/>
  <c r="AQ127" i="34"/>
  <c r="AL135" i="34"/>
  <c r="AQ135" i="34" s="1"/>
  <c r="AQ123" i="34"/>
  <c r="AM139" i="38"/>
  <c r="AR139" i="38" s="1"/>
  <c r="AR127" i="38"/>
  <c r="AM143" i="38"/>
  <c r="AR143" i="38" s="1"/>
  <c r="AR131" i="38"/>
  <c r="AM145" i="38"/>
  <c r="AR145" i="38" s="1"/>
  <c r="AR133" i="38"/>
  <c r="AN122" i="38"/>
  <c r="AS110" i="38"/>
  <c r="AN130" i="38"/>
  <c r="AS118" i="38"/>
  <c r="AW127" i="36"/>
  <c r="AR139" i="36"/>
  <c r="AW139" i="36" s="1"/>
  <c r="AM142" i="38"/>
  <c r="AR142" i="38" s="1"/>
  <c r="AR130" i="38"/>
  <c r="AW130" i="36"/>
  <c r="AR142" i="36"/>
  <c r="AW142" i="36" s="1"/>
  <c r="AL144" i="34"/>
  <c r="AQ144" i="34" s="1"/>
  <c r="AQ132" i="34"/>
  <c r="AR116" i="34"/>
  <c r="AM128" i="34"/>
  <c r="AW128" i="36"/>
  <c r="AR140" i="36"/>
  <c r="AW140" i="36" s="1"/>
  <c r="AN126" i="38"/>
  <c r="AS114" i="38"/>
  <c r="AW132" i="36"/>
  <c r="AR144" i="36"/>
  <c r="AW144" i="36" s="1"/>
  <c r="AW126" i="36"/>
  <c r="AR138" i="36"/>
  <c r="AW138" i="36" s="1"/>
  <c r="AM136" i="38"/>
  <c r="AR136" i="38" s="1"/>
  <c r="AR124" i="38"/>
  <c r="AN125" i="38"/>
  <c r="AS113" i="38"/>
  <c r="AM144" i="38"/>
  <c r="AR144" i="38" s="1"/>
  <c r="AR132" i="38"/>
  <c r="AM123" i="34"/>
  <c r="AR111" i="34"/>
  <c r="AM132" i="34"/>
  <c r="AR120" i="34"/>
  <c r="A101" i="155"/>
  <c r="A101" i="154"/>
  <c r="A102" i="67"/>
  <c r="A53" i="149"/>
  <c r="A101" i="34"/>
  <c r="A101" i="28"/>
  <c r="A101" i="77"/>
  <c r="A101" i="38"/>
  <c r="A101" i="75"/>
  <c r="B101" i="67"/>
  <c r="B53" i="149" s="1"/>
  <c r="A101" i="32"/>
  <c r="A101" i="76"/>
  <c r="A101" i="30"/>
  <c r="A101" i="36"/>
  <c r="C101" i="67"/>
  <c r="C53" i="149" s="1"/>
  <c r="B100" i="75"/>
  <c r="C100" i="75"/>
  <c r="B100" i="32"/>
  <c r="C100" i="32"/>
  <c r="C100" i="76"/>
  <c r="B100" i="76"/>
  <c r="B52" i="149"/>
  <c r="B100" i="34"/>
  <c r="C100" i="34"/>
  <c r="C100" i="154"/>
  <c r="B100" i="154"/>
  <c r="C100" i="155"/>
  <c r="B100" i="155"/>
  <c r="B100" i="36"/>
  <c r="C100" i="36"/>
  <c r="B100" i="30"/>
  <c r="C100" i="30"/>
  <c r="C100" i="38"/>
  <c r="B100" i="38"/>
  <c r="C100" i="28"/>
  <c r="B100" i="28"/>
  <c r="B100" i="77"/>
  <c r="C100" i="77"/>
  <c r="BT87" i="67"/>
  <c r="BT39" i="149" s="1"/>
  <c r="K86" i="32"/>
  <c r="P96" i="34"/>
  <c r="P91" i="34"/>
  <c r="Q85" i="34"/>
  <c r="Q82" i="34"/>
  <c r="Q76" i="34"/>
  <c r="Q78" i="34"/>
  <c r="Q75" i="34"/>
  <c r="Q74" i="34"/>
  <c r="Q84" i="34"/>
  <c r="Q77" i="34"/>
  <c r="Q81" i="34"/>
  <c r="Q79" i="34"/>
  <c r="Q83" i="34"/>
  <c r="Q80" i="34"/>
  <c r="AM143" i="34" l="1"/>
  <c r="AR143" i="34" s="1"/>
  <c r="AR131" i="34"/>
  <c r="AN141" i="38"/>
  <c r="AS141" i="38" s="1"/>
  <c r="AS129" i="38"/>
  <c r="AN139" i="38"/>
  <c r="AS139" i="38" s="1"/>
  <c r="AS127" i="38"/>
  <c r="AN135" i="38"/>
  <c r="AS135" i="38" s="1"/>
  <c r="AS123" i="38"/>
  <c r="AM138" i="34"/>
  <c r="AR138" i="34" s="1"/>
  <c r="AR126" i="34"/>
  <c r="AN140" i="38"/>
  <c r="AS140" i="38" s="1"/>
  <c r="AS128" i="38"/>
  <c r="AM134" i="34"/>
  <c r="AR134" i="34" s="1"/>
  <c r="AR122" i="34"/>
  <c r="AN137" i="38"/>
  <c r="AS137" i="38" s="1"/>
  <c r="AS125" i="38"/>
  <c r="AN142" i="38"/>
  <c r="AS142" i="38" s="1"/>
  <c r="AS130" i="38"/>
  <c r="AM137" i="34"/>
  <c r="AR137" i="34" s="1"/>
  <c r="AR125" i="34"/>
  <c r="AN138" i="38"/>
  <c r="AS138" i="38" s="1"/>
  <c r="AS126" i="38"/>
  <c r="AM145" i="34"/>
  <c r="AR145" i="34" s="1"/>
  <c r="AR133" i="34"/>
  <c r="AM144" i="34"/>
  <c r="AR144" i="34" s="1"/>
  <c r="AR132" i="34"/>
  <c r="AR127" i="34"/>
  <c r="AM139" i="34"/>
  <c r="AR139" i="34" s="1"/>
  <c r="AN144" i="38"/>
  <c r="AS144" i="38" s="1"/>
  <c r="AS132" i="38"/>
  <c r="AN145" i="38"/>
  <c r="AS145" i="38" s="1"/>
  <c r="AS133" i="38"/>
  <c r="AM136" i="34"/>
  <c r="AR136" i="34" s="1"/>
  <c r="AR124" i="34"/>
  <c r="AM140" i="34"/>
  <c r="AR140" i="34" s="1"/>
  <c r="AR128" i="34"/>
  <c r="AN134" i="38"/>
  <c r="AS134" i="38" s="1"/>
  <c r="AS122" i="38"/>
  <c r="AR130" i="34"/>
  <c r="AM142" i="34"/>
  <c r="AR142" i="34" s="1"/>
  <c r="AM135" i="34"/>
  <c r="AR135" i="34" s="1"/>
  <c r="AR123" i="34"/>
  <c r="AR129" i="34"/>
  <c r="AM141" i="34"/>
  <c r="AR141" i="34" s="1"/>
  <c r="AN136" i="38"/>
  <c r="AS136" i="38" s="1"/>
  <c r="AS124" i="38"/>
  <c r="AN143" i="38"/>
  <c r="AS143" i="38" s="1"/>
  <c r="AS131" i="38"/>
  <c r="B101" i="36"/>
  <c r="C101" i="36"/>
  <c r="B101" i="30"/>
  <c r="C101" i="30"/>
  <c r="C101" i="76"/>
  <c r="B101" i="76"/>
  <c r="B101" i="32"/>
  <c r="C101" i="32"/>
  <c r="B101" i="75"/>
  <c r="C101" i="75"/>
  <c r="B101" i="38"/>
  <c r="C101" i="38"/>
  <c r="C101" i="28"/>
  <c r="B101" i="28"/>
  <c r="C101" i="154"/>
  <c r="B101" i="154"/>
  <c r="B101" i="77"/>
  <c r="C101" i="77"/>
  <c r="C101" i="34"/>
  <c r="B101" i="34"/>
  <c r="A102" i="155"/>
  <c r="A102" i="154"/>
  <c r="A103" i="67"/>
  <c r="A54" i="149"/>
  <c r="A102" i="77"/>
  <c r="A102" i="38"/>
  <c r="A102" i="75"/>
  <c r="A102" i="36"/>
  <c r="A102" i="32"/>
  <c r="A102" i="28"/>
  <c r="A102" i="34"/>
  <c r="C102" i="67"/>
  <c r="C54" i="149" s="1"/>
  <c r="B102" i="67"/>
  <c r="A102" i="76"/>
  <c r="A102" i="30"/>
  <c r="B101" i="155"/>
  <c r="C101" i="155"/>
  <c r="BT88" i="67"/>
  <c r="BT40" i="149" s="1"/>
  <c r="K87" i="32"/>
  <c r="Q89" i="34"/>
  <c r="Q96" i="34"/>
  <c r="Q86" i="34"/>
  <c r="Q87" i="34"/>
  <c r="Q90" i="34"/>
  <c r="Q88" i="34"/>
  <c r="Q92" i="34"/>
  <c r="Q91" i="34"/>
  <c r="Q95" i="34"/>
  <c r="Q94" i="34"/>
  <c r="Q93" i="34"/>
  <c r="Q97" i="34"/>
  <c r="AB38" i="4"/>
  <c r="DH38" i="4"/>
  <c r="CT38" i="4"/>
  <c r="C102" i="34" l="1"/>
  <c r="B102" i="34"/>
  <c r="B102" i="28"/>
  <c r="C102" i="28"/>
  <c r="A103" i="155"/>
  <c r="A103" i="154"/>
  <c r="A103" i="32"/>
  <c r="A103" i="75"/>
  <c r="A103" i="28"/>
  <c r="A103" i="76"/>
  <c r="A103" i="36"/>
  <c r="C103" i="67"/>
  <c r="C55" i="149" s="1"/>
  <c r="B103" i="67"/>
  <c r="B55" i="149" s="1"/>
  <c r="A103" i="30"/>
  <c r="A104" i="67"/>
  <c r="A55" i="149"/>
  <c r="A103" i="77"/>
  <c r="A103" i="38"/>
  <c r="A103" i="34"/>
  <c r="B102" i="36"/>
  <c r="C102" i="36"/>
  <c r="C102" i="77"/>
  <c r="B102" i="77"/>
  <c r="B102" i="75"/>
  <c r="C102" i="75"/>
  <c r="B102" i="38"/>
  <c r="C102" i="38"/>
  <c r="B102" i="32"/>
  <c r="C102" i="32"/>
  <c r="C102" i="154"/>
  <c r="B102" i="154"/>
  <c r="B102" i="30"/>
  <c r="C102" i="30"/>
  <c r="B102" i="76"/>
  <c r="C102" i="76"/>
  <c r="B54" i="149"/>
  <c r="B102" i="155"/>
  <c r="C102" i="155"/>
  <c r="BT89" i="67"/>
  <c r="BT41" i="149" s="1"/>
  <c r="K88" i="32"/>
  <c r="Q98" i="34"/>
  <c r="Q100" i="34"/>
  <c r="Q107" i="34"/>
  <c r="Q102" i="34"/>
  <c r="Q103" i="34"/>
  <c r="Q106" i="34"/>
  <c r="Q108" i="34"/>
  <c r="Q109" i="34"/>
  <c r="Q104" i="34"/>
  <c r="Q101" i="34"/>
  <c r="Q105" i="34"/>
  <c r="Q99" i="34"/>
  <c r="A104" i="155" l="1"/>
  <c r="A104" i="154"/>
  <c r="A104" i="34"/>
  <c r="A104" i="77"/>
  <c r="A104" i="38"/>
  <c r="C104" i="67"/>
  <c r="C56" i="149" s="1"/>
  <c r="A56" i="149"/>
  <c r="A104" i="28"/>
  <c r="A104" i="76"/>
  <c r="A104" i="30"/>
  <c r="A104" i="36"/>
  <c r="A104" i="32"/>
  <c r="A104" i="75"/>
  <c r="B104" i="67"/>
  <c r="B56" i="149" s="1"/>
  <c r="A105" i="67"/>
  <c r="B103" i="30"/>
  <c r="C103" i="30"/>
  <c r="C103" i="36"/>
  <c r="B103" i="36"/>
  <c r="C103" i="76"/>
  <c r="B103" i="76"/>
  <c r="B103" i="28"/>
  <c r="C103" i="28"/>
  <c r="B103" i="75"/>
  <c r="C103" i="75"/>
  <c r="B103" i="32"/>
  <c r="C103" i="32"/>
  <c r="B103" i="34"/>
  <c r="C103" i="34"/>
  <c r="C103" i="155"/>
  <c r="B103" i="155"/>
  <c r="B103" i="38"/>
  <c r="C103" i="38"/>
  <c r="C103" i="154"/>
  <c r="B103" i="154"/>
  <c r="B103" i="77"/>
  <c r="C103" i="77"/>
  <c r="BT90" i="67"/>
  <c r="BT42" i="149" s="1"/>
  <c r="K89" i="32"/>
  <c r="P135" i="38"/>
  <c r="Q111" i="34"/>
  <c r="Q117" i="34"/>
  <c r="Q119" i="34"/>
  <c r="P134" i="38"/>
  <c r="Q116" i="34"/>
  <c r="Q115" i="34"/>
  <c r="P144" i="38"/>
  <c r="Q120" i="34"/>
  <c r="P138" i="38"/>
  <c r="Q112" i="34"/>
  <c r="P142" i="38"/>
  <c r="P145" i="38"/>
  <c r="P139" i="38"/>
  <c r="Q118" i="34"/>
  <c r="P141" i="38"/>
  <c r="P136" i="38"/>
  <c r="Q110" i="34"/>
  <c r="Q114" i="34"/>
  <c r="P137" i="38"/>
  <c r="P140" i="38"/>
  <c r="Q113" i="34"/>
  <c r="P143" i="38"/>
  <c r="A105" i="155" l="1"/>
  <c r="A105" i="154"/>
  <c r="A105" i="30"/>
  <c r="A105" i="77"/>
  <c r="A105" i="32"/>
  <c r="A105" i="34"/>
  <c r="A105" i="28"/>
  <c r="A105" i="38"/>
  <c r="C105" i="67"/>
  <c r="C57" i="149" s="1"/>
  <c r="A105" i="75"/>
  <c r="A105" i="76"/>
  <c r="B105" i="67"/>
  <c r="B57" i="149" s="1"/>
  <c r="A57" i="149"/>
  <c r="A106" i="67"/>
  <c r="A105" i="36"/>
  <c r="B104" i="75"/>
  <c r="C104" i="75"/>
  <c r="B104" i="32"/>
  <c r="C104" i="32"/>
  <c r="B104" i="36"/>
  <c r="C104" i="36"/>
  <c r="B104" i="30"/>
  <c r="C104" i="30"/>
  <c r="B104" i="76"/>
  <c r="C104" i="76"/>
  <c r="B104" i="28"/>
  <c r="C104" i="28"/>
  <c r="C104" i="38"/>
  <c r="B104" i="38"/>
  <c r="B104" i="77"/>
  <c r="C104" i="77"/>
  <c r="C104" i="34"/>
  <c r="B104" i="34"/>
  <c r="C104" i="154"/>
  <c r="B104" i="154"/>
  <c r="C104" i="155"/>
  <c r="B104" i="155"/>
  <c r="BT91" i="67"/>
  <c r="BT43" i="149" s="1"/>
  <c r="K90" i="32"/>
  <c r="J13" i="36"/>
  <c r="J12" i="36"/>
  <c r="J6" i="36"/>
  <c r="J11" i="36"/>
  <c r="J8" i="36"/>
  <c r="J7" i="36"/>
  <c r="J3" i="36"/>
  <c r="J4" i="36"/>
  <c r="J10" i="36"/>
  <c r="J9" i="36"/>
  <c r="J5" i="36"/>
  <c r="P6" i="70"/>
  <c r="P4" i="70"/>
  <c r="P5" i="70"/>
  <c r="P8" i="70"/>
  <c r="P7" i="70"/>
  <c r="B105" i="34" l="1"/>
  <c r="C105" i="34"/>
  <c r="B105" i="75"/>
  <c r="C105" i="75"/>
  <c r="C105" i="32"/>
  <c r="B105" i="32"/>
  <c r="B105" i="76"/>
  <c r="C105" i="76"/>
  <c r="B105" i="28"/>
  <c r="C105" i="28"/>
  <c r="B105" i="36"/>
  <c r="C105" i="36"/>
  <c r="B105" i="77"/>
  <c r="C105" i="77"/>
  <c r="C105" i="30"/>
  <c r="B105" i="30"/>
  <c r="C105" i="154"/>
  <c r="B105" i="154"/>
  <c r="A106" i="155"/>
  <c r="A106" i="154"/>
  <c r="A106" i="34"/>
  <c r="A106" i="77"/>
  <c r="A106" i="38"/>
  <c r="A106" i="30"/>
  <c r="A106" i="28"/>
  <c r="A106" i="32"/>
  <c r="A106" i="75"/>
  <c r="A106" i="76"/>
  <c r="A58" i="149"/>
  <c r="C106" i="67"/>
  <c r="C58" i="149" s="1"/>
  <c r="B106" i="67"/>
  <c r="B58" i="149" s="1"/>
  <c r="A107" i="67"/>
  <c r="A106" i="36"/>
  <c r="C105" i="38"/>
  <c r="B105" i="38"/>
  <c r="B105" i="155"/>
  <c r="C105" i="155"/>
  <c r="BT92" i="67"/>
  <c r="BT44" i="149" s="1"/>
  <c r="K91" i="32"/>
  <c r="B42" i="25"/>
  <c r="B52" i="25" s="1"/>
  <c r="B40" i="25"/>
  <c r="B50" i="25" s="1"/>
  <c r="B39" i="25"/>
  <c r="B49" i="25" s="1"/>
  <c r="B38" i="25"/>
  <c r="B48" i="25" s="1"/>
  <c r="B37" i="25"/>
  <c r="B47" i="25" s="1"/>
  <c r="B31" i="25"/>
  <c r="B30" i="25"/>
  <c r="B18" i="25"/>
  <c r="B16" i="25"/>
  <c r="B15" i="25"/>
  <c r="B14" i="25"/>
  <c r="B13" i="25"/>
  <c r="AF6" i="17"/>
  <c r="B106" i="76" l="1"/>
  <c r="C106" i="76"/>
  <c r="A107" i="155"/>
  <c r="A107" i="154"/>
  <c r="A107" i="38"/>
  <c r="B107" i="67"/>
  <c r="B59" i="149" s="1"/>
  <c r="A107" i="32"/>
  <c r="A107" i="75"/>
  <c r="A107" i="76"/>
  <c r="A59" i="149"/>
  <c r="A107" i="34"/>
  <c r="C107" i="67"/>
  <c r="C59" i="149" s="1"/>
  <c r="A107" i="36"/>
  <c r="A108" i="67"/>
  <c r="A107" i="77"/>
  <c r="A107" i="30"/>
  <c r="A107" i="28"/>
  <c r="C106" i="32"/>
  <c r="B106" i="32"/>
  <c r="B106" i="38"/>
  <c r="C106" i="38"/>
  <c r="C106" i="28"/>
  <c r="B106" i="28"/>
  <c r="B106" i="30"/>
  <c r="C106" i="30"/>
  <c r="C106" i="155"/>
  <c r="B106" i="155"/>
  <c r="C106" i="75"/>
  <c r="B106" i="75"/>
  <c r="B106" i="77"/>
  <c r="C106" i="77"/>
  <c r="B106" i="34"/>
  <c r="C106" i="34"/>
  <c r="C106" i="154"/>
  <c r="B106" i="154"/>
  <c r="B106" i="36"/>
  <c r="C106" i="36"/>
  <c r="AF7" i="17"/>
  <c r="BT93" i="67"/>
  <c r="BT45" i="149" s="1"/>
  <c r="K92" i="32"/>
  <c r="P3" i="70"/>
  <c r="P15" i="70" s="1"/>
  <c r="C107" i="30" l="1"/>
  <c r="B107" i="30"/>
  <c r="C107" i="77"/>
  <c r="B107" i="77"/>
  <c r="B107" i="36"/>
  <c r="C107" i="36"/>
  <c r="B107" i="76"/>
  <c r="C107" i="76"/>
  <c r="C107" i="32"/>
  <c r="B107" i="32"/>
  <c r="C107" i="75"/>
  <c r="B107" i="75"/>
  <c r="A108" i="155"/>
  <c r="A108" i="154"/>
  <c r="A60" i="149"/>
  <c r="A108" i="36"/>
  <c r="A108" i="76"/>
  <c r="A108" i="34"/>
  <c r="A108" i="28"/>
  <c r="A108" i="38"/>
  <c r="A108" i="77"/>
  <c r="A108" i="30"/>
  <c r="C108" i="67"/>
  <c r="C60" i="149" s="1"/>
  <c r="B108" i="67"/>
  <c r="A108" i="32"/>
  <c r="A109" i="67"/>
  <c r="A108" i="75"/>
  <c r="B107" i="34"/>
  <c r="C107" i="34"/>
  <c r="C107" i="38"/>
  <c r="B107" i="38"/>
  <c r="C107" i="154"/>
  <c r="B107" i="154"/>
  <c r="C107" i="155"/>
  <c r="B107" i="155"/>
  <c r="C107" i="28"/>
  <c r="B107" i="28"/>
  <c r="Q5" i="70"/>
  <c r="Q13" i="70"/>
  <c r="Q12" i="70"/>
  <c r="Q11" i="70"/>
  <c r="Q10" i="70"/>
  <c r="Q9" i="70"/>
  <c r="Q14" i="70"/>
  <c r="AF8" i="17"/>
  <c r="BT94" i="67"/>
  <c r="BT46" i="149" s="1"/>
  <c r="K93" i="32"/>
  <c r="Q7" i="70"/>
  <c r="Q4" i="70"/>
  <c r="Q6" i="70"/>
  <c r="Q3" i="70"/>
  <c r="Q8" i="70"/>
  <c r="C108" i="154" l="1"/>
  <c r="B108" i="154"/>
  <c r="C108" i="155"/>
  <c r="B108" i="155"/>
  <c r="A109" i="155"/>
  <c r="A109" i="154"/>
  <c r="A61" i="149"/>
  <c r="A109" i="77"/>
  <c r="A109" i="38"/>
  <c r="A109" i="75"/>
  <c r="A109" i="36"/>
  <c r="A109" i="34"/>
  <c r="A109" i="76"/>
  <c r="A109" i="28"/>
  <c r="C109" i="67"/>
  <c r="C61" i="149" s="1"/>
  <c r="A109" i="30"/>
  <c r="A109" i="32"/>
  <c r="B109" i="67"/>
  <c r="A110" i="67"/>
  <c r="B108" i="36"/>
  <c r="C108" i="36"/>
  <c r="B60" i="149"/>
  <c r="C108" i="75"/>
  <c r="B108" i="75"/>
  <c r="B108" i="32"/>
  <c r="C108" i="32"/>
  <c r="C108" i="30"/>
  <c r="B108" i="30"/>
  <c r="C108" i="77"/>
  <c r="B108" i="77"/>
  <c r="C108" i="38"/>
  <c r="B108" i="38"/>
  <c r="C108" i="28"/>
  <c r="B108" i="28"/>
  <c r="B108" i="34"/>
  <c r="C108" i="34"/>
  <c r="C108" i="76"/>
  <c r="B108" i="76"/>
  <c r="R10" i="70"/>
  <c r="AF9" i="17"/>
  <c r="BT95" i="67"/>
  <c r="BT47" i="149" s="1"/>
  <c r="K94" i="32"/>
  <c r="R3" i="70"/>
  <c r="Q15" i="70"/>
  <c r="N10" i="76"/>
  <c r="N13" i="76"/>
  <c r="N12" i="76"/>
  <c r="N11" i="76"/>
  <c r="C109" i="30" l="1"/>
  <c r="B109" i="30"/>
  <c r="B109" i="28"/>
  <c r="C109" i="28"/>
  <c r="B109" i="76"/>
  <c r="C109" i="76"/>
  <c r="C109" i="34"/>
  <c r="B109" i="34"/>
  <c r="C109" i="36"/>
  <c r="B109" i="36"/>
  <c r="C109" i="75"/>
  <c r="B109" i="75"/>
  <c r="B109" i="38"/>
  <c r="C109" i="38"/>
  <c r="B109" i="77"/>
  <c r="C109" i="77"/>
  <c r="C109" i="154"/>
  <c r="B109" i="154"/>
  <c r="B109" i="155"/>
  <c r="C109" i="155"/>
  <c r="A110" i="155"/>
  <c r="A110" i="154"/>
  <c r="A110" i="76"/>
  <c r="A110" i="75"/>
  <c r="A111" i="67"/>
  <c r="A62" i="149"/>
  <c r="A110" i="36"/>
  <c r="A110" i="38"/>
  <c r="C110" i="67"/>
  <c r="C62" i="149" s="1"/>
  <c r="A110" i="77"/>
  <c r="A110" i="30"/>
  <c r="A110" i="34"/>
  <c r="A110" i="28"/>
  <c r="B110" i="67"/>
  <c r="A110" i="32"/>
  <c r="B61" i="149"/>
  <c r="C109" i="32"/>
  <c r="B109" i="32"/>
  <c r="J48" i="70"/>
  <c r="J44" i="70"/>
  <c r="AF10" i="17"/>
  <c r="D47" i="70"/>
  <c r="BT96" i="67"/>
  <c r="BT48" i="149" s="1"/>
  <c r="K95" i="32"/>
  <c r="D43" i="70"/>
  <c r="G23" i="77"/>
  <c r="G21" i="77"/>
  <c r="E22" i="76"/>
  <c r="N22" i="76" s="1"/>
  <c r="G22" i="77"/>
  <c r="E25" i="76"/>
  <c r="N25" i="76" s="1"/>
  <c r="E23" i="76"/>
  <c r="N23" i="76" s="1"/>
  <c r="E24" i="76"/>
  <c r="N24" i="76" s="1"/>
  <c r="G25" i="77"/>
  <c r="G24" i="77"/>
  <c r="B110" i="34" l="1"/>
  <c r="C110" i="34"/>
  <c r="B110" i="77"/>
  <c r="C110" i="77"/>
  <c r="A111" i="155"/>
  <c r="A111" i="154"/>
  <c r="A111" i="38"/>
  <c r="A111" i="30"/>
  <c r="B111" i="67"/>
  <c r="C111" i="67"/>
  <c r="C63" i="149" s="1"/>
  <c r="A63" i="149"/>
  <c r="A112" i="67"/>
  <c r="A111" i="32"/>
  <c r="A111" i="75"/>
  <c r="A111" i="76"/>
  <c r="A111" i="36"/>
  <c r="A111" i="34"/>
  <c r="A111" i="77"/>
  <c r="A111" i="28"/>
  <c r="B110" i="36"/>
  <c r="C110" i="36"/>
  <c r="C110" i="76"/>
  <c r="B110" i="76"/>
  <c r="B110" i="30"/>
  <c r="C110" i="30"/>
  <c r="C110" i="155"/>
  <c r="B110" i="155"/>
  <c r="C110" i="32"/>
  <c r="B110" i="32"/>
  <c r="B62" i="149"/>
  <c r="B110" i="38"/>
  <c r="C110" i="38"/>
  <c r="B110" i="75"/>
  <c r="C110" i="75"/>
  <c r="C110" i="154"/>
  <c r="B110" i="154"/>
  <c r="B110" i="28"/>
  <c r="C110" i="28"/>
  <c r="T23" i="77"/>
  <c r="AA23" i="77" s="1"/>
  <c r="M23" i="77"/>
  <c r="T24" i="77"/>
  <c r="AA24" i="77" s="1"/>
  <c r="M24" i="77"/>
  <c r="T25" i="77"/>
  <c r="AA25" i="77" s="1"/>
  <c r="M25" i="77"/>
  <c r="T22" i="77"/>
  <c r="AA22" i="77" s="1"/>
  <c r="M22" i="77"/>
  <c r="T21" i="77"/>
  <c r="AA21" i="77" s="1"/>
  <c r="M21" i="77"/>
  <c r="AF11" i="17"/>
  <c r="BT97" i="67"/>
  <c r="BT49" i="149" s="1"/>
  <c r="K96" i="32"/>
  <c r="E37" i="76"/>
  <c r="N37" i="76" s="1"/>
  <c r="G33" i="77"/>
  <c r="G36" i="77"/>
  <c r="G37" i="77"/>
  <c r="G35" i="77"/>
  <c r="E36" i="76"/>
  <c r="N36" i="76" s="1"/>
  <c r="E35" i="76"/>
  <c r="N35" i="76" s="1"/>
  <c r="G34" i="77"/>
  <c r="E34" i="76"/>
  <c r="N34" i="76" s="1"/>
  <c r="AU6" i="17"/>
  <c r="AC21" i="77" l="1"/>
  <c r="AC24" i="77"/>
  <c r="AC25" i="77"/>
  <c r="AC23" i="77"/>
  <c r="AC22" i="77"/>
  <c r="B111" i="36"/>
  <c r="C111" i="36"/>
  <c r="C111" i="76"/>
  <c r="B111" i="76"/>
  <c r="B111" i="75"/>
  <c r="C111" i="75"/>
  <c r="A112" i="155"/>
  <c r="A112" i="154"/>
  <c r="B112" i="67"/>
  <c r="A113" i="67"/>
  <c r="A112" i="38"/>
  <c r="A112" i="28"/>
  <c r="A64" i="149"/>
  <c r="A112" i="32"/>
  <c r="A112" i="75"/>
  <c r="A112" i="76"/>
  <c r="A112" i="30"/>
  <c r="A112" i="36"/>
  <c r="C112" i="67"/>
  <c r="C64" i="149" s="1"/>
  <c r="A112" i="34"/>
  <c r="A112" i="77"/>
  <c r="B63" i="149"/>
  <c r="C111" i="30"/>
  <c r="B111" i="30"/>
  <c r="C111" i="38"/>
  <c r="B111" i="38"/>
  <c r="C111" i="154"/>
  <c r="B111" i="154"/>
  <c r="B111" i="155"/>
  <c r="C111" i="155"/>
  <c r="C111" i="32"/>
  <c r="B111" i="32"/>
  <c r="C111" i="77"/>
  <c r="B111" i="77"/>
  <c r="C111" i="28"/>
  <c r="B111" i="28"/>
  <c r="B111" i="34"/>
  <c r="C111" i="34"/>
  <c r="T34" i="77"/>
  <c r="AA34" i="77" s="1"/>
  <c r="M34" i="77"/>
  <c r="T35" i="77"/>
  <c r="AA35" i="77" s="1"/>
  <c r="M35" i="77"/>
  <c r="T37" i="77"/>
  <c r="AA37" i="77" s="1"/>
  <c r="M37" i="77"/>
  <c r="T33" i="77"/>
  <c r="AA33" i="77" s="1"/>
  <c r="M33" i="77"/>
  <c r="T36" i="77"/>
  <c r="AA36" i="77" s="1"/>
  <c r="M36" i="77"/>
  <c r="AF12" i="17"/>
  <c r="BT98" i="67"/>
  <c r="BT50" i="149" s="1"/>
  <c r="K97" i="32"/>
  <c r="E46" i="76"/>
  <c r="N46" i="76" s="1"/>
  <c r="G46" i="77"/>
  <c r="E48" i="76"/>
  <c r="N48" i="76" s="1"/>
  <c r="E49" i="76"/>
  <c r="N49" i="76" s="1"/>
  <c r="G49" i="77"/>
  <c r="E47" i="76"/>
  <c r="N47" i="76" s="1"/>
  <c r="G48" i="77"/>
  <c r="G47" i="77"/>
  <c r="G45" i="77"/>
  <c r="AU7" i="17"/>
  <c r="B6" i="24"/>
  <c r="J6" i="24"/>
  <c r="AC33" i="77" l="1"/>
  <c r="AC35" i="77"/>
  <c r="AC37" i="77"/>
  <c r="AC36" i="77"/>
  <c r="AC34" i="77"/>
  <c r="B112" i="76"/>
  <c r="C112" i="76"/>
  <c r="C112" i="75"/>
  <c r="B112" i="75"/>
  <c r="C112" i="32"/>
  <c r="B112" i="32"/>
  <c r="B112" i="28"/>
  <c r="C112" i="28"/>
  <c r="B112" i="38"/>
  <c r="C112" i="38"/>
  <c r="A113" i="155"/>
  <c r="A113" i="154"/>
  <c r="A113" i="36"/>
  <c r="A113" i="34"/>
  <c r="B113" i="67"/>
  <c r="A113" i="77"/>
  <c r="A113" i="28"/>
  <c r="C113" i="67"/>
  <c r="C65" i="149" s="1"/>
  <c r="A114" i="67"/>
  <c r="A113" i="32"/>
  <c r="A113" i="76"/>
  <c r="A65" i="149"/>
  <c r="A113" i="38"/>
  <c r="A113" i="30"/>
  <c r="A113" i="75"/>
  <c r="B64" i="149"/>
  <c r="C112" i="154"/>
  <c r="B112" i="154"/>
  <c r="C112" i="155"/>
  <c r="B112" i="155"/>
  <c r="B112" i="77"/>
  <c r="C112" i="77"/>
  <c r="C112" i="34"/>
  <c r="B112" i="34"/>
  <c r="C112" i="36"/>
  <c r="B112" i="36"/>
  <c r="C112" i="30"/>
  <c r="B112" i="30"/>
  <c r="T47" i="77"/>
  <c r="AA47" i="77" s="1"/>
  <c r="M47" i="77"/>
  <c r="T46" i="77"/>
  <c r="AA46" i="77" s="1"/>
  <c r="M46" i="77"/>
  <c r="T45" i="77"/>
  <c r="AA45" i="77" s="1"/>
  <c r="M45" i="77"/>
  <c r="T48" i="77"/>
  <c r="AA48" i="77" s="1"/>
  <c r="M48" i="77"/>
  <c r="T49" i="77"/>
  <c r="AA49" i="77" s="1"/>
  <c r="M49" i="77"/>
  <c r="AF13" i="17"/>
  <c r="BT99" i="67"/>
  <c r="BT51" i="149" s="1"/>
  <c r="K98" i="32"/>
  <c r="G59" i="77"/>
  <c r="G60" i="77"/>
  <c r="G58" i="77"/>
  <c r="E61" i="76"/>
  <c r="N61" i="76" s="1"/>
  <c r="E60" i="76"/>
  <c r="N60" i="76" s="1"/>
  <c r="G61" i="77"/>
  <c r="E58" i="76"/>
  <c r="N58" i="76" s="1"/>
  <c r="G57" i="77"/>
  <c r="E59" i="76"/>
  <c r="N59" i="76" s="1"/>
  <c r="AU8" i="17"/>
  <c r="B7" i="24"/>
  <c r="J7" i="24"/>
  <c r="AC49" i="77" l="1"/>
  <c r="AC48" i="77"/>
  <c r="AC45" i="77"/>
  <c r="AC46" i="77"/>
  <c r="AC47" i="77"/>
  <c r="B113" i="77"/>
  <c r="C113" i="77"/>
  <c r="B65" i="149"/>
  <c r="B113" i="34"/>
  <c r="C113" i="34"/>
  <c r="C113" i="36"/>
  <c r="B113" i="36"/>
  <c r="C113" i="154"/>
  <c r="B113" i="154"/>
  <c r="B113" i="155"/>
  <c r="C113" i="155"/>
  <c r="C113" i="75"/>
  <c r="B113" i="75"/>
  <c r="C113" i="30"/>
  <c r="B113" i="30"/>
  <c r="C113" i="38"/>
  <c r="B113" i="38"/>
  <c r="C113" i="76"/>
  <c r="B113" i="76"/>
  <c r="B113" i="32"/>
  <c r="C113" i="32"/>
  <c r="A114" i="155"/>
  <c r="A114" i="154"/>
  <c r="A114" i="36"/>
  <c r="A114" i="32"/>
  <c r="A114" i="28"/>
  <c r="A114" i="77"/>
  <c r="A66" i="149"/>
  <c r="A114" i="34"/>
  <c r="C114" i="67"/>
  <c r="C66" i="149" s="1"/>
  <c r="B114" i="67"/>
  <c r="A114" i="30"/>
  <c r="A115" i="67"/>
  <c r="A114" i="38"/>
  <c r="A114" i="75"/>
  <c r="A114" i="76"/>
  <c r="B113" i="28"/>
  <c r="C113" i="28"/>
  <c r="T57" i="77"/>
  <c r="AA57" i="77" s="1"/>
  <c r="M57" i="77"/>
  <c r="T61" i="77"/>
  <c r="AA61" i="77" s="1"/>
  <c r="M61" i="77"/>
  <c r="T60" i="77"/>
  <c r="AA60" i="77" s="1"/>
  <c r="M60" i="77"/>
  <c r="T59" i="77"/>
  <c r="AA59" i="77" s="1"/>
  <c r="M59" i="77"/>
  <c r="T58" i="77"/>
  <c r="AA58" i="77" s="1"/>
  <c r="M58" i="77"/>
  <c r="AU9" i="17"/>
  <c r="AF14" i="17"/>
  <c r="BT100" i="67"/>
  <c r="BT52" i="149" s="1"/>
  <c r="K99" i="32"/>
  <c r="E70" i="76"/>
  <c r="N70" i="76" s="1"/>
  <c r="E72" i="76"/>
  <c r="N72" i="76" s="1"/>
  <c r="E73" i="76"/>
  <c r="N73" i="76" s="1"/>
  <c r="G70" i="77"/>
  <c r="G71" i="77"/>
  <c r="G73" i="77"/>
  <c r="E71" i="76"/>
  <c r="N71" i="76" s="1"/>
  <c r="G69" i="77"/>
  <c r="G72" i="77"/>
  <c r="J8" i="24"/>
  <c r="B8" i="24"/>
  <c r="AC58" i="77" l="1"/>
  <c r="AC59" i="77"/>
  <c r="AC60" i="77"/>
  <c r="AC61" i="77"/>
  <c r="AC57" i="77"/>
  <c r="B114" i="32"/>
  <c r="C114" i="32"/>
  <c r="C114" i="36"/>
  <c r="B114" i="36"/>
  <c r="C114" i="154"/>
  <c r="B114" i="154"/>
  <c r="C114" i="76"/>
  <c r="B114" i="76"/>
  <c r="B114" i="75"/>
  <c r="C114" i="75"/>
  <c r="B114" i="38"/>
  <c r="C114" i="38"/>
  <c r="A115" i="155"/>
  <c r="A115" i="154"/>
  <c r="C115" i="67"/>
  <c r="C67" i="149" s="1"/>
  <c r="B115" i="67"/>
  <c r="A67" i="149"/>
  <c r="A115" i="32"/>
  <c r="A116" i="67"/>
  <c r="A115" i="28"/>
  <c r="A115" i="38"/>
  <c r="A115" i="75"/>
  <c r="A115" i="76"/>
  <c r="A115" i="30"/>
  <c r="A115" i="36"/>
  <c r="A115" i="34"/>
  <c r="A115" i="77"/>
  <c r="C114" i="155"/>
  <c r="B114" i="155"/>
  <c r="C114" i="30"/>
  <c r="B114" i="30"/>
  <c r="B66" i="149"/>
  <c r="B114" i="34"/>
  <c r="C114" i="34"/>
  <c r="B114" i="77"/>
  <c r="C114" i="77"/>
  <c r="B114" i="28"/>
  <c r="C114" i="28"/>
  <c r="T72" i="77"/>
  <c r="AA72" i="77" s="1"/>
  <c r="M72" i="77"/>
  <c r="T69" i="77"/>
  <c r="AA69" i="77" s="1"/>
  <c r="M69" i="77"/>
  <c r="T73" i="77"/>
  <c r="AA73" i="77" s="1"/>
  <c r="M73" i="77"/>
  <c r="T70" i="77"/>
  <c r="AA70" i="77" s="1"/>
  <c r="M70" i="77"/>
  <c r="T71" i="77"/>
  <c r="AA71" i="77" s="1"/>
  <c r="M71" i="77"/>
  <c r="AU10" i="17"/>
  <c r="AF15" i="17"/>
  <c r="AF16" i="17" s="1"/>
  <c r="J9" i="24"/>
  <c r="BT101" i="67"/>
  <c r="BT53" i="149" s="1"/>
  <c r="K100" i="32"/>
  <c r="B9" i="24"/>
  <c r="G81" i="77"/>
  <c r="E83" i="76"/>
  <c r="N83" i="76" s="1"/>
  <c r="G85" i="77"/>
  <c r="E84" i="76"/>
  <c r="N84" i="76" s="1"/>
  <c r="G83" i="77"/>
  <c r="E82" i="76"/>
  <c r="N82" i="76" s="1"/>
  <c r="G82" i="77"/>
  <c r="G84" i="77"/>
  <c r="E85" i="76"/>
  <c r="N85" i="76" s="1"/>
  <c r="N5" i="23"/>
  <c r="V5" i="23"/>
  <c r="V6" i="23" s="1"/>
  <c r="V7" i="23" s="1"/>
  <c r="V8" i="23" s="1"/>
  <c r="J5" i="23"/>
  <c r="AC71" i="77" l="1"/>
  <c r="AC70" i="77"/>
  <c r="AC73" i="77"/>
  <c r="AC69" i="77"/>
  <c r="AC72" i="77"/>
  <c r="B115" i="155"/>
  <c r="C115" i="155"/>
  <c r="B115" i="77"/>
  <c r="C115" i="77"/>
  <c r="B115" i="34"/>
  <c r="C115" i="34"/>
  <c r="B115" i="36"/>
  <c r="C115" i="36"/>
  <c r="C115" i="38"/>
  <c r="B115" i="38"/>
  <c r="B115" i="30"/>
  <c r="C115" i="30"/>
  <c r="C115" i="76"/>
  <c r="B115" i="76"/>
  <c r="B115" i="75"/>
  <c r="C115" i="75"/>
  <c r="C115" i="28"/>
  <c r="B115" i="28"/>
  <c r="A116" i="155"/>
  <c r="A116" i="154"/>
  <c r="A116" i="36"/>
  <c r="B116" i="67"/>
  <c r="A116" i="76"/>
  <c r="A116" i="34"/>
  <c r="A117" i="67"/>
  <c r="C116" i="67"/>
  <c r="C68" i="149" s="1"/>
  <c r="A68" i="149"/>
  <c r="A116" i="77"/>
  <c r="A116" i="38"/>
  <c r="A116" i="32"/>
  <c r="A116" i="75"/>
  <c r="A116" i="30"/>
  <c r="A116" i="28"/>
  <c r="C115" i="32"/>
  <c r="B115" i="32"/>
  <c r="B67" i="149"/>
  <c r="C115" i="154"/>
  <c r="B115" i="154"/>
  <c r="T84" i="77"/>
  <c r="AA84" i="77" s="1"/>
  <c r="M84" i="77"/>
  <c r="T82" i="77"/>
  <c r="AA82" i="77" s="1"/>
  <c r="M82" i="77"/>
  <c r="T85" i="77"/>
  <c r="AA85" i="77" s="1"/>
  <c r="M85" i="77"/>
  <c r="T83" i="77"/>
  <c r="AA83" i="77" s="1"/>
  <c r="M83" i="77"/>
  <c r="T81" i="77"/>
  <c r="AA81" i="77" s="1"/>
  <c r="M81" i="77"/>
  <c r="AU11" i="17"/>
  <c r="J10" i="24"/>
  <c r="BT102" i="67"/>
  <c r="BT54" i="149" s="1"/>
  <c r="K101" i="32"/>
  <c r="B10" i="24"/>
  <c r="N6" i="23"/>
  <c r="J6" i="23"/>
  <c r="F5" i="23"/>
  <c r="E95" i="76"/>
  <c r="N95" i="76" s="1"/>
  <c r="E96" i="76"/>
  <c r="N96" i="76" s="1"/>
  <c r="G93" i="77"/>
  <c r="G96" i="77"/>
  <c r="G94" i="77"/>
  <c r="E94" i="76"/>
  <c r="N94" i="76" s="1"/>
  <c r="G95" i="77"/>
  <c r="G97" i="77"/>
  <c r="E97" i="76"/>
  <c r="N97" i="76" s="1"/>
  <c r="V9" i="23"/>
  <c r="AC81" i="77" l="1"/>
  <c r="AC83" i="77"/>
  <c r="AC85" i="77"/>
  <c r="AC82" i="77"/>
  <c r="AC84" i="77"/>
  <c r="B116" i="75"/>
  <c r="C116" i="75"/>
  <c r="C116" i="32"/>
  <c r="B116" i="32"/>
  <c r="B116" i="38"/>
  <c r="C116" i="38"/>
  <c r="C116" i="77"/>
  <c r="B116" i="77"/>
  <c r="A117" i="155"/>
  <c r="A117" i="154"/>
  <c r="A117" i="77"/>
  <c r="A117" i="38"/>
  <c r="A117" i="75"/>
  <c r="A117" i="28"/>
  <c r="A117" i="32"/>
  <c r="A117" i="76"/>
  <c r="A117" i="36"/>
  <c r="A117" i="30"/>
  <c r="B117" i="67"/>
  <c r="C117" i="67"/>
  <c r="C69" i="149" s="1"/>
  <c r="A118" i="67"/>
  <c r="A69" i="149"/>
  <c r="A117" i="34"/>
  <c r="B116" i="34"/>
  <c r="C116" i="34"/>
  <c r="B116" i="36"/>
  <c r="C116" i="36"/>
  <c r="B68" i="149"/>
  <c r="C116" i="154"/>
  <c r="B116" i="154"/>
  <c r="B116" i="155"/>
  <c r="C116" i="155"/>
  <c r="B116" i="28"/>
  <c r="C116" i="28"/>
  <c r="C116" i="76"/>
  <c r="B116" i="76"/>
  <c r="B116" i="30"/>
  <c r="C116" i="30"/>
  <c r="T96" i="77"/>
  <c r="AA96" i="77" s="1"/>
  <c r="M96" i="77"/>
  <c r="T94" i="77"/>
  <c r="AA94" i="77" s="1"/>
  <c r="M94" i="77"/>
  <c r="T93" i="77"/>
  <c r="AA93" i="77" s="1"/>
  <c r="M93" i="77"/>
  <c r="T97" i="77"/>
  <c r="AA97" i="77" s="1"/>
  <c r="M97" i="77"/>
  <c r="T95" i="77"/>
  <c r="AA95" i="77" s="1"/>
  <c r="M95" i="77"/>
  <c r="AU12" i="17"/>
  <c r="J11" i="24"/>
  <c r="BT103" i="67"/>
  <c r="BT55" i="149" s="1"/>
  <c r="K102" i="32"/>
  <c r="B11" i="24"/>
  <c r="N7" i="23"/>
  <c r="J7" i="23"/>
  <c r="F6" i="23"/>
  <c r="G106" i="77"/>
  <c r="G108" i="77"/>
  <c r="E106" i="76"/>
  <c r="N106" i="76" s="1"/>
  <c r="E109" i="76"/>
  <c r="N109" i="76" s="1"/>
  <c r="G105" i="77"/>
  <c r="E108" i="76"/>
  <c r="N108" i="76" s="1"/>
  <c r="G107" i="77"/>
  <c r="G109" i="77"/>
  <c r="E107" i="76"/>
  <c r="N107" i="76" s="1"/>
  <c r="V10" i="23"/>
  <c r="V11" i="23" s="1"/>
  <c r="V12" i="23" s="1"/>
  <c r="V13" i="23" s="1"/>
  <c r="V14" i="23" s="1"/>
  <c r="AC97" i="77" l="1"/>
  <c r="AC93" i="77"/>
  <c r="AC95" i="77"/>
  <c r="AC94" i="77"/>
  <c r="AC96" i="77"/>
  <c r="C117" i="32"/>
  <c r="B117" i="32"/>
  <c r="B117" i="28"/>
  <c r="C117" i="28"/>
  <c r="B117" i="75"/>
  <c r="C117" i="75"/>
  <c r="B117" i="38"/>
  <c r="C117" i="38"/>
  <c r="B117" i="77"/>
  <c r="C117" i="77"/>
  <c r="C117" i="154"/>
  <c r="B117" i="154"/>
  <c r="B117" i="155"/>
  <c r="C117" i="155"/>
  <c r="C117" i="34"/>
  <c r="B117" i="34"/>
  <c r="A118" i="155"/>
  <c r="A118" i="154"/>
  <c r="A118" i="36"/>
  <c r="A119" i="67"/>
  <c r="A118" i="30"/>
  <c r="A118" i="77"/>
  <c r="A118" i="38"/>
  <c r="C118" i="67"/>
  <c r="C70" i="149" s="1"/>
  <c r="B118" i="67"/>
  <c r="A70" i="149"/>
  <c r="A118" i="32"/>
  <c r="A118" i="34"/>
  <c r="A118" i="76"/>
  <c r="A118" i="75"/>
  <c r="A118" i="28"/>
  <c r="B69" i="149"/>
  <c r="C117" i="30"/>
  <c r="B117" i="30"/>
  <c r="B117" i="36"/>
  <c r="C117" i="36"/>
  <c r="B117" i="76"/>
  <c r="C117" i="76"/>
  <c r="T107" i="77"/>
  <c r="AA107" i="77" s="1"/>
  <c r="M107" i="77"/>
  <c r="T108" i="77"/>
  <c r="AA108" i="77" s="1"/>
  <c r="M108" i="77"/>
  <c r="T106" i="77"/>
  <c r="AA106" i="77" s="1"/>
  <c r="M106" i="77"/>
  <c r="T105" i="77"/>
  <c r="AA105" i="77" s="1"/>
  <c r="M105" i="77"/>
  <c r="T109" i="77"/>
  <c r="AA109" i="77" s="1"/>
  <c r="M109" i="77"/>
  <c r="AU13" i="17"/>
  <c r="J12" i="24"/>
  <c r="BT104" i="67"/>
  <c r="BT56" i="149" s="1"/>
  <c r="K103" i="32"/>
  <c r="B12" i="24"/>
  <c r="N8" i="23"/>
  <c r="J8" i="23"/>
  <c r="F7" i="23"/>
  <c r="E118" i="76"/>
  <c r="E130" i="76" s="1"/>
  <c r="N130" i="76" s="1"/>
  <c r="G117" i="77"/>
  <c r="M117" i="77" s="1"/>
  <c r="G121" i="77"/>
  <c r="M121" i="77" s="1"/>
  <c r="G120" i="77"/>
  <c r="M120" i="77" s="1"/>
  <c r="G118" i="77"/>
  <c r="M118" i="77" s="1"/>
  <c r="E121" i="76"/>
  <c r="E133" i="76" s="1"/>
  <c r="N133" i="76" s="1"/>
  <c r="E120" i="76"/>
  <c r="E132" i="76" s="1"/>
  <c r="N132" i="76" s="1"/>
  <c r="E119" i="76"/>
  <c r="E131" i="76" s="1"/>
  <c r="N131" i="76" s="1"/>
  <c r="G119" i="77"/>
  <c r="M119" i="77" s="1"/>
  <c r="AC109" i="77" l="1"/>
  <c r="AC105" i="77"/>
  <c r="AC106" i="77"/>
  <c r="AC108" i="77"/>
  <c r="AC107" i="77"/>
  <c r="B118" i="28"/>
  <c r="C118" i="28"/>
  <c r="B118" i="75"/>
  <c r="C118" i="75"/>
  <c r="B118" i="76"/>
  <c r="C118" i="76"/>
  <c r="B118" i="34"/>
  <c r="C118" i="34"/>
  <c r="C118" i="32"/>
  <c r="B118" i="32"/>
  <c r="B70" i="149"/>
  <c r="B118" i="77"/>
  <c r="C118" i="77"/>
  <c r="B118" i="30"/>
  <c r="C118" i="30"/>
  <c r="A119" i="155"/>
  <c r="A119" i="154"/>
  <c r="A119" i="36"/>
  <c r="A120" i="67"/>
  <c r="A119" i="34"/>
  <c r="A119" i="30"/>
  <c r="C119" i="67"/>
  <c r="C71" i="149" s="1"/>
  <c r="B119" i="67"/>
  <c r="A71" i="149"/>
  <c r="A119" i="32"/>
  <c r="A119" i="77"/>
  <c r="A119" i="38"/>
  <c r="A119" i="76"/>
  <c r="A119" i="28"/>
  <c r="A119" i="75"/>
  <c r="B118" i="36"/>
  <c r="C118" i="36"/>
  <c r="C118" i="154"/>
  <c r="B118" i="154"/>
  <c r="B118" i="38"/>
  <c r="C118" i="38"/>
  <c r="C118" i="155"/>
  <c r="B118" i="155"/>
  <c r="G131" i="77"/>
  <c r="M131" i="77" s="1"/>
  <c r="T119" i="77"/>
  <c r="AA119" i="77" s="1"/>
  <c r="G130" i="77"/>
  <c r="M130" i="77" s="1"/>
  <c r="T118" i="77"/>
  <c r="AA118" i="77" s="1"/>
  <c r="G132" i="77"/>
  <c r="M132" i="77" s="1"/>
  <c r="T120" i="77"/>
  <c r="AA120" i="77" s="1"/>
  <c r="G133" i="77"/>
  <c r="M133" i="77" s="1"/>
  <c r="T121" i="77"/>
  <c r="AA121" i="77" s="1"/>
  <c r="G129" i="77"/>
  <c r="M129" i="77" s="1"/>
  <c r="T117" i="77"/>
  <c r="AA117" i="77" s="1"/>
  <c r="AU14" i="17"/>
  <c r="J13" i="24"/>
  <c r="N119" i="76"/>
  <c r="N120" i="76"/>
  <c r="N121" i="76"/>
  <c r="N118" i="76"/>
  <c r="BT105" i="67"/>
  <c r="BT57" i="149" s="1"/>
  <c r="K104" i="32"/>
  <c r="B13" i="24"/>
  <c r="N9" i="23"/>
  <c r="J9" i="23"/>
  <c r="F8" i="23"/>
  <c r="V15" i="23"/>
  <c r="B5" i="23"/>
  <c r="AC121" i="77" l="1"/>
  <c r="AC117" i="77"/>
  <c r="AC118" i="77"/>
  <c r="AC120" i="77"/>
  <c r="AC119" i="77"/>
  <c r="B119" i="28"/>
  <c r="C119" i="28"/>
  <c r="C119" i="38"/>
  <c r="B119" i="38"/>
  <c r="C119" i="77"/>
  <c r="B119" i="77"/>
  <c r="C119" i="32"/>
  <c r="B119" i="32"/>
  <c r="C119" i="75"/>
  <c r="B119" i="75"/>
  <c r="B119" i="76"/>
  <c r="C119" i="76"/>
  <c r="B71" i="149"/>
  <c r="C119" i="30"/>
  <c r="B119" i="30"/>
  <c r="A120" i="155"/>
  <c r="A120" i="154"/>
  <c r="A120" i="75"/>
  <c r="A120" i="36"/>
  <c r="A120" i="77"/>
  <c r="A120" i="76"/>
  <c r="A120" i="30"/>
  <c r="C120" i="67"/>
  <c r="C72" i="149" s="1"/>
  <c r="B120" i="67"/>
  <c r="A121" i="67"/>
  <c r="A120" i="34"/>
  <c r="A120" i="28"/>
  <c r="A120" i="38"/>
  <c r="A72" i="149"/>
  <c r="A120" i="32"/>
  <c r="C119" i="154"/>
  <c r="B119" i="154"/>
  <c r="C119" i="34"/>
  <c r="B119" i="34"/>
  <c r="B119" i="36"/>
  <c r="C119" i="36"/>
  <c r="C119" i="155"/>
  <c r="B119" i="155"/>
  <c r="T129" i="77"/>
  <c r="AA129" i="77" s="1"/>
  <c r="T133" i="77"/>
  <c r="AA133" i="77" s="1"/>
  <c r="T132" i="77"/>
  <c r="AA132" i="77" s="1"/>
  <c r="T130" i="77"/>
  <c r="AA130" i="77" s="1"/>
  <c r="T131" i="77"/>
  <c r="AA131" i="77" s="1"/>
  <c r="J14" i="24"/>
  <c r="B14" i="24"/>
  <c r="AU15" i="17"/>
  <c r="AU16" i="17" s="1"/>
  <c r="BT106" i="67"/>
  <c r="BT58" i="149" s="1"/>
  <c r="K105" i="32"/>
  <c r="N10" i="23"/>
  <c r="J10" i="23"/>
  <c r="F9" i="23"/>
  <c r="E142" i="76"/>
  <c r="E144" i="76"/>
  <c r="G143" i="77"/>
  <c r="M143" i="77" s="1"/>
  <c r="G141" i="77"/>
  <c r="M141" i="77" s="1"/>
  <c r="G142" i="77"/>
  <c r="M142" i="77" s="1"/>
  <c r="E145" i="76"/>
  <c r="N145" i="76" s="1"/>
  <c r="E143" i="76"/>
  <c r="G144" i="77"/>
  <c r="M144" i="77" s="1"/>
  <c r="G145" i="77"/>
  <c r="M145" i="77" s="1"/>
  <c r="B6" i="23"/>
  <c r="AC133" i="77" l="1"/>
  <c r="AC131" i="77"/>
  <c r="AC130" i="77"/>
  <c r="AC132" i="77"/>
  <c r="AC129" i="77"/>
  <c r="C120" i="36"/>
  <c r="B120" i="36"/>
  <c r="B120" i="75"/>
  <c r="C120" i="75"/>
  <c r="C120" i="154"/>
  <c r="B120" i="154"/>
  <c r="C120" i="32"/>
  <c r="B120" i="32"/>
  <c r="AG12" i="17"/>
  <c r="B120" i="155"/>
  <c r="C120" i="155"/>
  <c r="C120" i="38"/>
  <c r="B120" i="38"/>
  <c r="B120" i="28"/>
  <c r="C120" i="28"/>
  <c r="B120" i="34"/>
  <c r="C120" i="34"/>
  <c r="A121" i="155"/>
  <c r="A121" i="154"/>
  <c r="A73" i="149"/>
  <c r="A121" i="36"/>
  <c r="A121" i="30"/>
  <c r="A121" i="77"/>
  <c r="A121" i="34"/>
  <c r="A121" i="28"/>
  <c r="A121" i="38"/>
  <c r="A121" i="32"/>
  <c r="A121" i="75"/>
  <c r="A121" i="76"/>
  <c r="C121" i="67"/>
  <c r="C73" i="149" s="1"/>
  <c r="B121" i="67"/>
  <c r="B72" i="149"/>
  <c r="AV9" i="17"/>
  <c r="L8" i="24"/>
  <c r="F24" i="25" s="1"/>
  <c r="F24" i="153" s="1"/>
  <c r="AV13" i="17"/>
  <c r="AV11" i="17"/>
  <c r="D6" i="24"/>
  <c r="D23" i="25" s="1"/>
  <c r="AV8" i="17"/>
  <c r="L12" i="24"/>
  <c r="J24" i="25" s="1"/>
  <c r="J24" i="153" s="1"/>
  <c r="AG13" i="17"/>
  <c r="D12" i="24"/>
  <c r="J23" i="25" s="1"/>
  <c r="AG14" i="17"/>
  <c r="D8" i="24"/>
  <c r="F23" i="25" s="1"/>
  <c r="AV7" i="17"/>
  <c r="L11" i="24"/>
  <c r="I24" i="25" s="1"/>
  <c r="B120" i="30"/>
  <c r="C120" i="30"/>
  <c r="L9" i="24"/>
  <c r="G24" i="25" s="1"/>
  <c r="G24" i="153" s="1"/>
  <c r="D14" i="24"/>
  <c r="L23" i="25" s="1"/>
  <c r="L23" i="153" s="1"/>
  <c r="L14" i="24"/>
  <c r="L24" i="25" s="1"/>
  <c r="B120" i="76"/>
  <c r="C120" i="76"/>
  <c r="AV10" i="17"/>
  <c r="L13" i="24"/>
  <c r="K24" i="25" s="1"/>
  <c r="U13" i="25" s="1"/>
  <c r="C120" i="77"/>
  <c r="B120" i="77"/>
  <c r="AV12" i="17"/>
  <c r="T145" i="77"/>
  <c r="AA145" i="77" s="1"/>
  <c r="T142" i="77"/>
  <c r="AA142" i="77" s="1"/>
  <c r="T143" i="77"/>
  <c r="AA143" i="77" s="1"/>
  <c r="T144" i="77"/>
  <c r="AA144" i="77" s="1"/>
  <c r="T141" i="77"/>
  <c r="AA141" i="77" s="1"/>
  <c r="W6" i="23"/>
  <c r="C6" i="23"/>
  <c r="O6" i="23"/>
  <c r="K6" i="23"/>
  <c r="G6" i="23"/>
  <c r="BT107" i="67"/>
  <c r="BT59" i="149" s="1"/>
  <c r="K106" i="32"/>
  <c r="N11" i="23"/>
  <c r="J11" i="23"/>
  <c r="F10" i="23"/>
  <c r="N144" i="76"/>
  <c r="N142" i="76"/>
  <c r="N143" i="76"/>
  <c r="B7" i="23"/>
  <c r="AC141" i="77" l="1"/>
  <c r="AC144" i="77"/>
  <c r="AC143" i="77"/>
  <c r="AC142" i="77"/>
  <c r="AC145" i="77"/>
  <c r="S13" i="25"/>
  <c r="I24" i="153"/>
  <c r="A122" i="76"/>
  <c r="B121" i="76"/>
  <c r="C121" i="76"/>
  <c r="E8" i="152"/>
  <c r="E8" i="25"/>
  <c r="E18" i="153" s="1"/>
  <c r="C121" i="75"/>
  <c r="B121" i="75"/>
  <c r="A122" i="75"/>
  <c r="L6" i="152"/>
  <c r="S7" i="152" s="1"/>
  <c r="K14" i="24"/>
  <c r="M14" i="24" s="1"/>
  <c r="K14" i="57"/>
  <c r="L6" i="25"/>
  <c r="L16" i="153" s="1"/>
  <c r="B121" i="38"/>
  <c r="A122" i="38"/>
  <c r="C121" i="38"/>
  <c r="F23" i="153"/>
  <c r="J8" i="152"/>
  <c r="Q9" i="152" s="1"/>
  <c r="J8" i="25"/>
  <c r="J18" i="153" s="1"/>
  <c r="J23" i="153"/>
  <c r="B121" i="28"/>
  <c r="D13" i="15" s="1"/>
  <c r="C121" i="28"/>
  <c r="K6" i="152"/>
  <c r="R7" i="152" s="1"/>
  <c r="K6" i="25"/>
  <c r="K16" i="153" s="1"/>
  <c r="K13" i="57"/>
  <c r="A122" i="34"/>
  <c r="B121" i="34"/>
  <c r="C121" i="34"/>
  <c r="J6" i="152"/>
  <c r="Q7" i="152" s="1"/>
  <c r="J6" i="25"/>
  <c r="J16" i="153" s="1"/>
  <c r="K12" i="57"/>
  <c r="A122" i="77"/>
  <c r="B121" i="77"/>
  <c r="C121" i="77"/>
  <c r="F8" i="152"/>
  <c r="F8" i="25"/>
  <c r="F18" i="153" s="1"/>
  <c r="C121" i="30"/>
  <c r="B121" i="30"/>
  <c r="H8" i="152"/>
  <c r="H8" i="25"/>
  <c r="D23" i="153"/>
  <c r="A122" i="36"/>
  <c r="B121" i="36"/>
  <c r="C121" i="36"/>
  <c r="K8" i="152"/>
  <c r="R9" i="152" s="1"/>
  <c r="K8" i="25"/>
  <c r="K18" i="153" s="1"/>
  <c r="C121" i="154"/>
  <c r="B121" i="154"/>
  <c r="B121" i="155"/>
  <c r="C121" i="155"/>
  <c r="B121" i="32"/>
  <c r="C121" i="32"/>
  <c r="G8" i="152"/>
  <c r="G8" i="25"/>
  <c r="G18" i="153" s="1"/>
  <c r="I8" i="152"/>
  <c r="I8" i="25"/>
  <c r="L23" i="24"/>
  <c r="K24" i="153"/>
  <c r="B73" i="149"/>
  <c r="W45" i="17"/>
  <c r="C5" i="152" s="1"/>
  <c r="C48" i="17"/>
  <c r="F3" i="152" s="1"/>
  <c r="W47" i="17"/>
  <c r="E5" i="152" s="1"/>
  <c r="M52" i="17"/>
  <c r="J4" i="152" s="1"/>
  <c r="S8" i="23"/>
  <c r="C49" i="17"/>
  <c r="G3" i="152" s="1"/>
  <c r="X46" i="17"/>
  <c r="S6" i="23"/>
  <c r="N5" i="17"/>
  <c r="S7" i="57"/>
  <c r="M47" i="17"/>
  <c r="E4" i="152" s="1"/>
  <c r="N49" i="17"/>
  <c r="M51" i="17"/>
  <c r="I4" i="152" s="1"/>
  <c r="AN7" i="17"/>
  <c r="S6" i="57"/>
  <c r="AN11" i="17"/>
  <c r="N46" i="17"/>
  <c r="M54" i="17"/>
  <c r="L4" i="152" s="1"/>
  <c r="N47" i="17"/>
  <c r="AN14" i="17"/>
  <c r="X49" i="17"/>
  <c r="W5" i="17"/>
  <c r="C5" i="25" s="1"/>
  <c r="C15" i="153" s="1"/>
  <c r="S11" i="23"/>
  <c r="S12" i="57"/>
  <c r="S8" i="57"/>
  <c r="T13" i="24"/>
  <c r="K25" i="25" s="1"/>
  <c r="N45" i="17"/>
  <c r="C50" i="17"/>
  <c r="H3" i="152" s="1"/>
  <c r="L5" i="24"/>
  <c r="T6" i="24"/>
  <c r="D25" i="25" s="1"/>
  <c r="D25" i="153" s="1"/>
  <c r="D5" i="17"/>
  <c r="W4" i="23"/>
  <c r="D46" i="17"/>
  <c r="AN6" i="17"/>
  <c r="G4" i="23"/>
  <c r="M46" i="17"/>
  <c r="D4" i="152" s="1"/>
  <c r="S14" i="57"/>
  <c r="X5" i="17"/>
  <c r="X47" i="17"/>
  <c r="X45" i="17"/>
  <c r="C46" i="17"/>
  <c r="D3" i="152" s="1"/>
  <c r="C52" i="17"/>
  <c r="J3" i="152" s="1"/>
  <c r="AN12" i="17"/>
  <c r="T14" i="24"/>
  <c r="D48" i="17"/>
  <c r="T10" i="24"/>
  <c r="H25" i="25" s="1"/>
  <c r="S9" i="23"/>
  <c r="S5" i="23"/>
  <c r="AN13" i="17"/>
  <c r="T8" i="24"/>
  <c r="F25" i="25" s="1"/>
  <c r="F25" i="153" s="1"/>
  <c r="C5" i="17"/>
  <c r="C3" i="25" s="1"/>
  <c r="C13" i="153" s="1"/>
  <c r="S13" i="23"/>
  <c r="T11" i="24"/>
  <c r="I25" i="25" s="1"/>
  <c r="T9" i="24"/>
  <c r="G25" i="25" s="1"/>
  <c r="G25" i="153" s="1"/>
  <c r="S11" i="57"/>
  <c r="AV5" i="17"/>
  <c r="D49" i="17"/>
  <c r="S4" i="23"/>
  <c r="T5" i="24"/>
  <c r="C25" i="25" s="1"/>
  <c r="C25" i="153" s="1"/>
  <c r="T12" i="24"/>
  <c r="J25" i="25" s="1"/>
  <c r="J26" i="25" s="1"/>
  <c r="S9" i="57"/>
  <c r="O4" i="23"/>
  <c r="W54" i="17"/>
  <c r="L5" i="152" s="1"/>
  <c r="AN5" i="17"/>
  <c r="C47" i="17"/>
  <c r="E3" i="152" s="1"/>
  <c r="S7" i="23"/>
  <c r="C53" i="17"/>
  <c r="K3" i="152" s="1"/>
  <c r="AG5" i="17"/>
  <c r="AN8" i="17"/>
  <c r="T7" i="24"/>
  <c r="E25" i="25" s="1"/>
  <c r="W53" i="17"/>
  <c r="K5" i="152" s="1"/>
  <c r="W48" i="17"/>
  <c r="F5" i="152" s="1"/>
  <c r="D45" i="17"/>
  <c r="W51" i="17"/>
  <c r="I5" i="152" s="1"/>
  <c r="M5" i="17"/>
  <c r="C4" i="25" s="1"/>
  <c r="C14" i="153" s="1"/>
  <c r="AN10" i="17"/>
  <c r="S13" i="57"/>
  <c r="W46" i="17"/>
  <c r="D5" i="152" s="1"/>
  <c r="W49" i="17"/>
  <c r="G5" i="152" s="1"/>
  <c r="W50" i="17"/>
  <c r="H5" i="152" s="1"/>
  <c r="AN9" i="17"/>
  <c r="D47" i="17"/>
  <c r="S5" i="57"/>
  <c r="C4" i="23"/>
  <c r="M49" i="17"/>
  <c r="G4" i="152" s="1"/>
  <c r="S12" i="23"/>
  <c r="M50" i="17"/>
  <c r="H4" i="152" s="1"/>
  <c r="S10" i="57"/>
  <c r="C45" i="17"/>
  <c r="C3" i="152" s="1"/>
  <c r="S10" i="23"/>
  <c r="W52" i="17"/>
  <c r="J5" i="152" s="1"/>
  <c r="M45" i="17"/>
  <c r="C4" i="152" s="1"/>
  <c r="M53" i="17"/>
  <c r="K4" i="152" s="1"/>
  <c r="M48" i="17"/>
  <c r="F4" i="152" s="1"/>
  <c r="C54" i="17"/>
  <c r="L3" i="152" s="1"/>
  <c r="K4" i="23"/>
  <c r="C51" i="17"/>
  <c r="I3" i="152" s="1"/>
  <c r="L5" i="57"/>
  <c r="L6" i="57"/>
  <c r="L8" i="57"/>
  <c r="L7" i="57"/>
  <c r="L10" i="57"/>
  <c r="L9" i="57"/>
  <c r="L11" i="57"/>
  <c r="L14" i="57"/>
  <c r="L12" i="57"/>
  <c r="L13" i="57"/>
  <c r="AG9" i="17"/>
  <c r="AG6" i="17"/>
  <c r="AG7" i="17"/>
  <c r="AG8" i="17"/>
  <c r="D5" i="24"/>
  <c r="C23" i="25" s="1"/>
  <c r="AV6" i="17"/>
  <c r="L6" i="24"/>
  <c r="D24" i="25" s="1"/>
  <c r="D24" i="153" s="1"/>
  <c r="D13" i="24"/>
  <c r="K23" i="25" s="1"/>
  <c r="W5" i="23"/>
  <c r="C5" i="23"/>
  <c r="D9" i="24"/>
  <c r="L7" i="24"/>
  <c r="E24" i="25" s="1"/>
  <c r="L10" i="24"/>
  <c r="H24" i="25" s="1"/>
  <c r="O5" i="23"/>
  <c r="G5" i="23"/>
  <c r="AG11" i="17"/>
  <c r="AG10" i="17"/>
  <c r="AV14" i="17"/>
  <c r="D10" i="24"/>
  <c r="H23" i="25" s="1"/>
  <c r="D7" i="24"/>
  <c r="E23" i="25" s="1"/>
  <c r="K5" i="23"/>
  <c r="V13" i="25"/>
  <c r="L24" i="153"/>
  <c r="AH7" i="17"/>
  <c r="E40" i="25"/>
  <c r="E33" i="153" s="1"/>
  <c r="E40" i="152"/>
  <c r="E38" i="152"/>
  <c r="E38" i="25"/>
  <c r="E31" i="153" s="1"/>
  <c r="E39" i="152"/>
  <c r="E39" i="25"/>
  <c r="E32" i="153" s="1"/>
  <c r="AW7" i="17"/>
  <c r="E42" i="25"/>
  <c r="E42" i="152"/>
  <c r="V12" i="25"/>
  <c r="E37" i="25"/>
  <c r="E30" i="153" s="1"/>
  <c r="E37" i="152"/>
  <c r="W7" i="23"/>
  <c r="G7" i="23"/>
  <c r="O7" i="23"/>
  <c r="K7" i="23"/>
  <c r="C7" i="23"/>
  <c r="BT108" i="67"/>
  <c r="BT60" i="149" s="1"/>
  <c r="K107" i="32"/>
  <c r="N12" i="23"/>
  <c r="J12" i="23"/>
  <c r="F11" i="23"/>
  <c r="B8" i="23"/>
  <c r="E24" i="153" l="1"/>
  <c r="E35" i="153"/>
  <c r="E25" i="153"/>
  <c r="F26" i="153"/>
  <c r="T11" i="23"/>
  <c r="U11" i="23" s="1"/>
  <c r="F6" i="152"/>
  <c r="F6" i="25"/>
  <c r="F16" i="153" s="1"/>
  <c r="K8" i="57"/>
  <c r="D38" i="152"/>
  <c r="D38" i="25"/>
  <c r="D31" i="153" s="1"/>
  <c r="I41" i="25"/>
  <c r="AO11" i="17"/>
  <c r="AP11" i="17" s="1"/>
  <c r="AQ11" i="17" s="1"/>
  <c r="R24" i="57" s="1"/>
  <c r="I41" i="152"/>
  <c r="C41" i="152"/>
  <c r="AO5" i="17"/>
  <c r="AP5" i="17" s="1"/>
  <c r="AQ5" i="17" s="1"/>
  <c r="R18" i="57" s="1"/>
  <c r="C41" i="25"/>
  <c r="C34" i="153" s="1"/>
  <c r="K25" i="153"/>
  <c r="U14" i="25"/>
  <c r="D26" i="25"/>
  <c r="AH6" i="17"/>
  <c r="D40" i="152"/>
  <c r="D40" i="25"/>
  <c r="D33" i="153" s="1"/>
  <c r="D26" i="153"/>
  <c r="B122" i="34"/>
  <c r="C122" i="34"/>
  <c r="A123" i="34"/>
  <c r="L34" i="57"/>
  <c r="L33" i="57"/>
  <c r="M14" i="57"/>
  <c r="R13" i="25"/>
  <c r="H24" i="153"/>
  <c r="C8" i="25"/>
  <c r="C18" i="153" s="1"/>
  <c r="C8" i="152"/>
  <c r="AO7" i="17"/>
  <c r="AP7" i="17" s="1"/>
  <c r="E41" i="152"/>
  <c r="E43" i="152" s="1"/>
  <c r="E41" i="25"/>
  <c r="T6" i="23"/>
  <c r="U6" i="23" s="1"/>
  <c r="H18" i="153"/>
  <c r="R9" i="25"/>
  <c r="M13" i="57"/>
  <c r="AO12" i="17"/>
  <c r="AP12" i="17" s="1"/>
  <c r="AQ12" i="17" s="1"/>
  <c r="R25" i="57" s="1"/>
  <c r="J41" i="152"/>
  <c r="Q21" i="152" s="1"/>
  <c r="J41" i="25"/>
  <c r="D24" i="24"/>
  <c r="K41" i="152"/>
  <c r="R21" i="152" s="1"/>
  <c r="AO13" i="17"/>
  <c r="AP13" i="17" s="1"/>
  <c r="AQ13" i="17" s="1"/>
  <c r="R26" i="57" s="1"/>
  <c r="K41" i="25"/>
  <c r="D37" i="25"/>
  <c r="D30" i="153" s="1"/>
  <c r="D37" i="152"/>
  <c r="F7" i="152"/>
  <c r="R8" i="57"/>
  <c r="T8" i="57" s="1"/>
  <c r="S8" i="24"/>
  <c r="U8" i="24" s="1"/>
  <c r="F7" i="25"/>
  <c r="F17" i="153" s="1"/>
  <c r="I25" i="153"/>
  <c r="S14" i="25"/>
  <c r="S33" i="57"/>
  <c r="S34" i="57"/>
  <c r="G41" i="152"/>
  <c r="AO9" i="17"/>
  <c r="AP9" i="17" s="1"/>
  <c r="AQ9" i="17" s="1"/>
  <c r="R22" i="57" s="1"/>
  <c r="G41" i="25"/>
  <c r="G34" i="153" s="1"/>
  <c r="T8" i="23"/>
  <c r="U8" i="23" s="1"/>
  <c r="C37" i="152"/>
  <c r="C37" i="25"/>
  <c r="C30" i="153" s="1"/>
  <c r="L7" i="152"/>
  <c r="S8" i="152" s="1"/>
  <c r="R14" i="57"/>
  <c r="S14" i="24"/>
  <c r="L7" i="25"/>
  <c r="C122" i="75"/>
  <c r="A123" i="75"/>
  <c r="B122" i="75"/>
  <c r="AW6" i="17"/>
  <c r="D42" i="25"/>
  <c r="D35" i="153" s="1"/>
  <c r="D42" i="152"/>
  <c r="K5" i="57"/>
  <c r="K34" i="57" s="1"/>
  <c r="C6" i="152"/>
  <c r="C6" i="25"/>
  <c r="C16" i="153" s="1"/>
  <c r="AO14" i="17"/>
  <c r="AP14" i="17" s="1"/>
  <c r="AQ14" i="17" s="1"/>
  <c r="L41" i="152"/>
  <c r="S21" i="152" s="1"/>
  <c r="L41" i="25"/>
  <c r="K23" i="153"/>
  <c r="K26" i="25"/>
  <c r="U12" i="25"/>
  <c r="C38" i="152"/>
  <c r="C38" i="25"/>
  <c r="C31" i="153" s="1"/>
  <c r="V7" i="15"/>
  <c r="V6" i="15"/>
  <c r="U7" i="15"/>
  <c r="V11" i="15"/>
  <c r="U6" i="15"/>
  <c r="U8" i="15"/>
  <c r="U5" i="15"/>
  <c r="U9" i="15"/>
  <c r="U4" i="15"/>
  <c r="V5" i="15"/>
  <c r="U13" i="15"/>
  <c r="V10" i="15"/>
  <c r="V8" i="15"/>
  <c r="V12" i="15"/>
  <c r="V9" i="15"/>
  <c r="V13" i="15"/>
  <c r="U12" i="15"/>
  <c r="U11" i="15"/>
  <c r="U10" i="15"/>
  <c r="V4" i="15"/>
  <c r="F41" i="152"/>
  <c r="F41" i="25"/>
  <c r="F34" i="153" s="1"/>
  <c r="AO8" i="17"/>
  <c r="AP8" i="17" s="1"/>
  <c r="AQ8" i="17" s="1"/>
  <c r="R21" i="57" s="1"/>
  <c r="T7" i="23"/>
  <c r="U7" i="23" s="1"/>
  <c r="D7" i="152"/>
  <c r="S6" i="24"/>
  <c r="U6" i="24" s="1"/>
  <c r="R6" i="57"/>
  <c r="T6" i="57" s="1"/>
  <c r="D7" i="25"/>
  <c r="D17" i="153" s="1"/>
  <c r="G23" i="25"/>
  <c r="D23" i="24"/>
  <c r="P10" i="15"/>
  <c r="O5" i="15"/>
  <c r="P13" i="15"/>
  <c r="O8" i="15"/>
  <c r="O6" i="15"/>
  <c r="P5" i="15"/>
  <c r="P6" i="15"/>
  <c r="P8" i="15"/>
  <c r="P12" i="15"/>
  <c r="P11" i="15"/>
  <c r="P7" i="15"/>
  <c r="P9" i="15"/>
  <c r="P4" i="15"/>
  <c r="O4" i="15"/>
  <c r="K7" i="152"/>
  <c r="R8" i="152" s="1"/>
  <c r="S13" i="24"/>
  <c r="U13" i="24" s="1"/>
  <c r="R13" i="57"/>
  <c r="T13" i="57" s="1"/>
  <c r="K7" i="25"/>
  <c r="D39" i="152"/>
  <c r="D39" i="25"/>
  <c r="D32" i="153" s="1"/>
  <c r="C23" i="153"/>
  <c r="C39" i="152"/>
  <c r="C39" i="25"/>
  <c r="C32" i="153" s="1"/>
  <c r="S5" i="24"/>
  <c r="U5" i="24" s="1"/>
  <c r="C7" i="25"/>
  <c r="C17" i="153" s="1"/>
  <c r="C7" i="152"/>
  <c r="R5" i="57"/>
  <c r="T5" i="57" s="1"/>
  <c r="AO6" i="17"/>
  <c r="AP6" i="17" s="1"/>
  <c r="AQ6" i="17" s="1"/>
  <c r="R19" i="57" s="1"/>
  <c r="D41" i="152"/>
  <c r="D41" i="25"/>
  <c r="D34" i="153" s="1"/>
  <c r="T5" i="23"/>
  <c r="U5" i="23" s="1"/>
  <c r="C42" i="25"/>
  <c r="C35" i="153" s="1"/>
  <c r="AW5" i="17"/>
  <c r="C42" i="152"/>
  <c r="I7" i="152"/>
  <c r="I7" i="25"/>
  <c r="R11" i="57"/>
  <c r="T11" i="57" s="1"/>
  <c r="S11" i="24"/>
  <c r="U11" i="24" s="1"/>
  <c r="B122" i="77"/>
  <c r="A123" i="77"/>
  <c r="C122" i="77"/>
  <c r="H41" i="152"/>
  <c r="H41" i="25"/>
  <c r="AO10" i="17"/>
  <c r="AP10" i="17" s="1"/>
  <c r="AQ10" i="17" s="1"/>
  <c r="R23" i="57" s="1"/>
  <c r="T9" i="23"/>
  <c r="U9" i="23" s="1"/>
  <c r="T10" i="23"/>
  <c r="U10" i="23" s="1"/>
  <c r="G7" i="152"/>
  <c r="R9" i="57"/>
  <c r="T9" i="57" s="1"/>
  <c r="S9" i="24"/>
  <c r="U9" i="24" s="1"/>
  <c r="G7" i="25"/>
  <c r="G17" i="153" s="1"/>
  <c r="C40" i="152"/>
  <c r="C40" i="25"/>
  <c r="C33" i="153" s="1"/>
  <c r="AH5" i="17"/>
  <c r="H25" i="153"/>
  <c r="R14" i="25"/>
  <c r="E7" i="152"/>
  <c r="R7" i="57"/>
  <c r="T7" i="57" s="1"/>
  <c r="E7" i="25"/>
  <c r="E17" i="153" s="1"/>
  <c r="S7" i="24"/>
  <c r="U7" i="24" s="1"/>
  <c r="F26" i="25"/>
  <c r="C24" i="25"/>
  <c r="C24" i="153" s="1"/>
  <c r="L24" i="24"/>
  <c r="B122" i="76"/>
  <c r="A123" i="76"/>
  <c r="C122" i="76"/>
  <c r="D8" i="152"/>
  <c r="D8" i="25"/>
  <c r="D18" i="153" s="1"/>
  <c r="H23" i="153"/>
  <c r="R12" i="25"/>
  <c r="H26" i="25"/>
  <c r="L8" i="152"/>
  <c r="S9" i="152" s="1"/>
  <c r="L8" i="25"/>
  <c r="L18" i="153" s="1"/>
  <c r="H6" i="152"/>
  <c r="H6" i="25"/>
  <c r="K10" i="57"/>
  <c r="G6" i="152"/>
  <c r="G6" i="25"/>
  <c r="G16" i="153" s="1"/>
  <c r="K9" i="57"/>
  <c r="K33" i="57" s="1"/>
  <c r="H7" i="152"/>
  <c r="R10" i="57"/>
  <c r="T10" i="57" s="1"/>
  <c r="H7" i="25"/>
  <c r="S10" i="24"/>
  <c r="U10" i="24" s="1"/>
  <c r="J25" i="153"/>
  <c r="T14" i="25"/>
  <c r="T23" i="24"/>
  <c r="T24" i="24"/>
  <c r="L25" i="25"/>
  <c r="S9" i="25"/>
  <c r="I18" i="153"/>
  <c r="E23" i="153"/>
  <c r="E26" i="25"/>
  <c r="E6" i="152"/>
  <c r="K7" i="57"/>
  <c r="E6" i="25"/>
  <c r="E16" i="153" s="1"/>
  <c r="D6" i="152"/>
  <c r="D6" i="25"/>
  <c r="D16" i="153" s="1"/>
  <c r="K6" i="57"/>
  <c r="I6" i="152"/>
  <c r="K11" i="57"/>
  <c r="S7" i="25"/>
  <c r="J7" i="152"/>
  <c r="Q8" i="152" s="1"/>
  <c r="R12" i="57"/>
  <c r="T12" i="57" s="1"/>
  <c r="S12" i="24"/>
  <c r="U12" i="24" s="1"/>
  <c r="J7" i="25"/>
  <c r="A123" i="36"/>
  <c r="B122" i="36"/>
  <c r="C122" i="36"/>
  <c r="A123" i="38"/>
  <c r="B122" i="38"/>
  <c r="C122" i="38"/>
  <c r="F38" i="152"/>
  <c r="F38" i="25"/>
  <c r="F31" i="153" s="1"/>
  <c r="AW8" i="17"/>
  <c r="F42" i="25"/>
  <c r="F35" i="153" s="1"/>
  <c r="F42" i="152"/>
  <c r="F39" i="152"/>
  <c r="F39" i="25"/>
  <c r="F32" i="153" s="1"/>
  <c r="F37" i="152"/>
  <c r="F37" i="25"/>
  <c r="AH8" i="17"/>
  <c r="F40" i="25"/>
  <c r="F33" i="153" s="1"/>
  <c r="F40" i="152"/>
  <c r="B9" i="23"/>
  <c r="G8" i="23"/>
  <c r="C8" i="23"/>
  <c r="W8" i="23"/>
  <c r="O8" i="23"/>
  <c r="K8" i="23"/>
  <c r="BT109" i="67"/>
  <c r="BT61" i="149" s="1"/>
  <c r="K108" i="32"/>
  <c r="N13" i="23"/>
  <c r="N14" i="23" s="1"/>
  <c r="J13" i="23"/>
  <c r="J14" i="23" s="1"/>
  <c r="F12" i="23"/>
  <c r="T12" i="23" s="1"/>
  <c r="U12" i="23" s="1"/>
  <c r="AP15" i="17" l="1" a="1"/>
  <c r="AP15" i="17" s="1"/>
  <c r="AP16" i="17" a="1"/>
  <c r="AP16" i="17" s="1"/>
  <c r="W7" i="15"/>
  <c r="E34" i="153"/>
  <c r="E26" i="153"/>
  <c r="J26" i="153"/>
  <c r="V9" i="24"/>
  <c r="K26" i="153"/>
  <c r="U7" i="57"/>
  <c r="U9" i="57"/>
  <c r="W9" i="15"/>
  <c r="W10" i="15"/>
  <c r="W11" i="15"/>
  <c r="C9" i="152"/>
  <c r="C19" i="153"/>
  <c r="C26" i="153"/>
  <c r="R15" i="25"/>
  <c r="R33" i="57"/>
  <c r="T33" i="57" s="1"/>
  <c r="R34" i="57"/>
  <c r="T34" i="57" s="1"/>
  <c r="V12" i="24"/>
  <c r="U8" i="57"/>
  <c r="W13" i="15"/>
  <c r="D43" i="152"/>
  <c r="V21" i="25"/>
  <c r="L34" i="153"/>
  <c r="C36" i="153"/>
  <c r="D36" i="153"/>
  <c r="AQ7" i="17"/>
  <c r="R20" i="57" s="1"/>
  <c r="I17" i="153"/>
  <c r="S8" i="25"/>
  <c r="V8" i="24"/>
  <c r="U8" i="25"/>
  <c r="K17" i="153"/>
  <c r="W4" i="15"/>
  <c r="U14" i="15"/>
  <c r="C43" i="152"/>
  <c r="V11" i="24"/>
  <c r="U11" i="57"/>
  <c r="R27" i="57"/>
  <c r="S18" i="24"/>
  <c r="M7" i="25"/>
  <c r="B123" i="36"/>
  <c r="A124" i="36"/>
  <c r="C123" i="36"/>
  <c r="R8" i="25"/>
  <c r="H17" i="153"/>
  <c r="U12" i="57"/>
  <c r="C123" i="76"/>
  <c r="B123" i="76"/>
  <c r="A124" i="76"/>
  <c r="P15" i="15"/>
  <c r="U21" i="25"/>
  <c r="K34" i="153"/>
  <c r="W5" i="15"/>
  <c r="H26" i="153"/>
  <c r="R7" i="25"/>
  <c r="H16" i="153"/>
  <c r="A124" i="38"/>
  <c r="B123" i="38"/>
  <c r="C123" i="38"/>
  <c r="W8" i="15"/>
  <c r="U15" i="15"/>
  <c r="W6" i="15"/>
  <c r="J34" i="153"/>
  <c r="T21" i="25"/>
  <c r="V14" i="15"/>
  <c r="T14" i="57"/>
  <c r="U14" i="57" s="1"/>
  <c r="C123" i="34"/>
  <c r="B123" i="34"/>
  <c r="A124" i="34"/>
  <c r="I34" i="153"/>
  <c r="S21" i="25"/>
  <c r="P14" i="15"/>
  <c r="W12" i="15"/>
  <c r="V7" i="24"/>
  <c r="B123" i="75"/>
  <c r="C123" i="75"/>
  <c r="A124" i="75"/>
  <c r="R21" i="25"/>
  <c r="H34" i="153"/>
  <c r="T8" i="25"/>
  <c r="J17" i="153"/>
  <c r="A124" i="77"/>
  <c r="B123" i="77"/>
  <c r="C123" i="77"/>
  <c r="V14" i="25"/>
  <c r="V15" i="25" s="1"/>
  <c r="L25" i="153"/>
  <c r="L26" i="25"/>
  <c r="L17" i="153"/>
  <c r="V8" i="25"/>
  <c r="V10" i="24"/>
  <c r="V13" i="24"/>
  <c r="I16" i="153"/>
  <c r="U13" i="57"/>
  <c r="C26" i="25"/>
  <c r="G23" i="153"/>
  <c r="G26" i="25"/>
  <c r="V15" i="15"/>
  <c r="U15" i="25"/>
  <c r="U14" i="24"/>
  <c r="V14" i="24" s="1"/>
  <c r="S23" i="24"/>
  <c r="U23" i="24" s="1"/>
  <c r="S24" i="24"/>
  <c r="U24" i="24" s="1"/>
  <c r="U10" i="57"/>
  <c r="F30" i="153"/>
  <c r="F43" i="152"/>
  <c r="G37" i="152"/>
  <c r="G37" i="25"/>
  <c r="G30" i="153" s="1"/>
  <c r="G39" i="152"/>
  <c r="G39" i="25"/>
  <c r="G32" i="153" s="1"/>
  <c r="G38" i="25"/>
  <c r="G31" i="153" s="1"/>
  <c r="G38" i="152"/>
  <c r="AH9" i="17"/>
  <c r="G40" i="25"/>
  <c r="G33" i="153" s="1"/>
  <c r="G40" i="152"/>
  <c r="AW9" i="17"/>
  <c r="G42" i="25"/>
  <c r="G35" i="153" s="1"/>
  <c r="G42" i="152"/>
  <c r="B10" i="23"/>
  <c r="G9" i="23"/>
  <c r="W9" i="23"/>
  <c r="C9" i="23"/>
  <c r="O9" i="23"/>
  <c r="K9" i="23"/>
  <c r="BT110" i="67"/>
  <c r="BT62" i="149" s="1"/>
  <c r="K109" i="32"/>
  <c r="F13" i="23"/>
  <c r="E36" i="153" l="1"/>
  <c r="F36" i="153"/>
  <c r="L26" i="153"/>
  <c r="G26" i="153"/>
  <c r="W18" i="15"/>
  <c r="W14" i="15"/>
  <c r="U18" i="24"/>
  <c r="U19" i="24" s="1"/>
  <c r="U20" i="24" s="1"/>
  <c r="A125" i="36"/>
  <c r="B124" i="36"/>
  <c r="C124" i="36"/>
  <c r="B124" i="75"/>
  <c r="C124" i="75"/>
  <c r="A125" i="75"/>
  <c r="W15" i="15"/>
  <c r="W17" i="15"/>
  <c r="C124" i="76"/>
  <c r="A125" i="76"/>
  <c r="B124" i="76"/>
  <c r="T18" i="57"/>
  <c r="A125" i="77"/>
  <c r="C124" i="77"/>
  <c r="B124" i="77"/>
  <c r="B124" i="34"/>
  <c r="A125" i="34"/>
  <c r="C124" i="34"/>
  <c r="B124" i="38"/>
  <c r="C124" i="38"/>
  <c r="A125" i="38"/>
  <c r="G36" i="153"/>
  <c r="AW10" i="17"/>
  <c r="H42" i="25"/>
  <c r="H42" i="152"/>
  <c r="C29" i="70"/>
  <c r="H38" i="25"/>
  <c r="H38" i="152"/>
  <c r="C18" i="70"/>
  <c r="H37" i="152"/>
  <c r="H37" i="25"/>
  <c r="H39" i="152"/>
  <c r="H39" i="25"/>
  <c r="AH10" i="17"/>
  <c r="H40" i="25"/>
  <c r="H40" i="152"/>
  <c r="G43" i="152"/>
  <c r="F14" i="23"/>
  <c r="W10" i="23"/>
  <c r="O10" i="23"/>
  <c r="K10" i="23"/>
  <c r="G10" i="23"/>
  <c r="C10" i="23"/>
  <c r="B11" i="23"/>
  <c r="BT111" i="67"/>
  <c r="BT63" i="149" s="1"/>
  <c r="K110" i="32"/>
  <c r="T18" i="24" l="1"/>
  <c r="M25" i="25" s="1"/>
  <c r="W14" i="25" s="1"/>
  <c r="T19" i="57"/>
  <c r="S18" i="57"/>
  <c r="C25" i="152" s="1"/>
  <c r="B125" i="76"/>
  <c r="A126" i="76"/>
  <c r="C125" i="76"/>
  <c r="A126" i="77"/>
  <c r="C125" i="77"/>
  <c r="B125" i="77"/>
  <c r="B125" i="75"/>
  <c r="C125" i="75"/>
  <c r="A126" i="75"/>
  <c r="A126" i="38"/>
  <c r="C125" i="38"/>
  <c r="B125" i="38"/>
  <c r="C125" i="36"/>
  <c r="A126" i="36"/>
  <c r="B125" i="36"/>
  <c r="C125" i="34"/>
  <c r="A126" i="34"/>
  <c r="B125" i="34"/>
  <c r="H30" i="153"/>
  <c r="R17" i="25"/>
  <c r="H33" i="153"/>
  <c r="R20" i="25"/>
  <c r="H32" i="153"/>
  <c r="R19" i="25"/>
  <c r="H31" i="153"/>
  <c r="R18" i="25"/>
  <c r="H35" i="153"/>
  <c r="R22" i="25"/>
  <c r="D18" i="70"/>
  <c r="I37" i="152"/>
  <c r="I37" i="25"/>
  <c r="D29" i="70"/>
  <c r="I38" i="25"/>
  <c r="I38" i="152"/>
  <c r="AH11" i="17"/>
  <c r="I40" i="25"/>
  <c r="I40" i="152"/>
  <c r="H43" i="152"/>
  <c r="I39" i="152"/>
  <c r="I39" i="25"/>
  <c r="AW11" i="17"/>
  <c r="I42" i="152"/>
  <c r="I42" i="25"/>
  <c r="T13" i="23"/>
  <c r="C11" i="23"/>
  <c r="O11" i="23"/>
  <c r="K11" i="23"/>
  <c r="W11" i="23"/>
  <c r="G11" i="23"/>
  <c r="B12" i="23"/>
  <c r="BT112" i="67"/>
  <c r="BT64" i="149" s="1"/>
  <c r="K111" i="32"/>
  <c r="N15" i="23"/>
  <c r="J15" i="23"/>
  <c r="T14" i="23" l="1"/>
  <c r="T15" i="23" s="1"/>
  <c r="U13" i="23"/>
  <c r="A127" i="36"/>
  <c r="C126" i="36"/>
  <c r="B126" i="36"/>
  <c r="C126" i="38"/>
  <c r="A127" i="38"/>
  <c r="B126" i="38"/>
  <c r="B126" i="75"/>
  <c r="C126" i="75"/>
  <c r="A127" i="75"/>
  <c r="C126" i="77"/>
  <c r="A127" i="77"/>
  <c r="B126" i="77"/>
  <c r="B126" i="76"/>
  <c r="C126" i="76"/>
  <c r="A127" i="76"/>
  <c r="C126" i="34"/>
  <c r="B126" i="34"/>
  <c r="A127" i="34"/>
  <c r="T20" i="57"/>
  <c r="S19" i="57"/>
  <c r="D25" i="152" s="1"/>
  <c r="H36" i="153"/>
  <c r="I30" i="153"/>
  <c r="S17" i="25"/>
  <c r="I31" i="153"/>
  <c r="S18" i="25"/>
  <c r="I35" i="153"/>
  <c r="S22" i="25"/>
  <c r="I32" i="153"/>
  <c r="S19" i="25"/>
  <c r="I33" i="153"/>
  <c r="S20" i="25"/>
  <c r="AW12" i="17"/>
  <c r="J42" i="152"/>
  <c r="Q22" i="152" s="1"/>
  <c r="J42" i="25"/>
  <c r="J35" i="153" s="1"/>
  <c r="E29" i="70"/>
  <c r="J38" i="25"/>
  <c r="J38" i="152"/>
  <c r="Q18" i="152" s="1"/>
  <c r="AH12" i="17"/>
  <c r="J40" i="25"/>
  <c r="J33" i="153" s="1"/>
  <c r="J40" i="152"/>
  <c r="Q20" i="152" s="1"/>
  <c r="I43" i="152"/>
  <c r="J39" i="152"/>
  <c r="Q19" i="152" s="1"/>
  <c r="J39" i="25"/>
  <c r="E18" i="70"/>
  <c r="J37" i="152"/>
  <c r="J37" i="25"/>
  <c r="J30" i="153" s="1"/>
  <c r="S14" i="23"/>
  <c r="S36" i="23" s="1"/>
  <c r="W12" i="23"/>
  <c r="G12" i="23"/>
  <c r="C12" i="23"/>
  <c r="O12" i="23"/>
  <c r="K12" i="23"/>
  <c r="B13" i="23"/>
  <c r="B14" i="23" s="1"/>
  <c r="BT113" i="67"/>
  <c r="BT65" i="149" s="1"/>
  <c r="K112" i="32"/>
  <c r="F15" i="23"/>
  <c r="F18" i="23"/>
  <c r="B127" i="76" l="1"/>
  <c r="A128" i="76"/>
  <c r="C127" i="76"/>
  <c r="A128" i="77"/>
  <c r="C127" i="77"/>
  <c r="B127" i="77"/>
  <c r="B127" i="75"/>
  <c r="A128" i="75"/>
  <c r="C127" i="75"/>
  <c r="C127" i="38"/>
  <c r="B127" i="38"/>
  <c r="A128" i="38"/>
  <c r="T21" i="57"/>
  <c r="S20" i="57"/>
  <c r="E25" i="152" s="1"/>
  <c r="C127" i="34"/>
  <c r="A128" i="34"/>
  <c r="B127" i="34"/>
  <c r="B127" i="36"/>
  <c r="C127" i="36"/>
  <c r="A128" i="36"/>
  <c r="I36" i="153"/>
  <c r="J31" i="153"/>
  <c r="J32" i="153"/>
  <c r="T17" i="25"/>
  <c r="K39" i="152"/>
  <c r="R19" i="152" s="1"/>
  <c r="K39" i="25"/>
  <c r="F18" i="70"/>
  <c r="K37" i="152"/>
  <c r="K37" i="25"/>
  <c r="K30" i="153" s="1"/>
  <c r="Q17" i="152"/>
  <c r="J43" i="152"/>
  <c r="Q23" i="152" s="1"/>
  <c r="F29" i="70"/>
  <c r="K38" i="25"/>
  <c r="K38" i="152"/>
  <c r="R18" i="152" s="1"/>
  <c r="AH13" i="17"/>
  <c r="K40" i="152"/>
  <c r="R20" i="152" s="1"/>
  <c r="K40" i="25"/>
  <c r="K33" i="153" s="1"/>
  <c r="AW13" i="17"/>
  <c r="K42" i="152"/>
  <c r="R22" i="152" s="1"/>
  <c r="K42" i="25"/>
  <c r="K35" i="153" s="1"/>
  <c r="S15" i="23"/>
  <c r="T36" i="23"/>
  <c r="S37" i="23"/>
  <c r="W13" i="23"/>
  <c r="O13" i="23"/>
  <c r="C13" i="23"/>
  <c r="G13" i="23"/>
  <c r="K13" i="23"/>
  <c r="BT114" i="67"/>
  <c r="BT66" i="149" s="1"/>
  <c r="K113" i="32"/>
  <c r="C128" i="34" l="1"/>
  <c r="A129" i="34"/>
  <c r="B128" i="34"/>
  <c r="T22" i="57"/>
  <c r="S21" i="57"/>
  <c r="F25" i="152" s="1"/>
  <c r="B128" i="38"/>
  <c r="A129" i="38"/>
  <c r="C128" i="38"/>
  <c r="C128" i="75"/>
  <c r="B128" i="75"/>
  <c r="A129" i="75"/>
  <c r="A129" i="36"/>
  <c r="C128" i="36"/>
  <c r="B128" i="36"/>
  <c r="A129" i="76"/>
  <c r="C128" i="76"/>
  <c r="B128" i="76"/>
  <c r="C128" i="77"/>
  <c r="A129" i="77"/>
  <c r="B128" i="77"/>
  <c r="K31" i="153"/>
  <c r="K32" i="153"/>
  <c r="J36" i="153"/>
  <c r="U17" i="25"/>
  <c r="AB97" i="151"/>
  <c r="L39" i="152"/>
  <c r="S19" i="152" s="1"/>
  <c r="L39" i="25"/>
  <c r="L37" i="152"/>
  <c r="L37" i="25"/>
  <c r="L30" i="153" s="1"/>
  <c r="AH14" i="17"/>
  <c r="AI14" i="17" s="1"/>
  <c r="L40" i="152"/>
  <c r="S20" i="152" s="1"/>
  <c r="L40" i="25"/>
  <c r="L33" i="153" s="1"/>
  <c r="L38" i="25"/>
  <c r="L38" i="152"/>
  <c r="S18" i="152" s="1"/>
  <c r="AW14" i="17"/>
  <c r="L42" i="152"/>
  <c r="S22" i="152" s="1"/>
  <c r="L42" i="25"/>
  <c r="L35" i="153" s="1"/>
  <c r="R17" i="152"/>
  <c r="K43" i="152"/>
  <c r="R23" i="152" s="1"/>
  <c r="S38" i="23"/>
  <c r="T37" i="23"/>
  <c r="G29" i="70"/>
  <c r="AB96" i="151"/>
  <c r="G18" i="70"/>
  <c r="AB95" i="151"/>
  <c r="BT115" i="67"/>
  <c r="BT67" i="149" s="1"/>
  <c r="K114" i="32"/>
  <c r="L6" i="17"/>
  <c r="V6" i="17"/>
  <c r="A130" i="36" l="1"/>
  <c r="C129" i="36"/>
  <c r="B129" i="36"/>
  <c r="A130" i="75"/>
  <c r="C129" i="75"/>
  <c r="B129" i="75"/>
  <c r="A130" i="76"/>
  <c r="B129" i="76"/>
  <c r="C129" i="76"/>
  <c r="A130" i="38"/>
  <c r="B129" i="38"/>
  <c r="C129" i="38"/>
  <c r="A130" i="34"/>
  <c r="B129" i="34"/>
  <c r="C129" i="34"/>
  <c r="T23" i="57"/>
  <c r="S22" i="57"/>
  <c r="G25" i="152" s="1"/>
  <c r="A130" i="77"/>
  <c r="C129" i="77"/>
  <c r="B129" i="77"/>
  <c r="L32" i="153"/>
  <c r="L31" i="153"/>
  <c r="V17" i="25"/>
  <c r="K36" i="153"/>
  <c r="S17" i="152"/>
  <c r="L43" i="152"/>
  <c r="S23" i="152" s="1"/>
  <c r="S39" i="23"/>
  <c r="T38" i="23"/>
  <c r="AB98" i="151"/>
  <c r="AC95" i="151" s="1"/>
  <c r="AJ14" i="17"/>
  <c r="M6" i="25" s="1"/>
  <c r="B15" i="23"/>
  <c r="AX14" i="17"/>
  <c r="AY14" i="17" s="1"/>
  <c r="M8" i="25" s="1"/>
  <c r="W6" i="17"/>
  <c r="X6" i="17"/>
  <c r="M6" i="17"/>
  <c r="N6" i="17"/>
  <c r="BT116" i="67"/>
  <c r="BT68" i="149" s="1"/>
  <c r="K115" i="32"/>
  <c r="V7" i="17"/>
  <c r="L7" i="17"/>
  <c r="T24" i="57" l="1"/>
  <c r="S23" i="57"/>
  <c r="H25" i="152" s="1"/>
  <c r="B130" i="38"/>
  <c r="A131" i="38"/>
  <c r="C130" i="38"/>
  <c r="B130" i="34"/>
  <c r="C130" i="34"/>
  <c r="A131" i="34"/>
  <c r="C130" i="76"/>
  <c r="B130" i="76"/>
  <c r="A131" i="76"/>
  <c r="A131" i="75"/>
  <c r="B130" i="75"/>
  <c r="C130" i="75"/>
  <c r="B130" i="77"/>
  <c r="A131" i="77"/>
  <c r="C130" i="77"/>
  <c r="A131" i="36"/>
  <c r="C130" i="36"/>
  <c r="B130" i="36"/>
  <c r="L36" i="153"/>
  <c r="D5" i="25"/>
  <c r="D15" i="153" s="1"/>
  <c r="D4" i="25"/>
  <c r="D14" i="153" s="1"/>
  <c r="S40" i="23"/>
  <c r="T39" i="23"/>
  <c r="AC96" i="151"/>
  <c r="AC97" i="151"/>
  <c r="W7" i="17"/>
  <c r="X7" i="17"/>
  <c r="M7" i="17"/>
  <c r="N7" i="17"/>
  <c r="BT117" i="67"/>
  <c r="BT69" i="149" s="1"/>
  <c r="K116" i="32"/>
  <c r="L8" i="17"/>
  <c r="V8" i="17"/>
  <c r="A132" i="77" l="1"/>
  <c r="C131" i="77"/>
  <c r="B131" i="77"/>
  <c r="A132" i="34"/>
  <c r="B131" i="34"/>
  <c r="C131" i="34"/>
  <c r="A132" i="76"/>
  <c r="C131" i="76"/>
  <c r="B131" i="76"/>
  <c r="A132" i="36"/>
  <c r="B131" i="36"/>
  <c r="C131" i="36"/>
  <c r="B131" i="75"/>
  <c r="A132" i="75"/>
  <c r="C131" i="75"/>
  <c r="A132" i="38"/>
  <c r="C131" i="38"/>
  <c r="B131" i="38"/>
  <c r="T25" i="57"/>
  <c r="S24" i="57"/>
  <c r="I25" i="152" s="1"/>
  <c r="E4" i="25"/>
  <c r="E14" i="153" s="1"/>
  <c r="E5" i="25"/>
  <c r="E15" i="153" s="1"/>
  <c r="S41" i="23"/>
  <c r="T40" i="23"/>
  <c r="V9" i="17"/>
  <c r="W8" i="17"/>
  <c r="L9" i="17"/>
  <c r="M8" i="17"/>
  <c r="BT118" i="67"/>
  <c r="BT70" i="149" s="1"/>
  <c r="K117" i="32"/>
  <c r="CF38" i="4"/>
  <c r="BR38" i="4"/>
  <c r="BD38" i="4"/>
  <c r="C132" i="75" l="1"/>
  <c r="A133" i="75"/>
  <c r="B132" i="75"/>
  <c r="A133" i="38"/>
  <c r="C132" i="38"/>
  <c r="B132" i="38"/>
  <c r="B132" i="36"/>
  <c r="A133" i="36"/>
  <c r="C132" i="36"/>
  <c r="A133" i="76"/>
  <c r="B132" i="76"/>
  <c r="C132" i="76"/>
  <c r="A133" i="34"/>
  <c r="B132" i="34"/>
  <c r="C132" i="34"/>
  <c r="T26" i="57"/>
  <c r="S25" i="57"/>
  <c r="J25" i="152" s="1"/>
  <c r="Q14" i="152" s="1"/>
  <c r="B132" i="77"/>
  <c r="C132" i="77"/>
  <c r="A133" i="77"/>
  <c r="F5" i="25"/>
  <c r="F15" i="153" s="1"/>
  <c r="F4" i="25"/>
  <c r="F14" i="153" s="1"/>
  <c r="T41" i="23"/>
  <c r="S42" i="23"/>
  <c r="V10" i="17"/>
  <c r="W9" i="17"/>
  <c r="X9" i="17"/>
  <c r="L10" i="17"/>
  <c r="M9" i="17"/>
  <c r="N9" i="17"/>
  <c r="BT119" i="67"/>
  <c r="BT71" i="149" s="1"/>
  <c r="K118" i="32"/>
  <c r="T27" i="57" l="1"/>
  <c r="S26" i="57"/>
  <c r="K25" i="152" s="1"/>
  <c r="R14" i="152" s="1"/>
  <c r="C133" i="76"/>
  <c r="B133" i="76"/>
  <c r="A134" i="76"/>
  <c r="A134" i="34"/>
  <c r="B133" i="34"/>
  <c r="C133" i="34"/>
  <c r="B133" i="36"/>
  <c r="C133" i="36"/>
  <c r="A134" i="36"/>
  <c r="C133" i="77"/>
  <c r="B133" i="77"/>
  <c r="A134" i="77"/>
  <c r="B133" i="75"/>
  <c r="A134" i="75"/>
  <c r="C133" i="75"/>
  <c r="B133" i="38"/>
  <c r="C133" i="38"/>
  <c r="A134" i="38"/>
  <c r="G4" i="25"/>
  <c r="G14" i="153" s="1"/>
  <c r="G5" i="25"/>
  <c r="G15" i="153" s="1"/>
  <c r="T42" i="23"/>
  <c r="S43" i="23"/>
  <c r="W10" i="17"/>
  <c r="V11" i="17"/>
  <c r="M10" i="17"/>
  <c r="L11" i="17"/>
  <c r="BT120" i="67"/>
  <c r="BT72" i="149" s="1"/>
  <c r="K119" i="32"/>
  <c r="C134" i="75" l="1"/>
  <c r="B134" i="75"/>
  <c r="A135" i="75"/>
  <c r="A135" i="77"/>
  <c r="B134" i="77"/>
  <c r="C134" i="77"/>
  <c r="C134" i="36"/>
  <c r="A135" i="36"/>
  <c r="B134" i="36"/>
  <c r="B134" i="76"/>
  <c r="C134" i="76"/>
  <c r="A135" i="76"/>
  <c r="A135" i="34"/>
  <c r="C134" i="34"/>
  <c r="B134" i="34"/>
  <c r="C134" i="38"/>
  <c r="A135" i="38"/>
  <c r="B134" i="38"/>
  <c r="T28" i="57"/>
  <c r="T29" i="57" s="1"/>
  <c r="S27" i="57"/>
  <c r="L25" i="152" s="1"/>
  <c r="S14" i="152" s="1"/>
  <c r="H4" i="25"/>
  <c r="H5" i="25"/>
  <c r="T43" i="23"/>
  <c r="S44" i="23"/>
  <c r="W11" i="17"/>
  <c r="V12" i="17"/>
  <c r="M11" i="17"/>
  <c r="L12" i="17"/>
  <c r="BT121" i="67"/>
  <c r="BT73" i="149" s="1"/>
  <c r="K120" i="32"/>
  <c r="A136" i="76" l="1"/>
  <c r="C135" i="76"/>
  <c r="B135" i="76"/>
  <c r="C135" i="75"/>
  <c r="A136" i="75"/>
  <c r="B135" i="75"/>
  <c r="C135" i="34"/>
  <c r="A136" i="34"/>
  <c r="B135" i="34"/>
  <c r="B135" i="36"/>
  <c r="C135" i="36"/>
  <c r="A136" i="36"/>
  <c r="B135" i="77"/>
  <c r="A136" i="77"/>
  <c r="C135" i="77"/>
  <c r="C135" i="38"/>
  <c r="B135" i="38"/>
  <c r="A136" i="38"/>
  <c r="H15" i="153"/>
  <c r="R6" i="25"/>
  <c r="H14" i="153"/>
  <c r="R5" i="25"/>
  <c r="I4" i="25"/>
  <c r="I5" i="25"/>
  <c r="T44" i="23"/>
  <c r="S45" i="23"/>
  <c r="W12" i="17"/>
  <c r="V13" i="17"/>
  <c r="M12" i="17"/>
  <c r="L13" i="17"/>
  <c r="K121" i="32"/>
  <c r="B6" i="17"/>
  <c r="C136" i="36" l="1"/>
  <c r="B136" i="36"/>
  <c r="A137" i="36"/>
  <c r="B136" i="77"/>
  <c r="C136" i="77"/>
  <c r="A137" i="77"/>
  <c r="A137" i="75"/>
  <c r="B136" i="75"/>
  <c r="C136" i="75"/>
  <c r="C136" i="38"/>
  <c r="A137" i="38"/>
  <c r="B136" i="38"/>
  <c r="B136" i="34"/>
  <c r="C136" i="34"/>
  <c r="A137" i="34"/>
  <c r="C136" i="76"/>
  <c r="A137" i="76"/>
  <c r="B136" i="76"/>
  <c r="I15" i="153"/>
  <c r="S6" i="25"/>
  <c r="I14" i="153"/>
  <c r="S5" i="25"/>
  <c r="J5" i="25"/>
  <c r="J15" i="153" s="1"/>
  <c r="Q6" i="152"/>
  <c r="J4" i="25"/>
  <c r="J14" i="153" s="1"/>
  <c r="Q5" i="152"/>
  <c r="T45" i="23"/>
  <c r="S46" i="23"/>
  <c r="V14" i="17"/>
  <c r="W13" i="17"/>
  <c r="L14" i="17"/>
  <c r="M13" i="17"/>
  <c r="C6" i="17"/>
  <c r="D6" i="17"/>
  <c r="B7" i="17"/>
  <c r="C137" i="75" l="1"/>
  <c r="A138" i="75"/>
  <c r="B137" i="75"/>
  <c r="A138" i="77"/>
  <c r="C137" i="77"/>
  <c r="B137" i="77"/>
  <c r="A138" i="36"/>
  <c r="B137" i="36"/>
  <c r="C137" i="36"/>
  <c r="B137" i="34"/>
  <c r="A138" i="34"/>
  <c r="C137" i="34"/>
  <c r="C137" i="38"/>
  <c r="B137" i="38"/>
  <c r="A138" i="38"/>
  <c r="C137" i="76"/>
  <c r="B137" i="76"/>
  <c r="A138" i="76"/>
  <c r="D3" i="25"/>
  <c r="D13" i="153" s="1"/>
  <c r="D9" i="152"/>
  <c r="K4" i="25"/>
  <c r="K14" i="153" s="1"/>
  <c r="R5" i="152"/>
  <c r="K5" i="25"/>
  <c r="K15" i="153" s="1"/>
  <c r="R6" i="152"/>
  <c r="S47" i="23"/>
  <c r="S18" i="23" s="1"/>
  <c r="T46" i="23"/>
  <c r="V15" i="17"/>
  <c r="V16" i="17" s="1"/>
  <c r="W14" i="17"/>
  <c r="L15" i="17"/>
  <c r="L16" i="17" s="1"/>
  <c r="M14" i="17"/>
  <c r="C7" i="17"/>
  <c r="D7" i="17"/>
  <c r="M12" i="38"/>
  <c r="M9" i="38"/>
  <c r="M8" i="38"/>
  <c r="M6" i="38"/>
  <c r="M7" i="38"/>
  <c r="M10" i="38"/>
  <c r="M13" i="38"/>
  <c r="M11" i="38"/>
  <c r="B8" i="17"/>
  <c r="D19" i="153" l="1"/>
  <c r="B138" i="38"/>
  <c r="A139" i="38"/>
  <c r="C138" i="38"/>
  <c r="B138" i="76"/>
  <c r="A139" i="76"/>
  <c r="C138" i="76"/>
  <c r="A139" i="75"/>
  <c r="B138" i="75"/>
  <c r="C138" i="75"/>
  <c r="C138" i="34"/>
  <c r="A139" i="34"/>
  <c r="B138" i="34"/>
  <c r="A139" i="36"/>
  <c r="C138" i="36"/>
  <c r="B138" i="36"/>
  <c r="C138" i="77"/>
  <c r="A139" i="77"/>
  <c r="B138" i="77"/>
  <c r="M41" i="25"/>
  <c r="AO15" i="17"/>
  <c r="AQ15" i="17" s="1"/>
  <c r="M41" i="152"/>
  <c r="T21" i="152" s="1"/>
  <c r="L5" i="25"/>
  <c r="L15" i="153" s="1"/>
  <c r="S6" i="152"/>
  <c r="E3" i="25"/>
  <c r="E13" i="153" s="1"/>
  <c r="E9" i="152"/>
  <c r="L4" i="25"/>
  <c r="L14" i="153" s="1"/>
  <c r="S5" i="152"/>
  <c r="T18" i="23"/>
  <c r="S48" i="23"/>
  <c r="T47" i="23"/>
  <c r="C14" i="24"/>
  <c r="B9" i="17"/>
  <c r="C8" i="17"/>
  <c r="D8" i="17"/>
  <c r="M24" i="38"/>
  <c r="M21" i="38"/>
  <c r="M20" i="38"/>
  <c r="M18" i="38"/>
  <c r="M19" i="38"/>
  <c r="M22" i="38"/>
  <c r="M25" i="38"/>
  <c r="M23" i="38"/>
  <c r="E19" i="153" l="1"/>
  <c r="A140" i="36"/>
  <c r="C139" i="36"/>
  <c r="B139" i="36"/>
  <c r="B139" i="34"/>
  <c r="A140" i="34"/>
  <c r="C139" i="34"/>
  <c r="A140" i="75"/>
  <c r="C139" i="75"/>
  <c r="B139" i="75"/>
  <c r="A140" i="76"/>
  <c r="C139" i="76"/>
  <c r="B139" i="76"/>
  <c r="B139" i="38"/>
  <c r="C139" i="38"/>
  <c r="A140" i="38"/>
  <c r="B139" i="77"/>
  <c r="A140" i="77"/>
  <c r="C139" i="77"/>
  <c r="W21" i="25"/>
  <c r="M34" i="153"/>
  <c r="R28" i="57"/>
  <c r="S28" i="57" s="1"/>
  <c r="M25" i="152" s="1"/>
  <c r="T14" i="152" s="1"/>
  <c r="M7" i="152"/>
  <c r="T8" i="152" s="1"/>
  <c r="S19" i="24"/>
  <c r="T19" i="24" s="1"/>
  <c r="N25" i="25" s="1"/>
  <c r="M25" i="153" s="1"/>
  <c r="N7" i="25"/>
  <c r="W8" i="25" s="1"/>
  <c r="F3" i="25"/>
  <c r="F13" i="153" s="1"/>
  <c r="F9" i="152"/>
  <c r="E14" i="24"/>
  <c r="E14" i="57" s="1"/>
  <c r="S49" i="23"/>
  <c r="T48" i="23"/>
  <c r="B10" i="17"/>
  <c r="C9" i="17"/>
  <c r="D9" i="17"/>
  <c r="M36" i="38"/>
  <c r="M33" i="38"/>
  <c r="M32" i="38"/>
  <c r="M31" i="38"/>
  <c r="M30" i="38"/>
  <c r="M34" i="38"/>
  <c r="M37" i="38"/>
  <c r="M35" i="38"/>
  <c r="F19" i="153" l="1"/>
  <c r="A141" i="76"/>
  <c r="C140" i="76"/>
  <c r="B140" i="76"/>
  <c r="B140" i="34"/>
  <c r="A141" i="34"/>
  <c r="C140" i="34"/>
  <c r="A141" i="75"/>
  <c r="B140" i="75"/>
  <c r="C140" i="75"/>
  <c r="A141" i="77"/>
  <c r="C140" i="77"/>
  <c r="B140" i="77"/>
  <c r="C140" i="36"/>
  <c r="B140" i="36"/>
  <c r="A141" i="36"/>
  <c r="C140" i="38"/>
  <c r="B140" i="38"/>
  <c r="A141" i="38"/>
  <c r="M17" i="153"/>
  <c r="G3" i="25"/>
  <c r="G13" i="153" s="1"/>
  <c r="G9" i="152"/>
  <c r="S50" i="23"/>
  <c r="T49" i="23"/>
  <c r="C10" i="17"/>
  <c r="B11" i="17"/>
  <c r="M48" i="38"/>
  <c r="M45" i="38"/>
  <c r="M44" i="38"/>
  <c r="M43" i="38"/>
  <c r="M42" i="38"/>
  <c r="M49" i="38"/>
  <c r="M46" i="38"/>
  <c r="M47" i="38"/>
  <c r="G19" i="153" l="1"/>
  <c r="C141" i="77"/>
  <c r="A142" i="77"/>
  <c r="B141" i="77"/>
  <c r="A142" i="36"/>
  <c r="B141" i="36"/>
  <c r="C141" i="36"/>
  <c r="A142" i="75"/>
  <c r="C141" i="75"/>
  <c r="B141" i="75"/>
  <c r="B141" i="38"/>
  <c r="A142" i="38"/>
  <c r="C141" i="38"/>
  <c r="B141" i="34"/>
  <c r="C141" i="34"/>
  <c r="A142" i="34"/>
  <c r="A142" i="76"/>
  <c r="C141" i="76"/>
  <c r="B141" i="76"/>
  <c r="H3" i="25"/>
  <c r="H9" i="152"/>
  <c r="S51" i="23"/>
  <c r="T50" i="23"/>
  <c r="C11" i="17"/>
  <c r="B12" i="17"/>
  <c r="M60" i="38"/>
  <c r="M57" i="38"/>
  <c r="M56" i="38"/>
  <c r="M55" i="38"/>
  <c r="M54" i="38"/>
  <c r="M59" i="38"/>
  <c r="M58" i="38"/>
  <c r="M61" i="38"/>
  <c r="B142" i="34" l="1"/>
  <c r="C142" i="34"/>
  <c r="A143" i="34"/>
  <c r="B142" i="36"/>
  <c r="A143" i="36"/>
  <c r="C142" i="36"/>
  <c r="A143" i="76"/>
  <c r="C142" i="76"/>
  <c r="B142" i="76"/>
  <c r="A143" i="75"/>
  <c r="B142" i="75"/>
  <c r="C142" i="75"/>
  <c r="A143" i="77"/>
  <c r="C142" i="77"/>
  <c r="B142" i="77"/>
  <c r="A143" i="38"/>
  <c r="B142" i="38"/>
  <c r="C142" i="38"/>
  <c r="H13" i="153"/>
  <c r="R4" i="25"/>
  <c r="R10" i="25" s="1"/>
  <c r="I3" i="25"/>
  <c r="I9" i="152"/>
  <c r="T51" i="23"/>
  <c r="S52" i="23"/>
  <c r="C12" i="17"/>
  <c r="B13" i="17"/>
  <c r="B14" i="17" s="1"/>
  <c r="M72" i="38"/>
  <c r="M69" i="38"/>
  <c r="M68" i="38"/>
  <c r="M67" i="38"/>
  <c r="M66" i="38"/>
  <c r="M71" i="38"/>
  <c r="M70" i="38"/>
  <c r="M73" i="38"/>
  <c r="H19" i="153" l="1"/>
  <c r="A144" i="38"/>
  <c r="B143" i="38"/>
  <c r="C143" i="38"/>
  <c r="A144" i="77"/>
  <c r="C143" i="77"/>
  <c r="B143" i="77"/>
  <c r="C143" i="75"/>
  <c r="A144" i="75"/>
  <c r="B143" i="75"/>
  <c r="B143" i="76"/>
  <c r="A144" i="76"/>
  <c r="C143" i="76"/>
  <c r="C143" i="36"/>
  <c r="A144" i="36"/>
  <c r="B143" i="36"/>
  <c r="C143" i="34"/>
  <c r="A144" i="34"/>
  <c r="B143" i="34"/>
  <c r="I13" i="153"/>
  <c r="S4" i="25"/>
  <c r="S10" i="25" s="1"/>
  <c r="J3" i="25"/>
  <c r="J13" i="153" s="1"/>
  <c r="S53" i="23"/>
  <c r="T52" i="23"/>
  <c r="C13" i="17"/>
  <c r="I19" i="153" l="1"/>
  <c r="A145" i="36"/>
  <c r="C144" i="36"/>
  <c r="B144" i="36"/>
  <c r="A145" i="77"/>
  <c r="B144" i="77"/>
  <c r="C144" i="77"/>
  <c r="C144" i="76"/>
  <c r="A145" i="76"/>
  <c r="B144" i="76"/>
  <c r="A145" i="75"/>
  <c r="C144" i="75"/>
  <c r="B144" i="75"/>
  <c r="B144" i="34"/>
  <c r="C144" i="34"/>
  <c r="A145" i="34"/>
  <c r="A145" i="38"/>
  <c r="B144" i="38"/>
  <c r="C144" i="38"/>
  <c r="J19" i="153"/>
  <c r="K3" i="25"/>
  <c r="K13" i="153" s="1"/>
  <c r="Q4" i="152"/>
  <c r="Q10" i="152" s="1"/>
  <c r="J9" i="152"/>
  <c r="S54" i="23"/>
  <c r="T53" i="23"/>
  <c r="B15" i="17"/>
  <c r="B16" i="17" s="1"/>
  <c r="C14" i="17"/>
  <c r="M81" i="38"/>
  <c r="M82" i="38"/>
  <c r="M84" i="38"/>
  <c r="M78" i="38"/>
  <c r="M80" i="38"/>
  <c r="M85" i="38"/>
  <c r="M83" i="38"/>
  <c r="M79" i="38"/>
  <c r="B145" i="34" l="1"/>
  <c r="C145" i="34"/>
  <c r="C145" i="38"/>
  <c r="B145" i="38"/>
  <c r="B145" i="75"/>
  <c r="C145" i="75"/>
  <c r="B145" i="77"/>
  <c r="AC149" i="36" s="1"/>
  <c r="C145" i="77"/>
  <c r="B145" i="76"/>
  <c r="C145" i="76"/>
  <c r="B145" i="36"/>
  <c r="C145" i="36"/>
  <c r="K19" i="153"/>
  <c r="R4" i="152"/>
  <c r="R10" i="152" s="1"/>
  <c r="K9" i="152"/>
  <c r="L3" i="25"/>
  <c r="L13" i="153" s="1"/>
  <c r="S55" i="23"/>
  <c r="T54" i="23"/>
  <c r="M93" i="38"/>
  <c r="M92" i="38"/>
  <c r="M90" i="38"/>
  <c r="M91" i="38"/>
  <c r="M95" i="38"/>
  <c r="M96" i="38"/>
  <c r="M94" i="38"/>
  <c r="M97" i="38"/>
  <c r="AB154" i="36" l="1"/>
  <c r="AB153" i="36"/>
  <c r="AB156" i="36"/>
  <c r="AB152" i="36"/>
  <c r="AB151" i="36"/>
  <c r="AB158" i="36"/>
  <c r="AB155" i="36"/>
  <c r="AB157" i="36"/>
  <c r="AB160" i="36"/>
  <c r="AB159" i="36"/>
  <c r="AB149" i="36"/>
  <c r="AB150" i="36"/>
  <c r="L19" i="153"/>
  <c r="S4" i="152"/>
  <c r="S10" i="152" s="1"/>
  <c r="L9" i="152"/>
  <c r="S56" i="23"/>
  <c r="T55" i="23"/>
  <c r="M109" i="38"/>
  <c r="M103" i="38"/>
  <c r="M106" i="38"/>
  <c r="M102" i="38"/>
  <c r="M105" i="38"/>
  <c r="M108" i="38"/>
  <c r="M104" i="38"/>
  <c r="M107" i="38"/>
  <c r="S57" i="23" l="1"/>
  <c r="T56" i="23"/>
  <c r="M127" i="38"/>
  <c r="M130" i="38"/>
  <c r="M132" i="38"/>
  <c r="M126" i="38"/>
  <c r="M128" i="38"/>
  <c r="M133" i="38"/>
  <c r="M129" i="38"/>
  <c r="M131" i="38"/>
  <c r="M119" i="38"/>
  <c r="M114" i="38"/>
  <c r="M117" i="38"/>
  <c r="M118" i="38"/>
  <c r="M116" i="38"/>
  <c r="M115" i="38"/>
  <c r="M121" i="38"/>
  <c r="M120" i="38"/>
  <c r="P61" i="34"/>
  <c r="P57" i="34"/>
  <c r="P53" i="34"/>
  <c r="P49" i="34"/>
  <c r="P45" i="34"/>
  <c r="P41" i="34"/>
  <c r="P37" i="34"/>
  <c r="P33" i="34"/>
  <c r="P29" i="34"/>
  <c r="P25" i="34"/>
  <c r="P21" i="34"/>
  <c r="P17" i="34"/>
  <c r="P13" i="34"/>
  <c r="P9" i="34"/>
  <c r="P5" i="34"/>
  <c r="P58" i="34"/>
  <c r="P54" i="34"/>
  <c r="P50" i="34"/>
  <c r="P46" i="34"/>
  <c r="P42" i="34"/>
  <c r="P38" i="34"/>
  <c r="P34" i="34"/>
  <c r="P30" i="34"/>
  <c r="P26" i="34"/>
  <c r="P22" i="34"/>
  <c r="P18" i="34"/>
  <c r="P14" i="34"/>
  <c r="P10" i="34"/>
  <c r="P6" i="34"/>
  <c r="P2" i="34"/>
  <c r="P1" i="34"/>
  <c r="P59" i="34"/>
  <c r="P55" i="34"/>
  <c r="P51" i="34"/>
  <c r="P47" i="34"/>
  <c r="P43" i="34"/>
  <c r="P39" i="34"/>
  <c r="P35" i="34"/>
  <c r="P31" i="34"/>
  <c r="P27" i="34"/>
  <c r="P23" i="34"/>
  <c r="P19" i="34"/>
  <c r="P15" i="34"/>
  <c r="P11" i="34"/>
  <c r="P7" i="34"/>
  <c r="P3" i="34"/>
  <c r="O1" i="38"/>
  <c r="O1" i="28"/>
  <c r="P60" i="34"/>
  <c r="P56" i="34"/>
  <c r="P52" i="34"/>
  <c r="P48" i="34"/>
  <c r="P44" i="34"/>
  <c r="P40" i="34"/>
  <c r="P36" i="34"/>
  <c r="P32" i="34"/>
  <c r="P28" i="34"/>
  <c r="P24" i="34"/>
  <c r="P20" i="34"/>
  <c r="P16" i="34"/>
  <c r="P12" i="34"/>
  <c r="P8" i="34"/>
  <c r="P4" i="34"/>
  <c r="S58" i="23" l="1"/>
  <c r="T57" i="23"/>
  <c r="S59" i="23" l="1"/>
  <c r="T58" i="23"/>
  <c r="M145" i="38"/>
  <c r="M143" i="38"/>
  <c r="M144" i="38"/>
  <c r="M142" i="38"/>
  <c r="M139" i="38"/>
  <c r="M141" i="38"/>
  <c r="M140" i="38"/>
  <c r="M138" i="38"/>
  <c r="R7" i="34"/>
  <c r="T59" i="23" l="1"/>
  <c r="S19" i="23"/>
  <c r="C8" i="15"/>
  <c r="Q9" i="17"/>
  <c r="AA9" i="17"/>
  <c r="G9" i="17"/>
  <c r="N41" i="25" l="1"/>
  <c r="N34" i="153" s="1"/>
  <c r="AO16" i="17"/>
  <c r="AQ16" i="17" s="1"/>
  <c r="N41" i="152"/>
  <c r="T19" i="23"/>
  <c r="S21" i="23"/>
  <c r="T6" i="25"/>
  <c r="T5" i="25"/>
  <c r="V4" i="25"/>
  <c r="U4" i="25"/>
  <c r="T4" i="25"/>
  <c r="V5" i="25"/>
  <c r="V6" i="25"/>
  <c r="U6" i="25"/>
  <c r="U5" i="25"/>
  <c r="T22" i="25"/>
  <c r="T20" i="25"/>
  <c r="T19" i="25"/>
  <c r="V20" i="25"/>
  <c r="AI8" i="17"/>
  <c r="V22" i="25"/>
  <c r="H10" i="23"/>
  <c r="D10" i="23"/>
  <c r="U19" i="25"/>
  <c r="AX7" i="17"/>
  <c r="U22" i="25"/>
  <c r="L10" i="23"/>
  <c r="M10" i="23" s="1"/>
  <c r="U20" i="25"/>
  <c r="H13" i="23"/>
  <c r="V18" i="25"/>
  <c r="M9" i="57"/>
  <c r="M12" i="57"/>
  <c r="N14" i="57" s="1"/>
  <c r="H12" i="23"/>
  <c r="U18" i="25"/>
  <c r="H11" i="23"/>
  <c r="T18" i="25"/>
  <c r="D11" i="23"/>
  <c r="D13" i="23"/>
  <c r="L13" i="23"/>
  <c r="M13" i="23" s="1"/>
  <c r="V19" i="25"/>
  <c r="K12" i="24"/>
  <c r="M11" i="57"/>
  <c r="K11" i="24"/>
  <c r="M10" i="57"/>
  <c r="C11" i="24"/>
  <c r="P12" i="23"/>
  <c r="Q12" i="23" s="1"/>
  <c r="X11" i="23"/>
  <c r="Y11" i="23" s="1"/>
  <c r="L11" i="23"/>
  <c r="M11" i="23" s="1"/>
  <c r="C10" i="24"/>
  <c r="P11" i="23"/>
  <c r="Q11" i="23" s="1"/>
  <c r="P13" i="23"/>
  <c r="Q13" i="23" s="1"/>
  <c r="C13" i="24"/>
  <c r="X13" i="23"/>
  <c r="Y13" i="23" s="1"/>
  <c r="C12" i="24"/>
  <c r="K10" i="24"/>
  <c r="D12" i="23"/>
  <c r="P10" i="23"/>
  <c r="Q10" i="23" s="1"/>
  <c r="L12" i="23"/>
  <c r="M12" i="23" s="1"/>
  <c r="K13" i="24"/>
  <c r="X10" i="23"/>
  <c r="Y10" i="23" s="1"/>
  <c r="X12" i="23"/>
  <c r="Y12" i="23" s="1"/>
  <c r="M5" i="57"/>
  <c r="M8" i="57"/>
  <c r="M7" i="57"/>
  <c r="M6" i="57"/>
  <c r="C9" i="24"/>
  <c r="C23" i="24" s="1"/>
  <c r="Y9" i="17"/>
  <c r="E9" i="17"/>
  <c r="K9" i="24"/>
  <c r="K23" i="24" s="1"/>
  <c r="O9" i="17"/>
  <c r="D9" i="23"/>
  <c r="K8" i="24"/>
  <c r="P9" i="23"/>
  <c r="Q9" i="23" s="1"/>
  <c r="K5" i="24"/>
  <c r="K24" i="24" s="1"/>
  <c r="M24" i="24" s="1"/>
  <c r="C8" i="24"/>
  <c r="C6" i="24"/>
  <c r="H9" i="23"/>
  <c r="K6" i="24"/>
  <c r="C7" i="24"/>
  <c r="C5" i="24"/>
  <c r="C24" i="24" s="1"/>
  <c r="X9" i="23"/>
  <c r="Y9" i="23" s="1"/>
  <c r="L9" i="23"/>
  <c r="M9" i="23" s="1"/>
  <c r="K7" i="24"/>
  <c r="M7" i="24" s="1"/>
  <c r="D8" i="23"/>
  <c r="H7" i="23"/>
  <c r="P7" i="23"/>
  <c r="Q7" i="23" s="1"/>
  <c r="P6" i="23"/>
  <c r="Q6" i="23" s="1"/>
  <c r="L5" i="23"/>
  <c r="M5" i="23" s="1"/>
  <c r="G6" i="17"/>
  <c r="P8" i="23"/>
  <c r="Q8" i="23" s="1"/>
  <c r="X7" i="23"/>
  <c r="Y7" i="23" s="1"/>
  <c r="L6" i="23"/>
  <c r="M6" i="23" s="1"/>
  <c r="D6" i="23"/>
  <c r="X5" i="23"/>
  <c r="Y5" i="23" s="1"/>
  <c r="G7" i="17"/>
  <c r="G8" i="17"/>
  <c r="H8" i="23"/>
  <c r="D7" i="23"/>
  <c r="H6" i="23"/>
  <c r="D5" i="23"/>
  <c r="H5" i="23"/>
  <c r="AA6" i="17"/>
  <c r="AA7" i="17"/>
  <c r="AA5" i="17"/>
  <c r="G5" i="17"/>
  <c r="X8" i="23"/>
  <c r="Y8" i="23" s="1"/>
  <c r="L8" i="23"/>
  <c r="M8" i="23" s="1"/>
  <c r="L7" i="23"/>
  <c r="M7" i="23" s="1"/>
  <c r="X6" i="23"/>
  <c r="Y6" i="23" s="1"/>
  <c r="P5" i="23"/>
  <c r="Q5" i="23" s="1"/>
  <c r="D14" i="23" l="1"/>
  <c r="M18" i="57"/>
  <c r="E7" i="153"/>
  <c r="M23" i="24"/>
  <c r="U21" i="152"/>
  <c r="E51" i="152"/>
  <c r="N7" i="152"/>
  <c r="C17" i="152" s="1"/>
  <c r="E17" i="152" s="1"/>
  <c r="R29" i="57"/>
  <c r="S29" i="57" s="1"/>
  <c r="N25" i="152" s="1"/>
  <c r="C32" i="152" s="1"/>
  <c r="E32" i="152" s="1"/>
  <c r="O7" i="25"/>
  <c r="S20" i="24"/>
  <c r="T20" i="24" s="1"/>
  <c r="O25" i="25" s="1"/>
  <c r="X21" i="25"/>
  <c r="E51" i="25"/>
  <c r="E72" i="25" s="1"/>
  <c r="N12" i="57"/>
  <c r="N10" i="57"/>
  <c r="N11" i="57"/>
  <c r="N8" i="57"/>
  <c r="N13" i="57"/>
  <c r="N9" i="57"/>
  <c r="N7" i="57"/>
  <c r="L14" i="23"/>
  <c r="H14" i="23"/>
  <c r="G14" i="23" s="1"/>
  <c r="C14" i="23"/>
  <c r="H18" i="70" s="1"/>
  <c r="P14" i="23"/>
  <c r="O14" i="23" s="1"/>
  <c r="O36" i="23" s="1"/>
  <c r="P36" i="23" s="1"/>
  <c r="X14" i="23"/>
  <c r="W14" i="23" s="1"/>
  <c r="W36" i="23" s="1"/>
  <c r="X36" i="23" s="1"/>
  <c r="T12" i="25"/>
  <c r="AX5" i="17"/>
  <c r="AY5" i="17" s="1"/>
  <c r="AI7" i="17"/>
  <c r="AX8" i="17"/>
  <c r="AI11" i="17"/>
  <c r="AX12" i="17"/>
  <c r="AX15" i="17" s="1"/>
  <c r="AX16" i="17" s="1"/>
  <c r="AI12" i="17"/>
  <c r="AI15" i="17" s="1"/>
  <c r="AX13" i="17"/>
  <c r="AX6" i="17"/>
  <c r="AY6" i="17" s="1"/>
  <c r="AX9" i="17"/>
  <c r="AY9" i="17" s="1"/>
  <c r="AI5" i="17"/>
  <c r="AI10" i="17"/>
  <c r="AI6" i="17"/>
  <c r="AI9" i="17"/>
  <c r="AI13" i="17"/>
  <c r="O47" i="17"/>
  <c r="G47" i="17"/>
  <c r="G49" i="17"/>
  <c r="AY7" i="17"/>
  <c r="M8" i="24"/>
  <c r="M6" i="24"/>
  <c r="M11" i="24"/>
  <c r="M5" i="24"/>
  <c r="M10" i="24"/>
  <c r="M12" i="24"/>
  <c r="E6" i="24"/>
  <c r="E6" i="57" s="1"/>
  <c r="E8" i="24"/>
  <c r="E8" i="57" s="1"/>
  <c r="E7" i="24"/>
  <c r="E7" i="57" s="1"/>
  <c r="E10" i="24"/>
  <c r="E10" i="57" s="1"/>
  <c r="E12" i="24"/>
  <c r="E12" i="57" s="1"/>
  <c r="T7" i="25"/>
  <c r="V9" i="25"/>
  <c r="V7" i="25"/>
  <c r="T9" i="25"/>
  <c r="U7" i="25"/>
  <c r="U9" i="25"/>
  <c r="T13" i="25"/>
  <c r="E49" i="17"/>
  <c r="Q47" i="17"/>
  <c r="E47" i="17"/>
  <c r="G46" i="17"/>
  <c r="E46" i="17"/>
  <c r="AA47" i="17"/>
  <c r="Y47" i="17"/>
  <c r="Q46" i="17"/>
  <c r="O46" i="17"/>
  <c r="AA45" i="17"/>
  <c r="Y45" i="17"/>
  <c r="Q45" i="17"/>
  <c r="O45" i="17"/>
  <c r="G48" i="17"/>
  <c r="E48" i="17"/>
  <c r="AA46" i="17"/>
  <c r="Y46" i="17"/>
  <c r="AA49" i="17"/>
  <c r="Y49" i="17"/>
  <c r="Q49" i="17"/>
  <c r="O49" i="17"/>
  <c r="G45" i="17"/>
  <c r="E45" i="17"/>
  <c r="K9" i="25"/>
  <c r="L9" i="25"/>
  <c r="I9" i="25"/>
  <c r="J9" i="25"/>
  <c r="M33" i="57"/>
  <c r="L43" i="25"/>
  <c r="V23" i="25" s="1"/>
  <c r="K43" i="25"/>
  <c r="U23" i="25" s="1"/>
  <c r="I43" i="25"/>
  <c r="S23" i="25" s="1"/>
  <c r="E19" i="70"/>
  <c r="D19" i="70"/>
  <c r="J43" i="25"/>
  <c r="E30" i="70"/>
  <c r="D30" i="70"/>
  <c r="M13" i="24"/>
  <c r="E13" i="24"/>
  <c r="E13" i="57" s="1"/>
  <c r="E24" i="24"/>
  <c r="E23" i="24"/>
  <c r="M34" i="57"/>
  <c r="C43" i="25"/>
  <c r="AJ8" i="17"/>
  <c r="K21" i="57" s="1"/>
  <c r="E9" i="24"/>
  <c r="E9" i="57" s="1"/>
  <c r="E5" i="24"/>
  <c r="M9" i="24"/>
  <c r="Y7" i="17"/>
  <c r="E8" i="17"/>
  <c r="Y5" i="17"/>
  <c r="Y6" i="17"/>
  <c r="E6" i="17"/>
  <c r="H43" i="25"/>
  <c r="R23" i="25" s="1"/>
  <c r="Q6" i="17"/>
  <c r="O6" i="17"/>
  <c r="G43" i="25"/>
  <c r="Q7" i="17"/>
  <c r="O7" i="17"/>
  <c r="E7" i="17"/>
  <c r="E43" i="25"/>
  <c r="E5" i="17"/>
  <c r="Q5" i="17"/>
  <c r="O5" i="17"/>
  <c r="D43" i="25"/>
  <c r="F43" i="25"/>
  <c r="K14" i="23" l="1"/>
  <c r="K36" i="23" s="1"/>
  <c r="M14" i="23"/>
  <c r="E62" i="25"/>
  <c r="E34" i="70"/>
  <c r="E77" i="70"/>
  <c r="E78" i="70" s="1"/>
  <c r="E79" i="70" s="1"/>
  <c r="E91" i="70"/>
  <c r="E92" i="70" s="1"/>
  <c r="E23" i="70"/>
  <c r="E85" i="70"/>
  <c r="E86" i="70" s="1"/>
  <c r="E70" i="70"/>
  <c r="E71" i="70" s="1"/>
  <c r="E72" i="70" s="1"/>
  <c r="D23" i="70"/>
  <c r="D70" i="70"/>
  <c r="D71" i="70" s="1"/>
  <c r="D72" i="70" s="1"/>
  <c r="D22" i="70"/>
  <c r="D85" i="70"/>
  <c r="D86" i="70" s="1"/>
  <c r="D87" i="70" s="1"/>
  <c r="D34" i="70"/>
  <c r="D91" i="70"/>
  <c r="D92" i="70" s="1"/>
  <c r="D93" i="70" s="1"/>
  <c r="D33" i="70"/>
  <c r="D77" i="70"/>
  <c r="D78" i="70" s="1"/>
  <c r="D79" i="70" s="1"/>
  <c r="M18" i="24"/>
  <c r="N11" i="24"/>
  <c r="C32" i="25"/>
  <c r="E32" i="25" s="1"/>
  <c r="N25" i="153" s="1"/>
  <c r="C17" i="25"/>
  <c r="E17" i="25" s="1"/>
  <c r="N17" i="153" s="1"/>
  <c r="F14" i="57"/>
  <c r="N7" i="24"/>
  <c r="N13" i="24"/>
  <c r="N8" i="24"/>
  <c r="U14" i="152"/>
  <c r="D51" i="152"/>
  <c r="C51" i="152"/>
  <c r="J17" i="152"/>
  <c r="H17" i="152"/>
  <c r="U8" i="152" s="1"/>
  <c r="U18" i="57"/>
  <c r="U22" i="57"/>
  <c r="U25" i="57"/>
  <c r="U21" i="57"/>
  <c r="U20" i="57"/>
  <c r="U28" i="57"/>
  <c r="U29" i="57"/>
  <c r="U26" i="57"/>
  <c r="U24" i="57"/>
  <c r="U19" i="57"/>
  <c r="U27" i="57"/>
  <c r="U23" i="57"/>
  <c r="T15" i="25"/>
  <c r="AY12" i="17"/>
  <c r="N18" i="57"/>
  <c r="N20" i="57"/>
  <c r="N26" i="57"/>
  <c r="N21" i="57"/>
  <c r="N22" i="57"/>
  <c r="N29" i="57"/>
  <c r="N23" i="57"/>
  <c r="N28" i="57"/>
  <c r="N24" i="57"/>
  <c r="N19" i="57"/>
  <c r="N25" i="57"/>
  <c r="N27" i="57"/>
  <c r="G36" i="23"/>
  <c r="G37" i="23" s="1"/>
  <c r="H29" i="70"/>
  <c r="E5" i="57"/>
  <c r="N14" i="24"/>
  <c r="N12" i="24"/>
  <c r="N10" i="24"/>
  <c r="N9" i="24"/>
  <c r="K37" i="23"/>
  <c r="K38" i="23" s="1"/>
  <c r="K39" i="23" s="1"/>
  <c r="K40" i="23" s="1"/>
  <c r="K41" i="23" s="1"/>
  <c r="K42" i="23" s="1"/>
  <c r="K43" i="23" s="1"/>
  <c r="K44" i="23" s="1"/>
  <c r="K45" i="23" s="1"/>
  <c r="K46" i="23" s="1"/>
  <c r="K47" i="23" s="1"/>
  <c r="K48" i="23" s="1"/>
  <c r="K49" i="23" s="1"/>
  <c r="K50" i="23" s="1"/>
  <c r="K51" i="23" s="1"/>
  <c r="K52" i="23" s="1"/>
  <c r="K53" i="23" s="1"/>
  <c r="K54" i="23" s="1"/>
  <c r="K55" i="23" s="1"/>
  <c r="K56" i="23" s="1"/>
  <c r="K57" i="23" s="1"/>
  <c r="K58" i="23" s="1"/>
  <c r="K59" i="23" s="1"/>
  <c r="L36" i="23"/>
  <c r="F14" i="24"/>
  <c r="M19" i="57"/>
  <c r="M20" i="57" s="1"/>
  <c r="M21" i="57" s="1"/>
  <c r="M22" i="57" s="1"/>
  <c r="M23" i="57" s="1"/>
  <c r="M24" i="57" s="1"/>
  <c r="M25" i="57" s="1"/>
  <c r="M26" i="57" s="1"/>
  <c r="M27" i="57" s="1"/>
  <c r="M28" i="57" s="1"/>
  <c r="M29" i="57" s="1"/>
  <c r="F8" i="24"/>
  <c r="AY8" i="17"/>
  <c r="AJ12" i="17"/>
  <c r="K25" i="57" s="1"/>
  <c r="AY13" i="17"/>
  <c r="T10" i="25"/>
  <c r="U10" i="25"/>
  <c r="T23" i="25"/>
  <c r="Q122" i="34"/>
  <c r="E33" i="70"/>
  <c r="D24" i="70"/>
  <c r="D26" i="70" s="1"/>
  <c r="D42" i="70" s="1"/>
  <c r="E43" i="70" s="1"/>
  <c r="E22" i="70"/>
  <c r="E24" i="70" s="1"/>
  <c r="E26" i="70" s="1"/>
  <c r="E42" i="70" s="1"/>
  <c r="E44" i="70" s="1"/>
  <c r="I6" i="15"/>
  <c r="C7" i="15"/>
  <c r="C5" i="15"/>
  <c r="C6" i="15"/>
  <c r="I4" i="15"/>
  <c r="C4" i="15"/>
  <c r="I5" i="15"/>
  <c r="AJ13" i="17"/>
  <c r="K26" i="57" s="1"/>
  <c r="P15" i="23"/>
  <c r="X15" i="23"/>
  <c r="F9" i="24"/>
  <c r="F10" i="24"/>
  <c r="P30" i="23"/>
  <c r="F7" i="24"/>
  <c r="AJ9" i="17"/>
  <c r="K22" i="57" s="1"/>
  <c r="AJ6" i="17"/>
  <c r="AJ7" i="17"/>
  <c r="AJ5" i="17"/>
  <c r="E35" i="70" l="1"/>
  <c r="E37" i="70" s="1"/>
  <c r="E46" i="70" s="1"/>
  <c r="E87" i="70"/>
  <c r="E93" i="70"/>
  <c r="D35" i="70"/>
  <c r="D37" i="70" s="1"/>
  <c r="D46" i="70" s="1"/>
  <c r="C7" i="153"/>
  <c r="D7" i="153"/>
  <c r="C51" i="25"/>
  <c r="K17" i="25"/>
  <c r="H17" i="25"/>
  <c r="X8" i="25" s="1"/>
  <c r="J17" i="25"/>
  <c r="X14" i="25"/>
  <c r="D51" i="25"/>
  <c r="H36" i="23"/>
  <c r="V18" i="24"/>
  <c r="V20" i="24"/>
  <c r="N18" i="24"/>
  <c r="N19" i="24"/>
  <c r="V19" i="24"/>
  <c r="G38" i="23"/>
  <c r="Q123" i="76"/>
  <c r="P123" i="34"/>
  <c r="P122" i="34"/>
  <c r="F7" i="57"/>
  <c r="F9" i="57"/>
  <c r="F10" i="57"/>
  <c r="N20" i="24"/>
  <c r="L21" i="57"/>
  <c r="F24" i="152" s="1"/>
  <c r="L15" i="23"/>
  <c r="AI16" i="17"/>
  <c r="M19" i="24"/>
  <c r="H15" i="23"/>
  <c r="F43" i="70"/>
  <c r="D44" i="70"/>
  <c r="D45" i="70" s="1"/>
  <c r="K18" i="57"/>
  <c r="L18" i="57" s="1"/>
  <c r="C24" i="152" s="1"/>
  <c r="K20" i="57"/>
  <c r="L20" i="57" s="1"/>
  <c r="E24" i="152" s="1"/>
  <c r="K19" i="57"/>
  <c r="L19" i="57" s="1"/>
  <c r="D24" i="152" s="1"/>
  <c r="Q123" i="34"/>
  <c r="E45" i="70"/>
  <c r="E47" i="70"/>
  <c r="D48" i="70"/>
  <c r="D49" i="70" s="1"/>
  <c r="E48" i="70"/>
  <c r="F47" i="70"/>
  <c r="F19" i="70"/>
  <c r="L25" i="57"/>
  <c r="J24" i="152" s="1"/>
  <c r="Q13" i="152" s="1"/>
  <c r="D15" i="23"/>
  <c r="L22" i="57"/>
  <c r="G24" i="152" s="1"/>
  <c r="R76" i="34"/>
  <c r="R80" i="34"/>
  <c r="R78" i="34"/>
  <c r="R77" i="34"/>
  <c r="R75" i="34"/>
  <c r="R74" i="34"/>
  <c r="R81" i="34"/>
  <c r="R79" i="34"/>
  <c r="AX10" i="17"/>
  <c r="AJ10" i="17"/>
  <c r="K23" i="57" s="1"/>
  <c r="D62" i="25" l="1"/>
  <c r="D72" i="25"/>
  <c r="C62" i="25"/>
  <c r="C72" i="25"/>
  <c r="F23" i="70"/>
  <c r="F85" i="70"/>
  <c r="F86" i="70" s="1"/>
  <c r="F87" i="70" s="1"/>
  <c r="F70" i="70"/>
  <c r="F71" i="70" s="1"/>
  <c r="F72" i="70" s="1"/>
  <c r="G39" i="23"/>
  <c r="P124" i="34"/>
  <c r="Q124" i="76"/>
  <c r="C15" i="23"/>
  <c r="I18" i="70" s="1"/>
  <c r="M20" i="24"/>
  <c r="AY10" i="17"/>
  <c r="Q124" i="34"/>
  <c r="F22" i="70"/>
  <c r="F24" i="70" s="1"/>
  <c r="F26" i="70" s="1"/>
  <c r="F42" i="70" s="1"/>
  <c r="E49" i="70"/>
  <c r="L26" i="57"/>
  <c r="K24" i="152" s="1"/>
  <c r="R13" i="152" s="1"/>
  <c r="R82" i="34"/>
  <c r="AX11" i="17"/>
  <c r="AJ11" i="17"/>
  <c r="K24" i="57" s="1"/>
  <c r="G40" i="23" l="1"/>
  <c r="Q125" i="76"/>
  <c r="P125" i="34"/>
  <c r="F44" i="70"/>
  <c r="F45" i="70" s="1"/>
  <c r="G43" i="70"/>
  <c r="AY11" i="17"/>
  <c r="R125" i="34"/>
  <c r="Q125" i="34"/>
  <c r="R84" i="34"/>
  <c r="R83" i="34"/>
  <c r="G41" i="23" l="1"/>
  <c r="Q126" i="76"/>
  <c r="P126" i="34"/>
  <c r="R126" i="34"/>
  <c r="Q126" i="34"/>
  <c r="G42" i="23" l="1"/>
  <c r="Q127" i="76"/>
  <c r="P127" i="34"/>
  <c r="R127" i="34"/>
  <c r="Q127" i="34"/>
  <c r="R85" i="34"/>
  <c r="R86" i="34"/>
  <c r="G43" i="23" l="1"/>
  <c r="P128" i="34"/>
  <c r="Q128" i="76"/>
  <c r="R87" i="34"/>
  <c r="G44" i="23" l="1"/>
  <c r="P129" i="34"/>
  <c r="Q129" i="76"/>
  <c r="R88" i="34"/>
  <c r="G45" i="23" l="1"/>
  <c r="Q130" i="76"/>
  <c r="P130" i="34"/>
  <c r="R89" i="34"/>
  <c r="G46" i="23" l="1"/>
  <c r="P131" i="34"/>
  <c r="Q131" i="76"/>
  <c r="R90" i="34"/>
  <c r="G47" i="23" l="1"/>
  <c r="Q132" i="76"/>
  <c r="P132" i="34"/>
  <c r="R91" i="34"/>
  <c r="G48" i="23" l="1"/>
  <c r="Q133" i="76"/>
  <c r="P133" i="34"/>
  <c r="R92" i="34"/>
  <c r="G49" i="23" l="1"/>
  <c r="Q134" i="34"/>
  <c r="R134" i="34"/>
  <c r="R98" i="34"/>
  <c r="R93" i="34"/>
  <c r="G50" i="23" l="1"/>
  <c r="G15" i="23"/>
  <c r="I29" i="70" s="1"/>
  <c r="Q135" i="76"/>
  <c r="P135" i="34"/>
  <c r="P134" i="34"/>
  <c r="Q134" i="76"/>
  <c r="Q135" i="34"/>
  <c r="F30" i="70"/>
  <c r="R99" i="34"/>
  <c r="R135" i="34"/>
  <c r="H37" i="23"/>
  <c r="R94" i="34"/>
  <c r="F34" i="70" l="1"/>
  <c r="F77" i="70"/>
  <c r="F78" i="70" s="1"/>
  <c r="F79" i="70" s="1"/>
  <c r="F91" i="70"/>
  <c r="F92" i="70" s="1"/>
  <c r="F93" i="70" s="1"/>
  <c r="G51" i="23"/>
  <c r="P136" i="34"/>
  <c r="Q136" i="76"/>
  <c r="Q136" i="34"/>
  <c r="F33" i="70"/>
  <c r="F35" i="70" s="1"/>
  <c r="F37" i="70" s="1"/>
  <c r="F46" i="70" s="1"/>
  <c r="R100" i="34"/>
  <c r="R136" i="34"/>
  <c r="H38" i="23"/>
  <c r="R95" i="34"/>
  <c r="G52" i="23" l="1"/>
  <c r="Q137" i="76"/>
  <c r="P137" i="34"/>
  <c r="Q137" i="34"/>
  <c r="F48" i="70"/>
  <c r="F49" i="70" s="1"/>
  <c r="G47" i="70"/>
  <c r="R137" i="34"/>
  <c r="R101" i="34"/>
  <c r="H39" i="23"/>
  <c r="R96" i="34"/>
  <c r="G53" i="23" l="1"/>
  <c r="Q138" i="76"/>
  <c r="P138" i="34"/>
  <c r="Q138" i="34"/>
  <c r="R138" i="34"/>
  <c r="R102" i="34"/>
  <c r="H40" i="23"/>
  <c r="R97" i="34"/>
  <c r="G54" i="23" l="1"/>
  <c r="C36" i="23"/>
  <c r="K15" i="23"/>
  <c r="Q139" i="76"/>
  <c r="P139" i="34"/>
  <c r="Q139" i="34"/>
  <c r="R139" i="34"/>
  <c r="R103" i="34"/>
  <c r="O15" i="23"/>
  <c r="H41" i="23"/>
  <c r="D36" i="23" l="1"/>
  <c r="I122" i="75"/>
  <c r="S122" i="75" s="1"/>
  <c r="G122" i="38"/>
  <c r="O122" i="38" s="1"/>
  <c r="G55" i="23"/>
  <c r="G19" i="70"/>
  <c r="I19" i="70"/>
  <c r="Q140" i="76"/>
  <c r="P140" i="34"/>
  <c r="C37" i="23"/>
  <c r="Q140" i="34"/>
  <c r="R140" i="34"/>
  <c r="R104" i="34"/>
  <c r="H42" i="23"/>
  <c r="I23" i="70" l="1"/>
  <c r="I70" i="70"/>
  <c r="I71" i="70" s="1"/>
  <c r="I85" i="70"/>
  <c r="I86" i="70" s="1"/>
  <c r="G23" i="70"/>
  <c r="G70" i="70"/>
  <c r="G71" i="70" s="1"/>
  <c r="G72" i="70" s="1"/>
  <c r="G85" i="70"/>
  <c r="G86" i="70" s="1"/>
  <c r="G87" i="70" s="1"/>
  <c r="C38" i="23"/>
  <c r="C39" i="23" s="1"/>
  <c r="G123" i="38"/>
  <c r="O123" i="38" s="1"/>
  <c r="I123" i="75"/>
  <c r="S123" i="75" s="1"/>
  <c r="G56" i="23"/>
  <c r="I22" i="70"/>
  <c r="I24" i="70" s="1"/>
  <c r="I26" i="70" s="1"/>
  <c r="I42" i="70" s="1"/>
  <c r="H19" i="70"/>
  <c r="G22" i="70"/>
  <c r="Q141" i="76"/>
  <c r="P141" i="34"/>
  <c r="D37" i="23"/>
  <c r="K27" i="57"/>
  <c r="L27" i="57" s="1"/>
  <c r="L24" i="152" s="1"/>
  <c r="S13" i="152" s="1"/>
  <c r="Q141" i="34"/>
  <c r="K18" i="24"/>
  <c r="L18" i="24" s="1"/>
  <c r="R105" i="34"/>
  <c r="R141" i="34"/>
  <c r="H43" i="23"/>
  <c r="D38" i="23" l="1"/>
  <c r="G24" i="70"/>
  <c r="G26" i="70" s="1"/>
  <c r="G42" i="70" s="1"/>
  <c r="G44" i="70" s="1"/>
  <c r="G45" i="70" s="1"/>
  <c r="H22" i="70"/>
  <c r="H70" i="70"/>
  <c r="H71" i="70" s="1"/>
  <c r="H72" i="70" s="1"/>
  <c r="D32" i="71" s="1"/>
  <c r="H85" i="70"/>
  <c r="H86" i="70" s="1"/>
  <c r="H87" i="70" s="1"/>
  <c r="L32" i="71" s="1"/>
  <c r="I125" i="75"/>
  <c r="S125" i="75" s="1"/>
  <c r="G125" i="38"/>
  <c r="O125" i="38" s="1"/>
  <c r="I124" i="75"/>
  <c r="S124" i="75" s="1"/>
  <c r="G124" i="38"/>
  <c r="O124" i="38" s="1"/>
  <c r="M24" i="25"/>
  <c r="G57" i="23"/>
  <c r="Q142" i="76"/>
  <c r="P142" i="34"/>
  <c r="J43" i="70"/>
  <c r="J45" i="70" s="1"/>
  <c r="I44" i="70"/>
  <c r="L38" i="23"/>
  <c r="L37" i="23"/>
  <c r="O37" i="23"/>
  <c r="O38" i="23" s="1"/>
  <c r="P38" i="23" s="1"/>
  <c r="H23" i="70"/>
  <c r="H24" i="70" s="1"/>
  <c r="H26" i="70" s="1"/>
  <c r="H42" i="70" s="1"/>
  <c r="H43" i="70"/>
  <c r="W15" i="23"/>
  <c r="W37" i="23"/>
  <c r="X37" i="23" s="1"/>
  <c r="Q142" i="34"/>
  <c r="R106" i="34"/>
  <c r="R142" i="34"/>
  <c r="D39" i="23"/>
  <c r="C40" i="23"/>
  <c r="L39" i="23"/>
  <c r="H44" i="23"/>
  <c r="I72" i="70" l="1"/>
  <c r="E32" i="71" s="1"/>
  <c r="I87" i="70"/>
  <c r="M32" i="71" s="1"/>
  <c r="I126" i="75"/>
  <c r="S126" i="75" s="1"/>
  <c r="G126" i="38"/>
  <c r="O126" i="38" s="1"/>
  <c r="W13" i="25"/>
  <c r="P37" i="23"/>
  <c r="G58" i="23"/>
  <c r="O39" i="23"/>
  <c r="O40" i="23" s="1"/>
  <c r="H44" i="70"/>
  <c r="H45" i="70" s="1"/>
  <c r="F54" i="70" s="1"/>
  <c r="I43" i="70"/>
  <c r="I45" i="70" s="1"/>
  <c r="G54" i="70" s="1"/>
  <c r="W38" i="23"/>
  <c r="X38" i="23" s="1"/>
  <c r="Q143" i="76"/>
  <c r="P143" i="34"/>
  <c r="Q143" i="34"/>
  <c r="R143" i="34"/>
  <c r="R107" i="34"/>
  <c r="C41" i="23"/>
  <c r="D40" i="23"/>
  <c r="L40" i="23"/>
  <c r="H45" i="23"/>
  <c r="G127" i="38" l="1"/>
  <c r="O127" i="38" s="1"/>
  <c r="I127" i="75"/>
  <c r="S127" i="75" s="1"/>
  <c r="W39" i="23"/>
  <c r="X39" i="23" s="1"/>
  <c r="G59" i="23"/>
  <c r="P39" i="23"/>
  <c r="G59" i="70"/>
  <c r="E10" i="71" s="1"/>
  <c r="F59" i="70"/>
  <c r="Q144" i="76"/>
  <c r="P144" i="34"/>
  <c r="Q144" i="34"/>
  <c r="R144" i="34"/>
  <c r="R108" i="34"/>
  <c r="C42" i="23"/>
  <c r="D41" i="23"/>
  <c r="O41" i="23"/>
  <c r="P40" i="23"/>
  <c r="L41" i="23"/>
  <c r="H46" i="23"/>
  <c r="W40" i="23" l="1"/>
  <c r="I128" i="75"/>
  <c r="S128" i="75" s="1"/>
  <c r="G128" i="38"/>
  <c r="O128" i="38" s="1"/>
  <c r="Q145" i="76"/>
  <c r="D10" i="71"/>
  <c r="P145" i="34"/>
  <c r="Q145" i="34"/>
  <c r="R147" i="76" s="1"/>
  <c r="R145" i="34"/>
  <c r="R109" i="34"/>
  <c r="C43" i="23"/>
  <c r="D42" i="23"/>
  <c r="X40" i="23"/>
  <c r="W41" i="23"/>
  <c r="P41" i="23"/>
  <c r="O42" i="23"/>
  <c r="L42" i="23"/>
  <c r="H47" i="23"/>
  <c r="G18" i="23"/>
  <c r="I129" i="75" l="1"/>
  <c r="S129" i="75" s="1"/>
  <c r="G129" i="38"/>
  <c r="O129" i="38" s="1"/>
  <c r="Q147" i="76"/>
  <c r="H18" i="23"/>
  <c r="M38" i="152"/>
  <c r="T18" i="152" s="1"/>
  <c r="M38" i="25"/>
  <c r="M31" i="153" s="1"/>
  <c r="R110" i="34"/>
  <c r="C44" i="23"/>
  <c r="D43" i="23"/>
  <c r="W42" i="23"/>
  <c r="X41" i="23"/>
  <c r="O43" i="23"/>
  <c r="P42" i="23"/>
  <c r="L43" i="23"/>
  <c r="H48" i="23"/>
  <c r="I130" i="75" l="1"/>
  <c r="S130" i="75" s="1"/>
  <c r="G130" i="38"/>
  <c r="O130" i="38" s="1"/>
  <c r="W18" i="25"/>
  <c r="G30" i="70"/>
  <c r="R111" i="34"/>
  <c r="D44" i="23"/>
  <c r="C45" i="23"/>
  <c r="W43" i="23"/>
  <c r="X42" i="23"/>
  <c r="O44" i="23"/>
  <c r="P43" i="23"/>
  <c r="L44" i="23"/>
  <c r="H49" i="23"/>
  <c r="G34" i="70" l="1"/>
  <c r="G91" i="70"/>
  <c r="G92" i="70" s="1"/>
  <c r="G93" i="70" s="1"/>
  <c r="G77" i="70"/>
  <c r="G78" i="70" s="1"/>
  <c r="G79" i="70" s="1"/>
  <c r="G131" i="38"/>
  <c r="O131" i="38" s="1"/>
  <c r="I131" i="75"/>
  <c r="S131" i="75" s="1"/>
  <c r="G33" i="70"/>
  <c r="G35" i="70" s="1"/>
  <c r="G37" i="70" s="1"/>
  <c r="G46" i="70" s="1"/>
  <c r="R112" i="34"/>
  <c r="C46" i="23"/>
  <c r="D45" i="23"/>
  <c r="X43" i="23"/>
  <c r="W44" i="23"/>
  <c r="P44" i="23"/>
  <c r="O45" i="23"/>
  <c r="L45" i="23"/>
  <c r="H50" i="23"/>
  <c r="I132" i="75" l="1"/>
  <c r="S132" i="75" s="1"/>
  <c r="G132" i="38"/>
  <c r="O132" i="38" s="1"/>
  <c r="G48" i="70"/>
  <c r="G49" i="70" s="1"/>
  <c r="H47" i="70"/>
  <c r="R113" i="34"/>
  <c r="D46" i="23"/>
  <c r="C47" i="23"/>
  <c r="W45" i="23"/>
  <c r="X44" i="23"/>
  <c r="P45" i="23"/>
  <c r="O46" i="23"/>
  <c r="L46" i="23"/>
  <c r="H51" i="23"/>
  <c r="C18" i="23" l="1"/>
  <c r="G133" i="38"/>
  <c r="O133" i="38" s="1"/>
  <c r="I133" i="75"/>
  <c r="S133" i="75" s="1"/>
  <c r="D18" i="23"/>
  <c r="M37" i="25"/>
  <c r="M30" i="153" s="1"/>
  <c r="M37" i="152"/>
  <c r="T17" i="152" s="1"/>
  <c r="R114" i="34"/>
  <c r="C48" i="23"/>
  <c r="D47" i="23"/>
  <c r="X45" i="23"/>
  <c r="W46" i="23"/>
  <c r="O47" i="23"/>
  <c r="P46" i="23"/>
  <c r="L47" i="23"/>
  <c r="K18" i="23"/>
  <c r="H52" i="23"/>
  <c r="I134" i="75" l="1"/>
  <c r="S134" i="75" s="1"/>
  <c r="G134" i="38"/>
  <c r="O134" i="38" s="1"/>
  <c r="W17" i="25"/>
  <c r="L18" i="23"/>
  <c r="M39" i="152"/>
  <c r="T19" i="152" s="1"/>
  <c r="M39" i="25"/>
  <c r="M32" i="153" s="1"/>
  <c r="R115" i="34"/>
  <c r="D48" i="23"/>
  <c r="C49" i="23"/>
  <c r="W47" i="23"/>
  <c r="X46" i="23"/>
  <c r="P47" i="23"/>
  <c r="O48" i="23"/>
  <c r="O18" i="23"/>
  <c r="L48" i="23"/>
  <c r="H53" i="23"/>
  <c r="I135" i="75" l="1"/>
  <c r="S135" i="75" s="1"/>
  <c r="G135" i="38"/>
  <c r="O135" i="38" s="1"/>
  <c r="W19" i="25"/>
  <c r="P18" i="23"/>
  <c r="M40" i="25"/>
  <c r="M40" i="152"/>
  <c r="T20" i="152" s="1"/>
  <c r="AH15" i="17"/>
  <c r="AJ15" i="17" s="1"/>
  <c r="M6" i="152" s="1"/>
  <c r="T7" i="152" s="1"/>
  <c r="L23" i="57"/>
  <c r="H24" i="152" s="1"/>
  <c r="R116" i="34"/>
  <c r="D49" i="23"/>
  <c r="C50" i="23"/>
  <c r="X47" i="23"/>
  <c r="W48" i="23"/>
  <c r="W18" i="23"/>
  <c r="P48" i="23"/>
  <c r="O49" i="23"/>
  <c r="L49" i="23"/>
  <c r="H54" i="23"/>
  <c r="I136" i="75" l="1"/>
  <c r="S136" i="75" s="1"/>
  <c r="G136" i="38"/>
  <c r="O136" i="38" s="1"/>
  <c r="W20" i="25"/>
  <c r="M33" i="153"/>
  <c r="X18" i="23"/>
  <c r="M42" i="25"/>
  <c r="M42" i="152"/>
  <c r="C21" i="73"/>
  <c r="E21" i="73" s="1"/>
  <c r="N6" i="25"/>
  <c r="AW15" i="17"/>
  <c r="K28" i="57"/>
  <c r="L28" i="57" s="1"/>
  <c r="M24" i="152" s="1"/>
  <c r="T13" i="152" s="1"/>
  <c r="K19" i="24"/>
  <c r="L19" i="24" s="1"/>
  <c r="N24" i="25" s="1"/>
  <c r="M24" i="153" s="1"/>
  <c r="R117" i="34"/>
  <c r="C51" i="23"/>
  <c r="D50" i="23"/>
  <c r="X48" i="23"/>
  <c r="W49" i="23"/>
  <c r="O50" i="23"/>
  <c r="P49" i="23"/>
  <c r="L50" i="23"/>
  <c r="H55" i="23"/>
  <c r="I137" i="75" l="1"/>
  <c r="S137" i="75" s="1"/>
  <c r="G137" i="38"/>
  <c r="O137" i="38" s="1"/>
  <c r="M16" i="153"/>
  <c r="W7" i="25"/>
  <c r="M43" i="152"/>
  <c r="T23" i="152" s="1"/>
  <c r="T22" i="152"/>
  <c r="W22" i="25"/>
  <c r="M35" i="153"/>
  <c r="M43" i="25"/>
  <c r="W23" i="25" s="1"/>
  <c r="AY15" i="17"/>
  <c r="R118" i="34"/>
  <c r="D51" i="23"/>
  <c r="C52" i="23"/>
  <c r="X49" i="23"/>
  <c r="W50" i="23"/>
  <c r="P50" i="23"/>
  <c r="O51" i="23"/>
  <c r="L51" i="23"/>
  <c r="H56" i="23"/>
  <c r="I138" i="75" l="1"/>
  <c r="S138" i="75" s="1"/>
  <c r="G138" i="38"/>
  <c r="O138" i="38" s="1"/>
  <c r="M36" i="153"/>
  <c r="N8" i="25"/>
  <c r="W9" i="25" s="1"/>
  <c r="M8" i="152"/>
  <c r="T9" i="152" s="1"/>
  <c r="R119" i="34"/>
  <c r="C53" i="23"/>
  <c r="D52" i="23"/>
  <c r="X50" i="23"/>
  <c r="W51" i="23"/>
  <c r="O52" i="23"/>
  <c r="P51" i="23"/>
  <c r="L52" i="23"/>
  <c r="H57" i="23"/>
  <c r="I139" i="75" l="1"/>
  <c r="S139" i="75" s="1"/>
  <c r="G139" i="38"/>
  <c r="O139" i="38" s="1"/>
  <c r="M18" i="153"/>
  <c r="R120" i="34"/>
  <c r="D53" i="23"/>
  <c r="C54" i="23"/>
  <c r="X51" i="23"/>
  <c r="W52" i="23"/>
  <c r="P52" i="23"/>
  <c r="O53" i="23"/>
  <c r="L53" i="23"/>
  <c r="H58" i="23"/>
  <c r="I140" i="75" l="1"/>
  <c r="S140" i="75" s="1"/>
  <c r="G140" i="38"/>
  <c r="O140" i="38" s="1"/>
  <c r="C55" i="23"/>
  <c r="D54" i="23"/>
  <c r="W53" i="23"/>
  <c r="X52" i="23"/>
  <c r="O54" i="23"/>
  <c r="P53" i="23"/>
  <c r="L54" i="23"/>
  <c r="H59" i="23"/>
  <c r="G19" i="23"/>
  <c r="I141" i="75" l="1"/>
  <c r="S141" i="75" s="1"/>
  <c r="G141" i="38"/>
  <c r="O141" i="38" s="1"/>
  <c r="N38" i="152"/>
  <c r="N38" i="25"/>
  <c r="N31" i="153" s="1"/>
  <c r="G21" i="23"/>
  <c r="H19" i="23"/>
  <c r="C56" i="23"/>
  <c r="D55" i="23"/>
  <c r="X53" i="23"/>
  <c r="W54" i="23"/>
  <c r="P54" i="23"/>
  <c r="O55" i="23"/>
  <c r="L55" i="23"/>
  <c r="I142" i="75" l="1"/>
  <c r="S142" i="75" s="1"/>
  <c r="G142" i="38"/>
  <c r="O142" i="38" s="1"/>
  <c r="E4" i="153"/>
  <c r="E48" i="25"/>
  <c r="X18" i="25"/>
  <c r="E48" i="152"/>
  <c r="U18" i="152"/>
  <c r="I30" i="70"/>
  <c r="H30" i="70"/>
  <c r="C57" i="23"/>
  <c r="D56" i="23"/>
  <c r="X54" i="23"/>
  <c r="W55" i="23"/>
  <c r="P55" i="23"/>
  <c r="O56" i="23"/>
  <c r="L56" i="23"/>
  <c r="E59" i="25" l="1"/>
  <c r="E69" i="25"/>
  <c r="H34" i="70"/>
  <c r="H77" i="70"/>
  <c r="H78" i="70" s="1"/>
  <c r="H79" i="70" s="1"/>
  <c r="D33" i="71" s="1"/>
  <c r="D35" i="71" s="1"/>
  <c r="H91" i="70"/>
  <c r="H92" i="70" s="1"/>
  <c r="H93" i="70" s="1"/>
  <c r="L33" i="71" s="1"/>
  <c r="L35" i="71" s="1"/>
  <c r="I34" i="70"/>
  <c r="I91" i="70"/>
  <c r="I92" i="70" s="1"/>
  <c r="I93" i="70" s="1"/>
  <c r="M33" i="71" s="1"/>
  <c r="M35" i="71" s="1"/>
  <c r="I77" i="70"/>
  <c r="I78" i="70" s="1"/>
  <c r="I79" i="70" s="1"/>
  <c r="E33" i="71" s="1"/>
  <c r="E35" i="71" s="1"/>
  <c r="I33" i="70"/>
  <c r="G143" i="38"/>
  <c r="O143" i="38" s="1"/>
  <c r="I143" i="75"/>
  <c r="S143" i="75" s="1"/>
  <c r="I35" i="70"/>
  <c r="I37" i="70" s="1"/>
  <c r="I46" i="70" s="1"/>
  <c r="J47" i="70" s="1"/>
  <c r="J49" i="70" s="1"/>
  <c r="H33" i="70"/>
  <c r="H35" i="70" s="1"/>
  <c r="H37" i="70" s="1"/>
  <c r="H46" i="70" s="1"/>
  <c r="D57" i="23"/>
  <c r="C58" i="23"/>
  <c r="X55" i="23"/>
  <c r="W56" i="23"/>
  <c r="O57" i="23"/>
  <c r="P56" i="23"/>
  <c r="L57" i="23"/>
  <c r="I48" i="70" l="1"/>
  <c r="I144" i="75"/>
  <c r="S144" i="75" s="1"/>
  <c r="G144" i="38"/>
  <c r="O144" i="38" s="1"/>
  <c r="I47" i="70"/>
  <c r="H48" i="70"/>
  <c r="H49" i="70" s="1"/>
  <c r="F55" i="70" s="1"/>
  <c r="D58" i="23"/>
  <c r="C59" i="23"/>
  <c r="X56" i="23"/>
  <c r="W57" i="23"/>
  <c r="O58" i="23"/>
  <c r="P57" i="23"/>
  <c r="L58" i="23"/>
  <c r="I49" i="70" l="1"/>
  <c r="G55" i="70" s="1"/>
  <c r="G56" i="70" s="1"/>
  <c r="C19" i="23"/>
  <c r="I145" i="75"/>
  <c r="S145" i="75" s="1"/>
  <c r="G145" i="38"/>
  <c r="O145" i="38" s="1"/>
  <c r="N37" i="25"/>
  <c r="N30" i="153" s="1"/>
  <c r="N37" i="152"/>
  <c r="F56" i="70"/>
  <c r="F60" i="70"/>
  <c r="D11" i="71" s="1"/>
  <c r="D13" i="71" s="1"/>
  <c r="D59" i="23"/>
  <c r="W58" i="23"/>
  <c r="X57" i="23"/>
  <c r="P58" i="23"/>
  <c r="O59" i="23"/>
  <c r="L59" i="23"/>
  <c r="K19" i="23"/>
  <c r="O2" i="34"/>
  <c r="Q2" i="30"/>
  <c r="G60" i="70" l="1"/>
  <c r="G61" i="70" s="1"/>
  <c r="E3" i="153"/>
  <c r="N39" i="25"/>
  <c r="N32" i="153" s="1"/>
  <c r="N39" i="152"/>
  <c r="E47" i="152"/>
  <c r="U17" i="152"/>
  <c r="E47" i="25"/>
  <c r="X17" i="25"/>
  <c r="F61" i="70"/>
  <c r="D19" i="23"/>
  <c r="C21" i="23"/>
  <c r="L19" i="23"/>
  <c r="K21" i="23"/>
  <c r="X58" i="23"/>
  <c r="W59" i="23"/>
  <c r="P59" i="23"/>
  <c r="O19" i="23"/>
  <c r="T2" i="28"/>
  <c r="R2" i="30"/>
  <c r="O3" i="34"/>
  <c r="E11" i="71" l="1"/>
  <c r="E13" i="71" s="1"/>
  <c r="E58" i="25"/>
  <c r="E68" i="25"/>
  <c r="E5" i="153"/>
  <c r="N40" i="25"/>
  <c r="N33" i="153" s="1"/>
  <c r="N40" i="152"/>
  <c r="E49" i="152"/>
  <c r="U19" i="152"/>
  <c r="E49" i="25"/>
  <c r="X19" i="25"/>
  <c r="AH16" i="17"/>
  <c r="AJ16" i="17" s="1"/>
  <c r="L24" i="57"/>
  <c r="I24" i="152" s="1"/>
  <c r="P19" i="23"/>
  <c r="O21" i="23"/>
  <c r="X59" i="23"/>
  <c r="W19" i="23"/>
  <c r="Q3" i="30"/>
  <c r="T3" i="28"/>
  <c r="L2" i="32"/>
  <c r="M2" i="32" s="1"/>
  <c r="O4" i="34"/>
  <c r="Q4" i="30"/>
  <c r="S2" i="30"/>
  <c r="U2" i="28"/>
  <c r="E60" i="25" l="1"/>
  <c r="E70" i="25"/>
  <c r="E6" i="153"/>
  <c r="O6" i="25"/>
  <c r="N6" i="152"/>
  <c r="C16" i="152" s="1"/>
  <c r="E16" i="152" s="1"/>
  <c r="E50" i="25"/>
  <c r="E71" i="25" s="1"/>
  <c r="X20" i="25"/>
  <c r="N42" i="25"/>
  <c r="N35" i="153" s="1"/>
  <c r="N42" i="152"/>
  <c r="E50" i="152"/>
  <c r="U20" i="152"/>
  <c r="AW16" i="17"/>
  <c r="U3" i="28"/>
  <c r="K29" i="57"/>
  <c r="L29" i="57" s="1"/>
  <c r="N24" i="152" s="1"/>
  <c r="C31" i="152" s="1"/>
  <c r="E31" i="152" s="1"/>
  <c r="R3" i="30"/>
  <c r="S3" i="30" s="1"/>
  <c r="K20" i="24"/>
  <c r="L20" i="24" s="1"/>
  <c r="O24" i="25" s="1"/>
  <c r="H21" i="73"/>
  <c r="J21" i="73" s="1"/>
  <c r="X19" i="23"/>
  <c r="W21" i="23"/>
  <c r="L3" i="32"/>
  <c r="M3" i="32" s="1"/>
  <c r="O5" i="34"/>
  <c r="Q5" i="30"/>
  <c r="T4" i="28"/>
  <c r="R4" i="30"/>
  <c r="E61" i="25" l="1"/>
  <c r="N36" i="153"/>
  <c r="E8" i="153"/>
  <c r="E52" i="152"/>
  <c r="U22" i="152"/>
  <c r="E52" i="25"/>
  <c r="E73" i="25" s="1"/>
  <c r="X22" i="25"/>
  <c r="C50" i="152"/>
  <c r="J16" i="152"/>
  <c r="H16" i="152"/>
  <c r="U7" i="152" s="1"/>
  <c r="N43" i="152"/>
  <c r="U23" i="152" s="1"/>
  <c r="N43" i="25"/>
  <c r="X23" i="25" s="1"/>
  <c r="D50" i="152"/>
  <c r="U13" i="152"/>
  <c r="AY16" i="17"/>
  <c r="N8" i="152" s="1"/>
  <c r="C18" i="152" s="1"/>
  <c r="E18" i="152" s="1"/>
  <c r="C16" i="25"/>
  <c r="T5" i="28"/>
  <c r="L4" i="32"/>
  <c r="M4" i="32" s="1"/>
  <c r="R5" i="30"/>
  <c r="S5" i="30" s="1"/>
  <c r="O6" i="34"/>
  <c r="Q6" i="30"/>
  <c r="S4" i="30"/>
  <c r="U4" i="28"/>
  <c r="E74" i="25" l="1"/>
  <c r="E53" i="25"/>
  <c r="E63" i="25"/>
  <c r="E64" i="25" s="1"/>
  <c r="E9" i="153"/>
  <c r="E53" i="152"/>
  <c r="C52" i="152"/>
  <c r="J18" i="152"/>
  <c r="H18" i="152"/>
  <c r="U9" i="152" s="1"/>
  <c r="O8" i="25"/>
  <c r="E16" i="25"/>
  <c r="N16" i="153" s="1"/>
  <c r="U5" i="28"/>
  <c r="C31" i="25"/>
  <c r="T6" i="28"/>
  <c r="L5" i="32"/>
  <c r="M5" i="32" s="1"/>
  <c r="R6" i="30"/>
  <c r="O7" i="34"/>
  <c r="Q7" i="30"/>
  <c r="C6" i="153" l="1"/>
  <c r="J16" i="25"/>
  <c r="C18" i="25"/>
  <c r="C50" i="25"/>
  <c r="H16" i="25"/>
  <c r="X7" i="25" s="1"/>
  <c r="E31" i="25"/>
  <c r="U6" i="28"/>
  <c r="T7" i="28"/>
  <c r="L6" i="32"/>
  <c r="M6" i="32" s="1"/>
  <c r="S6" i="30"/>
  <c r="O8" i="34"/>
  <c r="R7" i="30"/>
  <c r="C61" i="25" l="1"/>
  <c r="C71" i="25"/>
  <c r="X13" i="25"/>
  <c r="N24" i="153"/>
  <c r="E18" i="25"/>
  <c r="D50" i="25"/>
  <c r="U7" i="28"/>
  <c r="Q8" i="30"/>
  <c r="R8" i="30" s="1"/>
  <c r="T8" i="28"/>
  <c r="L7" i="32"/>
  <c r="M7" i="32" s="1"/>
  <c r="O9" i="34"/>
  <c r="Q9" i="30"/>
  <c r="S7" i="30"/>
  <c r="D61" i="25" l="1"/>
  <c r="D71" i="25"/>
  <c r="D6" i="153"/>
  <c r="H18" i="25"/>
  <c r="X9" i="25" s="1"/>
  <c r="N18" i="153"/>
  <c r="J18" i="25"/>
  <c r="C52" i="25"/>
  <c r="U8" i="28"/>
  <c r="S8" i="30"/>
  <c r="T9" i="28"/>
  <c r="L8" i="32"/>
  <c r="M8" i="32" s="1"/>
  <c r="R9" i="30"/>
  <c r="O10" i="34"/>
  <c r="C63" i="25" l="1"/>
  <c r="C73" i="25"/>
  <c r="C8" i="153"/>
  <c r="U9" i="28"/>
  <c r="Q10" i="30"/>
  <c r="R10" i="30" s="1"/>
  <c r="T10" i="28"/>
  <c r="L9" i="32"/>
  <c r="M9" i="32" s="1"/>
  <c r="S9" i="30"/>
  <c r="O11" i="34"/>
  <c r="S10" i="30" l="1"/>
  <c r="U10" i="28"/>
  <c r="T11" i="28"/>
  <c r="Q11" i="30"/>
  <c r="R11" i="30" s="1"/>
  <c r="L10" i="32"/>
  <c r="M10" i="32" s="1"/>
  <c r="O12" i="34"/>
  <c r="S11" i="30" l="1"/>
  <c r="U11" i="28"/>
  <c r="T12" i="28"/>
  <c r="Q12" i="30"/>
  <c r="R12" i="30" s="1"/>
  <c r="L11" i="32"/>
  <c r="M11" i="32" s="1"/>
  <c r="O13" i="34"/>
  <c r="S12" i="30" l="1"/>
  <c r="U12" i="28"/>
  <c r="T13" i="28"/>
  <c r="Q13" i="30"/>
  <c r="L12" i="32"/>
  <c r="M12" i="32" s="1"/>
  <c r="O14" i="34"/>
  <c r="Q14" i="30"/>
  <c r="R13" i="30" l="1"/>
  <c r="T13" i="30"/>
  <c r="T14" i="30" s="1"/>
  <c r="T15" i="30" s="1"/>
  <c r="S13" i="30"/>
  <c r="U13" i="28"/>
  <c r="L13" i="32"/>
  <c r="M13" i="32" s="1"/>
  <c r="T14" i="28"/>
  <c r="R14" i="30"/>
  <c r="O15" i="34"/>
  <c r="Q15" i="30" l="1"/>
  <c r="T15" i="28"/>
  <c r="L14" i="32"/>
  <c r="M14" i="32" s="1"/>
  <c r="O16" i="34"/>
  <c r="Q16" i="30"/>
  <c r="S14" i="30"/>
  <c r="U14" i="28"/>
  <c r="U15" i="28" l="1"/>
  <c r="R15" i="30"/>
  <c r="S15" i="30" s="1"/>
  <c r="L15" i="32"/>
  <c r="M15" i="32" s="1"/>
  <c r="O17" i="34"/>
  <c r="Q17" i="30"/>
  <c r="T16" i="28"/>
  <c r="R16" i="30"/>
  <c r="L16" i="32" l="1"/>
  <c r="M16" i="32" s="1"/>
  <c r="U16" i="28"/>
  <c r="T17" i="28"/>
  <c r="S16" i="30"/>
  <c r="O18" i="34"/>
  <c r="Q18" i="30"/>
  <c r="R17" i="30"/>
  <c r="L17" i="32" l="1"/>
  <c r="M17" i="32" s="1"/>
  <c r="R18" i="30"/>
  <c r="S17" i="30"/>
  <c r="T18" i="28"/>
  <c r="O19" i="34"/>
  <c r="Q19" i="30"/>
  <c r="U17" i="28"/>
  <c r="T19" i="28" l="1"/>
  <c r="L18" i="32"/>
  <c r="M18" i="32" s="1"/>
  <c r="U18" i="28"/>
  <c r="O20" i="34"/>
  <c r="R19" i="30"/>
  <c r="S18" i="30"/>
  <c r="U19" i="28" l="1"/>
  <c r="Q20" i="30"/>
  <c r="R20" i="30" s="1"/>
  <c r="S20" i="30" s="1"/>
  <c r="L19" i="32"/>
  <c r="M19" i="32" s="1"/>
  <c r="S19" i="30"/>
  <c r="T20" i="28"/>
  <c r="O21" i="34"/>
  <c r="Q21" i="30"/>
  <c r="T21" i="28" l="1"/>
  <c r="L20" i="32"/>
  <c r="M20" i="32" s="1"/>
  <c r="O22" i="34"/>
  <c r="R21" i="30"/>
  <c r="U20" i="28"/>
  <c r="U21" i="28" l="1"/>
  <c r="T22" i="28"/>
  <c r="Q22" i="30"/>
  <c r="R22" i="30" s="1"/>
  <c r="L21" i="32"/>
  <c r="M21" i="32" s="1"/>
  <c r="O23" i="34"/>
  <c r="S21" i="30"/>
  <c r="U22" i="28" l="1"/>
  <c r="S22" i="30"/>
  <c r="Q23" i="30"/>
  <c r="R23" i="30" s="1"/>
  <c r="T23" i="28"/>
  <c r="L22" i="32"/>
  <c r="M22" i="32" s="1"/>
  <c r="O24" i="34"/>
  <c r="U23" i="28" l="1"/>
  <c r="S23" i="30"/>
  <c r="Q24" i="30"/>
  <c r="R24" i="30" s="1"/>
  <c r="T24" i="28"/>
  <c r="L23" i="32"/>
  <c r="M23" i="32" s="1"/>
  <c r="O25" i="34"/>
  <c r="U24" i="28" l="1"/>
  <c r="S24" i="30"/>
  <c r="T25" i="28"/>
  <c r="U25" i="28" s="1"/>
  <c r="Q25" i="30"/>
  <c r="L24" i="32"/>
  <c r="M24" i="32" s="1"/>
  <c r="Q26" i="30"/>
  <c r="O26" i="34"/>
  <c r="R25" i="30" l="1"/>
  <c r="T25" i="30"/>
  <c r="T26" i="30" s="1"/>
  <c r="T27" i="30" s="1"/>
  <c r="S25" i="30"/>
  <c r="L25" i="32"/>
  <c r="M25" i="32" s="1"/>
  <c r="R26" i="30"/>
  <c r="T26" i="28"/>
  <c r="O27" i="34"/>
  <c r="Q27" i="30" l="1"/>
  <c r="T27" i="28"/>
  <c r="L26" i="32"/>
  <c r="M26" i="32" s="1"/>
  <c r="O28" i="34"/>
  <c r="Q28" i="30"/>
  <c r="U26" i="28"/>
  <c r="S26" i="30"/>
  <c r="U27" i="28" l="1"/>
  <c r="R27" i="30"/>
  <c r="S27" i="30" s="1"/>
  <c r="L27" i="32"/>
  <c r="M27" i="32" s="1"/>
  <c r="R28" i="30"/>
  <c r="O29" i="34"/>
  <c r="Q29" i="30"/>
  <c r="T28" i="28"/>
  <c r="S28" i="30" l="1"/>
  <c r="T29" i="28"/>
  <c r="U29" i="28" s="1"/>
  <c r="L28" i="32"/>
  <c r="M28" i="32" s="1"/>
  <c r="R29" i="30"/>
  <c r="U28" i="28"/>
  <c r="O30" i="34"/>
  <c r="Q30" i="30"/>
  <c r="L29" i="32" l="1"/>
  <c r="M29" i="32" s="1"/>
  <c r="S29" i="30"/>
  <c r="R30" i="30"/>
  <c r="T30" i="28"/>
  <c r="O31" i="34"/>
  <c r="S30" i="30" l="1"/>
  <c r="T31" i="28"/>
  <c r="Q31" i="30"/>
  <c r="R31" i="30" s="1"/>
  <c r="S31" i="30" s="1"/>
  <c r="L30" i="32"/>
  <c r="M30" i="32" s="1"/>
  <c r="U30" i="28"/>
  <c r="O32" i="34"/>
  <c r="Q32" i="30"/>
  <c r="U31" i="28" l="1"/>
  <c r="L31" i="32"/>
  <c r="M31" i="32" s="1"/>
  <c r="T32" i="28"/>
  <c r="O33" i="34"/>
  <c r="R32" i="30"/>
  <c r="Q33" i="30" l="1"/>
  <c r="R33" i="30" s="1"/>
  <c r="S33" i="30" s="1"/>
  <c r="T33" i="28"/>
  <c r="L32" i="32"/>
  <c r="M32" i="32" s="1"/>
  <c r="S32" i="30"/>
  <c r="O34" i="34"/>
  <c r="U32" i="28"/>
  <c r="U33" i="28" l="1"/>
  <c r="Q34" i="30"/>
  <c r="R34" i="30" s="1"/>
  <c r="S34" i="30" s="1"/>
  <c r="L33" i="32"/>
  <c r="M33" i="32" s="1"/>
  <c r="T34" i="28"/>
  <c r="O35" i="34"/>
  <c r="Q35" i="30" l="1"/>
  <c r="R35" i="30" s="1"/>
  <c r="S35" i="30" s="1"/>
  <c r="T35" i="28"/>
  <c r="U35" i="28" s="1"/>
  <c r="L34" i="32"/>
  <c r="M34" i="32" s="1"/>
  <c r="O36" i="34"/>
  <c r="U34" i="28"/>
  <c r="T36" i="28" l="1"/>
  <c r="U36" i="28" s="1"/>
  <c r="Q36" i="30"/>
  <c r="R36" i="30" s="1"/>
  <c r="S36" i="30" s="1"/>
  <c r="L35" i="32"/>
  <c r="M35" i="32" s="1"/>
  <c r="O37" i="34"/>
  <c r="Q37" i="30" l="1"/>
  <c r="T37" i="28"/>
  <c r="U37" i="28" s="1"/>
  <c r="L36" i="32"/>
  <c r="M36" i="32" s="1"/>
  <c r="O38" i="34"/>
  <c r="Q38" i="30"/>
  <c r="R37" i="30" l="1"/>
  <c r="S37" i="30" s="1"/>
  <c r="T37" i="30"/>
  <c r="T38" i="30" s="1"/>
  <c r="T39" i="30" s="1"/>
  <c r="L37" i="32"/>
  <c r="M37" i="32" s="1"/>
  <c r="R38" i="30"/>
  <c r="T38" i="28"/>
  <c r="O39" i="34"/>
  <c r="Q39" i="30" l="1"/>
  <c r="T39" i="28"/>
  <c r="U39" i="28" s="1"/>
  <c r="L38" i="32"/>
  <c r="M38" i="32" s="1"/>
  <c r="S38" i="30"/>
  <c r="U38" i="28"/>
  <c r="O40" i="34"/>
  <c r="Q40" i="30"/>
  <c r="R39" i="30" l="1"/>
  <c r="S39" i="30" s="1"/>
  <c r="L39" i="32"/>
  <c r="M39" i="32" s="1"/>
  <c r="R40" i="30"/>
  <c r="S40" i="30" s="1"/>
  <c r="O41" i="34"/>
  <c r="Q41" i="30"/>
  <c r="T40" i="28"/>
  <c r="T41" i="28" l="1"/>
  <c r="U41" i="28" s="1"/>
  <c r="L40" i="32"/>
  <c r="M40" i="32" s="1"/>
  <c r="R41" i="30"/>
  <c r="Q42" i="30"/>
  <c r="O42" i="34"/>
  <c r="U40" i="28"/>
  <c r="R42" i="30" l="1"/>
  <c r="S42" i="30" s="1"/>
  <c r="S41" i="30"/>
  <c r="T42" i="28"/>
  <c r="O43" i="34"/>
  <c r="Q43" i="30"/>
  <c r="T43" i="28" l="1"/>
  <c r="U43" i="28" s="1"/>
  <c r="L42" i="32"/>
  <c r="M42" i="32" s="1"/>
  <c r="R43" i="30"/>
  <c r="U42" i="28"/>
  <c r="O44" i="34"/>
  <c r="Q44" i="30"/>
  <c r="L43" i="32" l="1"/>
  <c r="M43" i="32" s="1"/>
  <c r="R44" i="30"/>
  <c r="S44" i="30" s="1"/>
  <c r="T44" i="28"/>
  <c r="O45" i="34"/>
  <c r="S43" i="30"/>
  <c r="Q45" i="30" l="1"/>
  <c r="R45" i="30" s="1"/>
  <c r="S45" i="30" s="1"/>
  <c r="L44" i="32"/>
  <c r="M44" i="32" s="1"/>
  <c r="T45" i="28"/>
  <c r="U45" i="28" s="1"/>
  <c r="O46" i="34"/>
  <c r="U44" i="28"/>
  <c r="Q46" i="30" l="1"/>
  <c r="R46" i="30" s="1"/>
  <c r="S46" i="30" s="1"/>
  <c r="L45" i="32"/>
  <c r="M45" i="32" s="1"/>
  <c r="T46" i="28"/>
  <c r="O47" i="34"/>
  <c r="Q47" i="30" l="1"/>
  <c r="T47" i="28"/>
  <c r="U47" i="28" s="1"/>
  <c r="L46" i="32"/>
  <c r="M46" i="32" s="1"/>
  <c r="O48" i="34"/>
  <c r="U46" i="28"/>
  <c r="T48" i="28" l="1"/>
  <c r="U48" i="28" s="1"/>
  <c r="Q48" i="30"/>
  <c r="R48" i="30" s="1"/>
  <c r="S48" i="30" s="1"/>
  <c r="L47" i="32"/>
  <c r="M47" i="32" s="1"/>
  <c r="O49" i="34"/>
  <c r="Q49" i="30" l="1"/>
  <c r="T49" i="28"/>
  <c r="U49" i="28" s="1"/>
  <c r="L48" i="32"/>
  <c r="M48" i="32" s="1"/>
  <c r="O50" i="34"/>
  <c r="Q50" i="30"/>
  <c r="R49" i="30" l="1"/>
  <c r="S49" i="30" s="1"/>
  <c r="T49" i="30"/>
  <c r="L49" i="32"/>
  <c r="M49" i="32" s="1"/>
  <c r="R50" i="30"/>
  <c r="T50" i="28"/>
  <c r="O51" i="34"/>
  <c r="Q51" i="30" l="1"/>
  <c r="T51" i="28"/>
  <c r="U51" i="28" s="1"/>
  <c r="L50" i="32"/>
  <c r="M50" i="32" s="1"/>
  <c r="O52" i="34"/>
  <c r="Q52" i="30"/>
  <c r="U50" i="28"/>
  <c r="S50" i="30"/>
  <c r="R51" i="30" l="1"/>
  <c r="S51" i="30" s="1"/>
  <c r="T52" i="28"/>
  <c r="L51" i="32"/>
  <c r="M51" i="32" s="1"/>
  <c r="R52" i="30"/>
  <c r="O53" i="34"/>
  <c r="Q53" i="30"/>
  <c r="U52" i="28" l="1"/>
  <c r="L52" i="32"/>
  <c r="M52" i="32" s="1"/>
  <c r="R53" i="30"/>
  <c r="S53" i="30" s="1"/>
  <c r="S52" i="30"/>
  <c r="T53" i="28"/>
  <c r="O54" i="34"/>
  <c r="Q54" i="30"/>
  <c r="T54" i="28" l="1"/>
  <c r="L53" i="32"/>
  <c r="M53" i="32" s="1"/>
  <c r="R54" i="30"/>
  <c r="S54" i="30" s="1"/>
  <c r="O55" i="34"/>
  <c r="Q55" i="30"/>
  <c r="U53" i="28"/>
  <c r="U54" i="28" l="1"/>
  <c r="T55" i="28"/>
  <c r="U55" i="28" s="1"/>
  <c r="L54" i="32"/>
  <c r="M54" i="32" s="1"/>
  <c r="R55" i="30"/>
  <c r="O56" i="34"/>
  <c r="Q56" i="30"/>
  <c r="T56" i="28" l="1"/>
  <c r="L55" i="32"/>
  <c r="M55" i="32" s="1"/>
  <c r="O57" i="34"/>
  <c r="Q57" i="30"/>
  <c r="S55" i="30"/>
  <c r="R56" i="30"/>
  <c r="S56" i="30" s="1"/>
  <c r="U56" i="28" l="1"/>
  <c r="T57" i="28"/>
  <c r="U57" i="28" s="1"/>
  <c r="L56" i="32"/>
  <c r="M56" i="32" s="1"/>
  <c r="R57" i="30"/>
  <c r="O58" i="34"/>
  <c r="Q58" i="30" l="1"/>
  <c r="R58" i="30" s="1"/>
  <c r="S58" i="30" s="1"/>
  <c r="T58" i="28"/>
  <c r="U58" i="28" s="1"/>
  <c r="L57" i="32"/>
  <c r="M57" i="32" s="1"/>
  <c r="O59" i="34"/>
  <c r="S57" i="30"/>
  <c r="Q59" i="30" l="1"/>
  <c r="R59" i="30" s="1"/>
  <c r="S59" i="30" s="1"/>
  <c r="T59" i="28"/>
  <c r="U59" i="28" s="1"/>
  <c r="L58" i="32"/>
  <c r="M58" i="32" s="1"/>
  <c r="O60" i="34"/>
  <c r="T60" i="28" l="1"/>
  <c r="U60" i="28" s="1"/>
  <c r="Q60" i="30"/>
  <c r="R60" i="30" s="1"/>
  <c r="S60" i="30" s="1"/>
  <c r="L59" i="32"/>
  <c r="M59" i="32" s="1"/>
  <c r="O61" i="34"/>
  <c r="Q61" i="30" l="1"/>
  <c r="R61" i="30" s="1"/>
  <c r="S61" i="30" s="1"/>
  <c r="T61" i="28"/>
  <c r="U61" i="28" s="1"/>
  <c r="L60" i="32"/>
  <c r="M60" i="32" s="1"/>
  <c r="O62" i="34"/>
  <c r="Q62" i="30"/>
  <c r="L61" i="32" l="1"/>
  <c r="M61" i="32" s="1"/>
  <c r="O63" i="34"/>
  <c r="Q63" i="30" l="1"/>
  <c r="O64" i="34"/>
  <c r="Q64" i="30"/>
  <c r="O65" i="34" l="1"/>
  <c r="Q65" i="30" l="1"/>
  <c r="O66" i="34"/>
  <c r="Q66" i="30"/>
  <c r="O67" i="34" l="1"/>
  <c r="Q67" i="30" l="1"/>
  <c r="O68" i="34"/>
  <c r="Q68" i="30"/>
  <c r="O69" i="34" l="1"/>
  <c r="Q69" i="30" l="1"/>
  <c r="Q70" i="30"/>
  <c r="O70" i="34"/>
  <c r="O71" i="34" l="1"/>
  <c r="Q71" i="30" l="1"/>
  <c r="O72" i="34"/>
  <c r="Q74" i="30" l="1"/>
  <c r="Q72" i="30"/>
  <c r="Q73" i="30"/>
  <c r="Q75" i="30" l="1"/>
  <c r="J4" i="15"/>
  <c r="J5" i="15"/>
  <c r="J6" i="15"/>
  <c r="J7" i="15"/>
  <c r="J8" i="15"/>
  <c r="O73" i="34"/>
  <c r="D4" i="15"/>
  <c r="D5" i="15"/>
  <c r="D6" i="15"/>
  <c r="D7" i="15"/>
  <c r="D8" i="15"/>
  <c r="E6" i="15" l="1"/>
  <c r="E5" i="15"/>
  <c r="E7" i="15"/>
  <c r="E4" i="15"/>
  <c r="E8" i="15"/>
  <c r="Q76" i="30"/>
  <c r="O74" i="34"/>
  <c r="Q6" i="15" l="1"/>
  <c r="Q5" i="15"/>
  <c r="Q4" i="15"/>
  <c r="Q77" i="30"/>
  <c r="O75" i="34"/>
  <c r="Q78" i="30" l="1"/>
  <c r="O76" i="34"/>
  <c r="Q79" i="30" l="1"/>
  <c r="O77" i="34"/>
  <c r="Q80" i="30" l="1"/>
  <c r="O78" i="34"/>
  <c r="Q81" i="30" l="1"/>
  <c r="O79" i="34"/>
  <c r="Q82" i="30" l="1"/>
  <c r="O80" i="34"/>
  <c r="Q83" i="30" l="1"/>
  <c r="O81" i="34"/>
  <c r="Q84" i="30" l="1"/>
  <c r="O82" i="34"/>
  <c r="Q85" i="30" l="1"/>
  <c r="O83" i="34"/>
  <c r="Q86" i="30" l="1"/>
  <c r="O84" i="34"/>
  <c r="Q87" i="30" l="1"/>
  <c r="O85" i="34"/>
  <c r="Q88" i="30" l="1"/>
  <c r="O86" i="34"/>
  <c r="Q89" i="30" l="1"/>
  <c r="O87" i="34"/>
  <c r="Q90" i="30" l="1"/>
  <c r="O88" i="34"/>
  <c r="Q91" i="30" l="1"/>
  <c r="O89" i="34"/>
  <c r="Q92" i="30" l="1"/>
  <c r="O90" i="34"/>
  <c r="Q93" i="30" l="1"/>
  <c r="O91" i="34"/>
  <c r="Q94" i="30" l="1"/>
  <c r="O92" i="34"/>
  <c r="Q95" i="30" l="1"/>
  <c r="O93" i="34"/>
  <c r="Q96" i="30" l="1"/>
  <c r="O94" i="34"/>
  <c r="Q97" i="30" l="1"/>
  <c r="O95" i="34"/>
  <c r="Q98" i="30" l="1"/>
  <c r="O96" i="34"/>
  <c r="O97" i="34" l="1"/>
  <c r="Q99" i="30"/>
  <c r="Q100" i="30" l="1"/>
  <c r="O98" i="34"/>
  <c r="O99" i="34" l="1"/>
  <c r="Q101" i="30"/>
  <c r="E9" i="25"/>
  <c r="G9" i="25"/>
  <c r="C9" i="25"/>
  <c r="D9" i="25"/>
  <c r="F9" i="25"/>
  <c r="H9" i="25"/>
  <c r="Q102" i="30" l="1"/>
  <c r="O100" i="34"/>
  <c r="F8" i="57"/>
  <c r="O101" i="34" l="1"/>
  <c r="Q103" i="30"/>
  <c r="Q104" i="30" l="1"/>
  <c r="O102" i="34"/>
  <c r="O103" i="34" l="1"/>
  <c r="Q105" i="30"/>
  <c r="Q106" i="30" l="1"/>
  <c r="O104" i="34"/>
  <c r="O105" i="34" l="1"/>
  <c r="Q107" i="30"/>
  <c r="O106" i="34" l="1"/>
  <c r="Q108" i="30"/>
  <c r="K4" i="15"/>
  <c r="K5" i="15"/>
  <c r="K6" i="15"/>
  <c r="Q109" i="30" l="1"/>
  <c r="O107" i="34"/>
  <c r="O108" i="34" l="1"/>
  <c r="Q110" i="30"/>
  <c r="Q111" i="30" l="1"/>
  <c r="O109" i="34"/>
  <c r="O110" i="34" l="1"/>
  <c r="Q112" i="30"/>
  <c r="Q113" i="30" l="1"/>
  <c r="O111" i="34"/>
  <c r="Q114" i="30" l="1"/>
  <c r="O112" i="34"/>
  <c r="O113" i="34" l="1"/>
  <c r="Q115" i="30"/>
  <c r="Q116" i="30" l="1"/>
  <c r="O114" i="34"/>
  <c r="O115" i="34" l="1"/>
  <c r="Q117" i="30"/>
  <c r="O116" i="34" l="1"/>
  <c r="Q118" i="30"/>
  <c r="Q119" i="30" l="1"/>
  <c r="O117" i="34"/>
  <c r="O118" i="34" l="1"/>
  <c r="Q120" i="30"/>
  <c r="Q121" i="30" l="1"/>
  <c r="J13" i="15" s="1"/>
  <c r="O119" i="34"/>
  <c r="J9" i="15" l="1"/>
  <c r="J10" i="15"/>
  <c r="J11" i="15"/>
  <c r="J12" i="15"/>
  <c r="D9" i="15"/>
  <c r="D10" i="15"/>
  <c r="D11" i="15"/>
  <c r="D12" i="15"/>
  <c r="O120" i="34"/>
  <c r="D15" i="15" l="1"/>
  <c r="J15" i="15"/>
  <c r="J14" i="15"/>
  <c r="D14" i="15"/>
  <c r="O121" i="34"/>
  <c r="O122" i="34" l="1"/>
  <c r="O123" i="34" l="1"/>
  <c r="O124" i="34" l="1"/>
  <c r="O125" i="34" l="1"/>
  <c r="O126" i="34" l="1"/>
  <c r="O127" i="34" l="1"/>
  <c r="O134" i="34" l="1"/>
  <c r="O135" i="34" l="1"/>
  <c r="O136" i="34" l="1"/>
  <c r="O137" i="34" l="1"/>
  <c r="O138" i="34" l="1"/>
  <c r="O139" i="34" l="1"/>
  <c r="O140" i="34" l="1"/>
  <c r="O141" i="34" l="1"/>
  <c r="O142" i="34" l="1"/>
  <c r="O143" i="34" l="1"/>
  <c r="O144" i="34" l="1"/>
  <c r="O145" i="34" l="1"/>
  <c r="P147" i="76" s="1"/>
  <c r="V16" i="72" l="1"/>
  <c r="H66" i="72" s="1"/>
  <c r="H69" i="72" s="1"/>
  <c r="V18" i="72" l="1"/>
  <c r="P16" i="72"/>
  <c r="S16" i="72"/>
  <c r="Q16" i="72"/>
  <c r="Q18" i="72" s="1"/>
  <c r="R16" i="72"/>
  <c r="R18" i="72" s="1"/>
  <c r="T16" i="72"/>
  <c r="T18" i="72" s="1"/>
  <c r="U16" i="72"/>
  <c r="U18" i="72" s="1"/>
  <c r="D94" i="148" l="1"/>
  <c r="I8" i="73"/>
  <c r="C94" i="148"/>
  <c r="I7" i="73"/>
  <c r="E94" i="148"/>
  <c r="I9" i="73"/>
  <c r="V34" i="72"/>
  <c r="V48" i="72"/>
  <c r="E66" i="72"/>
  <c r="E69" i="72" s="1"/>
  <c r="S18" i="72"/>
  <c r="P18" i="72"/>
  <c r="U34" i="72"/>
  <c r="G66" i="72"/>
  <c r="G69" i="72" s="1"/>
  <c r="F8" i="73"/>
  <c r="F9" i="73"/>
  <c r="F66" i="72"/>
  <c r="F69" i="72" s="1"/>
  <c r="T34" i="72"/>
  <c r="D66" i="72"/>
  <c r="R34" i="72"/>
  <c r="Q34" i="72"/>
  <c r="S34" i="72"/>
  <c r="P34" i="72"/>
  <c r="I94" i="148" l="1"/>
  <c r="C91" i="148"/>
  <c r="F7" i="73"/>
  <c r="J66" i="72"/>
  <c r="D69" i="72"/>
  <c r="E8" i="73"/>
  <c r="D82" i="148"/>
  <c r="D85" i="148" s="1"/>
  <c r="D76" i="148"/>
  <c r="D80" i="148" s="1"/>
  <c r="D61" i="148"/>
  <c r="D67" i="148" s="1"/>
  <c r="E87" i="148"/>
  <c r="H9" i="73"/>
  <c r="C92" i="148"/>
  <c r="U48" i="72"/>
  <c r="C76" i="148"/>
  <c r="C80" i="148" s="1"/>
  <c r="R48" i="72"/>
  <c r="H8" i="73"/>
  <c r="D87" i="148"/>
  <c r="E91" i="148"/>
  <c r="E92" i="148" s="1"/>
  <c r="K9" i="73"/>
  <c r="E76" i="148"/>
  <c r="E80" i="148" s="1"/>
  <c r="P48" i="72"/>
  <c r="C61" i="148"/>
  <c r="C67" i="148" s="1"/>
  <c r="E61" i="148"/>
  <c r="E67" i="148" s="1"/>
  <c r="C87" i="148"/>
  <c r="T48" i="72"/>
  <c r="C82" i="148"/>
  <c r="C85" i="148" s="1"/>
  <c r="E7" i="73"/>
  <c r="S48" i="72"/>
  <c r="E82" i="148"/>
  <c r="E85" i="148" s="1"/>
  <c r="E9" i="73"/>
  <c r="D91" i="148"/>
  <c r="D92" i="148" s="1"/>
  <c r="K8" i="73"/>
  <c r="Q48" i="72"/>
  <c r="C69" i="148"/>
  <c r="C74" i="148" s="1"/>
  <c r="E69" i="148"/>
  <c r="E74" i="148" s="1"/>
  <c r="D69" i="148"/>
  <c r="D74" i="148" s="1"/>
  <c r="M7" i="73" l="1"/>
  <c r="T42" i="72"/>
  <c r="I74" i="148"/>
  <c r="E88" i="148"/>
  <c r="E89" i="148"/>
  <c r="M30" i="148" s="1"/>
  <c r="C88" i="148"/>
  <c r="C89" i="148"/>
  <c r="K17" i="148" s="1"/>
  <c r="D88" i="148"/>
  <c r="D89" i="148"/>
  <c r="L30" i="148" s="1"/>
  <c r="I80" i="148"/>
  <c r="I85" i="148"/>
  <c r="I67" i="148"/>
  <c r="I92" i="148"/>
  <c r="C79" i="148"/>
  <c r="C77" i="148"/>
  <c r="C78" i="148"/>
  <c r="D63" i="148"/>
  <c r="D64" i="148"/>
  <c r="D65" i="148"/>
  <c r="D66" i="148"/>
  <c r="D62" i="148"/>
  <c r="L12" i="148" s="1"/>
  <c r="L11" i="148"/>
  <c r="L42" i="148" s="1"/>
  <c r="I47" i="67" s="1"/>
  <c r="N48" i="17" s="1"/>
  <c r="C70" i="148"/>
  <c r="C71" i="148"/>
  <c r="C72" i="148"/>
  <c r="C73" i="148"/>
  <c r="C63" i="148"/>
  <c r="C64" i="148"/>
  <c r="C65" i="148"/>
  <c r="C66" i="148"/>
  <c r="C62" i="148"/>
  <c r="K12" i="148" s="1"/>
  <c r="K11" i="148"/>
  <c r="D77" i="148"/>
  <c r="D78" i="148"/>
  <c r="D79" i="148"/>
  <c r="D83" i="148"/>
  <c r="D84" i="148"/>
  <c r="D70" i="148"/>
  <c r="L13" i="148" s="1"/>
  <c r="D71" i="148"/>
  <c r="D72" i="148"/>
  <c r="D73" i="148"/>
  <c r="C84" i="148"/>
  <c r="C83" i="148"/>
  <c r="E63" i="148"/>
  <c r="E64" i="148"/>
  <c r="E65" i="148"/>
  <c r="E66" i="148"/>
  <c r="E62" i="148"/>
  <c r="M12" i="148" s="1"/>
  <c r="M11" i="148"/>
  <c r="M42" i="148" s="1"/>
  <c r="M41" i="67" s="1"/>
  <c r="X48" i="17" s="1"/>
  <c r="E77" i="148"/>
  <c r="E78" i="148"/>
  <c r="E79" i="148"/>
  <c r="E83" i="148"/>
  <c r="E84" i="148"/>
  <c r="E70" i="148"/>
  <c r="E71" i="148"/>
  <c r="E72" i="148"/>
  <c r="E73" i="148"/>
  <c r="N9" i="73"/>
  <c r="O9" i="73"/>
  <c r="M9" i="73"/>
  <c r="M8" i="73"/>
  <c r="N8" i="73"/>
  <c r="O8" i="73"/>
  <c r="D14" i="152" s="1"/>
  <c r="E12" i="73"/>
  <c r="K7" i="73"/>
  <c r="O7" i="73" s="1"/>
  <c r="D13" i="152" s="1"/>
  <c r="I12" i="73"/>
  <c r="K12" i="73" s="1"/>
  <c r="I91" i="148"/>
  <c r="H7" i="73"/>
  <c r="N7" i="73" s="1"/>
  <c r="F12" i="73"/>
  <c r="H12" i="73" s="1"/>
  <c r="U42" i="72"/>
  <c r="R42" i="72"/>
  <c r="P42" i="72"/>
  <c r="S42" i="72"/>
  <c r="Q42" i="72"/>
  <c r="I61" i="148"/>
  <c r="C12" i="73"/>
  <c r="I76" i="148"/>
  <c r="I87" i="148"/>
  <c r="I69" i="148"/>
  <c r="I82" i="148"/>
  <c r="O84" i="72"/>
  <c r="P84" i="72"/>
  <c r="P87" i="72" s="1"/>
  <c r="Q84" i="72"/>
  <c r="Q87" i="72" s="1"/>
  <c r="J69" i="72"/>
  <c r="K15" i="148" l="1"/>
  <c r="D15" i="152"/>
  <c r="D20" i="73"/>
  <c r="D22" i="73" s="1"/>
  <c r="D19" i="152"/>
  <c r="K30" i="148"/>
  <c r="Q48" i="17"/>
  <c r="O48" i="17"/>
  <c r="AA48" i="17"/>
  <c r="Y48" i="17"/>
  <c r="K28" i="148"/>
  <c r="M13" i="148"/>
  <c r="M44" i="148" s="1"/>
  <c r="I88" i="148"/>
  <c r="I89" i="148"/>
  <c r="L29" i="148"/>
  <c r="L28" i="148"/>
  <c r="M29" i="148"/>
  <c r="M28" i="148"/>
  <c r="K29" i="148"/>
  <c r="M43" i="148"/>
  <c r="J47" i="67"/>
  <c r="N8" i="17"/>
  <c r="L43" i="148"/>
  <c r="N41" i="67"/>
  <c r="X8" i="17"/>
  <c r="K42" i="148"/>
  <c r="Q11" i="148"/>
  <c r="Q12" i="148"/>
  <c r="K43" i="148"/>
  <c r="E78" i="67" s="1"/>
  <c r="E30" i="149" s="1"/>
  <c r="I62" i="148"/>
  <c r="K13" i="148"/>
  <c r="D15" i="25"/>
  <c r="I22" i="73"/>
  <c r="L14" i="148"/>
  <c r="D14" i="25"/>
  <c r="L44" i="148"/>
  <c r="M14" i="148"/>
  <c r="U84" i="72"/>
  <c r="O87" i="72"/>
  <c r="U87" i="72" s="1"/>
  <c r="I77" i="148"/>
  <c r="I84" i="148"/>
  <c r="I83" i="148"/>
  <c r="I70" i="148"/>
  <c r="AB41" i="67" l="1"/>
  <c r="D41" i="77"/>
  <c r="D41" i="36"/>
  <c r="E75" i="67"/>
  <c r="E27" i="149" s="1"/>
  <c r="E77" i="67"/>
  <c r="E29" i="149" s="1"/>
  <c r="E76" i="67"/>
  <c r="E28" i="149" s="1"/>
  <c r="E74" i="67"/>
  <c r="E85" i="67"/>
  <c r="E37" i="149" s="1"/>
  <c r="E84" i="67"/>
  <c r="E36" i="149" s="1"/>
  <c r="E83" i="67"/>
  <c r="E35" i="149" s="1"/>
  <c r="E82" i="67"/>
  <c r="E34" i="149" s="1"/>
  <c r="E62" i="67"/>
  <c r="E63" i="67"/>
  <c r="E64" i="67"/>
  <c r="E65" i="67"/>
  <c r="E66" i="67"/>
  <c r="E72" i="67"/>
  <c r="E67" i="67"/>
  <c r="E68" i="67"/>
  <c r="E69" i="67"/>
  <c r="E70" i="67"/>
  <c r="E22" i="149" s="1"/>
  <c r="E71" i="67"/>
  <c r="E73" i="67"/>
  <c r="E81" i="67"/>
  <c r="E33" i="149" s="1"/>
  <c r="K44" i="148"/>
  <c r="E80" i="67"/>
  <c r="E32" i="149" s="1"/>
  <c r="E79" i="67"/>
  <c r="E31" i="149" s="1"/>
  <c r="AA8" i="17"/>
  <c r="Y8" i="17"/>
  <c r="DR41" i="4"/>
  <c r="DL41" i="67"/>
  <c r="DI41" i="67"/>
  <c r="DM41" i="67"/>
  <c r="D41" i="32"/>
  <c r="Q8" i="17"/>
  <c r="O8" i="17"/>
  <c r="DQ47" i="4"/>
  <c r="DH47" i="67"/>
  <c r="D47" i="76"/>
  <c r="D47" i="34"/>
  <c r="DF47" i="67"/>
  <c r="DG47" i="67" s="1"/>
  <c r="D47" i="30"/>
  <c r="Q13" i="148"/>
  <c r="F70" i="67"/>
  <c r="F22" i="149" s="1"/>
  <c r="M64" i="67"/>
  <c r="M70" i="67"/>
  <c r="M67" i="67"/>
  <c r="M65" i="67"/>
  <c r="M62" i="67"/>
  <c r="M71" i="67"/>
  <c r="M73" i="67"/>
  <c r="M68" i="67"/>
  <c r="M66" i="67"/>
  <c r="M69" i="67"/>
  <c r="M72" i="67"/>
  <c r="M63" i="67"/>
  <c r="I62" i="67"/>
  <c r="I73" i="67"/>
  <c r="I70" i="67"/>
  <c r="I71" i="67"/>
  <c r="I68" i="67"/>
  <c r="I67" i="67"/>
  <c r="I66" i="67"/>
  <c r="I63" i="67"/>
  <c r="I72" i="67"/>
  <c r="I69" i="67"/>
  <c r="I65" i="67"/>
  <c r="I64" i="67"/>
  <c r="D13" i="25"/>
  <c r="I71" i="148"/>
  <c r="I79" i="148"/>
  <c r="I78" i="148"/>
  <c r="M45" i="148"/>
  <c r="L15" i="148"/>
  <c r="I63" i="148"/>
  <c r="M15" i="148"/>
  <c r="L45" i="148"/>
  <c r="D41" i="154" l="1"/>
  <c r="E41" i="36"/>
  <c r="F41" i="77"/>
  <c r="I7" i="15"/>
  <c r="T50" i="30"/>
  <c r="T51" i="30" s="1"/>
  <c r="I14" i="149"/>
  <c r="N50" i="17"/>
  <c r="E14" i="149"/>
  <c r="D50" i="17"/>
  <c r="M14" i="149"/>
  <c r="X50" i="17"/>
  <c r="E26" i="149"/>
  <c r="D51" i="17"/>
  <c r="J68" i="67"/>
  <c r="J20" i="149" s="1"/>
  <c r="I20" i="149"/>
  <c r="N64" i="67"/>
  <c r="M16" i="149"/>
  <c r="F68" i="67"/>
  <c r="F20" i="149" s="1"/>
  <c r="E20" i="149"/>
  <c r="F67" i="67"/>
  <c r="F19" i="149" s="1"/>
  <c r="E19" i="149"/>
  <c r="F72" i="67"/>
  <c r="F24" i="149" s="1"/>
  <c r="E24" i="149"/>
  <c r="F66" i="67"/>
  <c r="F18" i="149" s="1"/>
  <c r="E18" i="149"/>
  <c r="F65" i="67"/>
  <c r="F17" i="149" s="1"/>
  <c r="E17" i="149"/>
  <c r="J71" i="67"/>
  <c r="J23" i="149" s="1"/>
  <c r="I23" i="149"/>
  <c r="J70" i="67"/>
  <c r="J22" i="149" s="1"/>
  <c r="I22" i="149"/>
  <c r="N63" i="67"/>
  <c r="M15" i="149"/>
  <c r="F64" i="67"/>
  <c r="F16" i="149" s="1"/>
  <c r="E16" i="149"/>
  <c r="F63" i="67"/>
  <c r="F15" i="149" s="1"/>
  <c r="E15" i="149"/>
  <c r="J73" i="67"/>
  <c r="J25" i="149" s="1"/>
  <c r="I25" i="149"/>
  <c r="N69" i="67"/>
  <c r="M21" i="149"/>
  <c r="N68" i="67"/>
  <c r="M20" i="149"/>
  <c r="N73" i="67"/>
  <c r="M25" i="149"/>
  <c r="J72" i="67"/>
  <c r="J24" i="149" s="1"/>
  <c r="I24" i="149"/>
  <c r="N72" i="67"/>
  <c r="M24" i="149"/>
  <c r="J64" i="67"/>
  <c r="J16" i="149" s="1"/>
  <c r="I16" i="149"/>
  <c r="J65" i="67"/>
  <c r="J17" i="149" s="1"/>
  <c r="I17" i="149"/>
  <c r="N71" i="67"/>
  <c r="M23" i="149"/>
  <c r="F71" i="67"/>
  <c r="F23" i="149" s="1"/>
  <c r="E23" i="149"/>
  <c r="N66" i="67"/>
  <c r="M18" i="149"/>
  <c r="J69" i="67"/>
  <c r="J21" i="149" s="1"/>
  <c r="I21" i="149"/>
  <c r="J63" i="67"/>
  <c r="J15" i="149" s="1"/>
  <c r="I15" i="149"/>
  <c r="N67" i="67"/>
  <c r="M19" i="149"/>
  <c r="F73" i="67"/>
  <c r="F25" i="149" s="1"/>
  <c r="E25" i="149"/>
  <c r="N65" i="67"/>
  <c r="M17" i="149"/>
  <c r="J66" i="67"/>
  <c r="J18" i="149" s="1"/>
  <c r="I18" i="149"/>
  <c r="J67" i="67"/>
  <c r="J19" i="149" s="1"/>
  <c r="I19" i="149"/>
  <c r="N70" i="67"/>
  <c r="M22" i="149"/>
  <c r="F69" i="67"/>
  <c r="F21" i="149" s="1"/>
  <c r="E21" i="149"/>
  <c r="E86" i="67"/>
  <c r="E38" i="149" s="1"/>
  <c r="E87" i="67"/>
  <c r="E39" i="149" s="1"/>
  <c r="E97" i="67"/>
  <c r="E49" i="149" s="1"/>
  <c r="E88" i="67"/>
  <c r="E40" i="149" s="1"/>
  <c r="E89" i="67"/>
  <c r="E41" i="149" s="1"/>
  <c r="E90" i="67"/>
  <c r="E42" i="149" s="1"/>
  <c r="E91" i="67"/>
  <c r="E43" i="149" s="1"/>
  <c r="E92" i="67"/>
  <c r="E44" i="149" s="1"/>
  <c r="E93" i="67"/>
  <c r="E45" i="149" s="1"/>
  <c r="E94" i="67"/>
  <c r="E46" i="149" s="1"/>
  <c r="E95" i="67"/>
  <c r="E47" i="149" s="1"/>
  <c r="E96" i="67"/>
  <c r="E48" i="149" s="1"/>
  <c r="Q8" i="15"/>
  <c r="L41" i="32"/>
  <c r="M41" i="32" s="1"/>
  <c r="DJ41" i="67"/>
  <c r="DK41" i="67"/>
  <c r="I8" i="15"/>
  <c r="R47" i="30"/>
  <c r="S47" i="30" s="1"/>
  <c r="K14" i="148"/>
  <c r="M79" i="67"/>
  <c r="M78" i="67"/>
  <c r="M82" i="67"/>
  <c r="M77" i="67"/>
  <c r="M83" i="67"/>
  <c r="M76" i="67"/>
  <c r="M74" i="67"/>
  <c r="M80" i="67"/>
  <c r="M75" i="67"/>
  <c r="M81" i="67"/>
  <c r="M85" i="67"/>
  <c r="M84" i="67"/>
  <c r="D68" i="28"/>
  <c r="T68" i="28" s="1"/>
  <c r="U68" i="28" s="1"/>
  <c r="F62" i="67"/>
  <c r="F14" i="149" s="1"/>
  <c r="D10" i="17"/>
  <c r="I76" i="67"/>
  <c r="I77" i="67"/>
  <c r="I74" i="67"/>
  <c r="I81" i="67"/>
  <c r="I80" i="67"/>
  <c r="I83" i="67"/>
  <c r="I85" i="67"/>
  <c r="I75" i="67"/>
  <c r="I79" i="67"/>
  <c r="I78" i="67"/>
  <c r="I84" i="67"/>
  <c r="I82" i="67"/>
  <c r="N62" i="67"/>
  <c r="X10" i="17"/>
  <c r="D67" i="75"/>
  <c r="DC67" i="67"/>
  <c r="D68" i="34"/>
  <c r="D68" i="30"/>
  <c r="R68" i="30" s="1"/>
  <c r="S68" i="30" s="1"/>
  <c r="DR64" i="4"/>
  <c r="DM64" i="67"/>
  <c r="DM16" i="149" s="1"/>
  <c r="D64" i="32"/>
  <c r="L64" i="32" s="1"/>
  <c r="M64" i="32" s="1"/>
  <c r="DP72" i="4"/>
  <c r="DC72" i="67"/>
  <c r="D72" i="75"/>
  <c r="D72" i="38"/>
  <c r="D72" i="28"/>
  <c r="T72" i="28" s="1"/>
  <c r="U72" i="28" s="1"/>
  <c r="DH71" i="67"/>
  <c r="DH23" i="149" s="1"/>
  <c r="F77" i="67"/>
  <c r="F29" i="149" s="1"/>
  <c r="F85" i="67"/>
  <c r="F37" i="149" s="1"/>
  <c r="F75" i="67"/>
  <c r="F27" i="149" s="1"/>
  <c r="F82" i="67"/>
  <c r="F34" i="149" s="1"/>
  <c r="F76" i="67"/>
  <c r="F28" i="149" s="1"/>
  <c r="F78" i="67"/>
  <c r="F30" i="149" s="1"/>
  <c r="F79" i="67"/>
  <c r="F31" i="149" s="1"/>
  <c r="F83" i="67"/>
  <c r="F35" i="149" s="1"/>
  <c r="F81" i="67"/>
  <c r="F33" i="149" s="1"/>
  <c r="F84" i="67"/>
  <c r="F36" i="149" s="1"/>
  <c r="F80" i="67"/>
  <c r="F32" i="149" s="1"/>
  <c r="F74" i="67"/>
  <c r="F26" i="149" s="1"/>
  <c r="DF73" i="67"/>
  <c r="DP66" i="4"/>
  <c r="D66" i="38"/>
  <c r="D66" i="28"/>
  <c r="T66" i="28" s="1"/>
  <c r="U66" i="28" s="1"/>
  <c r="DE66" i="67"/>
  <c r="DE18" i="149" s="1"/>
  <c r="DC66" i="67"/>
  <c r="DL68" i="67"/>
  <c r="DL20" i="149" s="1"/>
  <c r="D68" i="32"/>
  <c r="L68" i="32" s="1"/>
  <c r="M68" i="32" s="1"/>
  <c r="J62" i="67"/>
  <c r="J14" i="149" s="1"/>
  <c r="N10" i="17"/>
  <c r="DP70" i="4"/>
  <c r="DE70" i="67"/>
  <c r="DE22" i="149" s="1"/>
  <c r="D70" i="75"/>
  <c r="D70" i="38"/>
  <c r="D70" i="28"/>
  <c r="T70" i="28" s="1"/>
  <c r="U70" i="28" s="1"/>
  <c r="DC70" i="67"/>
  <c r="D19" i="25"/>
  <c r="M16" i="148"/>
  <c r="M46" i="148"/>
  <c r="I64" i="148"/>
  <c r="L46" i="148"/>
  <c r="I73" i="148"/>
  <c r="I72" i="148"/>
  <c r="L16" i="148"/>
  <c r="D68" i="76" l="1"/>
  <c r="DH68" i="67"/>
  <c r="DH20" i="149" s="1"/>
  <c r="D73" i="77"/>
  <c r="D73" i="36"/>
  <c r="D70" i="77"/>
  <c r="D70" i="36"/>
  <c r="D66" i="36"/>
  <c r="D66" i="77"/>
  <c r="DR68" i="4"/>
  <c r="D68" i="36"/>
  <c r="D68" i="77"/>
  <c r="D62" i="36"/>
  <c r="D62" i="77"/>
  <c r="DR69" i="4"/>
  <c r="D69" i="36"/>
  <c r="D69" i="77"/>
  <c r="D71" i="77"/>
  <c r="D71" i="36"/>
  <c r="DH70" i="67"/>
  <c r="DH22" i="149" s="1"/>
  <c r="D65" i="36"/>
  <c r="D65" i="77"/>
  <c r="D70" i="34"/>
  <c r="D70" i="76"/>
  <c r="DE67" i="67"/>
  <c r="DE19" i="149" s="1"/>
  <c r="D63" i="75"/>
  <c r="D67" i="28"/>
  <c r="T67" i="28" s="1"/>
  <c r="U67" i="28" s="1"/>
  <c r="D71" i="34"/>
  <c r="D67" i="38"/>
  <c r="D67" i="36"/>
  <c r="D67" i="77"/>
  <c r="D72" i="77"/>
  <c r="D72" i="36"/>
  <c r="D63" i="36"/>
  <c r="D63" i="77"/>
  <c r="DL64" i="67"/>
  <c r="DL16" i="149" s="1"/>
  <c r="D64" i="36"/>
  <c r="D64" i="77"/>
  <c r="O7" i="15"/>
  <c r="Q7" i="15" s="1"/>
  <c r="L41" i="154"/>
  <c r="M41" i="154" s="1"/>
  <c r="K8" i="15"/>
  <c r="K7" i="15"/>
  <c r="DI68" i="67"/>
  <c r="DI20" i="149" s="1"/>
  <c r="DI64" i="67"/>
  <c r="DI16" i="149" s="1"/>
  <c r="DE63" i="67"/>
  <c r="DE15" i="149" s="1"/>
  <c r="D71" i="76"/>
  <c r="DQ71" i="4"/>
  <c r="DQ68" i="4"/>
  <c r="D66" i="75"/>
  <c r="DH67" i="67"/>
  <c r="DH19" i="149" s="1"/>
  <c r="DF67" i="67"/>
  <c r="D67" i="34"/>
  <c r="DQ67" i="4"/>
  <c r="DL69" i="67"/>
  <c r="DL21" i="149" s="1"/>
  <c r="DM68" i="67"/>
  <c r="DM20" i="149" s="1"/>
  <c r="D69" i="32"/>
  <c r="L69" i="32" s="1"/>
  <c r="M69" i="32" s="1"/>
  <c r="D67" i="76"/>
  <c r="D63" i="32"/>
  <c r="L63" i="32" s="1"/>
  <c r="M63" i="32" s="1"/>
  <c r="DF72" i="67"/>
  <c r="DG72" i="67" s="1"/>
  <c r="DG24" i="149" s="1"/>
  <c r="D65" i="28"/>
  <c r="T65" i="28" s="1"/>
  <c r="U65" i="28" s="1"/>
  <c r="DE65" i="67"/>
  <c r="DE17" i="149" s="1"/>
  <c r="DP65" i="4"/>
  <c r="DQ70" i="4"/>
  <c r="D73" i="34"/>
  <c r="D73" i="32"/>
  <c r="L73" i="32" s="1"/>
  <c r="M73" i="32" s="1"/>
  <c r="D73" i="30"/>
  <c r="R73" i="30" s="1"/>
  <c r="S73" i="30" s="1"/>
  <c r="D73" i="76"/>
  <c r="DH73" i="67"/>
  <c r="DH25" i="149" s="1"/>
  <c r="DF64" i="67"/>
  <c r="DQ73" i="4"/>
  <c r="DF71" i="67"/>
  <c r="DG71" i="67" s="1"/>
  <c r="DG23" i="149" s="1"/>
  <c r="DF68" i="67"/>
  <c r="D68" i="75"/>
  <c r="N19" i="149"/>
  <c r="AB67" i="67"/>
  <c r="N24" i="149"/>
  <c r="AB72" i="67"/>
  <c r="N15" i="149"/>
  <c r="AB63" i="67"/>
  <c r="N16" i="149"/>
  <c r="AB64" i="67"/>
  <c r="D68" i="38"/>
  <c r="DP64" i="4"/>
  <c r="DP68" i="4"/>
  <c r="N25" i="149"/>
  <c r="AB73" i="67"/>
  <c r="N22" i="149"/>
  <c r="AB70" i="67"/>
  <c r="N18" i="149"/>
  <c r="AB66" i="67"/>
  <c r="N20" i="149"/>
  <c r="AB68" i="67"/>
  <c r="N21" i="149"/>
  <c r="AB69" i="67"/>
  <c r="N23" i="149"/>
  <c r="AB71" i="67"/>
  <c r="DI69" i="67"/>
  <c r="DI21" i="149" s="1"/>
  <c r="N17" i="149"/>
  <c r="AB65" i="67"/>
  <c r="DF70" i="67"/>
  <c r="DF22" i="149" s="1"/>
  <c r="DM69" i="67"/>
  <c r="DM21" i="149" s="1"/>
  <c r="N14" i="149"/>
  <c r="AB62" i="67"/>
  <c r="DH65" i="67"/>
  <c r="DH17" i="149" s="1"/>
  <c r="DP71" i="4"/>
  <c r="D64" i="28"/>
  <c r="T64" i="28" s="1"/>
  <c r="U64" i="28" s="1"/>
  <c r="DL73" i="67"/>
  <c r="DL25" i="149" s="1"/>
  <c r="DC64" i="67"/>
  <c r="D70" i="30"/>
  <c r="R70" i="30" s="1"/>
  <c r="S70" i="30" s="1"/>
  <c r="DQ72" i="4"/>
  <c r="D72" i="30"/>
  <c r="R72" i="30" s="1"/>
  <c r="S72" i="30" s="1"/>
  <c r="DQ63" i="4"/>
  <c r="D64" i="38"/>
  <c r="D72" i="34"/>
  <c r="DE64" i="67"/>
  <c r="DE16" i="149" s="1"/>
  <c r="D72" i="76"/>
  <c r="DE73" i="67"/>
  <c r="DE25" i="149" s="1"/>
  <c r="DP73" i="4"/>
  <c r="DH64" i="67"/>
  <c r="DH16" i="149" s="1"/>
  <c r="D64" i="30"/>
  <c r="R64" i="30" s="1"/>
  <c r="S64" i="30" s="1"/>
  <c r="DR73" i="4"/>
  <c r="D64" i="76"/>
  <c r="DH72" i="67"/>
  <c r="DH24" i="149" s="1"/>
  <c r="DH69" i="67"/>
  <c r="DH21" i="149" s="1"/>
  <c r="D73" i="28"/>
  <c r="T73" i="28" s="1"/>
  <c r="U73" i="28" s="1"/>
  <c r="D63" i="30"/>
  <c r="R63" i="30" s="1"/>
  <c r="S63" i="30" s="1"/>
  <c r="DC71" i="67"/>
  <c r="DC23" i="149" s="1"/>
  <c r="DC63" i="67"/>
  <c r="DC15" i="149" s="1"/>
  <c r="D67" i="30"/>
  <c r="R67" i="30" s="1"/>
  <c r="S67" i="30" s="1"/>
  <c r="D71" i="30"/>
  <c r="R71" i="30" s="1"/>
  <c r="S71" i="30" s="1"/>
  <c r="D73" i="75"/>
  <c r="D63" i="76"/>
  <c r="DE71" i="67"/>
  <c r="DE23" i="149" s="1"/>
  <c r="D69" i="75"/>
  <c r="D52" i="17"/>
  <c r="E52" i="17" s="1"/>
  <c r="D69" i="28"/>
  <c r="T69" i="28" s="1"/>
  <c r="U69" i="28" s="1"/>
  <c r="D67" i="32"/>
  <c r="L67" i="32" s="1"/>
  <c r="M67" i="32" s="1"/>
  <c r="DC69" i="67"/>
  <c r="DM67" i="67"/>
  <c r="DM19" i="149" s="1"/>
  <c r="D63" i="34"/>
  <c r="DH63" i="67"/>
  <c r="DH15" i="149" s="1"/>
  <c r="D72" i="32"/>
  <c r="L72" i="32" s="1"/>
  <c r="M72" i="32" s="1"/>
  <c r="DL72" i="67"/>
  <c r="DL24" i="149" s="1"/>
  <c r="DI72" i="67"/>
  <c r="DI24" i="149" s="1"/>
  <c r="DI63" i="67"/>
  <c r="DI15" i="149" s="1"/>
  <c r="DM63" i="67"/>
  <c r="DM15" i="149" s="1"/>
  <c r="DL63" i="67"/>
  <c r="DL15" i="149" s="1"/>
  <c r="DM70" i="67"/>
  <c r="DM22" i="149" s="1"/>
  <c r="D64" i="75"/>
  <c r="DR72" i="4"/>
  <c r="DR63" i="4"/>
  <c r="DE68" i="67"/>
  <c r="DE20" i="149" s="1"/>
  <c r="DF63" i="67"/>
  <c r="DF15" i="149" s="1"/>
  <c r="DL67" i="67"/>
  <c r="DL19" i="149" s="1"/>
  <c r="DI67" i="67"/>
  <c r="DI19" i="149" s="1"/>
  <c r="DR70" i="4"/>
  <c r="D65" i="38"/>
  <c r="G51" i="17"/>
  <c r="E51" i="17"/>
  <c r="Y50" i="17"/>
  <c r="AA50" i="17"/>
  <c r="E50" i="17"/>
  <c r="G50" i="17"/>
  <c r="DL70" i="67"/>
  <c r="DL22" i="149" s="1"/>
  <c r="DI70" i="67"/>
  <c r="DI22" i="149" s="1"/>
  <c r="D64" i="34"/>
  <c r="D65" i="75"/>
  <c r="DP67" i="4"/>
  <c r="X51" i="17"/>
  <c r="O50" i="17"/>
  <c r="Q50" i="17"/>
  <c r="DQ64" i="4"/>
  <c r="DC65" i="67"/>
  <c r="DC17" i="149" s="1"/>
  <c r="N51" i="17"/>
  <c r="DI73" i="67"/>
  <c r="DI25" i="149" s="1"/>
  <c r="D71" i="75"/>
  <c r="DQ65" i="4"/>
  <c r="DC68" i="67"/>
  <c r="DD68" i="67" s="1"/>
  <c r="DD20" i="149" s="1"/>
  <c r="DE72" i="67"/>
  <c r="DE24" i="149" s="1"/>
  <c r="DR67" i="4"/>
  <c r="DM72" i="67"/>
  <c r="DM24" i="149" s="1"/>
  <c r="D70" i="32"/>
  <c r="L70" i="32" s="1"/>
  <c r="M70" i="32" s="1"/>
  <c r="DC73" i="67"/>
  <c r="DC25" i="149" s="1"/>
  <c r="DF66" i="67"/>
  <c r="DG66" i="67" s="1"/>
  <c r="DG18" i="149" s="1"/>
  <c r="D66" i="34"/>
  <c r="D66" i="76"/>
  <c r="DL71" i="67"/>
  <c r="DL23" i="149" s="1"/>
  <c r="DP63" i="4"/>
  <c r="DQ66" i="4"/>
  <c r="DI71" i="67"/>
  <c r="DI23" i="149" s="1"/>
  <c r="D65" i="34"/>
  <c r="D65" i="76"/>
  <c r="DF65" i="67"/>
  <c r="DF17" i="149" s="1"/>
  <c r="DL65" i="67"/>
  <c r="DL17" i="149" s="1"/>
  <c r="DI65" i="67"/>
  <c r="DI17" i="149" s="1"/>
  <c r="D63" i="28"/>
  <c r="T63" i="28" s="1"/>
  <c r="U63" i="28" s="1"/>
  <c r="DM65" i="67"/>
  <c r="DM17" i="149" s="1"/>
  <c r="D65" i="32"/>
  <c r="L65" i="32" s="1"/>
  <c r="M65" i="32" s="1"/>
  <c r="D63" i="38"/>
  <c r="DH66" i="67"/>
  <c r="DH18" i="149" s="1"/>
  <c r="DR65" i="4"/>
  <c r="DR71" i="4"/>
  <c r="DF69" i="67"/>
  <c r="DG69" i="67" s="1"/>
  <c r="DG21" i="149" s="1"/>
  <c r="DE69" i="67"/>
  <c r="DE21" i="149" s="1"/>
  <c r="D66" i="30"/>
  <c r="R66" i="30" s="1"/>
  <c r="S66" i="30" s="1"/>
  <c r="D71" i="32"/>
  <c r="L71" i="32" s="1"/>
  <c r="M71" i="32" s="1"/>
  <c r="D69" i="38"/>
  <c r="D69" i="76"/>
  <c r="D71" i="28"/>
  <c r="T71" i="28" s="1"/>
  <c r="U71" i="28" s="1"/>
  <c r="DL66" i="67"/>
  <c r="DL18" i="149" s="1"/>
  <c r="DQ69" i="4"/>
  <c r="D71" i="38"/>
  <c r="DM66" i="67"/>
  <c r="DM18" i="149" s="1"/>
  <c r="D65" i="30"/>
  <c r="R65" i="30" s="1"/>
  <c r="S65" i="30" s="1"/>
  <c r="DI66" i="67"/>
  <c r="DI18" i="149" s="1"/>
  <c r="J78" i="67"/>
  <c r="J30" i="149" s="1"/>
  <c r="I30" i="149"/>
  <c r="DM73" i="67"/>
  <c r="DM25" i="149" s="1"/>
  <c r="N84" i="67"/>
  <c r="M36" i="149"/>
  <c r="DD70" i="67"/>
  <c r="DD22" i="149" s="1"/>
  <c r="DC22" i="149"/>
  <c r="DF23" i="149"/>
  <c r="J79" i="67"/>
  <c r="J31" i="149" s="1"/>
  <c r="I31" i="149"/>
  <c r="N85" i="67"/>
  <c r="M37" i="149"/>
  <c r="DG68" i="67"/>
  <c r="DG20" i="149" s="1"/>
  <c r="DF20" i="149"/>
  <c r="J75" i="67"/>
  <c r="J27" i="149" s="1"/>
  <c r="I27" i="149"/>
  <c r="N81" i="67"/>
  <c r="M33" i="149"/>
  <c r="J85" i="67"/>
  <c r="J37" i="149" s="1"/>
  <c r="I37" i="149"/>
  <c r="N75" i="67"/>
  <c r="M27" i="149"/>
  <c r="J83" i="67"/>
  <c r="J35" i="149" s="1"/>
  <c r="I35" i="149"/>
  <c r="N80" i="67"/>
  <c r="M32" i="149"/>
  <c r="DG64" i="67"/>
  <c r="DG16" i="149" s="1"/>
  <c r="DF16" i="149"/>
  <c r="J80" i="67"/>
  <c r="J32" i="149" s="1"/>
  <c r="I32" i="149"/>
  <c r="D69" i="30"/>
  <c r="R69" i="30" s="1"/>
  <c r="S69" i="30" s="1"/>
  <c r="N74" i="67"/>
  <c r="M26" i="149"/>
  <c r="J81" i="67"/>
  <c r="J33" i="149" s="1"/>
  <c r="I33" i="149"/>
  <c r="D69" i="34"/>
  <c r="DD71" i="67"/>
  <c r="DD23" i="149" s="1"/>
  <c r="N76" i="67"/>
  <c r="M28" i="149"/>
  <c r="J74" i="67"/>
  <c r="J26" i="149" s="1"/>
  <c r="I26" i="149"/>
  <c r="N83" i="67"/>
  <c r="M35" i="149"/>
  <c r="DD72" i="67"/>
  <c r="DD24" i="149" s="1"/>
  <c r="DC24" i="149"/>
  <c r="J77" i="67"/>
  <c r="J29" i="149" s="1"/>
  <c r="I29" i="149"/>
  <c r="N77" i="67"/>
  <c r="M29" i="149"/>
  <c r="DG73" i="67"/>
  <c r="DG25" i="149" s="1"/>
  <c r="DF25" i="149"/>
  <c r="J76" i="67"/>
  <c r="J28" i="149" s="1"/>
  <c r="I28" i="149"/>
  <c r="N82" i="67"/>
  <c r="M34" i="149"/>
  <c r="DD67" i="67"/>
  <c r="DD19" i="149" s="1"/>
  <c r="DC19" i="149"/>
  <c r="N78" i="67"/>
  <c r="DI78" i="67" s="1"/>
  <c r="DI30" i="149" s="1"/>
  <c r="M30" i="149"/>
  <c r="N79" i="67"/>
  <c r="M31" i="149"/>
  <c r="D66" i="32"/>
  <c r="L66" i="32" s="1"/>
  <c r="M66" i="32" s="1"/>
  <c r="DG67" i="67"/>
  <c r="DG19" i="149" s="1"/>
  <c r="DF19" i="149"/>
  <c r="DF24" i="149"/>
  <c r="DD69" i="67"/>
  <c r="DD21" i="149" s="1"/>
  <c r="DC21" i="149"/>
  <c r="DD66" i="67"/>
  <c r="DD18" i="149" s="1"/>
  <c r="DC18" i="149"/>
  <c r="DP69" i="4"/>
  <c r="DM71" i="67"/>
  <c r="DM23" i="149" s="1"/>
  <c r="DD64" i="67"/>
  <c r="DD16" i="149" s="1"/>
  <c r="DC16" i="149"/>
  <c r="J82" i="67"/>
  <c r="J34" i="149" s="1"/>
  <c r="I34" i="149"/>
  <c r="D73" i="38"/>
  <c r="J84" i="67"/>
  <c r="J36" i="149" s="1"/>
  <c r="I36" i="149"/>
  <c r="DR66" i="4"/>
  <c r="X11" i="17"/>
  <c r="Y11" i="17" s="1"/>
  <c r="K45" i="148"/>
  <c r="Q14" i="148"/>
  <c r="N11" i="17"/>
  <c r="O11" i="17" s="1"/>
  <c r="DP77" i="4"/>
  <c r="D77" i="75"/>
  <c r="D77" i="38"/>
  <c r="D77" i="28"/>
  <c r="T77" i="28" s="1"/>
  <c r="U77" i="28" s="1"/>
  <c r="DC77" i="67"/>
  <c r="DE77" i="67"/>
  <c r="DE29" i="149" s="1"/>
  <c r="DJ64" i="67"/>
  <c r="DJ16" i="149" s="1"/>
  <c r="DP74" i="4"/>
  <c r="DE74" i="67"/>
  <c r="DE26" i="149" s="1"/>
  <c r="DC74" i="67"/>
  <c r="D74" i="38"/>
  <c r="D74" i="75"/>
  <c r="D74" i="28"/>
  <c r="T74" i="28" s="1"/>
  <c r="U74" i="28" s="1"/>
  <c r="DP80" i="4"/>
  <c r="DC80" i="67"/>
  <c r="DE80" i="67"/>
  <c r="DE32" i="149" s="1"/>
  <c r="D80" i="75"/>
  <c r="D80" i="38"/>
  <c r="D80" i="28"/>
  <c r="T80" i="28" s="1"/>
  <c r="U80" i="28" s="1"/>
  <c r="M93" i="67"/>
  <c r="M87" i="67"/>
  <c r="M94" i="67"/>
  <c r="M97" i="67"/>
  <c r="M96" i="67"/>
  <c r="M91" i="67"/>
  <c r="M90" i="67"/>
  <c r="M88" i="67"/>
  <c r="M92" i="67"/>
  <c r="M86" i="67"/>
  <c r="M89" i="67"/>
  <c r="M95" i="67"/>
  <c r="Q10" i="17"/>
  <c r="O10" i="17"/>
  <c r="DP84" i="4"/>
  <c r="D84" i="75"/>
  <c r="DC84" i="67"/>
  <c r="D84" i="38"/>
  <c r="DE84" i="67"/>
  <c r="DE36" i="149" s="1"/>
  <c r="D84" i="28"/>
  <c r="T84" i="28" s="1"/>
  <c r="U84" i="28" s="1"/>
  <c r="DQ62" i="4"/>
  <c r="DH62" i="67"/>
  <c r="DH14" i="149" s="1"/>
  <c r="D62" i="30"/>
  <c r="D62" i="76"/>
  <c r="D62" i="34"/>
  <c r="DF62" i="67"/>
  <c r="DP81" i="4"/>
  <c r="D81" i="38"/>
  <c r="D81" i="28"/>
  <c r="T81" i="28" s="1"/>
  <c r="U81" i="28" s="1"/>
  <c r="DC81" i="67"/>
  <c r="DE81" i="67"/>
  <c r="DE33" i="149" s="1"/>
  <c r="D81" i="75"/>
  <c r="DJ70" i="67"/>
  <c r="DJ22" i="149" s="1"/>
  <c r="I91" i="67"/>
  <c r="I93" i="67"/>
  <c r="I92" i="67"/>
  <c r="I95" i="67"/>
  <c r="I96" i="67"/>
  <c r="I97" i="67"/>
  <c r="I89" i="67"/>
  <c r="I88" i="67"/>
  <c r="I87" i="67"/>
  <c r="I94" i="67"/>
  <c r="I90" i="67"/>
  <c r="I86" i="67"/>
  <c r="F86" i="67"/>
  <c r="F95" i="67"/>
  <c r="F47" i="149" s="1"/>
  <c r="F89" i="67"/>
  <c r="F41" i="149" s="1"/>
  <c r="F93" i="67"/>
  <c r="F45" i="149" s="1"/>
  <c r="F91" i="67"/>
  <c r="F43" i="149" s="1"/>
  <c r="F87" i="67"/>
  <c r="F39" i="149" s="1"/>
  <c r="F94" i="67"/>
  <c r="F46" i="149" s="1"/>
  <c r="F88" i="67"/>
  <c r="F40" i="149" s="1"/>
  <c r="F96" i="67"/>
  <c r="F48" i="149" s="1"/>
  <c r="F92" i="67"/>
  <c r="F44" i="149" s="1"/>
  <c r="F97" i="67"/>
  <c r="F49" i="149" s="1"/>
  <c r="F90" i="67"/>
  <c r="F42" i="149" s="1"/>
  <c r="D11" i="17"/>
  <c r="E11" i="17" s="1"/>
  <c r="DP83" i="4"/>
  <c r="DE83" i="67"/>
  <c r="DE35" i="149" s="1"/>
  <c r="DC83" i="67"/>
  <c r="D83" i="75"/>
  <c r="D83" i="38"/>
  <c r="D83" i="28"/>
  <c r="T83" i="28" s="1"/>
  <c r="U83" i="28" s="1"/>
  <c r="DP79" i="4"/>
  <c r="D79" i="75"/>
  <c r="D79" i="38"/>
  <c r="D79" i="28"/>
  <c r="T79" i="28" s="1"/>
  <c r="U79" i="28" s="1"/>
  <c r="DE79" i="67"/>
  <c r="DE31" i="149" s="1"/>
  <c r="DC79" i="67"/>
  <c r="AA10" i="17"/>
  <c r="Y10" i="17"/>
  <c r="D81" i="34"/>
  <c r="DP78" i="4"/>
  <c r="DE78" i="67"/>
  <c r="DE30" i="149" s="1"/>
  <c r="D78" i="28"/>
  <c r="T78" i="28" s="1"/>
  <c r="U78" i="28" s="1"/>
  <c r="DC78" i="67"/>
  <c r="D78" i="75"/>
  <c r="D78" i="38"/>
  <c r="DK69" i="67"/>
  <c r="DK21" i="149" s="1"/>
  <c r="DJ69" i="67"/>
  <c r="DJ21" i="149" s="1"/>
  <c r="DJ65" i="67"/>
  <c r="DJ17" i="149" s="1"/>
  <c r="DR62" i="4"/>
  <c r="DL62" i="67"/>
  <c r="DL14" i="149" s="1"/>
  <c r="DM62" i="67"/>
  <c r="DM14" i="149" s="1"/>
  <c r="DI62" i="67"/>
  <c r="DI14" i="149" s="1"/>
  <c r="D62" i="32"/>
  <c r="DP82" i="4"/>
  <c r="DE82" i="67"/>
  <c r="DE34" i="149" s="1"/>
  <c r="DC82" i="67"/>
  <c r="D82" i="75"/>
  <c r="D82" i="38"/>
  <c r="D82" i="28"/>
  <c r="T82" i="28" s="1"/>
  <c r="U82" i="28" s="1"/>
  <c r="L47" i="148"/>
  <c r="I121" i="67"/>
  <c r="I119" i="67"/>
  <c r="I110" i="67"/>
  <c r="I112" i="67"/>
  <c r="I115" i="67"/>
  <c r="I113" i="67"/>
  <c r="I117" i="67"/>
  <c r="I120" i="67"/>
  <c r="I116" i="67"/>
  <c r="I111" i="67"/>
  <c r="I118" i="67"/>
  <c r="I114" i="67"/>
  <c r="DP76" i="4"/>
  <c r="DC76" i="67"/>
  <c r="DE76" i="67"/>
  <c r="DE28" i="149" s="1"/>
  <c r="D76" i="38"/>
  <c r="D76" i="75"/>
  <c r="D76" i="28"/>
  <c r="T76" i="28" s="1"/>
  <c r="U76" i="28" s="1"/>
  <c r="DP75" i="4"/>
  <c r="D75" i="28"/>
  <c r="T75" i="28" s="1"/>
  <c r="U75" i="28" s="1"/>
  <c r="DC75" i="67"/>
  <c r="DE75" i="67"/>
  <c r="DE27" i="149" s="1"/>
  <c r="D75" i="75"/>
  <c r="D75" i="38"/>
  <c r="G10" i="17"/>
  <c r="E10" i="17"/>
  <c r="M47" i="148"/>
  <c r="M114" i="67"/>
  <c r="M111" i="67"/>
  <c r="M110" i="67"/>
  <c r="M120" i="67"/>
  <c r="M112" i="67"/>
  <c r="M115" i="67"/>
  <c r="M113" i="67"/>
  <c r="M117" i="67"/>
  <c r="M116" i="67"/>
  <c r="M119" i="67"/>
  <c r="M118" i="67"/>
  <c r="M121" i="67"/>
  <c r="DK68" i="67"/>
  <c r="DK20" i="149" s="1"/>
  <c r="DJ68" i="67"/>
  <c r="DJ20" i="149" s="1"/>
  <c r="DP85" i="4"/>
  <c r="D85" i="38"/>
  <c r="DC85" i="67"/>
  <c r="D85" i="28"/>
  <c r="T85" i="28" s="1"/>
  <c r="U85" i="28" s="1"/>
  <c r="DE85" i="67"/>
  <c r="DE37" i="149" s="1"/>
  <c r="D85" i="75"/>
  <c r="DP62" i="4"/>
  <c r="DE62" i="67"/>
  <c r="DE14" i="149" s="1"/>
  <c r="D62" i="28"/>
  <c r="D62" i="75"/>
  <c r="D62" i="38"/>
  <c r="DC62" i="67"/>
  <c r="Q28" i="148"/>
  <c r="K16" i="148"/>
  <c r="I65" i="148"/>
  <c r="M17" i="148"/>
  <c r="M48" i="148" s="1"/>
  <c r="L17" i="148"/>
  <c r="L48" i="148" s="1"/>
  <c r="DK67" i="67" l="1"/>
  <c r="DK19" i="149" s="1"/>
  <c r="DK72" i="67"/>
  <c r="DK24" i="149" s="1"/>
  <c r="DK64" i="67"/>
  <c r="DK16" i="149" s="1"/>
  <c r="G52" i="17"/>
  <c r="Q11" i="17"/>
  <c r="DI85" i="67"/>
  <c r="DI37" i="149" s="1"/>
  <c r="D85" i="36"/>
  <c r="D85" i="77"/>
  <c r="F65" i="77"/>
  <c r="E65" i="36"/>
  <c r="D80" i="36"/>
  <c r="D80" i="77"/>
  <c r="E64" i="36"/>
  <c r="F64" i="77"/>
  <c r="E71" i="36"/>
  <c r="F71" i="77"/>
  <c r="D83" i="32"/>
  <c r="L83" i="32" s="1"/>
  <c r="M83" i="32" s="1"/>
  <c r="D83" i="36"/>
  <c r="D83" i="77"/>
  <c r="D82" i="36"/>
  <c r="D82" i="77"/>
  <c r="DI76" i="67"/>
  <c r="DI28" i="149" s="1"/>
  <c r="D76" i="36"/>
  <c r="D76" i="77"/>
  <c r="E63" i="36"/>
  <c r="F63" i="77"/>
  <c r="E69" i="36"/>
  <c r="F69" i="77"/>
  <c r="F72" i="77"/>
  <c r="E72" i="36"/>
  <c r="D75" i="36"/>
  <c r="D75" i="77"/>
  <c r="D84" i="36"/>
  <c r="D84" i="77"/>
  <c r="E68" i="36"/>
  <c r="F68" i="77"/>
  <c r="E67" i="36"/>
  <c r="F67" i="77"/>
  <c r="DK66" i="67"/>
  <c r="DK18" i="149" s="1"/>
  <c r="DD63" i="67"/>
  <c r="DD15" i="149" s="1"/>
  <c r="E66" i="36"/>
  <c r="F66" i="77"/>
  <c r="DM77" i="67"/>
  <c r="DM29" i="149" s="1"/>
  <c r="D77" i="36"/>
  <c r="D77" i="77"/>
  <c r="D81" i="36"/>
  <c r="D81" i="77"/>
  <c r="D78" i="32"/>
  <c r="L78" i="32" s="1"/>
  <c r="M78" i="32" s="1"/>
  <c r="D78" i="36"/>
  <c r="D78" i="77"/>
  <c r="D74" i="77"/>
  <c r="D74" i="36"/>
  <c r="DD65" i="67"/>
  <c r="DD17" i="149" s="1"/>
  <c r="E70" i="36"/>
  <c r="F70" i="77"/>
  <c r="F62" i="77"/>
  <c r="E62" i="36"/>
  <c r="DK65" i="67"/>
  <c r="DK17" i="149" s="1"/>
  <c r="DJ72" i="67"/>
  <c r="DJ24" i="149" s="1"/>
  <c r="E73" i="36"/>
  <c r="F73" i="77"/>
  <c r="DR79" i="4"/>
  <c r="D79" i="36"/>
  <c r="D79" i="77"/>
  <c r="DL78" i="67"/>
  <c r="DL30" i="149" s="1"/>
  <c r="DQ81" i="4"/>
  <c r="DK63" i="67"/>
  <c r="DK15" i="149" s="1"/>
  <c r="DG70" i="67"/>
  <c r="DG22" i="149" s="1"/>
  <c r="DH79" i="67"/>
  <c r="DH31" i="149" s="1"/>
  <c r="D79" i="30"/>
  <c r="R79" i="30" s="1"/>
  <c r="S79" i="30" s="1"/>
  <c r="DM78" i="67"/>
  <c r="DM30" i="149" s="1"/>
  <c r="DI77" i="67"/>
  <c r="DI29" i="149" s="1"/>
  <c r="AA11" i="17"/>
  <c r="DR77" i="4"/>
  <c r="D80" i="30"/>
  <c r="R80" i="30" s="1"/>
  <c r="S80" i="30" s="1"/>
  <c r="DK70" i="67"/>
  <c r="DK22" i="149" s="1"/>
  <c r="DL79" i="67"/>
  <c r="DL31" i="149" s="1"/>
  <c r="D77" i="32"/>
  <c r="L77" i="32" s="1"/>
  <c r="M77" i="32" s="1"/>
  <c r="D77" i="34"/>
  <c r="DH74" i="67"/>
  <c r="DH26" i="149" s="1"/>
  <c r="DJ63" i="67"/>
  <c r="DJ15" i="149" s="1"/>
  <c r="DD73" i="67"/>
  <c r="DD25" i="149" s="1"/>
  <c r="DJ66" i="67"/>
  <c r="DJ18" i="149" s="1"/>
  <c r="D76" i="30"/>
  <c r="R76" i="30" s="1"/>
  <c r="S76" i="30" s="1"/>
  <c r="DL83" i="67"/>
  <c r="DL35" i="149" s="1"/>
  <c r="D76" i="34"/>
  <c r="DI83" i="67"/>
  <c r="DI35" i="149" s="1"/>
  <c r="DG63" i="67"/>
  <c r="DG15" i="149" s="1"/>
  <c r="DF76" i="67"/>
  <c r="DG76" i="67" s="1"/>
  <c r="DG28" i="149" s="1"/>
  <c r="DH77" i="67"/>
  <c r="DH29" i="149" s="1"/>
  <c r="DQ76" i="4"/>
  <c r="N33" i="149"/>
  <c r="AB81" i="67"/>
  <c r="AB22" i="149"/>
  <c r="D70" i="154"/>
  <c r="L70" i="154" s="1"/>
  <c r="M70" i="154" s="1"/>
  <c r="N31" i="149"/>
  <c r="O79" i="67"/>
  <c r="AB79" i="67"/>
  <c r="N26" i="149"/>
  <c r="AB74" i="67"/>
  <c r="AB14" i="149"/>
  <c r="D62" i="154"/>
  <c r="D73" i="154"/>
  <c r="L73" i="154" s="1"/>
  <c r="M73" i="154" s="1"/>
  <c r="AB25" i="149"/>
  <c r="D76" i="76"/>
  <c r="DG65" i="67"/>
  <c r="DG17" i="149" s="1"/>
  <c r="N30" i="149"/>
  <c r="AB78" i="67"/>
  <c r="N35" i="149"/>
  <c r="AB83" i="67"/>
  <c r="AB17" i="149"/>
  <c r="D65" i="154"/>
  <c r="L65" i="154" s="1"/>
  <c r="M65" i="154" s="1"/>
  <c r="N37" i="149"/>
  <c r="AB85" i="67"/>
  <c r="N34" i="149"/>
  <c r="AB82" i="67"/>
  <c r="N28" i="149"/>
  <c r="AB76" i="67"/>
  <c r="D64" i="154"/>
  <c r="L64" i="154" s="1"/>
  <c r="M64" i="154" s="1"/>
  <c r="AB16" i="149"/>
  <c r="N32" i="149"/>
  <c r="O80" i="67"/>
  <c r="AB80" i="67"/>
  <c r="AB23" i="149"/>
  <c r="D71" i="154"/>
  <c r="L71" i="154" s="1"/>
  <c r="M71" i="154" s="1"/>
  <c r="D63" i="154"/>
  <c r="L63" i="154" s="1"/>
  <c r="M63" i="154" s="1"/>
  <c r="AB15" i="149"/>
  <c r="AB21" i="149"/>
  <c r="D69" i="154"/>
  <c r="L69" i="154" s="1"/>
  <c r="M69" i="154" s="1"/>
  <c r="AB24" i="149"/>
  <c r="D72" i="154"/>
  <c r="L72" i="154" s="1"/>
  <c r="M72" i="154" s="1"/>
  <c r="D81" i="76"/>
  <c r="N27" i="149"/>
  <c r="AB75" i="67"/>
  <c r="D68" i="154"/>
  <c r="L68" i="154" s="1"/>
  <c r="M68" i="154" s="1"/>
  <c r="AB20" i="149"/>
  <c r="N29" i="149"/>
  <c r="AB77" i="67"/>
  <c r="AB19" i="149"/>
  <c r="D67" i="154"/>
  <c r="L67" i="154" s="1"/>
  <c r="M67" i="154" s="1"/>
  <c r="AB18" i="149"/>
  <c r="D66" i="154"/>
  <c r="L66" i="154" s="1"/>
  <c r="M66" i="154" s="1"/>
  <c r="N36" i="149"/>
  <c r="AB84" i="67"/>
  <c r="D74" i="32"/>
  <c r="L74" i="32" s="1"/>
  <c r="M74" i="32" s="1"/>
  <c r="DL74" i="67"/>
  <c r="DL26" i="149" s="1"/>
  <c r="D79" i="32"/>
  <c r="L79" i="32" s="1"/>
  <c r="M79" i="32" s="1"/>
  <c r="DM79" i="67"/>
  <c r="DM31" i="149" s="1"/>
  <c r="DF80" i="67"/>
  <c r="DG80" i="67" s="1"/>
  <c r="DG32" i="149" s="1"/>
  <c r="DK71" i="67"/>
  <c r="DK23" i="149" s="1"/>
  <c r="D75" i="30"/>
  <c r="R75" i="30" s="1"/>
  <c r="S75" i="30" s="1"/>
  <c r="D75" i="34"/>
  <c r="D75" i="76"/>
  <c r="DH75" i="67"/>
  <c r="DH27" i="149" s="1"/>
  <c r="DF75" i="67"/>
  <c r="DF27" i="149" s="1"/>
  <c r="DQ75" i="4"/>
  <c r="D81" i="30"/>
  <c r="R81" i="30" s="1"/>
  <c r="S81" i="30" s="1"/>
  <c r="DJ71" i="67"/>
  <c r="DJ23" i="149" s="1"/>
  <c r="DQ82" i="4"/>
  <c r="DL77" i="67"/>
  <c r="DL29" i="149" s="1"/>
  <c r="D76" i="32"/>
  <c r="L76" i="32" s="1"/>
  <c r="M76" i="32" s="1"/>
  <c r="DM85" i="67"/>
  <c r="DM37" i="149" s="1"/>
  <c r="DM76" i="67"/>
  <c r="DM28" i="149" s="1"/>
  <c r="DR85" i="4"/>
  <c r="DR76" i="4"/>
  <c r="DF81" i="67"/>
  <c r="DG81" i="67" s="1"/>
  <c r="DG33" i="149" s="1"/>
  <c r="DL80" i="67"/>
  <c r="DL32" i="149" s="1"/>
  <c r="DQ79" i="4"/>
  <c r="D80" i="32"/>
  <c r="L80" i="32" s="1"/>
  <c r="M80" i="32" s="1"/>
  <c r="DM80" i="67"/>
  <c r="DM32" i="149" s="1"/>
  <c r="DR80" i="4"/>
  <c r="D83" i="34"/>
  <c r="DL75" i="67"/>
  <c r="DL27" i="149" s="1"/>
  <c r="DC20" i="149"/>
  <c r="DF83" i="67"/>
  <c r="DG83" i="67" s="1"/>
  <c r="DG35" i="149" s="1"/>
  <c r="DM75" i="67"/>
  <c r="DM27" i="149" s="1"/>
  <c r="D77" i="76"/>
  <c r="DF77" i="67"/>
  <c r="DF29" i="149" s="1"/>
  <c r="DQ77" i="4"/>
  <c r="DR75" i="4"/>
  <c r="D85" i="34"/>
  <c r="D77" i="30"/>
  <c r="R77" i="30" s="1"/>
  <c r="S77" i="30" s="1"/>
  <c r="DL76" i="67"/>
  <c r="DL28" i="149" s="1"/>
  <c r="DJ67" i="67"/>
  <c r="DJ19" i="149" s="1"/>
  <c r="DF74" i="67"/>
  <c r="DG74" i="67" s="1"/>
  <c r="DG26" i="149" s="1"/>
  <c r="DQ80" i="4"/>
  <c r="DQ74" i="4"/>
  <c r="DI80" i="67"/>
  <c r="DI32" i="149" s="1"/>
  <c r="DL85" i="67"/>
  <c r="DL37" i="149" s="1"/>
  <c r="D82" i="76"/>
  <c r="D85" i="30"/>
  <c r="R85" i="30" s="1"/>
  <c r="S85" i="30" s="1"/>
  <c r="D80" i="34"/>
  <c r="D80" i="76"/>
  <c r="DF18" i="149"/>
  <c r="D74" i="30"/>
  <c r="R74" i="30" s="1"/>
  <c r="S74" i="30" s="1"/>
  <c r="DH80" i="67"/>
  <c r="DH32" i="149" s="1"/>
  <c r="D85" i="32"/>
  <c r="L85" i="32" s="1"/>
  <c r="M85" i="32" s="1"/>
  <c r="DK73" i="67"/>
  <c r="DK25" i="149" s="1"/>
  <c r="DI75" i="67"/>
  <c r="DI27" i="149" s="1"/>
  <c r="DM84" i="67"/>
  <c r="DM36" i="149" s="1"/>
  <c r="DL84" i="67"/>
  <c r="DL36" i="149" s="1"/>
  <c r="AA51" i="17"/>
  <c r="Y51" i="17"/>
  <c r="X52" i="17"/>
  <c r="DJ73" i="67"/>
  <c r="DJ25" i="149" s="1"/>
  <c r="N52" i="17"/>
  <c r="Q51" i="17"/>
  <c r="O51" i="17"/>
  <c r="DR83" i="4"/>
  <c r="DM74" i="67"/>
  <c r="DM26" i="149" s="1"/>
  <c r="D75" i="32"/>
  <c r="L75" i="32" s="1"/>
  <c r="M75" i="32" s="1"/>
  <c r="DM81" i="67"/>
  <c r="DM33" i="149" s="1"/>
  <c r="D74" i="34"/>
  <c r="DI74" i="67"/>
  <c r="DI26" i="149" s="1"/>
  <c r="DQ83" i="4"/>
  <c r="DI81" i="67"/>
  <c r="DI33" i="149" s="1"/>
  <c r="DI84" i="67"/>
  <c r="DI36" i="149" s="1"/>
  <c r="DH76" i="67"/>
  <c r="DH28" i="149" s="1"/>
  <c r="D74" i="76"/>
  <c r="DH81" i="67"/>
  <c r="DH33" i="149" s="1"/>
  <c r="DR74" i="4"/>
  <c r="DR81" i="4"/>
  <c r="D84" i="32"/>
  <c r="L84" i="32" s="1"/>
  <c r="M84" i="32" s="1"/>
  <c r="D78" i="34"/>
  <c r="DQ78" i="4"/>
  <c r="D83" i="76"/>
  <c r="DH83" i="67"/>
  <c r="DH35" i="149" s="1"/>
  <c r="D79" i="34"/>
  <c r="D83" i="30"/>
  <c r="R83" i="30" s="1"/>
  <c r="S83" i="30" s="1"/>
  <c r="DR78" i="4"/>
  <c r="DH85" i="67"/>
  <c r="DH37" i="149" s="1"/>
  <c r="DM82" i="67"/>
  <c r="DM34" i="149" s="1"/>
  <c r="D82" i="32"/>
  <c r="L82" i="32" s="1"/>
  <c r="M82" i="32" s="1"/>
  <c r="D78" i="76"/>
  <c r="DM83" i="67"/>
  <c r="DM35" i="149" s="1"/>
  <c r="D85" i="76"/>
  <c r="DF82" i="67"/>
  <c r="DG82" i="67" s="1"/>
  <c r="DG34" i="149" s="1"/>
  <c r="DF85" i="67"/>
  <c r="DG85" i="67" s="1"/>
  <c r="DG37" i="149" s="1"/>
  <c r="DQ85" i="4"/>
  <c r="DF78" i="67"/>
  <c r="DG78" i="67" s="1"/>
  <c r="DG30" i="149" s="1"/>
  <c r="DH78" i="67"/>
  <c r="DH30" i="149" s="1"/>
  <c r="DF21" i="149"/>
  <c r="D84" i="30"/>
  <c r="R84" i="30" s="1"/>
  <c r="S84" i="30" s="1"/>
  <c r="D79" i="76"/>
  <c r="D84" i="76"/>
  <c r="DQ84" i="4"/>
  <c r="DR84" i="4"/>
  <c r="DH82" i="67"/>
  <c r="DH34" i="149" s="1"/>
  <c r="DF79" i="67"/>
  <c r="DG79" i="67" s="1"/>
  <c r="DG31" i="149" s="1"/>
  <c r="D78" i="30"/>
  <c r="R78" i="30" s="1"/>
  <c r="S78" i="30" s="1"/>
  <c r="D82" i="30"/>
  <c r="R82" i="30" s="1"/>
  <c r="S82" i="30" s="1"/>
  <c r="D82" i="34"/>
  <c r="J89" i="67"/>
  <c r="J41" i="149" s="1"/>
  <c r="I41" i="149"/>
  <c r="N96" i="67"/>
  <c r="M48" i="149"/>
  <c r="N97" i="67"/>
  <c r="M49" i="149"/>
  <c r="D84" i="34"/>
  <c r="N112" i="67"/>
  <c r="M64" i="149"/>
  <c r="N120" i="67"/>
  <c r="D120" i="32" s="1"/>
  <c r="L120" i="32" s="1"/>
  <c r="M120" i="32" s="1"/>
  <c r="M72" i="149"/>
  <c r="J97" i="67"/>
  <c r="J49" i="149" s="1"/>
  <c r="I49" i="149"/>
  <c r="N110" i="67"/>
  <c r="M62" i="149"/>
  <c r="DD75" i="67"/>
  <c r="DD27" i="149" s="1"/>
  <c r="DC27" i="149"/>
  <c r="J115" i="67"/>
  <c r="D115" i="30" s="1"/>
  <c r="R115" i="30" s="1"/>
  <c r="I67" i="149"/>
  <c r="DD78" i="67"/>
  <c r="DD30" i="149" s="1"/>
  <c r="DC30" i="149"/>
  <c r="J96" i="67"/>
  <c r="J48" i="149" s="1"/>
  <c r="I48" i="149"/>
  <c r="N94" i="67"/>
  <c r="M46" i="149"/>
  <c r="J110" i="67"/>
  <c r="I62" i="149"/>
  <c r="J117" i="67"/>
  <c r="D117" i="76" s="1"/>
  <c r="I69" i="149"/>
  <c r="J113" i="67"/>
  <c r="D113" i="76" s="1"/>
  <c r="I65" i="149"/>
  <c r="N111" i="67"/>
  <c r="M63" i="149"/>
  <c r="J112" i="67"/>
  <c r="D112" i="30" s="1"/>
  <c r="R112" i="30" s="1"/>
  <c r="I64" i="149"/>
  <c r="J95" i="67"/>
  <c r="J47" i="149" s="1"/>
  <c r="I47" i="149"/>
  <c r="N87" i="67"/>
  <c r="M39" i="149"/>
  <c r="DD84" i="67"/>
  <c r="DD36" i="149" s="1"/>
  <c r="DC36" i="149"/>
  <c r="N93" i="67"/>
  <c r="M45" i="149"/>
  <c r="J119" i="67"/>
  <c r="DH119" i="67" s="1"/>
  <c r="DH71" i="149" s="1"/>
  <c r="I71" i="149"/>
  <c r="DD79" i="67"/>
  <c r="DD31" i="149" s="1"/>
  <c r="DC31" i="149"/>
  <c r="J93" i="67"/>
  <c r="J45" i="149" s="1"/>
  <c r="I45" i="149"/>
  <c r="J92" i="67"/>
  <c r="J44" i="149" s="1"/>
  <c r="I44" i="149"/>
  <c r="DG77" i="67"/>
  <c r="DG29" i="149" s="1"/>
  <c r="L62" i="32"/>
  <c r="M62" i="32" s="1"/>
  <c r="DI79" i="67"/>
  <c r="DI31" i="149" s="1"/>
  <c r="J121" i="67"/>
  <c r="D121" i="34" s="1"/>
  <c r="I73" i="149"/>
  <c r="J91" i="67"/>
  <c r="J43" i="149" s="1"/>
  <c r="I43" i="149"/>
  <c r="DL81" i="67"/>
  <c r="DL33" i="149" s="1"/>
  <c r="DD80" i="67"/>
  <c r="DD32" i="149" s="1"/>
  <c r="DC32" i="149"/>
  <c r="DD81" i="67"/>
  <c r="DD33" i="149" s="1"/>
  <c r="DC33" i="149"/>
  <c r="N121" i="67"/>
  <c r="M73" i="149"/>
  <c r="DD76" i="67"/>
  <c r="DD28" i="149" s="1"/>
  <c r="DC28" i="149"/>
  <c r="N95" i="67"/>
  <c r="M47" i="149"/>
  <c r="D81" i="32"/>
  <c r="L81" i="32" s="1"/>
  <c r="M81" i="32" s="1"/>
  <c r="N118" i="67"/>
  <c r="M70" i="149"/>
  <c r="DD74" i="67"/>
  <c r="DD26" i="149" s="1"/>
  <c r="DC26" i="149"/>
  <c r="DD62" i="67"/>
  <c r="DD14" i="149" s="1"/>
  <c r="DC14" i="149"/>
  <c r="N119" i="67"/>
  <c r="D119" i="32" s="1"/>
  <c r="L119" i="32" s="1"/>
  <c r="M119" i="32" s="1"/>
  <c r="M71" i="149"/>
  <c r="J114" i="67"/>
  <c r="DH114" i="67" s="1"/>
  <c r="DH66" i="149" s="1"/>
  <c r="I66" i="149"/>
  <c r="J86" i="67"/>
  <c r="D86" i="76" s="1"/>
  <c r="I38" i="149"/>
  <c r="N86" i="67"/>
  <c r="M38" i="149"/>
  <c r="N114" i="67"/>
  <c r="M66" i="149"/>
  <c r="DD83" i="67"/>
  <c r="DD35" i="149" s="1"/>
  <c r="DC35" i="149"/>
  <c r="N116" i="67"/>
  <c r="M68" i="149"/>
  <c r="J118" i="67"/>
  <c r="DH118" i="67" s="1"/>
  <c r="DH70" i="149" s="1"/>
  <c r="I70" i="149"/>
  <c r="DI82" i="67"/>
  <c r="DI34" i="149" s="1"/>
  <c r="J90" i="67"/>
  <c r="J42" i="149" s="1"/>
  <c r="I42" i="149"/>
  <c r="DG62" i="67"/>
  <c r="DG14" i="149" s="1"/>
  <c r="DF14" i="149"/>
  <c r="N92" i="67"/>
  <c r="M44" i="149"/>
  <c r="DD82" i="67"/>
  <c r="DD34" i="149" s="1"/>
  <c r="DC34" i="149"/>
  <c r="D86" i="75"/>
  <c r="F38" i="149"/>
  <c r="N89" i="67"/>
  <c r="M41" i="149"/>
  <c r="N117" i="67"/>
  <c r="M69" i="149"/>
  <c r="J111" i="67"/>
  <c r="D111" i="76" s="1"/>
  <c r="I63" i="149"/>
  <c r="DL82" i="67"/>
  <c r="DL34" i="149" s="1"/>
  <c r="J94" i="67"/>
  <c r="J46" i="149" s="1"/>
  <c r="I46" i="149"/>
  <c r="N88" i="67"/>
  <c r="M40" i="149"/>
  <c r="DD77" i="67"/>
  <c r="DD29" i="149" s="1"/>
  <c r="DC29" i="149"/>
  <c r="DD85" i="67"/>
  <c r="DD37" i="149" s="1"/>
  <c r="DC37" i="149"/>
  <c r="T62" i="28"/>
  <c r="U62" i="28" s="1"/>
  <c r="C9" i="15"/>
  <c r="N113" i="67"/>
  <c r="M65" i="149"/>
  <c r="J116" i="67"/>
  <c r="D116" i="76" s="1"/>
  <c r="I68" i="149"/>
  <c r="DR82" i="4"/>
  <c r="J87" i="67"/>
  <c r="J39" i="149" s="1"/>
  <c r="I39" i="149"/>
  <c r="N90" i="67"/>
  <c r="M42" i="149"/>
  <c r="DF84" i="67"/>
  <c r="N115" i="67"/>
  <c r="M67" i="149"/>
  <c r="J120" i="67"/>
  <c r="DH120" i="67" s="1"/>
  <c r="DH72" i="149" s="1"/>
  <c r="I72" i="149"/>
  <c r="DF28" i="149"/>
  <c r="J88" i="67"/>
  <c r="J40" i="149" s="1"/>
  <c r="I40" i="149"/>
  <c r="R62" i="30"/>
  <c r="S62" i="30" s="1"/>
  <c r="I9" i="15"/>
  <c r="N91" i="67"/>
  <c r="M43" i="149"/>
  <c r="DH84" i="67"/>
  <c r="DH36" i="149" s="1"/>
  <c r="K47" i="148"/>
  <c r="K48" i="148"/>
  <c r="E109" i="67"/>
  <c r="E61" i="149" s="1"/>
  <c r="E98" i="67"/>
  <c r="E99" i="67"/>
  <c r="E100" i="67"/>
  <c r="E52" i="149" s="1"/>
  <c r="E101" i="67"/>
  <c r="E102" i="67"/>
  <c r="E54" i="149" s="1"/>
  <c r="E103" i="67"/>
  <c r="E104" i="67"/>
  <c r="E105" i="67"/>
  <c r="E108" i="67"/>
  <c r="E106" i="67"/>
  <c r="E107" i="67"/>
  <c r="Q16" i="148"/>
  <c r="K46" i="148"/>
  <c r="Q15" i="148"/>
  <c r="X12" i="17"/>
  <c r="Y12" i="17" s="1"/>
  <c r="G11" i="17"/>
  <c r="DC86" i="67"/>
  <c r="D86" i="28"/>
  <c r="T86" i="28" s="1"/>
  <c r="D86" i="38"/>
  <c r="N12" i="17"/>
  <c r="O12" i="17" s="1"/>
  <c r="D12" i="17"/>
  <c r="G12" i="17" s="1"/>
  <c r="X14" i="17"/>
  <c r="AA14" i="17" s="1"/>
  <c r="DP97" i="4"/>
  <c r="D97" i="75"/>
  <c r="DE97" i="67"/>
  <c r="DE49" i="149" s="1"/>
  <c r="DC97" i="67"/>
  <c r="D97" i="38"/>
  <c r="D97" i="28"/>
  <c r="T97" i="28" s="1"/>
  <c r="U97" i="28" s="1"/>
  <c r="DF89" i="67"/>
  <c r="DP92" i="4"/>
  <c r="D92" i="75"/>
  <c r="DC92" i="67"/>
  <c r="D92" i="38"/>
  <c r="D92" i="28"/>
  <c r="T92" i="28" s="1"/>
  <c r="U92" i="28" s="1"/>
  <c r="DE92" i="67"/>
  <c r="DE44" i="149" s="1"/>
  <c r="DP96" i="4"/>
  <c r="DC96" i="67"/>
  <c r="DE96" i="67"/>
  <c r="DE48" i="149" s="1"/>
  <c r="D96" i="28"/>
  <c r="T96" i="28" s="1"/>
  <c r="U96" i="28" s="1"/>
  <c r="D96" i="75"/>
  <c r="D96" i="38"/>
  <c r="DP88" i="4"/>
  <c r="D88" i="75"/>
  <c r="D88" i="28"/>
  <c r="T88" i="28" s="1"/>
  <c r="U88" i="28" s="1"/>
  <c r="D88" i="38"/>
  <c r="DC88" i="67"/>
  <c r="DE88" i="67"/>
  <c r="DE40" i="149" s="1"/>
  <c r="DP94" i="4"/>
  <c r="D94" i="75"/>
  <c r="D94" i="28"/>
  <c r="T94" i="28" s="1"/>
  <c r="U94" i="28" s="1"/>
  <c r="D94" i="38"/>
  <c r="DE94" i="67"/>
  <c r="DE46" i="149" s="1"/>
  <c r="DC94" i="67"/>
  <c r="DK80" i="67"/>
  <c r="DK32" i="149" s="1"/>
  <c r="DJ80" i="67"/>
  <c r="DJ32" i="149" s="1"/>
  <c r="DJ81" i="67"/>
  <c r="DJ33" i="149" s="1"/>
  <c r="DK81" i="67"/>
  <c r="DK33" i="149" s="1"/>
  <c r="M106" i="67"/>
  <c r="M102" i="67"/>
  <c r="M99" i="67"/>
  <c r="M105" i="67"/>
  <c r="M103" i="67"/>
  <c r="M100" i="67"/>
  <c r="M107" i="67"/>
  <c r="M98" i="67"/>
  <c r="M108" i="67"/>
  <c r="M101" i="67"/>
  <c r="M104" i="67"/>
  <c r="M109" i="67"/>
  <c r="DP87" i="4"/>
  <c r="D87" i="28"/>
  <c r="T87" i="28" s="1"/>
  <c r="U87" i="28" s="1"/>
  <c r="DC87" i="67"/>
  <c r="DE87" i="67"/>
  <c r="DE39" i="149" s="1"/>
  <c r="D87" i="75"/>
  <c r="D87" i="38"/>
  <c r="DK62" i="67"/>
  <c r="DK14" i="149" s="1"/>
  <c r="DJ62" i="67"/>
  <c r="DJ14" i="149" s="1"/>
  <c r="DP91" i="4"/>
  <c r="D91" i="75"/>
  <c r="D91" i="38"/>
  <c r="D91" i="28"/>
  <c r="T91" i="28" s="1"/>
  <c r="U91" i="28" s="1"/>
  <c r="DC91" i="67"/>
  <c r="DE91" i="67"/>
  <c r="DE43" i="149" s="1"/>
  <c r="DJ85" i="67"/>
  <c r="DJ37" i="149" s="1"/>
  <c r="DK85" i="67"/>
  <c r="DK37" i="149" s="1"/>
  <c r="I104" i="67"/>
  <c r="I102" i="67"/>
  <c r="I109" i="67"/>
  <c r="I99" i="67"/>
  <c r="I106" i="67"/>
  <c r="I107" i="67"/>
  <c r="I103" i="67"/>
  <c r="I105" i="67"/>
  <c r="I100" i="67"/>
  <c r="I98" i="67"/>
  <c r="I101" i="67"/>
  <c r="I108" i="67"/>
  <c r="DP93" i="4"/>
  <c r="DC93" i="67"/>
  <c r="D93" i="75"/>
  <c r="D93" i="38"/>
  <c r="D93" i="28"/>
  <c r="T93" i="28" s="1"/>
  <c r="U93" i="28" s="1"/>
  <c r="DE93" i="67"/>
  <c r="DE45" i="149" s="1"/>
  <c r="DP89" i="4"/>
  <c r="D89" i="75"/>
  <c r="D89" i="38"/>
  <c r="DC89" i="67"/>
  <c r="DE89" i="67"/>
  <c r="DE41" i="149" s="1"/>
  <c r="D89" i="28"/>
  <c r="T89" i="28" s="1"/>
  <c r="U89" i="28" s="1"/>
  <c r="DP95" i="4"/>
  <c r="DC95" i="67"/>
  <c r="DE95" i="67"/>
  <c r="DE47" i="149" s="1"/>
  <c r="D95" i="75"/>
  <c r="D95" i="38"/>
  <c r="D95" i="28"/>
  <c r="T95" i="28" s="1"/>
  <c r="U95" i="28" s="1"/>
  <c r="DK84" i="67"/>
  <c r="DK36" i="149" s="1"/>
  <c r="DJ83" i="67"/>
  <c r="DJ35" i="149" s="1"/>
  <c r="DK83" i="67"/>
  <c r="DK35" i="149" s="1"/>
  <c r="DJ76" i="67"/>
  <c r="DJ28" i="149" s="1"/>
  <c r="DK76" i="67"/>
  <c r="DK28" i="149" s="1"/>
  <c r="DP86" i="4"/>
  <c r="DE86" i="67"/>
  <c r="DE38" i="149" s="1"/>
  <c r="DJ78" i="67"/>
  <c r="DJ30" i="149" s="1"/>
  <c r="DK78" i="67"/>
  <c r="DK30" i="149" s="1"/>
  <c r="DJ77" i="67"/>
  <c r="DJ29" i="149" s="1"/>
  <c r="DK77" i="67"/>
  <c r="DK29" i="149" s="1"/>
  <c r="DI96" i="67"/>
  <c r="DI48" i="149" s="1"/>
  <c r="DL96" i="67"/>
  <c r="DL48" i="149" s="1"/>
  <c r="DR94" i="4"/>
  <c r="DL94" i="67"/>
  <c r="DL46" i="149" s="1"/>
  <c r="DI94" i="67"/>
  <c r="DI46" i="149" s="1"/>
  <c r="N14" i="17"/>
  <c r="Q14" i="17" s="1"/>
  <c r="DP90" i="4"/>
  <c r="D90" i="38"/>
  <c r="DE90" i="67"/>
  <c r="DE42" i="149" s="1"/>
  <c r="D90" i="28"/>
  <c r="T90" i="28" s="1"/>
  <c r="U90" i="28" s="1"/>
  <c r="DC90" i="67"/>
  <c r="D90" i="75"/>
  <c r="AA15" i="17"/>
  <c r="AA55" i="17" s="1"/>
  <c r="G15" i="17"/>
  <c r="G55" i="17" s="1"/>
  <c r="Q15" i="17"/>
  <c r="Q55" i="17" s="1"/>
  <c r="D121" i="76"/>
  <c r="D121" i="30"/>
  <c r="R121" i="30" s="1"/>
  <c r="S121" i="30" s="1"/>
  <c r="N54" i="17"/>
  <c r="D111" i="32"/>
  <c r="L111" i="32" s="1"/>
  <c r="M111" i="32" s="1"/>
  <c r="X54" i="17"/>
  <c r="D115" i="76"/>
  <c r="D112" i="76"/>
  <c r="D112" i="32"/>
  <c r="L112" i="32" s="1"/>
  <c r="M112" i="32" s="1"/>
  <c r="C10" i="15"/>
  <c r="DM116" i="67"/>
  <c r="DM68" i="149" s="1"/>
  <c r="DL114" i="67"/>
  <c r="DL66" i="149" s="1"/>
  <c r="DF115" i="67"/>
  <c r="DI119" i="67"/>
  <c r="DI71" i="149" s="1"/>
  <c r="DH112" i="67"/>
  <c r="DH64" i="149" s="1"/>
  <c r="DF112" i="67"/>
  <c r="DF110" i="67"/>
  <c r="DH110" i="67"/>
  <c r="DH62" i="149" s="1"/>
  <c r="DI118" i="67"/>
  <c r="DI70" i="149" s="1"/>
  <c r="Q29" i="148"/>
  <c r="Q17" i="148"/>
  <c r="DM112" i="67"/>
  <c r="DM64" i="149" s="1"/>
  <c r="DI112" i="67"/>
  <c r="DI64" i="149" s="1"/>
  <c r="DL112" i="67"/>
  <c r="DL64" i="149" s="1"/>
  <c r="I66" i="148"/>
  <c r="DH121" i="67"/>
  <c r="DH73" i="149" s="1"/>
  <c r="DF121" i="67"/>
  <c r="DI111" i="67"/>
  <c r="DI63" i="149" s="1"/>
  <c r="DH117" i="67"/>
  <c r="DH69" i="149" s="1"/>
  <c r="DF117" i="67"/>
  <c r="DI120" i="67"/>
  <c r="DI72" i="149" s="1"/>
  <c r="DM120" i="67"/>
  <c r="DM72" i="149" s="1"/>
  <c r="D113" i="34" l="1"/>
  <c r="D91" i="30"/>
  <c r="R91" i="30" s="1"/>
  <c r="S91" i="30" s="1"/>
  <c r="AB118" i="67"/>
  <c r="D118" i="77"/>
  <c r="D118" i="36"/>
  <c r="DI87" i="67"/>
  <c r="DI39" i="149" s="1"/>
  <c r="D87" i="77"/>
  <c r="D87" i="36"/>
  <c r="E85" i="36"/>
  <c r="F85" i="77"/>
  <c r="E79" i="36"/>
  <c r="F79" i="77"/>
  <c r="D114" i="36"/>
  <c r="D114" i="77"/>
  <c r="D97" i="36"/>
  <c r="D97" i="77"/>
  <c r="D95" i="36"/>
  <c r="D95" i="77"/>
  <c r="E84" i="36"/>
  <c r="F84" i="77"/>
  <c r="DL115" i="67"/>
  <c r="DL67" i="149" s="1"/>
  <c r="D115" i="36"/>
  <c r="D115" i="77"/>
  <c r="DM86" i="67"/>
  <c r="DM38" i="149" s="1"/>
  <c r="D86" i="77"/>
  <c r="D86" i="36"/>
  <c r="DR96" i="4"/>
  <c r="D96" i="36"/>
  <c r="D96" i="77"/>
  <c r="DR92" i="4"/>
  <c r="D92" i="36"/>
  <c r="D92" i="77"/>
  <c r="E83" i="36"/>
  <c r="F83" i="77"/>
  <c r="D88" i="32"/>
  <c r="L88" i="32" s="1"/>
  <c r="M88" i="32" s="1"/>
  <c r="D88" i="77"/>
  <c r="D88" i="36"/>
  <c r="F81" i="77"/>
  <c r="E81" i="36"/>
  <c r="DM87" i="67"/>
  <c r="DM39" i="149" s="1"/>
  <c r="D89" i="30"/>
  <c r="R89" i="30" s="1"/>
  <c r="S89" i="30" s="1"/>
  <c r="D90" i="32"/>
  <c r="L90" i="32" s="1"/>
  <c r="M90" i="32" s="1"/>
  <c r="D90" i="77"/>
  <c r="D90" i="36"/>
  <c r="D121" i="32"/>
  <c r="L121" i="32" s="1"/>
  <c r="M121" i="32" s="1"/>
  <c r="D121" i="77"/>
  <c r="D121" i="36"/>
  <c r="AB111" i="67"/>
  <c r="D111" i="36"/>
  <c r="D111" i="77"/>
  <c r="E78" i="36"/>
  <c r="F78" i="77"/>
  <c r="D87" i="32"/>
  <c r="L87" i="32" s="1"/>
  <c r="M87" i="32" s="1"/>
  <c r="D89" i="76"/>
  <c r="E80" i="36"/>
  <c r="F80" i="77"/>
  <c r="DH116" i="67"/>
  <c r="DH68" i="149" s="1"/>
  <c r="D118" i="32"/>
  <c r="L118" i="32" s="1"/>
  <c r="M118" i="32" s="1"/>
  <c r="D110" i="36"/>
  <c r="D110" i="77"/>
  <c r="E77" i="36"/>
  <c r="F77" i="77"/>
  <c r="DL119" i="67"/>
  <c r="DL71" i="149" s="1"/>
  <c r="D119" i="77"/>
  <c r="D119" i="36"/>
  <c r="DI91" i="67"/>
  <c r="DI43" i="149" s="1"/>
  <c r="D91" i="36"/>
  <c r="D91" i="77"/>
  <c r="DI117" i="67"/>
  <c r="DI69" i="149" s="1"/>
  <c r="D117" i="36"/>
  <c r="D117" i="77"/>
  <c r="D93" i="36"/>
  <c r="D93" i="77"/>
  <c r="AB120" i="67"/>
  <c r="D120" i="77"/>
  <c r="D120" i="36"/>
  <c r="E75" i="36"/>
  <c r="F75" i="77"/>
  <c r="F76" i="77"/>
  <c r="E76" i="36"/>
  <c r="O9" i="15"/>
  <c r="DM113" i="67"/>
  <c r="DM65" i="149" s="1"/>
  <c r="D113" i="36"/>
  <c r="D113" i="77"/>
  <c r="D116" i="32"/>
  <c r="L116" i="32" s="1"/>
  <c r="M116" i="32" s="1"/>
  <c r="D116" i="36"/>
  <c r="D116" i="77"/>
  <c r="DJ74" i="67"/>
  <c r="DJ26" i="149" s="1"/>
  <c r="D89" i="77"/>
  <c r="D89" i="36"/>
  <c r="D94" i="32"/>
  <c r="L94" i="32" s="1"/>
  <c r="M94" i="32" s="1"/>
  <c r="D94" i="36"/>
  <c r="D94" i="77"/>
  <c r="AB112" i="67"/>
  <c r="D112" i="36"/>
  <c r="D112" i="77"/>
  <c r="E82" i="36"/>
  <c r="F82" i="77"/>
  <c r="E74" i="36"/>
  <c r="F74" i="77"/>
  <c r="K9" i="15"/>
  <c r="E9" i="15"/>
  <c r="D111" i="30"/>
  <c r="R111" i="30" s="1"/>
  <c r="DL91" i="67"/>
  <c r="DL43" i="149" s="1"/>
  <c r="DH115" i="67"/>
  <c r="DH67" i="149" s="1"/>
  <c r="D111" i="34"/>
  <c r="D87" i="76"/>
  <c r="DQ87" i="4"/>
  <c r="DM96" i="67"/>
  <c r="DM48" i="149" s="1"/>
  <c r="D119" i="76"/>
  <c r="DM118" i="67"/>
  <c r="DM70" i="149" s="1"/>
  <c r="D112" i="34"/>
  <c r="D120" i="30"/>
  <c r="R120" i="30" s="1"/>
  <c r="S120" i="30" s="1"/>
  <c r="D120" i="34"/>
  <c r="DR88" i="4"/>
  <c r="DK75" i="67"/>
  <c r="DK27" i="149" s="1"/>
  <c r="DJ75" i="67"/>
  <c r="DJ27" i="149" s="1"/>
  <c r="DM92" i="67"/>
  <c r="DM44" i="149" s="1"/>
  <c r="DM114" i="67"/>
  <c r="DM66" i="149" s="1"/>
  <c r="D117" i="34"/>
  <c r="DI92" i="67"/>
  <c r="DI44" i="149" s="1"/>
  <c r="D120" i="76"/>
  <c r="DJ84" i="67"/>
  <c r="DJ36" i="149" s="1"/>
  <c r="DM111" i="67"/>
  <c r="DM63" i="149" s="1"/>
  <c r="DL111" i="67"/>
  <c r="DL63" i="149" s="1"/>
  <c r="DG75" i="67"/>
  <c r="DG27" i="149" s="1"/>
  <c r="DF111" i="67"/>
  <c r="DH89" i="67"/>
  <c r="DH41" i="149" s="1"/>
  <c r="DF33" i="149"/>
  <c r="DL120" i="67"/>
  <c r="DL72" i="149" s="1"/>
  <c r="DL118" i="67"/>
  <c r="DL70" i="149" s="1"/>
  <c r="DL116" i="67"/>
  <c r="DL68" i="149" s="1"/>
  <c r="D115" i="34"/>
  <c r="D92" i="32"/>
  <c r="L92" i="32" s="1"/>
  <c r="M92" i="32" s="1"/>
  <c r="DF35" i="149"/>
  <c r="DQ86" i="4"/>
  <c r="D92" i="30"/>
  <c r="R92" i="30" s="1"/>
  <c r="S92" i="30" s="1"/>
  <c r="DL90" i="67"/>
  <c r="DL42" i="149" s="1"/>
  <c r="D97" i="34"/>
  <c r="DQ95" i="4"/>
  <c r="D97" i="76"/>
  <c r="DM115" i="67"/>
  <c r="DM67" i="149" s="1"/>
  <c r="I10" i="15"/>
  <c r="K10" i="15" s="1"/>
  <c r="DI115" i="67"/>
  <c r="DI67" i="149" s="1"/>
  <c r="DH111" i="67"/>
  <c r="DH63" i="149" s="1"/>
  <c r="DH86" i="67"/>
  <c r="DH38" i="149" s="1"/>
  <c r="DK79" i="67"/>
  <c r="DK31" i="149" s="1"/>
  <c r="DH91" i="67"/>
  <c r="DH43" i="149" s="1"/>
  <c r="D95" i="32"/>
  <c r="L95" i="32" s="1"/>
  <c r="M95" i="32" s="1"/>
  <c r="D96" i="32"/>
  <c r="L96" i="32" s="1"/>
  <c r="M96" i="32" s="1"/>
  <c r="N45" i="149"/>
  <c r="AB93" i="67"/>
  <c r="D80" i="154"/>
  <c r="L80" i="154" s="1"/>
  <c r="M80" i="154" s="1"/>
  <c r="AB32" i="149"/>
  <c r="D114" i="32"/>
  <c r="L114" i="32" s="1"/>
  <c r="M114" i="32" s="1"/>
  <c r="AB114" i="67"/>
  <c r="D77" i="154"/>
  <c r="L77" i="154" s="1"/>
  <c r="M77" i="154" s="1"/>
  <c r="AB29" i="149"/>
  <c r="AC80" i="67"/>
  <c r="AC32" i="149" s="1"/>
  <c r="O32" i="149"/>
  <c r="N47" i="149"/>
  <c r="AB95" i="67"/>
  <c r="N46" i="149"/>
  <c r="AB94" i="67"/>
  <c r="D120" i="154"/>
  <c r="L120" i="154" s="1"/>
  <c r="M120" i="154" s="1"/>
  <c r="D115" i="32"/>
  <c r="L115" i="32" s="1"/>
  <c r="M115" i="32" s="1"/>
  <c r="AB115" i="67"/>
  <c r="AB86" i="67"/>
  <c r="N44" i="149"/>
  <c r="AB92" i="67"/>
  <c r="N39" i="149"/>
  <c r="AB87" i="67"/>
  <c r="AB64" i="149"/>
  <c r="D112" i="154"/>
  <c r="L112" i="154" s="1"/>
  <c r="M112" i="154" s="1"/>
  <c r="N40" i="149"/>
  <c r="AB88" i="67"/>
  <c r="D75" i="154"/>
  <c r="L75" i="154" s="1"/>
  <c r="M75" i="154" s="1"/>
  <c r="AB27" i="149"/>
  <c r="AB28" i="149"/>
  <c r="D76" i="154"/>
  <c r="L76" i="154" s="1"/>
  <c r="M76" i="154" s="1"/>
  <c r="L62" i="154"/>
  <c r="M62" i="154" s="1"/>
  <c r="N42" i="149"/>
  <c r="AB90" i="67"/>
  <c r="DL121" i="67"/>
  <c r="DL73" i="149" s="1"/>
  <c r="AB121" i="67"/>
  <c r="N49" i="149"/>
  <c r="AB97" i="67"/>
  <c r="AB34" i="149"/>
  <c r="D82" i="154"/>
  <c r="L82" i="154" s="1"/>
  <c r="M82" i="154" s="1"/>
  <c r="D74" i="154"/>
  <c r="AB26" i="149"/>
  <c r="N43" i="149"/>
  <c r="AB91" i="67"/>
  <c r="DM119" i="67"/>
  <c r="DM71" i="149" s="1"/>
  <c r="AB119" i="67"/>
  <c r="AB37" i="149"/>
  <c r="D85" i="154"/>
  <c r="L85" i="154" s="1"/>
  <c r="M85" i="154" s="1"/>
  <c r="AB31" i="149"/>
  <c r="D79" i="154"/>
  <c r="L79" i="154" s="1"/>
  <c r="M79" i="154" s="1"/>
  <c r="AB63" i="149"/>
  <c r="D111" i="154"/>
  <c r="L111" i="154" s="1"/>
  <c r="M111" i="154" s="1"/>
  <c r="AB36" i="149"/>
  <c r="D84" i="154"/>
  <c r="L84" i="154" s="1"/>
  <c r="M84" i="154" s="1"/>
  <c r="AC79" i="67"/>
  <c r="AC31" i="149" s="1"/>
  <c r="O31" i="149"/>
  <c r="D11" i="24"/>
  <c r="N48" i="149"/>
  <c r="AB96" i="67"/>
  <c r="D117" i="32"/>
  <c r="L117" i="32" s="1"/>
  <c r="M117" i="32" s="1"/>
  <c r="AB117" i="67"/>
  <c r="DF94" i="67"/>
  <c r="DL86" i="67"/>
  <c r="DL38" i="149" s="1"/>
  <c r="DK74" i="67"/>
  <c r="DK26" i="149" s="1"/>
  <c r="DI113" i="67"/>
  <c r="DI65" i="149" s="1"/>
  <c r="AB113" i="67"/>
  <c r="AB116" i="67"/>
  <c r="AB35" i="149"/>
  <c r="D83" i="154"/>
  <c r="L83" i="154" s="1"/>
  <c r="M83" i="154" s="1"/>
  <c r="N41" i="149"/>
  <c r="AB89" i="67"/>
  <c r="DF32" i="149"/>
  <c r="DM110" i="67"/>
  <c r="DM62" i="149" s="1"/>
  <c r="AB110" i="67"/>
  <c r="AB33" i="149"/>
  <c r="D81" i="154"/>
  <c r="L81" i="154" s="1"/>
  <c r="M81" i="154" s="1"/>
  <c r="D116" i="34"/>
  <c r="AB70" i="149"/>
  <c r="D118" i="154"/>
  <c r="L118" i="154" s="1"/>
  <c r="M118" i="154" s="1"/>
  <c r="D78" i="154"/>
  <c r="L78" i="154" s="1"/>
  <c r="M78" i="154" s="1"/>
  <c r="AB30" i="149"/>
  <c r="DR90" i="4"/>
  <c r="DI95" i="67"/>
  <c r="DI47" i="149" s="1"/>
  <c r="DI114" i="67"/>
  <c r="DI66" i="149" s="1"/>
  <c r="DL87" i="67"/>
  <c r="DL39" i="149" s="1"/>
  <c r="DI90" i="67"/>
  <c r="DI42" i="149" s="1"/>
  <c r="D94" i="30"/>
  <c r="R94" i="30" s="1"/>
  <c r="S94" i="30" s="1"/>
  <c r="DH94" i="67"/>
  <c r="DH46" i="149" s="1"/>
  <c r="DQ89" i="4"/>
  <c r="D94" i="34"/>
  <c r="D97" i="30"/>
  <c r="R97" i="30" s="1"/>
  <c r="S97" i="30" s="1"/>
  <c r="DI116" i="67"/>
  <c r="DI68" i="149" s="1"/>
  <c r="DF87" i="67"/>
  <c r="DF39" i="149" s="1"/>
  <c r="DL95" i="67"/>
  <c r="DL47" i="149" s="1"/>
  <c r="DF97" i="67"/>
  <c r="DG97" i="67" s="1"/>
  <c r="DG49" i="149" s="1"/>
  <c r="D114" i="34"/>
  <c r="DI97" i="67"/>
  <c r="DI49" i="149" s="1"/>
  <c r="DL97" i="67"/>
  <c r="DL49" i="149" s="1"/>
  <c r="DQ91" i="4"/>
  <c r="D94" i="76"/>
  <c r="DQ94" i="4"/>
  <c r="D89" i="34"/>
  <c r="D119" i="30"/>
  <c r="R119" i="30" s="1"/>
  <c r="S119" i="30" s="1"/>
  <c r="DL89" i="67"/>
  <c r="DL41" i="149" s="1"/>
  <c r="D119" i="34"/>
  <c r="D113" i="30"/>
  <c r="R113" i="30" s="1"/>
  <c r="S113" i="30" s="1"/>
  <c r="D89" i="32"/>
  <c r="L89" i="32" s="1"/>
  <c r="M89" i="32" s="1"/>
  <c r="DM95" i="67"/>
  <c r="DM47" i="149" s="1"/>
  <c r="DF26" i="149"/>
  <c r="DF113" i="67"/>
  <c r="DR95" i="4"/>
  <c r="DH113" i="67"/>
  <c r="DH65" i="149" s="1"/>
  <c r="DF119" i="67"/>
  <c r="DG119" i="67" s="1"/>
  <c r="DG71" i="149" s="1"/>
  <c r="DM90" i="67"/>
  <c r="DM42" i="149" s="1"/>
  <c r="DJ79" i="67"/>
  <c r="DJ31" i="149" s="1"/>
  <c r="DI89" i="67"/>
  <c r="DI41" i="149" s="1"/>
  <c r="D92" i="76"/>
  <c r="DR93" i="4"/>
  <c r="DH87" i="67"/>
  <c r="DH39" i="149" s="1"/>
  <c r="D91" i="34"/>
  <c r="DF120" i="67"/>
  <c r="DF72" i="149" s="1"/>
  <c r="D88" i="30"/>
  <c r="R88" i="30" s="1"/>
  <c r="S88" i="30" s="1"/>
  <c r="D87" i="30"/>
  <c r="R87" i="30" s="1"/>
  <c r="S87" i="30" s="1"/>
  <c r="F100" i="67"/>
  <c r="F52" i="149" s="1"/>
  <c r="D91" i="76"/>
  <c r="DF91" i="67"/>
  <c r="DG91" i="67" s="1"/>
  <c r="DG43" i="149" s="1"/>
  <c r="D90" i="30"/>
  <c r="R90" i="30" s="1"/>
  <c r="S90" i="30" s="1"/>
  <c r="D90" i="76"/>
  <c r="DI86" i="67"/>
  <c r="DI38" i="149" s="1"/>
  <c r="F109" i="67"/>
  <c r="F61" i="149" s="1"/>
  <c r="DM91" i="67"/>
  <c r="DM43" i="149" s="1"/>
  <c r="E50" i="149"/>
  <c r="D53" i="17"/>
  <c r="D91" i="32"/>
  <c r="L91" i="32" s="1"/>
  <c r="M91" i="32" s="1"/>
  <c r="D86" i="30"/>
  <c r="R86" i="30" s="1"/>
  <c r="S86" i="30" s="1"/>
  <c r="DF37" i="149"/>
  <c r="D92" i="34"/>
  <c r="O52" i="17"/>
  <c r="Q52" i="17"/>
  <c r="D93" i="32"/>
  <c r="L93" i="32" s="1"/>
  <c r="M93" i="32" s="1"/>
  <c r="N53" i="17"/>
  <c r="X53" i="17"/>
  <c r="Y52" i="17"/>
  <c r="AA52" i="17"/>
  <c r="D117" i="30"/>
  <c r="R117" i="30" s="1"/>
  <c r="S117" i="30" s="1"/>
  <c r="D87" i="34"/>
  <c r="DL93" i="67"/>
  <c r="DL45" i="149" s="1"/>
  <c r="DM93" i="67"/>
  <c r="DM45" i="149" s="1"/>
  <c r="DI93" i="67"/>
  <c r="DI45" i="149" s="1"/>
  <c r="DH93" i="67"/>
  <c r="DH45" i="149" s="1"/>
  <c r="DI121" i="67"/>
  <c r="DI73" i="149" s="1"/>
  <c r="DQ96" i="4"/>
  <c r="D88" i="34"/>
  <c r="DQ93" i="4"/>
  <c r="D88" i="76"/>
  <c r="DK82" i="67"/>
  <c r="DK34" i="149" s="1"/>
  <c r="D114" i="30"/>
  <c r="R114" i="30" s="1"/>
  <c r="S114" i="30" s="1"/>
  <c r="DQ88" i="4"/>
  <c r="DJ82" i="67"/>
  <c r="DJ34" i="149" s="1"/>
  <c r="DH95" i="67"/>
  <c r="DH47" i="149" s="1"/>
  <c r="D114" i="76"/>
  <c r="D116" i="30"/>
  <c r="R116" i="30" s="1"/>
  <c r="S116" i="30" s="1"/>
  <c r="DF116" i="67"/>
  <c r="DG116" i="67" s="1"/>
  <c r="DG68" i="149" s="1"/>
  <c r="D97" i="32"/>
  <c r="L97" i="32" s="1"/>
  <c r="M97" i="32" s="1"/>
  <c r="F102" i="67"/>
  <c r="F54" i="149" s="1"/>
  <c r="DH92" i="67"/>
  <c r="DH44" i="149" s="1"/>
  <c r="D96" i="30"/>
  <c r="R96" i="30" s="1"/>
  <c r="S96" i="30" s="1"/>
  <c r="DL117" i="67"/>
  <c r="DL69" i="149" s="1"/>
  <c r="DM117" i="67"/>
  <c r="DM69" i="149" s="1"/>
  <c r="DF114" i="67"/>
  <c r="DF66" i="149" s="1"/>
  <c r="D113" i="32"/>
  <c r="L113" i="32" s="1"/>
  <c r="M113" i="32" s="1"/>
  <c r="D118" i="30"/>
  <c r="R118" i="30" s="1"/>
  <c r="S118" i="30" s="1"/>
  <c r="DM97" i="67"/>
  <c r="DM49" i="149" s="1"/>
  <c r="DR91" i="4"/>
  <c r="D118" i="34"/>
  <c r="DR97" i="4"/>
  <c r="D90" i="34"/>
  <c r="DR86" i="4"/>
  <c r="D93" i="34"/>
  <c r="D96" i="76"/>
  <c r="DH97" i="67"/>
  <c r="DH49" i="149" s="1"/>
  <c r="D93" i="30"/>
  <c r="R93" i="30" s="1"/>
  <c r="S93" i="30" s="1"/>
  <c r="DF92" i="67"/>
  <c r="DF44" i="149" s="1"/>
  <c r="DF96" i="67"/>
  <c r="DF48" i="149" s="1"/>
  <c r="Q12" i="17"/>
  <c r="DF118" i="67"/>
  <c r="DF70" i="149" s="1"/>
  <c r="DM121" i="67"/>
  <c r="DM73" i="149" s="1"/>
  <c r="DL113" i="67"/>
  <c r="DL65" i="149" s="1"/>
  <c r="D118" i="76"/>
  <c r="DH88" i="67"/>
  <c r="DH40" i="149" s="1"/>
  <c r="DF90" i="67"/>
  <c r="DG90" i="67" s="1"/>
  <c r="DG42" i="149" s="1"/>
  <c r="DI88" i="67"/>
  <c r="DI40" i="149" s="1"/>
  <c r="DF93" i="67"/>
  <c r="DF45" i="149" s="1"/>
  <c r="D96" i="34"/>
  <c r="DQ97" i="4"/>
  <c r="DF88" i="67"/>
  <c r="DF40" i="149" s="1"/>
  <c r="DQ90" i="4"/>
  <c r="DL88" i="67"/>
  <c r="DL40" i="149" s="1"/>
  <c r="D93" i="76"/>
  <c r="DH96" i="67"/>
  <c r="DH48" i="149" s="1"/>
  <c r="DF34" i="149"/>
  <c r="DQ92" i="4"/>
  <c r="F98" i="67"/>
  <c r="D98" i="38" s="1"/>
  <c r="DF30" i="149"/>
  <c r="DM89" i="67"/>
  <c r="DM41" i="149" s="1"/>
  <c r="DF95" i="67"/>
  <c r="DG95" i="67" s="1"/>
  <c r="DG47" i="149" s="1"/>
  <c r="D95" i="34"/>
  <c r="D95" i="76"/>
  <c r="DF31" i="149"/>
  <c r="DR87" i="4"/>
  <c r="DM94" i="67"/>
  <c r="DM46" i="149" s="1"/>
  <c r="DH90" i="67"/>
  <c r="DH42" i="149" s="1"/>
  <c r="DL92" i="67"/>
  <c r="DL44" i="149" s="1"/>
  <c r="DR89" i="4"/>
  <c r="D95" i="30"/>
  <c r="R95" i="30" s="1"/>
  <c r="S95" i="30" s="1"/>
  <c r="D86" i="34"/>
  <c r="DM88" i="67"/>
  <c r="DM40" i="149" s="1"/>
  <c r="DD93" i="67"/>
  <c r="DD45" i="149" s="1"/>
  <c r="DC45" i="149"/>
  <c r="N105" i="67"/>
  <c r="M57" i="149"/>
  <c r="F106" i="67"/>
  <c r="F58" i="149" s="1"/>
  <c r="E58" i="149"/>
  <c r="DQ111" i="4"/>
  <c r="J63" i="149"/>
  <c r="DR121" i="4"/>
  <c r="N73" i="149"/>
  <c r="DQ110" i="4"/>
  <c r="J62" i="149"/>
  <c r="DG111" i="67"/>
  <c r="DG63" i="149" s="1"/>
  <c r="DF63" i="149"/>
  <c r="N99" i="67"/>
  <c r="M51" i="149"/>
  <c r="DF49" i="149"/>
  <c r="DG89" i="67"/>
  <c r="DG41" i="149" s="1"/>
  <c r="DF41" i="149"/>
  <c r="F108" i="67"/>
  <c r="F60" i="149" s="1"/>
  <c r="E60" i="149"/>
  <c r="DQ116" i="4"/>
  <c r="J68" i="149"/>
  <c r="DR119" i="4"/>
  <c r="N71" i="149"/>
  <c r="J108" i="67"/>
  <c r="J60" i="149" s="1"/>
  <c r="I60" i="149"/>
  <c r="N102" i="67"/>
  <c r="M54" i="149"/>
  <c r="F105" i="67"/>
  <c r="F57" i="149" s="1"/>
  <c r="E57" i="149"/>
  <c r="DR117" i="4"/>
  <c r="N69" i="149"/>
  <c r="DR120" i="4"/>
  <c r="N72" i="149"/>
  <c r="DD95" i="67"/>
  <c r="DD47" i="149" s="1"/>
  <c r="DC47" i="149"/>
  <c r="J101" i="67"/>
  <c r="J53" i="149" s="1"/>
  <c r="I53" i="149"/>
  <c r="N106" i="67"/>
  <c r="M58" i="149"/>
  <c r="F104" i="67"/>
  <c r="F56" i="149" s="1"/>
  <c r="E56" i="149"/>
  <c r="DR113" i="4"/>
  <c r="N65" i="149"/>
  <c r="DQ118" i="4"/>
  <c r="J70" i="149"/>
  <c r="DD86" i="67"/>
  <c r="DD38" i="149" s="1"/>
  <c r="DC38" i="149"/>
  <c r="F103" i="67"/>
  <c r="F55" i="149" s="1"/>
  <c r="E55" i="149"/>
  <c r="DR112" i="4"/>
  <c r="N64" i="149"/>
  <c r="J98" i="67"/>
  <c r="D98" i="30" s="1"/>
  <c r="R98" i="30" s="1"/>
  <c r="I50" i="149"/>
  <c r="DG117" i="67"/>
  <c r="DG69" i="149" s="1"/>
  <c r="DF69" i="149"/>
  <c r="J100" i="67"/>
  <c r="J52" i="149" s="1"/>
  <c r="I52" i="149"/>
  <c r="DD87" i="67"/>
  <c r="DD39" i="149" s="1"/>
  <c r="DC39" i="149"/>
  <c r="DR116" i="4"/>
  <c r="N68" i="149"/>
  <c r="J105" i="67"/>
  <c r="J57" i="149" s="1"/>
  <c r="I57" i="149"/>
  <c r="F101" i="67"/>
  <c r="F53" i="149" s="1"/>
  <c r="E53" i="149"/>
  <c r="DG94" i="67"/>
  <c r="DG46" i="149" s="1"/>
  <c r="DF46" i="149"/>
  <c r="J103" i="67"/>
  <c r="J55" i="149" s="1"/>
  <c r="I55" i="149"/>
  <c r="DD92" i="67"/>
  <c r="DD44" i="149" s="1"/>
  <c r="DC44" i="149"/>
  <c r="DQ120" i="4"/>
  <c r="J72" i="149"/>
  <c r="DR118" i="4"/>
  <c r="N70" i="149"/>
  <c r="DG115" i="67"/>
  <c r="DG67" i="149" s="1"/>
  <c r="DF67" i="149"/>
  <c r="J107" i="67"/>
  <c r="J59" i="149" s="1"/>
  <c r="I59" i="149"/>
  <c r="N109" i="67"/>
  <c r="M61" i="149"/>
  <c r="F99" i="67"/>
  <c r="F51" i="149" s="1"/>
  <c r="E51" i="149"/>
  <c r="DQ112" i="4"/>
  <c r="J64" i="149"/>
  <c r="DG121" i="67"/>
  <c r="DG73" i="149" s="1"/>
  <c r="DF73" i="149"/>
  <c r="DG110" i="67"/>
  <c r="DG62" i="149" s="1"/>
  <c r="DF62" i="149"/>
  <c r="J106" i="67"/>
  <c r="J58" i="149" s="1"/>
  <c r="I58" i="149"/>
  <c r="N104" i="67"/>
  <c r="M56" i="149"/>
  <c r="DD97" i="67"/>
  <c r="DD49" i="149" s="1"/>
  <c r="DC49" i="149"/>
  <c r="DR115" i="4"/>
  <c r="N67" i="149"/>
  <c r="DR114" i="4"/>
  <c r="N66" i="149"/>
  <c r="DG112" i="67"/>
  <c r="DG64" i="149" s="1"/>
  <c r="DF64" i="149"/>
  <c r="J99" i="67"/>
  <c r="J51" i="149" s="1"/>
  <c r="I51" i="149"/>
  <c r="N101" i="67"/>
  <c r="M53" i="149"/>
  <c r="DD96" i="67"/>
  <c r="DD48" i="149" s="1"/>
  <c r="DC48" i="149"/>
  <c r="DG84" i="67"/>
  <c r="DG36" i="149" s="1"/>
  <c r="DF36" i="149"/>
  <c r="DQ119" i="4"/>
  <c r="J71" i="149"/>
  <c r="DR111" i="4"/>
  <c r="N63" i="149"/>
  <c r="DQ115" i="4"/>
  <c r="J67" i="149"/>
  <c r="J109" i="67"/>
  <c r="J61" i="149" s="1"/>
  <c r="I61" i="149"/>
  <c r="N108" i="67"/>
  <c r="M60" i="149"/>
  <c r="DD88" i="67"/>
  <c r="DD40" i="149" s="1"/>
  <c r="DC40" i="149"/>
  <c r="D86" i="32"/>
  <c r="L86" i="32" s="1"/>
  <c r="M86" i="32" s="1"/>
  <c r="N38" i="149"/>
  <c r="J102" i="67"/>
  <c r="J54" i="149" s="1"/>
  <c r="I54" i="149"/>
  <c r="N98" i="67"/>
  <c r="M50" i="149"/>
  <c r="DQ113" i="4"/>
  <c r="J65" i="149"/>
  <c r="DD90" i="67"/>
  <c r="DD42" i="149" s="1"/>
  <c r="DC42" i="149"/>
  <c r="DG87" i="67"/>
  <c r="DG39" i="149" s="1"/>
  <c r="J104" i="67"/>
  <c r="J56" i="149" s="1"/>
  <c r="I56" i="149"/>
  <c r="N107" i="67"/>
  <c r="M59" i="149"/>
  <c r="DF86" i="67"/>
  <c r="J38" i="149"/>
  <c r="DQ121" i="4"/>
  <c r="J73" i="149"/>
  <c r="DG113" i="67"/>
  <c r="DG65" i="149" s="1"/>
  <c r="DF65" i="149"/>
  <c r="DD89" i="67"/>
  <c r="DD41" i="149" s="1"/>
  <c r="DC41" i="149"/>
  <c r="DD91" i="67"/>
  <c r="DD43" i="149" s="1"/>
  <c r="DC43" i="149"/>
  <c r="N100" i="67"/>
  <c r="M52" i="149"/>
  <c r="DD94" i="67"/>
  <c r="DD46" i="149" s="1"/>
  <c r="DC46" i="149"/>
  <c r="DQ117" i="4"/>
  <c r="J69" i="149"/>
  <c r="DR110" i="4"/>
  <c r="N62" i="149"/>
  <c r="N103" i="67"/>
  <c r="M55" i="149"/>
  <c r="F107" i="67"/>
  <c r="F59" i="149" s="1"/>
  <c r="E59" i="149"/>
  <c r="DQ114" i="4"/>
  <c r="J66" i="149"/>
  <c r="Y14" i="17"/>
  <c r="AA12" i="17"/>
  <c r="E110" i="67"/>
  <c r="E111" i="67"/>
  <c r="E112" i="67"/>
  <c r="E113" i="67"/>
  <c r="E114" i="67"/>
  <c r="E115" i="67"/>
  <c r="E116" i="67"/>
  <c r="E117" i="67"/>
  <c r="E118" i="67"/>
  <c r="E119" i="67"/>
  <c r="E120" i="67"/>
  <c r="E121" i="67"/>
  <c r="E12" i="17"/>
  <c r="N13" i="17"/>
  <c r="Q13" i="17" s="1"/>
  <c r="O14" i="17"/>
  <c r="DK90" i="67"/>
  <c r="DK42" i="149" s="1"/>
  <c r="DJ90" i="67"/>
  <c r="DJ42" i="149" s="1"/>
  <c r="D109" i="38"/>
  <c r="DC109" i="67"/>
  <c r="D109" i="28"/>
  <c r="T109" i="28" s="1"/>
  <c r="U109" i="28" s="1"/>
  <c r="DK89" i="67"/>
  <c r="DK41" i="149" s="1"/>
  <c r="D13" i="17"/>
  <c r="G13" i="17" s="1"/>
  <c r="X13" i="17"/>
  <c r="Y13" i="17" s="1"/>
  <c r="DJ97" i="67"/>
  <c r="DJ49" i="149" s="1"/>
  <c r="DK96" i="67"/>
  <c r="DK48" i="149" s="1"/>
  <c r="DJ96" i="67"/>
  <c r="DJ48" i="149" s="1"/>
  <c r="DJ87" i="67"/>
  <c r="DJ39" i="149" s="1"/>
  <c r="DK87" i="67"/>
  <c r="DK39" i="149" s="1"/>
  <c r="DK91" i="67"/>
  <c r="DK43" i="149" s="1"/>
  <c r="DJ91" i="67"/>
  <c r="DJ43" i="149" s="1"/>
  <c r="DJ94" i="67"/>
  <c r="DJ46" i="149" s="1"/>
  <c r="DK94" i="67"/>
  <c r="DK46" i="149" s="1"/>
  <c r="DK92" i="67"/>
  <c r="DK44" i="149" s="1"/>
  <c r="DJ92" i="67"/>
  <c r="DJ44" i="149" s="1"/>
  <c r="DP102" i="4"/>
  <c r="DE102" i="67"/>
  <c r="DE54" i="149" s="1"/>
  <c r="DC102" i="67"/>
  <c r="D102" i="28"/>
  <c r="T102" i="28" s="1"/>
  <c r="U102" i="28" s="1"/>
  <c r="D102" i="75"/>
  <c r="DK93" i="67"/>
  <c r="DK45" i="149" s="1"/>
  <c r="DJ93" i="67"/>
  <c r="DJ45" i="149" s="1"/>
  <c r="AA16" i="17"/>
  <c r="AA56" i="17" s="1"/>
  <c r="Q16" i="17"/>
  <c r="Q56" i="17" s="1"/>
  <c r="G16" i="17"/>
  <c r="G56" i="17" s="1"/>
  <c r="DL110" i="67"/>
  <c r="DL62" i="149" s="1"/>
  <c r="DI110" i="67"/>
  <c r="D110" i="32"/>
  <c r="D110" i="76"/>
  <c r="D110" i="34"/>
  <c r="D110" i="30"/>
  <c r="E10" i="15"/>
  <c r="DK121" i="67"/>
  <c r="DK73" i="149" s="1"/>
  <c r="DJ121" i="67"/>
  <c r="DJ73" i="149" s="1"/>
  <c r="DJ120" i="67"/>
  <c r="DJ72" i="149" s="1"/>
  <c r="DK120" i="67"/>
  <c r="DK72" i="149" s="1"/>
  <c r="DK111" i="67"/>
  <c r="DK63" i="149" s="1"/>
  <c r="DJ111" i="67"/>
  <c r="DJ63" i="149" s="1"/>
  <c r="DJ118" i="67"/>
  <c r="DJ70" i="149" s="1"/>
  <c r="DK118" i="67"/>
  <c r="DK70" i="149" s="1"/>
  <c r="Y54" i="17"/>
  <c r="AA54" i="17"/>
  <c r="S115" i="30"/>
  <c r="DJ115" i="67"/>
  <c r="DJ67" i="149" s="1"/>
  <c r="DK115" i="67"/>
  <c r="DK67" i="149" s="1"/>
  <c r="C11" i="15"/>
  <c r="DK119" i="67"/>
  <c r="DK71" i="149" s="1"/>
  <c r="DJ119" i="67"/>
  <c r="DJ71" i="149" s="1"/>
  <c r="O54" i="17"/>
  <c r="Q54" i="17"/>
  <c r="S111" i="30"/>
  <c r="Q30" i="148"/>
  <c r="DK114" i="67"/>
  <c r="DK66" i="149" s="1"/>
  <c r="DJ114" i="67"/>
  <c r="DJ66" i="149" s="1"/>
  <c r="DK117" i="67"/>
  <c r="DK69" i="149" s="1"/>
  <c r="DJ117" i="67"/>
  <c r="DJ69" i="149" s="1"/>
  <c r="DK113" i="67"/>
  <c r="DK65" i="149" s="1"/>
  <c r="DJ113" i="67"/>
  <c r="DJ65" i="149" s="1"/>
  <c r="U86" i="28"/>
  <c r="S112" i="30"/>
  <c r="DK116" i="67"/>
  <c r="DK68" i="149" s="1"/>
  <c r="DJ116" i="67"/>
  <c r="DJ68" i="149" s="1"/>
  <c r="DK112" i="67"/>
  <c r="DK64" i="149" s="1"/>
  <c r="DJ112" i="67"/>
  <c r="DJ64" i="149" s="1"/>
  <c r="D109" i="36" l="1"/>
  <c r="D109" i="77"/>
  <c r="D105" i="77"/>
  <c r="D105" i="36"/>
  <c r="E91" i="36"/>
  <c r="F91" i="77"/>
  <c r="E95" i="36"/>
  <c r="F95" i="77"/>
  <c r="E96" i="36"/>
  <c r="F96" i="77"/>
  <c r="E88" i="36"/>
  <c r="F88" i="77"/>
  <c r="D98" i="36"/>
  <c r="D98" i="77"/>
  <c r="E110" i="36"/>
  <c r="F110" i="77"/>
  <c r="E111" i="36"/>
  <c r="F111" i="77"/>
  <c r="O10" i="15"/>
  <c r="Q10" i="15" s="1"/>
  <c r="D104" i="32"/>
  <c r="L104" i="32" s="1"/>
  <c r="M104" i="32" s="1"/>
  <c r="D104" i="77"/>
  <c r="D104" i="36"/>
  <c r="E112" i="36"/>
  <c r="F112" i="77"/>
  <c r="D100" i="75"/>
  <c r="D103" i="77"/>
  <c r="D103" i="36"/>
  <c r="E89" i="36"/>
  <c r="F89" i="77"/>
  <c r="E87" i="36"/>
  <c r="F87" i="77"/>
  <c r="D99" i="36"/>
  <c r="D99" i="77"/>
  <c r="DP100" i="4"/>
  <c r="F97" i="77"/>
  <c r="E97" i="36"/>
  <c r="E114" i="36"/>
  <c r="F114" i="77"/>
  <c r="DJ89" i="67"/>
  <c r="DJ41" i="149" s="1"/>
  <c r="D102" i="77"/>
  <c r="D102" i="36"/>
  <c r="E92" i="36"/>
  <c r="F92" i="77"/>
  <c r="E121" i="36"/>
  <c r="F121" i="77"/>
  <c r="E120" i="36"/>
  <c r="F120" i="77"/>
  <c r="E116" i="36"/>
  <c r="F116" i="77"/>
  <c r="E86" i="36"/>
  <c r="F86" i="77"/>
  <c r="E113" i="36"/>
  <c r="F113" i="77"/>
  <c r="E90" i="36"/>
  <c r="F90" i="77"/>
  <c r="E115" i="36"/>
  <c r="F115" i="77"/>
  <c r="E93" i="36"/>
  <c r="F93" i="77"/>
  <c r="D108" i="36"/>
  <c r="D108" i="77"/>
  <c r="DM106" i="67"/>
  <c r="DM58" i="149" s="1"/>
  <c r="D106" i="77"/>
  <c r="D106" i="36"/>
  <c r="D100" i="36"/>
  <c r="D100" i="77"/>
  <c r="AB72" i="149"/>
  <c r="D107" i="36"/>
  <c r="D107" i="77"/>
  <c r="DK88" i="67"/>
  <c r="DK40" i="149" s="1"/>
  <c r="E119" i="36"/>
  <c r="F119" i="77"/>
  <c r="F94" i="77"/>
  <c r="E94" i="36"/>
  <c r="D101" i="36"/>
  <c r="D101" i="77"/>
  <c r="DG120" i="67"/>
  <c r="DG72" i="149" s="1"/>
  <c r="E117" i="36"/>
  <c r="F117" i="77"/>
  <c r="E118" i="36"/>
  <c r="F118" i="77"/>
  <c r="Q9" i="15"/>
  <c r="DG93" i="67"/>
  <c r="DG45" i="149" s="1"/>
  <c r="DF71" i="149"/>
  <c r="DK86" i="67"/>
  <c r="DK38" i="149" s="1"/>
  <c r="DG92" i="67"/>
  <c r="DG44" i="149" s="1"/>
  <c r="DG114" i="67"/>
  <c r="DG66" i="149" s="1"/>
  <c r="DK97" i="67"/>
  <c r="DK49" i="149" s="1"/>
  <c r="D109" i="75"/>
  <c r="DQ101" i="4"/>
  <c r="DJ95" i="67"/>
  <c r="DJ47" i="149" s="1"/>
  <c r="DJ86" i="67"/>
  <c r="DJ38" i="149" s="1"/>
  <c r="DE98" i="67"/>
  <c r="DE50" i="149" s="1"/>
  <c r="DF43" i="149"/>
  <c r="DK95" i="67"/>
  <c r="DK47" i="149" s="1"/>
  <c r="D101" i="76"/>
  <c r="D100" i="38"/>
  <c r="D106" i="38"/>
  <c r="D91" i="154"/>
  <c r="L91" i="154" s="1"/>
  <c r="M91" i="154" s="1"/>
  <c r="AB43" i="149"/>
  <c r="AB62" i="149"/>
  <c r="D110" i="154"/>
  <c r="D96" i="154"/>
  <c r="L96" i="154" s="1"/>
  <c r="M96" i="154" s="1"/>
  <c r="AB48" i="149"/>
  <c r="AB46" i="149"/>
  <c r="D94" i="154"/>
  <c r="L94" i="154" s="1"/>
  <c r="M94" i="154" s="1"/>
  <c r="N58" i="149"/>
  <c r="AB106" i="67"/>
  <c r="AB40" i="149"/>
  <c r="D88" i="154"/>
  <c r="L88" i="154" s="1"/>
  <c r="M88" i="154" s="1"/>
  <c r="I23" i="25"/>
  <c r="S12" i="25" s="1"/>
  <c r="S15" i="25" s="1"/>
  <c r="E11" i="24"/>
  <c r="E18" i="24" s="1"/>
  <c r="L74" i="154"/>
  <c r="M74" i="154" s="1"/>
  <c r="D95" i="154"/>
  <c r="L95" i="154" s="1"/>
  <c r="M95" i="154" s="1"/>
  <c r="AB47" i="149"/>
  <c r="N55" i="149"/>
  <c r="AB103" i="67"/>
  <c r="DI98" i="67"/>
  <c r="DI50" i="149" s="1"/>
  <c r="AB98" i="67"/>
  <c r="AB41" i="149"/>
  <c r="D89" i="154"/>
  <c r="L89" i="154" s="1"/>
  <c r="M89" i="154" s="1"/>
  <c r="N61" i="149"/>
  <c r="AB109" i="67"/>
  <c r="AB49" i="149"/>
  <c r="D97" i="154"/>
  <c r="L97" i="154" s="1"/>
  <c r="M97" i="154" s="1"/>
  <c r="AB39" i="149"/>
  <c r="D87" i="154"/>
  <c r="L87" i="154" s="1"/>
  <c r="M87" i="154" s="1"/>
  <c r="D116" i="154"/>
  <c r="L116" i="154" s="1"/>
  <c r="M116" i="154" s="1"/>
  <c r="AB68" i="149"/>
  <c r="AB73" i="149"/>
  <c r="D121" i="154"/>
  <c r="L121" i="154" s="1"/>
  <c r="M121" i="154" s="1"/>
  <c r="D92" i="154"/>
  <c r="L92" i="154" s="1"/>
  <c r="M92" i="154" s="1"/>
  <c r="AB44" i="149"/>
  <c r="N59" i="149"/>
  <c r="AB107" i="67"/>
  <c r="N56" i="149"/>
  <c r="AB104" i="67"/>
  <c r="AB66" i="149"/>
  <c r="D114" i="154"/>
  <c r="L114" i="154" s="1"/>
  <c r="M114" i="154" s="1"/>
  <c r="N57" i="149"/>
  <c r="AB105" i="67"/>
  <c r="AB65" i="149"/>
  <c r="D113" i="154"/>
  <c r="L113" i="154" s="1"/>
  <c r="M113" i="154" s="1"/>
  <c r="D90" i="154"/>
  <c r="L90" i="154" s="1"/>
  <c r="M90" i="154" s="1"/>
  <c r="AB42" i="149"/>
  <c r="D86" i="154"/>
  <c r="AB38" i="149"/>
  <c r="AB67" i="149"/>
  <c r="D115" i="154"/>
  <c r="L115" i="154" s="1"/>
  <c r="M115" i="154" s="1"/>
  <c r="N60" i="149"/>
  <c r="AB108" i="67"/>
  <c r="D100" i="28"/>
  <c r="T100" i="28" s="1"/>
  <c r="U100" i="28" s="1"/>
  <c r="N52" i="149"/>
  <c r="AB100" i="67"/>
  <c r="N53" i="149"/>
  <c r="AB101" i="67"/>
  <c r="DE100" i="67"/>
  <c r="DE52" i="149" s="1"/>
  <c r="AB71" i="149"/>
  <c r="D119" i="154"/>
  <c r="L119" i="154" s="1"/>
  <c r="M119" i="154" s="1"/>
  <c r="D93" i="154"/>
  <c r="L93" i="154" s="1"/>
  <c r="M93" i="154" s="1"/>
  <c r="AB45" i="149"/>
  <c r="N51" i="149"/>
  <c r="AB99" i="67"/>
  <c r="N54" i="149"/>
  <c r="AB102" i="67"/>
  <c r="DC100" i="67"/>
  <c r="D98" i="75"/>
  <c r="AB69" i="149"/>
  <c r="D117" i="154"/>
  <c r="L117" i="154" s="1"/>
  <c r="M117" i="154" s="1"/>
  <c r="DH108" i="67"/>
  <c r="DH60" i="149" s="1"/>
  <c r="DG88" i="67"/>
  <c r="DG40" i="149" s="1"/>
  <c r="DP105" i="4"/>
  <c r="DQ108" i="4"/>
  <c r="D98" i="28"/>
  <c r="T98" i="28" s="1"/>
  <c r="U98" i="28" s="1"/>
  <c r="DQ102" i="4"/>
  <c r="DF68" i="149"/>
  <c r="D103" i="28"/>
  <c r="T103" i="28" s="1"/>
  <c r="U103" i="28" s="1"/>
  <c r="DE104" i="67"/>
  <c r="DE56" i="149" s="1"/>
  <c r="D103" i="38"/>
  <c r="DE109" i="67"/>
  <c r="DE61" i="149" s="1"/>
  <c r="DC98" i="67"/>
  <c r="D105" i="75"/>
  <c r="DL107" i="67"/>
  <c r="DL59" i="149" s="1"/>
  <c r="DF107" i="67"/>
  <c r="DF59" i="149" s="1"/>
  <c r="D102" i="38"/>
  <c r="D107" i="34"/>
  <c r="D102" i="32"/>
  <c r="L102" i="32" s="1"/>
  <c r="M102" i="32" s="1"/>
  <c r="DF47" i="149"/>
  <c r="DG96" i="67"/>
  <c r="DG48" i="149" s="1"/>
  <c r="DF101" i="67"/>
  <c r="DF108" i="67"/>
  <c r="DF60" i="149" s="1"/>
  <c r="DG118" i="67"/>
  <c r="DG70" i="149" s="1"/>
  <c r="DE103" i="67"/>
  <c r="DE55" i="149" s="1"/>
  <c r="DP98" i="4"/>
  <c r="D100" i="34"/>
  <c r="DR105" i="4"/>
  <c r="DE105" i="67"/>
  <c r="DE57" i="149" s="1"/>
  <c r="D100" i="76"/>
  <c r="D108" i="30"/>
  <c r="R108" i="30" s="1"/>
  <c r="S108" i="30" s="1"/>
  <c r="D100" i="30"/>
  <c r="R100" i="30" s="1"/>
  <c r="S100" i="30" s="1"/>
  <c r="D105" i="38"/>
  <c r="D108" i="76"/>
  <c r="E62" i="149"/>
  <c r="D54" i="17"/>
  <c r="DH104" i="67"/>
  <c r="DH56" i="149" s="1"/>
  <c r="D104" i="28"/>
  <c r="T104" i="28" s="1"/>
  <c r="U104" i="28" s="1"/>
  <c r="AA53" i="17"/>
  <c r="Y53" i="17"/>
  <c r="Q53" i="17"/>
  <c r="O53" i="17"/>
  <c r="D108" i="28"/>
  <c r="T108" i="28" s="1"/>
  <c r="U108" i="28" s="1"/>
  <c r="DE108" i="67"/>
  <c r="DE60" i="149" s="1"/>
  <c r="G53" i="17"/>
  <c r="E53" i="17"/>
  <c r="DC99" i="67"/>
  <c r="DD99" i="67" s="1"/>
  <c r="DD51" i="149" s="1"/>
  <c r="I11" i="15"/>
  <c r="K11" i="15" s="1"/>
  <c r="D105" i="28"/>
  <c r="T105" i="28" s="1"/>
  <c r="U105" i="28" s="1"/>
  <c r="DP103" i="4"/>
  <c r="DC108" i="67"/>
  <c r="DC60" i="149" s="1"/>
  <c r="F50" i="149"/>
  <c r="DM100" i="67"/>
  <c r="DM52" i="149" s="1"/>
  <c r="DE106" i="67"/>
  <c r="DE58" i="149" s="1"/>
  <c r="DL100" i="67"/>
  <c r="DL52" i="149" s="1"/>
  <c r="DC106" i="67"/>
  <c r="DC58" i="149" s="1"/>
  <c r="D100" i="32"/>
  <c r="L100" i="32" s="1"/>
  <c r="M100" i="32" s="1"/>
  <c r="D106" i="28"/>
  <c r="T106" i="28" s="1"/>
  <c r="U106" i="28" s="1"/>
  <c r="DL109" i="67"/>
  <c r="DL61" i="149" s="1"/>
  <c r="DL105" i="67"/>
  <c r="DL57" i="149" s="1"/>
  <c r="D106" i="75"/>
  <c r="D107" i="30"/>
  <c r="R107" i="30" s="1"/>
  <c r="S107" i="30" s="1"/>
  <c r="DH101" i="67"/>
  <c r="DH53" i="149" s="1"/>
  <c r="DJ88" i="67"/>
  <c r="DJ40" i="149" s="1"/>
  <c r="D105" i="34"/>
  <c r="D101" i="30"/>
  <c r="R101" i="30" s="1"/>
  <c r="S101" i="30" s="1"/>
  <c r="DF42" i="149"/>
  <c r="D104" i="30"/>
  <c r="R104" i="30" s="1"/>
  <c r="S104" i="30" s="1"/>
  <c r="D104" i="76"/>
  <c r="DH105" i="67"/>
  <c r="DH57" i="149" s="1"/>
  <c r="D101" i="34"/>
  <c r="DF102" i="67"/>
  <c r="DG102" i="67" s="1"/>
  <c r="DG54" i="149" s="1"/>
  <c r="DH103" i="67"/>
  <c r="DH55" i="149" s="1"/>
  <c r="DI107" i="67"/>
  <c r="DI59" i="149" s="1"/>
  <c r="D105" i="32"/>
  <c r="L105" i="32" s="1"/>
  <c r="M105" i="32" s="1"/>
  <c r="DC105" i="67"/>
  <c r="DD105" i="67" s="1"/>
  <c r="DD57" i="149" s="1"/>
  <c r="DC103" i="67"/>
  <c r="DC55" i="149" s="1"/>
  <c r="D99" i="76"/>
  <c r="D103" i="75"/>
  <c r="DI108" i="67"/>
  <c r="DI60" i="149" s="1"/>
  <c r="DR109" i="4"/>
  <c r="D102" i="76"/>
  <c r="DH99" i="67"/>
  <c r="DH51" i="149" s="1"/>
  <c r="D107" i="32"/>
  <c r="L107" i="32" s="1"/>
  <c r="M107" i="32" s="1"/>
  <c r="DM107" i="67"/>
  <c r="DM59" i="149" s="1"/>
  <c r="D103" i="34"/>
  <c r="D106" i="34"/>
  <c r="DH100" i="67"/>
  <c r="DH52" i="149" s="1"/>
  <c r="D108" i="34"/>
  <c r="DQ100" i="4"/>
  <c r="D108" i="75"/>
  <c r="DP104" i="4"/>
  <c r="DF100" i="67"/>
  <c r="DL101" i="67"/>
  <c r="DL53" i="149" s="1"/>
  <c r="DR99" i="4"/>
  <c r="DR103" i="4"/>
  <c r="DI100" i="67"/>
  <c r="DI52" i="149" s="1"/>
  <c r="DF104" i="67"/>
  <c r="DG104" i="67" s="1"/>
  <c r="DG56" i="149" s="1"/>
  <c r="DQ104" i="4"/>
  <c r="DR104" i="4"/>
  <c r="DH107" i="67"/>
  <c r="DH59" i="149" s="1"/>
  <c r="DC104" i="67"/>
  <c r="DD104" i="67" s="1"/>
  <c r="DD56" i="149" s="1"/>
  <c r="DE99" i="67"/>
  <c r="DE51" i="149" s="1"/>
  <c r="D106" i="76"/>
  <c r="DQ107" i="4"/>
  <c r="DL102" i="67"/>
  <c r="DL54" i="149" s="1"/>
  <c r="DM99" i="67"/>
  <c r="DM51" i="149" s="1"/>
  <c r="DL99" i="67"/>
  <c r="DL51" i="149" s="1"/>
  <c r="DR100" i="4"/>
  <c r="DL106" i="67"/>
  <c r="DL58" i="149" s="1"/>
  <c r="DI102" i="67"/>
  <c r="DI54" i="149" s="1"/>
  <c r="DI99" i="67"/>
  <c r="DI51" i="149" s="1"/>
  <c r="D101" i="38"/>
  <c r="D107" i="76"/>
  <c r="DM102" i="67"/>
  <c r="DM54" i="149" s="1"/>
  <c r="DR102" i="4"/>
  <c r="D99" i="32"/>
  <c r="L99" i="32" s="1"/>
  <c r="M99" i="32" s="1"/>
  <c r="D103" i="30"/>
  <c r="R103" i="30" s="1"/>
  <c r="S103" i="30" s="1"/>
  <c r="D103" i="76"/>
  <c r="DP101" i="4"/>
  <c r="DF103" i="67"/>
  <c r="DG103" i="67" s="1"/>
  <c r="DG55" i="149" s="1"/>
  <c r="DM98" i="67"/>
  <c r="DM50" i="149" s="1"/>
  <c r="DF109" i="67"/>
  <c r="DF61" i="149" s="1"/>
  <c r="DQ103" i="4"/>
  <c r="DI103" i="67"/>
  <c r="DI55" i="149" s="1"/>
  <c r="DR98" i="4"/>
  <c r="DQ109" i="4"/>
  <c r="D104" i="38"/>
  <c r="D104" i="34"/>
  <c r="D105" i="76"/>
  <c r="D104" i="75"/>
  <c r="DM105" i="67"/>
  <c r="DM57" i="149" s="1"/>
  <c r="D99" i="28"/>
  <c r="T99" i="28" s="1"/>
  <c r="U99" i="28" s="1"/>
  <c r="DI105" i="67"/>
  <c r="DI57" i="149" s="1"/>
  <c r="D99" i="75"/>
  <c r="DC107" i="67"/>
  <c r="DD107" i="67" s="1"/>
  <c r="DD59" i="149" s="1"/>
  <c r="DM101" i="67"/>
  <c r="DM53" i="149" s="1"/>
  <c r="DQ106" i="4"/>
  <c r="D105" i="30"/>
  <c r="R105" i="30" s="1"/>
  <c r="S105" i="30" s="1"/>
  <c r="D108" i="38"/>
  <c r="DC101" i="67"/>
  <c r="DD101" i="67" s="1"/>
  <c r="DD53" i="149" s="1"/>
  <c r="DR107" i="4"/>
  <c r="D102" i="30"/>
  <c r="R102" i="30" s="1"/>
  <c r="S102" i="30" s="1"/>
  <c r="DI109" i="67"/>
  <c r="DI61" i="149" s="1"/>
  <c r="DQ105" i="4"/>
  <c r="DQ98" i="4"/>
  <c r="D102" i="34"/>
  <c r="DL108" i="67"/>
  <c r="DL60" i="149" s="1"/>
  <c r="DM109" i="67"/>
  <c r="DM61" i="149" s="1"/>
  <c r="D107" i="28"/>
  <c r="T107" i="28" s="1"/>
  <c r="U107" i="28" s="1"/>
  <c r="DL98" i="67"/>
  <c r="DL50" i="149" s="1"/>
  <c r="DH102" i="67"/>
  <c r="DH54" i="149" s="1"/>
  <c r="D109" i="32"/>
  <c r="L109" i="32" s="1"/>
  <c r="M109" i="32" s="1"/>
  <c r="DE107" i="67"/>
  <c r="DE59" i="149" s="1"/>
  <c r="DL103" i="67"/>
  <c r="DL55" i="149" s="1"/>
  <c r="D109" i="76"/>
  <c r="DM104" i="67"/>
  <c r="DM56" i="149" s="1"/>
  <c r="DD100" i="67"/>
  <c r="DD52" i="149" s="1"/>
  <c r="DC52" i="149"/>
  <c r="D103" i="32"/>
  <c r="L103" i="32" s="1"/>
  <c r="M103" i="32" s="1"/>
  <c r="D109" i="34"/>
  <c r="DQ99" i="4"/>
  <c r="DF106" i="67"/>
  <c r="D107" i="38"/>
  <c r="DF98" i="67"/>
  <c r="D101" i="28"/>
  <c r="T101" i="28" s="1"/>
  <c r="U101" i="28" s="1"/>
  <c r="DH106" i="67"/>
  <c r="DH58" i="149" s="1"/>
  <c r="D107" i="75"/>
  <c r="DD98" i="67"/>
  <c r="DD50" i="149" s="1"/>
  <c r="DC50" i="149"/>
  <c r="DE101" i="67"/>
  <c r="DE53" i="149" s="1"/>
  <c r="F121" i="67"/>
  <c r="F73" i="149" s="1"/>
  <c r="E73" i="149"/>
  <c r="DG107" i="67"/>
  <c r="DG59" i="149" s="1"/>
  <c r="F120" i="67"/>
  <c r="F72" i="149" s="1"/>
  <c r="E72" i="149"/>
  <c r="DH98" i="67"/>
  <c r="DH50" i="149" s="1"/>
  <c r="J50" i="149"/>
  <c r="DD102" i="67"/>
  <c r="DD54" i="149" s="1"/>
  <c r="DC54" i="149"/>
  <c r="D101" i="32"/>
  <c r="L101" i="32" s="1"/>
  <c r="M101" i="32" s="1"/>
  <c r="D106" i="30"/>
  <c r="R106" i="30" s="1"/>
  <c r="S106" i="30" s="1"/>
  <c r="D106" i="32"/>
  <c r="L106" i="32" s="1"/>
  <c r="M106" i="32" s="1"/>
  <c r="D101" i="75"/>
  <c r="F119" i="67"/>
  <c r="F71" i="149" s="1"/>
  <c r="E71" i="149"/>
  <c r="DD109" i="67"/>
  <c r="DD61" i="149" s="1"/>
  <c r="DC61" i="149"/>
  <c r="F118" i="67"/>
  <c r="F70" i="149" s="1"/>
  <c r="E70" i="149"/>
  <c r="D108" i="32"/>
  <c r="L108" i="32" s="1"/>
  <c r="M108" i="32" s="1"/>
  <c r="DI101" i="67"/>
  <c r="DI53" i="149" s="1"/>
  <c r="DI106" i="67"/>
  <c r="DI58" i="149" s="1"/>
  <c r="F117" i="67"/>
  <c r="F69" i="149" s="1"/>
  <c r="E69" i="149"/>
  <c r="F116" i="67"/>
  <c r="F68" i="149" s="1"/>
  <c r="E68" i="149"/>
  <c r="F115" i="67"/>
  <c r="F67" i="149" s="1"/>
  <c r="E67" i="149"/>
  <c r="DD108" i="67"/>
  <c r="DD60" i="149" s="1"/>
  <c r="F114" i="67"/>
  <c r="F66" i="149" s="1"/>
  <c r="E66" i="149"/>
  <c r="DG86" i="67"/>
  <c r="DG38" i="149" s="1"/>
  <c r="DF38" i="149"/>
  <c r="D98" i="32"/>
  <c r="L98" i="32" s="1"/>
  <c r="M98" i="32" s="1"/>
  <c r="N50" i="149"/>
  <c r="D99" i="38"/>
  <c r="DM108" i="67"/>
  <c r="DM60" i="149" s="1"/>
  <c r="DR101" i="4"/>
  <c r="DR106" i="4"/>
  <c r="F113" i="67"/>
  <c r="F65" i="149" s="1"/>
  <c r="E65" i="149"/>
  <c r="DK110" i="67"/>
  <c r="DK62" i="149" s="1"/>
  <c r="DI62" i="149"/>
  <c r="DC51" i="149"/>
  <c r="DR108" i="4"/>
  <c r="D99" i="30"/>
  <c r="R99" i="30" s="1"/>
  <c r="S99" i="30" s="1"/>
  <c r="D98" i="76"/>
  <c r="F112" i="67"/>
  <c r="F64" i="149" s="1"/>
  <c r="E64" i="149"/>
  <c r="DG100" i="67"/>
  <c r="DG52" i="149" s="1"/>
  <c r="DF52" i="149"/>
  <c r="DP99" i="4"/>
  <c r="D109" i="30"/>
  <c r="R109" i="30" s="1"/>
  <c r="S109" i="30" s="1"/>
  <c r="D99" i="34"/>
  <c r="DL104" i="67"/>
  <c r="DL56" i="149" s="1"/>
  <c r="DG101" i="67"/>
  <c r="DG53" i="149" s="1"/>
  <c r="DF53" i="149"/>
  <c r="F111" i="67"/>
  <c r="F63" i="149" s="1"/>
  <c r="E63" i="149"/>
  <c r="DM103" i="67"/>
  <c r="DM55" i="149" s="1"/>
  <c r="DH109" i="67"/>
  <c r="DH61" i="149" s="1"/>
  <c r="DF99" i="67"/>
  <c r="DI104" i="67"/>
  <c r="DI56" i="149" s="1"/>
  <c r="DF105" i="67"/>
  <c r="D98" i="34"/>
  <c r="O13" i="17"/>
  <c r="E13" i="17"/>
  <c r="F110" i="67"/>
  <c r="F62" i="149" s="1"/>
  <c r="D14" i="17"/>
  <c r="AA13" i="17"/>
  <c r="I13" i="15"/>
  <c r="DJ98" i="67"/>
  <c r="DJ50" i="149" s="1"/>
  <c r="DK98" i="67"/>
  <c r="DK50" i="149" s="1"/>
  <c r="DJ110" i="67"/>
  <c r="DJ62" i="149" s="1"/>
  <c r="E11" i="15"/>
  <c r="S98" i="30"/>
  <c r="L110" i="32"/>
  <c r="M110" i="32" s="1"/>
  <c r="R110" i="30"/>
  <c r="O11" i="15" l="1"/>
  <c r="E101" i="36"/>
  <c r="F101" i="77"/>
  <c r="E109" i="36"/>
  <c r="F109" i="77"/>
  <c r="E106" i="36"/>
  <c r="F106" i="77"/>
  <c r="E100" i="36"/>
  <c r="F100" i="77"/>
  <c r="F104" i="77"/>
  <c r="E104" i="36"/>
  <c r="E108" i="36"/>
  <c r="F108" i="77"/>
  <c r="E107" i="36"/>
  <c r="F107" i="77"/>
  <c r="E98" i="36"/>
  <c r="F98" i="77"/>
  <c r="E102" i="36"/>
  <c r="F102" i="77"/>
  <c r="E103" i="36"/>
  <c r="F103" i="77"/>
  <c r="O13" i="15"/>
  <c r="E99" i="36"/>
  <c r="F99" i="77"/>
  <c r="E105" i="36"/>
  <c r="F105" i="77"/>
  <c r="K13" i="15"/>
  <c r="DJ105" i="67"/>
  <c r="DJ57" i="149" s="1"/>
  <c r="DK108" i="67"/>
  <c r="DK60" i="149" s="1"/>
  <c r="DJ108" i="67"/>
  <c r="DJ60" i="149" s="1"/>
  <c r="DK105" i="67"/>
  <c r="DK57" i="149" s="1"/>
  <c r="DG108" i="67"/>
  <c r="DG60" i="149" s="1"/>
  <c r="DJ107" i="67"/>
  <c r="DJ59" i="149" s="1"/>
  <c r="DK107" i="67"/>
  <c r="DK59" i="149" s="1"/>
  <c r="DD106" i="67"/>
  <c r="DD58" i="149" s="1"/>
  <c r="DD103" i="67"/>
  <c r="DD55" i="149" s="1"/>
  <c r="DJ99" i="67"/>
  <c r="DJ51" i="149" s="1"/>
  <c r="DK103" i="67"/>
  <c r="DK55" i="149" s="1"/>
  <c r="M122" i="32"/>
  <c r="DC57" i="149"/>
  <c r="E11" i="57"/>
  <c r="E19" i="24"/>
  <c r="E20" i="24" s="1"/>
  <c r="F12" i="24"/>
  <c r="F13" i="24"/>
  <c r="F18" i="24"/>
  <c r="F11" i="24"/>
  <c r="F20" i="24"/>
  <c r="F19" i="24"/>
  <c r="I23" i="153"/>
  <c r="I26" i="25"/>
  <c r="AB53" i="149"/>
  <c r="D101" i="154"/>
  <c r="L101" i="154" s="1"/>
  <c r="M101" i="154" s="1"/>
  <c r="AB57" i="149"/>
  <c r="D105" i="154"/>
  <c r="L105" i="154" s="1"/>
  <c r="M105" i="154" s="1"/>
  <c r="D100" i="154"/>
  <c r="L100" i="154" s="1"/>
  <c r="M100" i="154" s="1"/>
  <c r="AB52" i="149"/>
  <c r="AB61" i="149"/>
  <c r="D109" i="154"/>
  <c r="L109" i="154" s="1"/>
  <c r="M109" i="154" s="1"/>
  <c r="D106" i="154"/>
  <c r="L106" i="154" s="1"/>
  <c r="M106" i="154" s="1"/>
  <c r="AB58" i="149"/>
  <c r="AB56" i="149"/>
  <c r="D104" i="154"/>
  <c r="L104" i="154" s="1"/>
  <c r="M104" i="154" s="1"/>
  <c r="AB60" i="149"/>
  <c r="D108" i="154"/>
  <c r="L108" i="154" s="1"/>
  <c r="M108" i="154" s="1"/>
  <c r="D107" i="154"/>
  <c r="L107" i="154" s="1"/>
  <c r="M107" i="154" s="1"/>
  <c r="AB59" i="149"/>
  <c r="AB50" i="149"/>
  <c r="D98" i="154"/>
  <c r="AB54" i="149"/>
  <c r="D102" i="154"/>
  <c r="L102" i="154" s="1"/>
  <c r="M102" i="154" s="1"/>
  <c r="AB55" i="149"/>
  <c r="D103" i="154"/>
  <c r="L103" i="154" s="1"/>
  <c r="M103" i="154" s="1"/>
  <c r="L110" i="154"/>
  <c r="M110" i="154" s="1"/>
  <c r="AB51" i="149"/>
  <c r="D99" i="154"/>
  <c r="L99" i="154" s="1"/>
  <c r="M99" i="154" s="1"/>
  <c r="Q11" i="15"/>
  <c r="L86" i="154"/>
  <c r="M86" i="154" s="1"/>
  <c r="DG109" i="67"/>
  <c r="DG61" i="149" s="1"/>
  <c r="DK102" i="67"/>
  <c r="DK54" i="149" s="1"/>
  <c r="DJ102" i="67"/>
  <c r="DJ54" i="149" s="1"/>
  <c r="DJ101" i="67"/>
  <c r="DJ53" i="149" s="1"/>
  <c r="DK109" i="67"/>
  <c r="DK61" i="149" s="1"/>
  <c r="DC53" i="149"/>
  <c r="D112" i="38"/>
  <c r="DJ100" i="67"/>
  <c r="DJ52" i="149" s="1"/>
  <c r="DK100" i="67"/>
  <c r="DK52" i="149" s="1"/>
  <c r="DK99" i="67"/>
  <c r="DK51" i="149" s="1"/>
  <c r="DF56" i="149"/>
  <c r="DC56" i="149"/>
  <c r="DK106" i="67"/>
  <c r="DK58" i="149" s="1"/>
  <c r="DF54" i="149"/>
  <c r="D117" i="75"/>
  <c r="DC117" i="67"/>
  <c r="DD117" i="67" s="1"/>
  <c r="DD69" i="149" s="1"/>
  <c r="DE117" i="67"/>
  <c r="DE69" i="149" s="1"/>
  <c r="D117" i="28"/>
  <c r="T117" i="28" s="1"/>
  <c r="U117" i="28" s="1"/>
  <c r="D117" i="38"/>
  <c r="D114" i="75"/>
  <c r="G54" i="17"/>
  <c r="E54" i="17"/>
  <c r="D114" i="38"/>
  <c r="DJ103" i="67"/>
  <c r="DJ55" i="149" s="1"/>
  <c r="D112" i="75"/>
  <c r="D116" i="75"/>
  <c r="DJ104" i="67"/>
  <c r="DJ56" i="149" s="1"/>
  <c r="DC121" i="67"/>
  <c r="DD121" i="67" s="1"/>
  <c r="DD73" i="149" s="1"/>
  <c r="DC59" i="149"/>
  <c r="DC119" i="67"/>
  <c r="DC71" i="149" s="1"/>
  <c r="DE119" i="67"/>
  <c r="DE71" i="149" s="1"/>
  <c r="DC118" i="67"/>
  <c r="DC70" i="149" s="1"/>
  <c r="D119" i="28"/>
  <c r="T119" i="28" s="1"/>
  <c r="U119" i="28" s="1"/>
  <c r="D119" i="38"/>
  <c r="D112" i="28"/>
  <c r="T112" i="28" s="1"/>
  <c r="U112" i="28" s="1"/>
  <c r="D121" i="75"/>
  <c r="DF55" i="149"/>
  <c r="C12" i="15"/>
  <c r="E12" i="15" s="1"/>
  <c r="DE121" i="67"/>
  <c r="DE73" i="149" s="1"/>
  <c r="D116" i="38"/>
  <c r="DE115" i="67"/>
  <c r="DE67" i="149" s="1"/>
  <c r="D115" i="75"/>
  <c r="D115" i="38"/>
  <c r="D115" i="28"/>
  <c r="T115" i="28" s="1"/>
  <c r="U115" i="28" s="1"/>
  <c r="D118" i="75"/>
  <c r="DJ109" i="67"/>
  <c r="DJ61" i="149" s="1"/>
  <c r="DE118" i="67"/>
  <c r="DE70" i="149" s="1"/>
  <c r="DC112" i="67"/>
  <c r="DD112" i="67" s="1"/>
  <c r="DD64" i="149" s="1"/>
  <c r="D121" i="28"/>
  <c r="T121" i="28" s="1"/>
  <c r="U121" i="28" s="1"/>
  <c r="DE120" i="67"/>
  <c r="DE72" i="149" s="1"/>
  <c r="DE114" i="67"/>
  <c r="DE66" i="149" s="1"/>
  <c r="DE113" i="67"/>
  <c r="DE65" i="149" s="1"/>
  <c r="D121" i="38"/>
  <c r="D120" i="38"/>
  <c r="D114" i="28"/>
  <c r="T114" i="28" s="1"/>
  <c r="U114" i="28" s="1"/>
  <c r="DJ106" i="67"/>
  <c r="DJ58" i="149" s="1"/>
  <c r="DE112" i="67"/>
  <c r="DE64" i="149" s="1"/>
  <c r="DC114" i="67"/>
  <c r="DD114" i="67" s="1"/>
  <c r="DD66" i="149" s="1"/>
  <c r="DK101" i="67"/>
  <c r="DK53" i="149" s="1"/>
  <c r="DC111" i="67"/>
  <c r="DD111" i="67" s="1"/>
  <c r="DD63" i="149" s="1"/>
  <c r="D111" i="75"/>
  <c r="DC113" i="67"/>
  <c r="DD113" i="67" s="1"/>
  <c r="DD65" i="149" s="1"/>
  <c r="D118" i="38"/>
  <c r="D120" i="75"/>
  <c r="D118" i="28"/>
  <c r="T118" i="28" s="1"/>
  <c r="U118" i="28" s="1"/>
  <c r="DG99" i="67"/>
  <c r="DG51" i="149" s="1"/>
  <c r="DF51" i="149"/>
  <c r="DC115" i="67"/>
  <c r="D113" i="75"/>
  <c r="DK104" i="67"/>
  <c r="DK56" i="149" s="1"/>
  <c r="DE111" i="67"/>
  <c r="DE63" i="149" s="1"/>
  <c r="D113" i="28"/>
  <c r="T113" i="28" s="1"/>
  <c r="U113" i="28" s="1"/>
  <c r="DE116" i="67"/>
  <c r="DE68" i="149" s="1"/>
  <c r="DG98" i="67"/>
  <c r="DG50" i="149" s="1"/>
  <c r="DF50" i="149"/>
  <c r="I12" i="15"/>
  <c r="K12" i="15" s="1"/>
  <c r="D111" i="28"/>
  <c r="T111" i="28" s="1"/>
  <c r="U111" i="28" s="1"/>
  <c r="DC120" i="67"/>
  <c r="DC116" i="67"/>
  <c r="D113" i="38"/>
  <c r="D119" i="75"/>
  <c r="D111" i="38"/>
  <c r="D120" i="28"/>
  <c r="T120" i="28" s="1"/>
  <c r="U120" i="28" s="1"/>
  <c r="D116" i="28"/>
  <c r="T116" i="28" s="1"/>
  <c r="U116" i="28" s="1"/>
  <c r="DG105" i="67"/>
  <c r="DG57" i="149" s="1"/>
  <c r="DF57" i="149"/>
  <c r="DG106" i="67"/>
  <c r="DG58" i="149" s="1"/>
  <c r="DF58" i="149"/>
  <c r="DE110" i="67"/>
  <c r="DE62" i="149" s="1"/>
  <c r="DC110" i="67"/>
  <c r="D110" i="75"/>
  <c r="D110" i="28"/>
  <c r="D110" i="38"/>
  <c r="G14" i="17"/>
  <c r="E14" i="17"/>
  <c r="S110" i="30"/>
  <c r="S122" i="30" s="1"/>
  <c r="I26" i="153" l="1"/>
  <c r="K18" i="15"/>
  <c r="K17" i="15"/>
  <c r="O12" i="15"/>
  <c r="Q12" i="15" s="1"/>
  <c r="I14" i="15"/>
  <c r="K14" i="15" s="1"/>
  <c r="I15" i="15"/>
  <c r="K15" i="15" s="1"/>
  <c r="Q13" i="15"/>
  <c r="L98" i="154"/>
  <c r="M98" i="154" s="1"/>
  <c r="M122" i="154" s="1"/>
  <c r="Q19" i="15" s="1"/>
  <c r="F13" i="57"/>
  <c r="F11" i="57"/>
  <c r="E18" i="57"/>
  <c r="E19" i="57" s="1"/>
  <c r="E20" i="57" s="1"/>
  <c r="E21" i="57" s="1"/>
  <c r="E22" i="57" s="1"/>
  <c r="E23" i="57" s="1"/>
  <c r="E24" i="57" s="1"/>
  <c r="E25" i="57" s="1"/>
  <c r="E26" i="57" s="1"/>
  <c r="E27" i="57" s="1"/>
  <c r="E28" i="57" s="1"/>
  <c r="E29" i="57" s="1"/>
  <c r="F12" i="57"/>
  <c r="DD119" i="67"/>
  <c r="DD71" i="149" s="1"/>
  <c r="DC69" i="149"/>
  <c r="DC64" i="149"/>
  <c r="DC73" i="149"/>
  <c r="DD118" i="67"/>
  <c r="DD70" i="149" s="1"/>
  <c r="DC66" i="149"/>
  <c r="DC63" i="149"/>
  <c r="DC65" i="149"/>
  <c r="DD120" i="67"/>
  <c r="DD72" i="149" s="1"/>
  <c r="DC72" i="149"/>
  <c r="DD116" i="67"/>
  <c r="DD68" i="149" s="1"/>
  <c r="DC68" i="149"/>
  <c r="T110" i="28"/>
  <c r="U110" i="28" s="1"/>
  <c r="C13" i="15"/>
  <c r="C15" i="15" s="1"/>
  <c r="E15" i="15" s="1"/>
  <c r="DD110" i="67"/>
  <c r="DD62" i="149" s="1"/>
  <c r="DC62" i="149"/>
  <c r="DD115" i="67"/>
  <c r="DD67" i="149" s="1"/>
  <c r="DC67" i="149"/>
  <c r="K19" i="15"/>
  <c r="V10" i="25"/>
  <c r="Q18" i="15" l="1"/>
  <c r="Q17" i="15"/>
  <c r="O15" i="15"/>
  <c r="Q15" i="15" s="1"/>
  <c r="O14" i="15"/>
  <c r="Q14" i="15" s="1"/>
  <c r="E13" i="15"/>
  <c r="E18" i="15" s="1"/>
  <c r="C14" i="15"/>
  <c r="E14" i="15" s="1"/>
  <c r="F18" i="57"/>
  <c r="F22" i="57"/>
  <c r="F28" i="57"/>
  <c r="F29" i="57"/>
  <c r="F25" i="57"/>
  <c r="F20" i="57"/>
  <c r="F27" i="57"/>
  <c r="F19" i="57"/>
  <c r="F26" i="57"/>
  <c r="F24" i="57"/>
  <c r="F21" i="57"/>
  <c r="F23" i="57"/>
  <c r="U122" i="28"/>
  <c r="E19" i="15" s="1"/>
  <c r="G18" i="77"/>
  <c r="G20" i="77"/>
  <c r="G16" i="77"/>
  <c r="G19" i="77"/>
  <c r="G15" i="77"/>
  <c r="G14" i="77"/>
  <c r="G17" i="77"/>
  <c r="N8" i="76"/>
  <c r="E20" i="76"/>
  <c r="N5" i="76"/>
  <c r="E17" i="76"/>
  <c r="N9" i="76"/>
  <c r="E21" i="76"/>
  <c r="N3" i="76"/>
  <c r="E15" i="76"/>
  <c r="N4" i="76"/>
  <c r="E16" i="76"/>
  <c r="N2" i="76"/>
  <c r="E14" i="76"/>
  <c r="N7" i="76"/>
  <c r="E19" i="76"/>
  <c r="N6" i="76"/>
  <c r="E18" i="76"/>
  <c r="M5" i="34"/>
  <c r="M4" i="38"/>
  <c r="M5" i="38"/>
  <c r="M2" i="38"/>
  <c r="M3" i="38"/>
  <c r="E17" i="15" l="1"/>
  <c r="T16" i="77"/>
  <c r="AA16" i="77" s="1"/>
  <c r="M16" i="77"/>
  <c r="T17" i="77"/>
  <c r="AA17" i="77" s="1"/>
  <c r="M17" i="77"/>
  <c r="T20" i="77"/>
  <c r="AA20" i="77" s="1"/>
  <c r="M20" i="77"/>
  <c r="T14" i="77"/>
  <c r="AA14" i="77" s="1"/>
  <c r="M14" i="77"/>
  <c r="T15" i="77"/>
  <c r="AA15" i="77" s="1"/>
  <c r="M15" i="77"/>
  <c r="T18" i="77"/>
  <c r="AA18" i="77" s="1"/>
  <c r="M18" i="77"/>
  <c r="T19" i="77"/>
  <c r="AA19" i="77" s="1"/>
  <c r="M19" i="77"/>
  <c r="G28" i="77"/>
  <c r="M9" i="34"/>
  <c r="G32" i="77"/>
  <c r="G27" i="77"/>
  <c r="G26" i="77"/>
  <c r="G29" i="77"/>
  <c r="G30" i="77"/>
  <c r="G31" i="77"/>
  <c r="N16" i="76"/>
  <c r="E28" i="76"/>
  <c r="N21" i="76"/>
  <c r="E33" i="76"/>
  <c r="N18" i="76"/>
  <c r="E30" i="76"/>
  <c r="N14" i="76"/>
  <c r="E26" i="76"/>
  <c r="N17" i="76"/>
  <c r="E29" i="76"/>
  <c r="N19" i="76"/>
  <c r="E31" i="76"/>
  <c r="N20" i="76"/>
  <c r="E32" i="76"/>
  <c r="N15" i="76"/>
  <c r="E27" i="76"/>
  <c r="M10" i="34"/>
  <c r="M11" i="34"/>
  <c r="M7" i="34"/>
  <c r="Q5" i="75"/>
  <c r="E17" i="75"/>
  <c r="Q3" i="75"/>
  <c r="E15" i="75"/>
  <c r="Q8" i="75"/>
  <c r="E20" i="75"/>
  <c r="M6" i="34"/>
  <c r="Q11" i="75"/>
  <c r="E23" i="75"/>
  <c r="Q4" i="75"/>
  <c r="E16" i="75"/>
  <c r="M4" i="34"/>
  <c r="M8" i="34"/>
  <c r="M13" i="34"/>
  <c r="Q9" i="75"/>
  <c r="E21" i="75"/>
  <c r="Q13" i="75"/>
  <c r="E25" i="75"/>
  <c r="Q10" i="75"/>
  <c r="E22" i="75"/>
  <c r="M3" i="34"/>
  <c r="Q6" i="75"/>
  <c r="E18" i="75"/>
  <c r="M12" i="34"/>
  <c r="Q7" i="75"/>
  <c r="E19" i="75"/>
  <c r="Q12" i="75"/>
  <c r="E24" i="75"/>
  <c r="F25" i="36"/>
  <c r="F24" i="36"/>
  <c r="F19" i="36"/>
  <c r="F21" i="36"/>
  <c r="F22" i="36"/>
  <c r="F23" i="36"/>
  <c r="F16" i="36"/>
  <c r="F18" i="36"/>
  <c r="F20" i="36"/>
  <c r="F17" i="36"/>
  <c r="F15" i="36"/>
  <c r="F14" i="36"/>
  <c r="M22" i="34"/>
  <c r="M21" i="34"/>
  <c r="M23" i="34"/>
  <c r="M25" i="34"/>
  <c r="M24" i="34"/>
  <c r="M20" i="34"/>
  <c r="M16" i="34"/>
  <c r="M19" i="34"/>
  <c r="M18" i="34"/>
  <c r="M15" i="34"/>
  <c r="M14" i="34"/>
  <c r="M15" i="38"/>
  <c r="M14" i="38"/>
  <c r="M17" i="38"/>
  <c r="M16" i="38"/>
  <c r="AC19" i="77" l="1"/>
  <c r="AC18" i="77"/>
  <c r="AC15" i="77"/>
  <c r="AC14" i="77"/>
  <c r="AC20" i="77"/>
  <c r="AC17" i="77"/>
  <c r="AC16" i="77"/>
  <c r="T28" i="77"/>
  <c r="AA28" i="77" s="1"/>
  <c r="M28" i="77"/>
  <c r="T31" i="77"/>
  <c r="AA31" i="77" s="1"/>
  <c r="M31" i="77"/>
  <c r="T30" i="77"/>
  <c r="AA30" i="77" s="1"/>
  <c r="M30" i="77"/>
  <c r="T29" i="77"/>
  <c r="AA29" i="77" s="1"/>
  <c r="M29" i="77"/>
  <c r="T26" i="77"/>
  <c r="AA26" i="77" s="1"/>
  <c r="M26" i="77"/>
  <c r="T27" i="77"/>
  <c r="AA27" i="77" s="1"/>
  <c r="M27" i="77"/>
  <c r="T32" i="77"/>
  <c r="AA32" i="77" s="1"/>
  <c r="M32" i="77"/>
  <c r="J25" i="36"/>
  <c r="P25" i="36"/>
  <c r="V25" i="36" s="1"/>
  <c r="X25" i="36" s="1"/>
  <c r="J14" i="36"/>
  <c r="P14" i="36"/>
  <c r="V14" i="36" s="1"/>
  <c r="X14" i="36" s="1"/>
  <c r="J20" i="36"/>
  <c r="P20" i="36"/>
  <c r="V20" i="36" s="1"/>
  <c r="X20" i="36" s="1"/>
  <c r="J18" i="36"/>
  <c r="P18" i="36"/>
  <c r="V18" i="36" s="1"/>
  <c r="X18" i="36" s="1"/>
  <c r="J15" i="36"/>
  <c r="P15" i="36"/>
  <c r="V15" i="36" s="1"/>
  <c r="X15" i="36" s="1"/>
  <c r="J16" i="36"/>
  <c r="P16" i="36"/>
  <c r="V16" i="36" s="1"/>
  <c r="X16" i="36" s="1"/>
  <c r="J21" i="36"/>
  <c r="P21" i="36"/>
  <c r="V21" i="36" s="1"/>
  <c r="X21" i="36" s="1"/>
  <c r="J19" i="36"/>
  <c r="P19" i="36"/>
  <c r="V19" i="36" s="1"/>
  <c r="X19" i="36" s="1"/>
  <c r="J17" i="36"/>
  <c r="P17" i="36"/>
  <c r="V17" i="36" s="1"/>
  <c r="X17" i="36" s="1"/>
  <c r="J23" i="36"/>
  <c r="P23" i="36"/>
  <c r="V23" i="36" s="1"/>
  <c r="X23" i="36" s="1"/>
  <c r="J22" i="36"/>
  <c r="P22" i="36"/>
  <c r="V22" i="36" s="1"/>
  <c r="X22" i="36" s="1"/>
  <c r="J24" i="36"/>
  <c r="P24" i="36"/>
  <c r="V24" i="36" s="1"/>
  <c r="X24" i="36" s="1"/>
  <c r="G44" i="77"/>
  <c r="G42" i="77"/>
  <c r="G41" i="77"/>
  <c r="G40" i="77"/>
  <c r="G39" i="77"/>
  <c r="G38" i="77"/>
  <c r="G43" i="77"/>
  <c r="N29" i="76"/>
  <c r="E41" i="76"/>
  <c r="N30" i="76"/>
  <c r="E42" i="76"/>
  <c r="N31" i="76"/>
  <c r="E43" i="76"/>
  <c r="N26" i="76"/>
  <c r="E38" i="76"/>
  <c r="N33" i="76"/>
  <c r="E45" i="76"/>
  <c r="N28" i="76"/>
  <c r="E40" i="76"/>
  <c r="N27" i="76"/>
  <c r="E39" i="76"/>
  <c r="M17" i="34"/>
  <c r="N32" i="76"/>
  <c r="E44" i="76"/>
  <c r="Q19" i="75"/>
  <c r="E31" i="75"/>
  <c r="Q18" i="75"/>
  <c r="E30" i="75"/>
  <c r="Q24" i="75"/>
  <c r="E36" i="75"/>
  <c r="Q20" i="75"/>
  <c r="E32" i="75"/>
  <c r="Q16" i="75"/>
  <c r="E28" i="75"/>
  <c r="Q21" i="75"/>
  <c r="E33" i="75"/>
  <c r="Q23" i="75"/>
  <c r="E35" i="75"/>
  <c r="Q22" i="75"/>
  <c r="E34" i="75"/>
  <c r="Q14" i="75"/>
  <c r="E26" i="75"/>
  <c r="Q15" i="75"/>
  <c r="E27" i="75"/>
  <c r="Q25" i="75"/>
  <c r="E37" i="75"/>
  <c r="Q17" i="75"/>
  <c r="E29" i="75"/>
  <c r="F37" i="36"/>
  <c r="F36" i="36"/>
  <c r="F29" i="36"/>
  <c r="F32" i="36"/>
  <c r="F34" i="36"/>
  <c r="F26" i="36"/>
  <c r="F30" i="36"/>
  <c r="F33" i="36"/>
  <c r="F35" i="36"/>
  <c r="F28" i="36"/>
  <c r="F31" i="36"/>
  <c r="F27" i="36"/>
  <c r="M33" i="34"/>
  <c r="M35" i="34"/>
  <c r="M36" i="34"/>
  <c r="M37" i="34"/>
  <c r="M34" i="34"/>
  <c r="M27" i="34"/>
  <c r="M30" i="34"/>
  <c r="M31" i="34"/>
  <c r="M28" i="34"/>
  <c r="M32" i="34"/>
  <c r="M26" i="34"/>
  <c r="M29" i="34"/>
  <c r="M29" i="38"/>
  <c r="M27" i="38"/>
  <c r="M28" i="38"/>
  <c r="M26" i="38"/>
  <c r="AC150" i="36" l="1"/>
  <c r="AC28" i="77"/>
  <c r="AC32" i="77"/>
  <c r="AC27" i="77"/>
  <c r="AC26" i="77"/>
  <c r="AC30" i="77"/>
  <c r="AC29" i="77"/>
  <c r="AC31" i="77"/>
  <c r="T43" i="77"/>
  <c r="AA43" i="77" s="1"/>
  <c r="M43" i="77"/>
  <c r="T38" i="77"/>
  <c r="AA38" i="77" s="1"/>
  <c r="M38" i="77"/>
  <c r="T39" i="77"/>
  <c r="AA39" i="77" s="1"/>
  <c r="M39" i="77"/>
  <c r="T40" i="77"/>
  <c r="AA40" i="77" s="1"/>
  <c r="M40" i="77"/>
  <c r="T41" i="77"/>
  <c r="AA41" i="77" s="1"/>
  <c r="M41" i="77"/>
  <c r="T42" i="77"/>
  <c r="AA42" i="77" s="1"/>
  <c r="M42" i="77"/>
  <c r="T44" i="77"/>
  <c r="AA44" i="77" s="1"/>
  <c r="M44" i="77"/>
  <c r="J28" i="36"/>
  <c r="P28" i="36"/>
  <c r="V28" i="36" s="1"/>
  <c r="X28" i="36" s="1"/>
  <c r="J27" i="36"/>
  <c r="P27" i="36"/>
  <c r="V27" i="36" s="1"/>
  <c r="X27" i="36" s="1"/>
  <c r="J30" i="36"/>
  <c r="P30" i="36"/>
  <c r="V30" i="36" s="1"/>
  <c r="X30" i="36" s="1"/>
  <c r="J37" i="36"/>
  <c r="P37" i="36"/>
  <c r="V37" i="36" s="1"/>
  <c r="X37" i="36" s="1"/>
  <c r="J32" i="36"/>
  <c r="P32" i="36"/>
  <c r="V32" i="36" s="1"/>
  <c r="X32" i="36" s="1"/>
  <c r="J31" i="36"/>
  <c r="P31" i="36"/>
  <c r="V31" i="36" s="1"/>
  <c r="X31" i="36" s="1"/>
  <c r="J33" i="36"/>
  <c r="P33" i="36"/>
  <c r="V33" i="36" s="1"/>
  <c r="X33" i="36" s="1"/>
  <c r="J29" i="36"/>
  <c r="P29" i="36"/>
  <c r="V29" i="36" s="1"/>
  <c r="X29" i="36" s="1"/>
  <c r="J35" i="36"/>
  <c r="P35" i="36"/>
  <c r="V35" i="36" s="1"/>
  <c r="X35" i="36" s="1"/>
  <c r="J26" i="36"/>
  <c r="P26" i="36"/>
  <c r="V26" i="36" s="1"/>
  <c r="X26" i="36" s="1"/>
  <c r="J34" i="36"/>
  <c r="P34" i="36"/>
  <c r="V34" i="36" s="1"/>
  <c r="X34" i="36" s="1"/>
  <c r="J36" i="36"/>
  <c r="P36" i="36"/>
  <c r="V36" i="36" s="1"/>
  <c r="X36" i="36" s="1"/>
  <c r="G52" i="77"/>
  <c r="G53" i="77"/>
  <c r="G51" i="77"/>
  <c r="G50" i="77"/>
  <c r="G54" i="77"/>
  <c r="G56" i="77"/>
  <c r="G55" i="77"/>
  <c r="N43" i="76"/>
  <c r="E55" i="76"/>
  <c r="N41" i="76"/>
  <c r="E53" i="76"/>
  <c r="N44" i="76"/>
  <c r="E56" i="76"/>
  <c r="N45" i="76"/>
  <c r="E57" i="76"/>
  <c r="N42" i="76"/>
  <c r="E54" i="76"/>
  <c r="N39" i="76"/>
  <c r="E51" i="76"/>
  <c r="N40" i="76"/>
  <c r="E52" i="76"/>
  <c r="N38" i="76"/>
  <c r="E50" i="76"/>
  <c r="Q30" i="75"/>
  <c r="E42" i="75"/>
  <c r="Q33" i="75"/>
  <c r="E45" i="75"/>
  <c r="Q26" i="75"/>
  <c r="E38" i="75"/>
  <c r="Q28" i="75"/>
  <c r="E40" i="75"/>
  <c r="Q31" i="75"/>
  <c r="E43" i="75"/>
  <c r="Q35" i="75"/>
  <c r="E47" i="75"/>
  <c r="Q34" i="75"/>
  <c r="E46" i="75"/>
  <c r="Q37" i="75"/>
  <c r="E49" i="75"/>
  <c r="Q36" i="75"/>
  <c r="E48" i="75"/>
  <c r="Q27" i="75"/>
  <c r="E39" i="75"/>
  <c r="Q29" i="75"/>
  <c r="E41" i="75"/>
  <c r="Q32" i="75"/>
  <c r="E44" i="75"/>
  <c r="F48" i="36"/>
  <c r="F49" i="36"/>
  <c r="F46" i="36"/>
  <c r="F39" i="36"/>
  <c r="F43" i="36"/>
  <c r="F45" i="36"/>
  <c r="F44" i="36"/>
  <c r="F42" i="36"/>
  <c r="F41" i="36"/>
  <c r="F40" i="36"/>
  <c r="F47" i="36"/>
  <c r="F38" i="36"/>
  <c r="M49" i="34"/>
  <c r="M48" i="34"/>
  <c r="M45" i="34"/>
  <c r="M46" i="34"/>
  <c r="M47" i="34"/>
  <c r="M40" i="34"/>
  <c r="M38" i="34"/>
  <c r="M42" i="34"/>
  <c r="M43" i="34"/>
  <c r="M39" i="34"/>
  <c r="M41" i="34"/>
  <c r="M44" i="34"/>
  <c r="M39" i="38"/>
  <c r="M38" i="38"/>
  <c r="M41" i="38"/>
  <c r="M40" i="38"/>
  <c r="AC151" i="36" l="1"/>
  <c r="AC43" i="77"/>
  <c r="AC44" i="77"/>
  <c r="AC42" i="77"/>
  <c r="AC41" i="77"/>
  <c r="AC40" i="77"/>
  <c r="AC39" i="77"/>
  <c r="AC38" i="77"/>
  <c r="T55" i="77"/>
  <c r="AA55" i="77" s="1"/>
  <c r="M55" i="77"/>
  <c r="T54" i="77"/>
  <c r="AA54" i="77" s="1"/>
  <c r="M54" i="77"/>
  <c r="T52" i="77"/>
  <c r="AA52" i="77" s="1"/>
  <c r="M52" i="77"/>
  <c r="T56" i="77"/>
  <c r="AA56" i="77" s="1"/>
  <c r="M56" i="77"/>
  <c r="T50" i="77"/>
  <c r="AA50" i="77" s="1"/>
  <c r="M50" i="77"/>
  <c r="T51" i="77"/>
  <c r="AA51" i="77" s="1"/>
  <c r="M51" i="77"/>
  <c r="T53" i="77"/>
  <c r="AA53" i="77" s="1"/>
  <c r="M53" i="77"/>
  <c r="J49" i="36"/>
  <c r="P49" i="36"/>
  <c r="V49" i="36" s="1"/>
  <c r="X49" i="36" s="1"/>
  <c r="J38" i="36"/>
  <c r="P38" i="36"/>
  <c r="V38" i="36" s="1"/>
  <c r="X38" i="36" s="1"/>
  <c r="J47" i="36"/>
  <c r="P47" i="36"/>
  <c r="V47" i="36" s="1"/>
  <c r="X47" i="36" s="1"/>
  <c r="J40" i="36"/>
  <c r="P40" i="36"/>
  <c r="V40" i="36" s="1"/>
  <c r="X40" i="36" s="1"/>
  <c r="J41" i="36"/>
  <c r="P41" i="36"/>
  <c r="V41" i="36" s="1"/>
  <c r="X41" i="36" s="1"/>
  <c r="J48" i="36"/>
  <c r="P48" i="36"/>
  <c r="V48" i="36" s="1"/>
  <c r="X48" i="36" s="1"/>
  <c r="J45" i="36"/>
  <c r="P45" i="36"/>
  <c r="V45" i="36" s="1"/>
  <c r="X45" i="36" s="1"/>
  <c r="J42" i="36"/>
  <c r="P42" i="36"/>
  <c r="V42" i="36" s="1"/>
  <c r="X42" i="36" s="1"/>
  <c r="J43" i="36"/>
  <c r="P43" i="36"/>
  <c r="V43" i="36" s="1"/>
  <c r="X43" i="36" s="1"/>
  <c r="J44" i="36"/>
  <c r="P44" i="36"/>
  <c r="V44" i="36" s="1"/>
  <c r="X44" i="36" s="1"/>
  <c r="J39" i="36"/>
  <c r="P39" i="36"/>
  <c r="V39" i="36" s="1"/>
  <c r="X39" i="36" s="1"/>
  <c r="J46" i="36"/>
  <c r="P46" i="36"/>
  <c r="V46" i="36" s="1"/>
  <c r="X46" i="36" s="1"/>
  <c r="G62" i="77"/>
  <c r="G65" i="77"/>
  <c r="G68" i="77"/>
  <c r="G66" i="77"/>
  <c r="G67" i="77"/>
  <c r="G64" i="77"/>
  <c r="G63" i="77"/>
  <c r="N54" i="76"/>
  <c r="E66" i="76"/>
  <c r="N57" i="76"/>
  <c r="E69" i="76"/>
  <c r="N55" i="76"/>
  <c r="E67" i="76"/>
  <c r="N53" i="76"/>
  <c r="E65" i="76"/>
  <c r="N51" i="76"/>
  <c r="E63" i="76"/>
  <c r="N50" i="76"/>
  <c r="E62" i="76"/>
  <c r="N52" i="76"/>
  <c r="E64" i="76"/>
  <c r="N56" i="76"/>
  <c r="E68" i="76"/>
  <c r="Q43" i="75"/>
  <c r="E55" i="75"/>
  <c r="K55" i="75" s="1"/>
  <c r="U55" i="75" s="1"/>
  <c r="Q41" i="75"/>
  <c r="E53" i="75"/>
  <c r="K53" i="75" s="1"/>
  <c r="U53" i="75" s="1"/>
  <c r="Q46" i="75"/>
  <c r="E58" i="75"/>
  <c r="K58" i="75" s="1"/>
  <c r="U58" i="75" s="1"/>
  <c r="Q38" i="75"/>
  <c r="E50" i="75"/>
  <c r="Q45" i="75"/>
  <c r="E57" i="75"/>
  <c r="K57" i="75" s="1"/>
  <c r="U57" i="75" s="1"/>
  <c r="Q42" i="75"/>
  <c r="E54" i="75"/>
  <c r="K54" i="75" s="1"/>
  <c r="U54" i="75" s="1"/>
  <c r="Q39" i="75"/>
  <c r="E51" i="75"/>
  <c r="Q47" i="75"/>
  <c r="E59" i="75"/>
  <c r="K59" i="75" s="1"/>
  <c r="U59" i="75" s="1"/>
  <c r="Q44" i="75"/>
  <c r="E56" i="75"/>
  <c r="K56" i="75" s="1"/>
  <c r="U56" i="75" s="1"/>
  <c r="Q49" i="75"/>
  <c r="E61" i="75"/>
  <c r="K61" i="75" s="1"/>
  <c r="U61" i="75" s="1"/>
  <c r="Q40" i="75"/>
  <c r="E52" i="75"/>
  <c r="K52" i="75" s="1"/>
  <c r="U52" i="75" s="1"/>
  <c r="Q48" i="75"/>
  <c r="E60" i="75"/>
  <c r="K60" i="75" s="1"/>
  <c r="U60" i="75" s="1"/>
  <c r="F61" i="36"/>
  <c r="F60" i="36"/>
  <c r="F53" i="36"/>
  <c r="F57" i="36"/>
  <c r="F50" i="36"/>
  <c r="F59" i="36"/>
  <c r="F55" i="36"/>
  <c r="F58" i="36"/>
  <c r="F54" i="36"/>
  <c r="F52" i="36"/>
  <c r="F51" i="36"/>
  <c r="F56" i="36"/>
  <c r="M59" i="34"/>
  <c r="M57" i="34"/>
  <c r="M61" i="34"/>
  <c r="M58" i="34"/>
  <c r="M60" i="34"/>
  <c r="M54" i="34"/>
  <c r="M50" i="34"/>
  <c r="M53" i="34"/>
  <c r="M52" i="34"/>
  <c r="M55" i="34"/>
  <c r="M51" i="34"/>
  <c r="M56" i="34"/>
  <c r="M50" i="38"/>
  <c r="M53" i="38"/>
  <c r="M52" i="38"/>
  <c r="M51" i="38"/>
  <c r="AC152" i="36" l="1"/>
  <c r="AC55" i="77"/>
  <c r="AC53" i="77"/>
  <c r="AC51" i="77"/>
  <c r="AC50" i="77"/>
  <c r="AC56" i="77"/>
  <c r="AC52" i="77"/>
  <c r="AC54" i="77"/>
  <c r="T63" i="77"/>
  <c r="AA63" i="77" s="1"/>
  <c r="M63" i="77"/>
  <c r="T67" i="77"/>
  <c r="AA67" i="77" s="1"/>
  <c r="M67" i="77"/>
  <c r="T66" i="77"/>
  <c r="AA66" i="77" s="1"/>
  <c r="M66" i="77"/>
  <c r="T68" i="77"/>
  <c r="AA68" i="77" s="1"/>
  <c r="M68" i="77"/>
  <c r="T65" i="77"/>
  <c r="AA65" i="77" s="1"/>
  <c r="M65" i="77"/>
  <c r="T62" i="77"/>
  <c r="AA62" i="77" s="1"/>
  <c r="M62" i="77"/>
  <c r="T64" i="77"/>
  <c r="AA64" i="77" s="1"/>
  <c r="M64" i="77"/>
  <c r="J60" i="36"/>
  <c r="P60" i="36"/>
  <c r="V60" i="36" s="1"/>
  <c r="X60" i="36" s="1"/>
  <c r="J61" i="36"/>
  <c r="P61" i="36"/>
  <c r="V61" i="36" s="1"/>
  <c r="X61" i="36" s="1"/>
  <c r="J56" i="36"/>
  <c r="P56" i="36"/>
  <c r="V56" i="36" s="1"/>
  <c r="X56" i="36" s="1"/>
  <c r="J51" i="36"/>
  <c r="P51" i="36"/>
  <c r="V51" i="36" s="1"/>
  <c r="X51" i="36" s="1"/>
  <c r="J55" i="36"/>
  <c r="P55" i="36"/>
  <c r="V55" i="36" s="1"/>
  <c r="X55" i="36" s="1"/>
  <c r="J54" i="36"/>
  <c r="P54" i="36"/>
  <c r="V54" i="36" s="1"/>
  <c r="X54" i="36" s="1"/>
  <c r="J50" i="36"/>
  <c r="P50" i="36"/>
  <c r="V50" i="36" s="1"/>
  <c r="X50" i="36" s="1"/>
  <c r="J52" i="36"/>
  <c r="P52" i="36"/>
  <c r="V52" i="36" s="1"/>
  <c r="X52" i="36" s="1"/>
  <c r="J57" i="36"/>
  <c r="P57" i="36"/>
  <c r="V57" i="36" s="1"/>
  <c r="X57" i="36" s="1"/>
  <c r="J58" i="36"/>
  <c r="P58" i="36"/>
  <c r="V58" i="36" s="1"/>
  <c r="X58" i="36" s="1"/>
  <c r="J59" i="36"/>
  <c r="P59" i="36"/>
  <c r="V59" i="36" s="1"/>
  <c r="X59" i="36" s="1"/>
  <c r="J53" i="36"/>
  <c r="P53" i="36"/>
  <c r="V53" i="36" s="1"/>
  <c r="X53" i="36" s="1"/>
  <c r="G75" i="77"/>
  <c r="G74" i="77"/>
  <c r="G76" i="77"/>
  <c r="G79" i="77"/>
  <c r="G78" i="77"/>
  <c r="G80" i="77"/>
  <c r="G77" i="77"/>
  <c r="N68" i="76"/>
  <c r="E80" i="76"/>
  <c r="N65" i="76"/>
  <c r="E77" i="76"/>
  <c r="N64" i="76"/>
  <c r="E76" i="76"/>
  <c r="N67" i="76"/>
  <c r="E79" i="76"/>
  <c r="N63" i="76"/>
  <c r="E75" i="76"/>
  <c r="N69" i="76"/>
  <c r="E81" i="76"/>
  <c r="N66" i="76"/>
  <c r="E78" i="76"/>
  <c r="N62" i="76"/>
  <c r="E74" i="76"/>
  <c r="Q57" i="75"/>
  <c r="E69" i="75"/>
  <c r="K69" i="75" s="1"/>
  <c r="U69" i="75" s="1"/>
  <c r="Q59" i="75"/>
  <c r="E71" i="75"/>
  <c r="K71" i="75" s="1"/>
  <c r="U71" i="75" s="1"/>
  <c r="Q54" i="75"/>
  <c r="E66" i="75"/>
  <c r="K66" i="75" s="1"/>
  <c r="U66" i="75" s="1"/>
  <c r="Q50" i="75"/>
  <c r="E62" i="75"/>
  <c r="K62" i="75" s="1"/>
  <c r="U62" i="75" s="1"/>
  <c r="Q58" i="75"/>
  <c r="E70" i="75"/>
  <c r="K70" i="75" s="1"/>
  <c r="U70" i="75" s="1"/>
  <c r="Q55" i="75"/>
  <c r="E67" i="75"/>
  <c r="K67" i="75" s="1"/>
  <c r="U67" i="75" s="1"/>
  <c r="Q56" i="75"/>
  <c r="E68" i="75"/>
  <c r="K68" i="75" s="1"/>
  <c r="U68" i="75" s="1"/>
  <c r="Q52" i="75"/>
  <c r="E64" i="75"/>
  <c r="K64" i="75" s="1"/>
  <c r="U64" i="75" s="1"/>
  <c r="Q61" i="75"/>
  <c r="E73" i="75"/>
  <c r="K73" i="75" s="1"/>
  <c r="U73" i="75" s="1"/>
  <c r="Q51" i="75"/>
  <c r="E63" i="75"/>
  <c r="K63" i="75" s="1"/>
  <c r="U63" i="75" s="1"/>
  <c r="Q53" i="75"/>
  <c r="E65" i="75"/>
  <c r="K65" i="75" s="1"/>
  <c r="U65" i="75" s="1"/>
  <c r="Q60" i="75"/>
  <c r="E72" i="75"/>
  <c r="K72" i="75" s="1"/>
  <c r="U72" i="75" s="1"/>
  <c r="F72" i="36"/>
  <c r="F73" i="36"/>
  <c r="F64" i="36"/>
  <c r="F66" i="36"/>
  <c r="F68" i="36"/>
  <c r="F63" i="36"/>
  <c r="F70" i="36"/>
  <c r="F62" i="36"/>
  <c r="F69" i="36"/>
  <c r="F67" i="36"/>
  <c r="F65" i="36"/>
  <c r="F71" i="36"/>
  <c r="M72" i="34"/>
  <c r="M70" i="34"/>
  <c r="M71" i="34"/>
  <c r="M69" i="34"/>
  <c r="M73" i="34"/>
  <c r="M66" i="34"/>
  <c r="M67" i="34"/>
  <c r="M62" i="34"/>
  <c r="M68" i="34"/>
  <c r="M65" i="34"/>
  <c r="M63" i="34"/>
  <c r="M64" i="34"/>
  <c r="M63" i="38"/>
  <c r="M65" i="38"/>
  <c r="M62" i="38"/>
  <c r="M64" i="38"/>
  <c r="AC153" i="36" l="1"/>
  <c r="AC63" i="77"/>
  <c r="AC64" i="77"/>
  <c r="AC65" i="77"/>
  <c r="AC62" i="77"/>
  <c r="AC68" i="77"/>
  <c r="AC66" i="77"/>
  <c r="AC67" i="77"/>
  <c r="T80" i="77"/>
  <c r="AA80" i="77" s="1"/>
  <c r="M80" i="77"/>
  <c r="T78" i="77"/>
  <c r="AA78" i="77" s="1"/>
  <c r="M78" i="77"/>
  <c r="T79" i="77"/>
  <c r="AA79" i="77" s="1"/>
  <c r="M79" i="77"/>
  <c r="T76" i="77"/>
  <c r="AA76" i="77" s="1"/>
  <c r="M76" i="77"/>
  <c r="T77" i="77"/>
  <c r="AA77" i="77" s="1"/>
  <c r="M77" i="77"/>
  <c r="T74" i="77"/>
  <c r="AA74" i="77" s="1"/>
  <c r="M74" i="77"/>
  <c r="T75" i="77"/>
  <c r="AA75" i="77" s="1"/>
  <c r="M75" i="77"/>
  <c r="J73" i="36"/>
  <c r="P73" i="36"/>
  <c r="V73" i="36" s="1"/>
  <c r="X73" i="36" s="1"/>
  <c r="J65" i="36"/>
  <c r="P65" i="36"/>
  <c r="V65" i="36" s="1"/>
  <c r="X65" i="36" s="1"/>
  <c r="J69" i="36"/>
  <c r="P69" i="36"/>
  <c r="V69" i="36" s="1"/>
  <c r="X69" i="36" s="1"/>
  <c r="J72" i="36"/>
  <c r="P72" i="36"/>
  <c r="V72" i="36" s="1"/>
  <c r="X72" i="36" s="1"/>
  <c r="J63" i="36"/>
  <c r="P63" i="36"/>
  <c r="V63" i="36" s="1"/>
  <c r="X63" i="36" s="1"/>
  <c r="J71" i="36"/>
  <c r="P71" i="36"/>
  <c r="V71" i="36" s="1"/>
  <c r="X71" i="36" s="1"/>
  <c r="J67" i="36"/>
  <c r="P67" i="36"/>
  <c r="V67" i="36" s="1"/>
  <c r="X67" i="36" s="1"/>
  <c r="J62" i="36"/>
  <c r="P62" i="36"/>
  <c r="V62" i="36" s="1"/>
  <c r="X62" i="36" s="1"/>
  <c r="J68" i="36"/>
  <c r="P68" i="36"/>
  <c r="V68" i="36" s="1"/>
  <c r="X68" i="36" s="1"/>
  <c r="J70" i="36"/>
  <c r="P70" i="36"/>
  <c r="V70" i="36" s="1"/>
  <c r="X70" i="36" s="1"/>
  <c r="J66" i="36"/>
  <c r="P66" i="36"/>
  <c r="V66" i="36" s="1"/>
  <c r="X66" i="36" s="1"/>
  <c r="J64" i="36"/>
  <c r="P64" i="36"/>
  <c r="V64" i="36" s="1"/>
  <c r="X64" i="36" s="1"/>
  <c r="G90" i="77"/>
  <c r="G86" i="77"/>
  <c r="G89" i="77"/>
  <c r="G92" i="77"/>
  <c r="G88" i="77"/>
  <c r="G87" i="77"/>
  <c r="G91" i="77"/>
  <c r="N79" i="76"/>
  <c r="E91" i="76"/>
  <c r="N76" i="76"/>
  <c r="E88" i="76"/>
  <c r="N77" i="76"/>
  <c r="E89" i="76"/>
  <c r="N78" i="76"/>
  <c r="E90" i="76"/>
  <c r="N74" i="76"/>
  <c r="E86" i="76"/>
  <c r="N80" i="76"/>
  <c r="E92" i="76"/>
  <c r="N75" i="76"/>
  <c r="E87" i="76"/>
  <c r="N81" i="76"/>
  <c r="E93" i="76"/>
  <c r="Q69" i="75"/>
  <c r="E81" i="75"/>
  <c r="K81" i="75" s="1"/>
  <c r="U81" i="75" s="1"/>
  <c r="Q73" i="75"/>
  <c r="E85" i="75"/>
  <c r="K85" i="75" s="1"/>
  <c r="U85" i="75" s="1"/>
  <c r="Q71" i="75"/>
  <c r="E83" i="75"/>
  <c r="K83" i="75" s="1"/>
  <c r="U83" i="75" s="1"/>
  <c r="Q65" i="75"/>
  <c r="E77" i="75"/>
  <c r="K77" i="75" s="1"/>
  <c r="U77" i="75" s="1"/>
  <c r="Q63" i="75"/>
  <c r="E75" i="75"/>
  <c r="K75" i="75" s="1"/>
  <c r="U75" i="75" s="1"/>
  <c r="Q64" i="75"/>
  <c r="E76" i="75"/>
  <c r="K76" i="75" s="1"/>
  <c r="U76" i="75" s="1"/>
  <c r="Q62" i="75"/>
  <c r="E74" i="75"/>
  <c r="K74" i="75" s="1"/>
  <c r="U74" i="75" s="1"/>
  <c r="Q67" i="75"/>
  <c r="E79" i="75"/>
  <c r="K79" i="75" s="1"/>
  <c r="U79" i="75" s="1"/>
  <c r="Q72" i="75"/>
  <c r="E84" i="75"/>
  <c r="K84" i="75" s="1"/>
  <c r="U84" i="75" s="1"/>
  <c r="Q68" i="75"/>
  <c r="E80" i="75"/>
  <c r="K80" i="75" s="1"/>
  <c r="U80" i="75" s="1"/>
  <c r="Q66" i="75"/>
  <c r="E78" i="75"/>
  <c r="K78" i="75" s="1"/>
  <c r="U78" i="75" s="1"/>
  <c r="Q70" i="75"/>
  <c r="E82" i="75"/>
  <c r="K82" i="75" s="1"/>
  <c r="U82" i="75" s="1"/>
  <c r="F84" i="36"/>
  <c r="F85" i="36"/>
  <c r="F83" i="36"/>
  <c r="F74" i="36"/>
  <c r="F79" i="36"/>
  <c r="F75" i="36"/>
  <c r="F80" i="36"/>
  <c r="F82" i="36"/>
  <c r="F81" i="36"/>
  <c r="F77" i="36"/>
  <c r="F78" i="36"/>
  <c r="F76" i="36"/>
  <c r="M81" i="34"/>
  <c r="M83" i="34"/>
  <c r="M85" i="34"/>
  <c r="M84" i="34"/>
  <c r="M82" i="34"/>
  <c r="M79" i="34"/>
  <c r="M75" i="34"/>
  <c r="M77" i="34"/>
  <c r="M80" i="34"/>
  <c r="M74" i="34"/>
  <c r="M76" i="34"/>
  <c r="M78" i="34"/>
  <c r="M76" i="38"/>
  <c r="M77" i="38"/>
  <c r="M75" i="38"/>
  <c r="M74" i="38"/>
  <c r="AC154" i="36" l="1"/>
  <c r="AC80" i="77"/>
  <c r="AC75" i="77"/>
  <c r="AC74" i="77"/>
  <c r="AC76" i="77"/>
  <c r="AC77" i="77"/>
  <c r="AC79" i="77"/>
  <c r="AC78" i="77"/>
  <c r="T91" i="77"/>
  <c r="AA91" i="77" s="1"/>
  <c r="M91" i="77"/>
  <c r="T88" i="77"/>
  <c r="AA88" i="77" s="1"/>
  <c r="M88" i="77"/>
  <c r="T92" i="77"/>
  <c r="AA92" i="77" s="1"/>
  <c r="M92" i="77"/>
  <c r="T89" i="77"/>
  <c r="AA89" i="77" s="1"/>
  <c r="M89" i="77"/>
  <c r="T86" i="77"/>
  <c r="AA86" i="77" s="1"/>
  <c r="M86" i="77"/>
  <c r="T90" i="77"/>
  <c r="AA90" i="77" s="1"/>
  <c r="M90" i="77"/>
  <c r="T87" i="77"/>
  <c r="AA87" i="77" s="1"/>
  <c r="M87" i="77"/>
  <c r="J85" i="36"/>
  <c r="P85" i="36"/>
  <c r="V85" i="36" s="1"/>
  <c r="X85" i="36" s="1"/>
  <c r="J76" i="36"/>
  <c r="P76" i="36"/>
  <c r="V76" i="36" s="1"/>
  <c r="X76" i="36" s="1"/>
  <c r="J84" i="36"/>
  <c r="P84" i="36"/>
  <c r="V84" i="36" s="1"/>
  <c r="X84" i="36" s="1"/>
  <c r="J78" i="36"/>
  <c r="P78" i="36"/>
  <c r="V78" i="36" s="1"/>
  <c r="X78" i="36" s="1"/>
  <c r="J82" i="36"/>
  <c r="P82" i="36"/>
  <c r="V82" i="36" s="1"/>
  <c r="X82" i="36" s="1"/>
  <c r="J81" i="36"/>
  <c r="P81" i="36"/>
  <c r="V81" i="36" s="1"/>
  <c r="X81" i="36" s="1"/>
  <c r="J79" i="36"/>
  <c r="P79" i="36"/>
  <c r="V79" i="36" s="1"/>
  <c r="X79" i="36" s="1"/>
  <c r="J77" i="36"/>
  <c r="P77" i="36"/>
  <c r="V77" i="36" s="1"/>
  <c r="X77" i="36" s="1"/>
  <c r="J75" i="36"/>
  <c r="P75" i="36"/>
  <c r="V75" i="36" s="1"/>
  <c r="X75" i="36" s="1"/>
  <c r="J74" i="36"/>
  <c r="P74" i="36"/>
  <c r="V74" i="36" s="1"/>
  <c r="X74" i="36" s="1"/>
  <c r="J80" i="36"/>
  <c r="P80" i="36"/>
  <c r="V80" i="36" s="1"/>
  <c r="X80" i="36" s="1"/>
  <c r="J83" i="36"/>
  <c r="P83" i="36"/>
  <c r="V83" i="36" s="1"/>
  <c r="X83" i="36" s="1"/>
  <c r="G103" i="77"/>
  <c r="G99" i="77"/>
  <c r="G102" i="77"/>
  <c r="G98" i="77"/>
  <c r="G104" i="77"/>
  <c r="G100" i="77"/>
  <c r="G101" i="77"/>
  <c r="N87" i="76"/>
  <c r="E99" i="76"/>
  <c r="N90" i="76"/>
  <c r="E102" i="76"/>
  <c r="N89" i="76"/>
  <c r="E101" i="76"/>
  <c r="N93" i="76"/>
  <c r="E105" i="76"/>
  <c r="N88" i="76"/>
  <c r="E100" i="76"/>
  <c r="N91" i="76"/>
  <c r="E103" i="76"/>
  <c r="N92" i="76"/>
  <c r="E104" i="76"/>
  <c r="N86" i="76"/>
  <c r="E98" i="76"/>
  <c r="E95" i="75"/>
  <c r="K95" i="75" s="1"/>
  <c r="U95" i="75" s="1"/>
  <c r="Q83" i="75"/>
  <c r="E96" i="75"/>
  <c r="K96" i="75" s="1"/>
  <c r="U96" i="75" s="1"/>
  <c r="Q84" i="75"/>
  <c r="Q81" i="75"/>
  <c r="E93" i="75"/>
  <c r="K93" i="75" s="1"/>
  <c r="U93" i="75" s="1"/>
  <c r="Q74" i="75"/>
  <c r="E86" i="75"/>
  <c r="K86" i="75" s="1"/>
  <c r="U86" i="75" s="1"/>
  <c r="Q78" i="75"/>
  <c r="E90" i="75"/>
  <c r="K90" i="75" s="1"/>
  <c r="U90" i="75" s="1"/>
  <c r="E88" i="75"/>
  <c r="K88" i="75" s="1"/>
  <c r="U88" i="75" s="1"/>
  <c r="Q76" i="75"/>
  <c r="Q75" i="75"/>
  <c r="E87" i="75"/>
  <c r="K87" i="75" s="1"/>
  <c r="U87" i="75" s="1"/>
  <c r="E92" i="75"/>
  <c r="K92" i="75" s="1"/>
  <c r="U92" i="75" s="1"/>
  <c r="Q80" i="75"/>
  <c r="Q82" i="75"/>
  <c r="E94" i="75"/>
  <c r="K94" i="75" s="1"/>
  <c r="U94" i="75" s="1"/>
  <c r="E89" i="75"/>
  <c r="K89" i="75" s="1"/>
  <c r="U89" i="75" s="1"/>
  <c r="Q77" i="75"/>
  <c r="Q85" i="75"/>
  <c r="E97" i="75"/>
  <c r="K97" i="75" s="1"/>
  <c r="U97" i="75" s="1"/>
  <c r="E91" i="75"/>
  <c r="K91" i="75" s="1"/>
  <c r="U91" i="75" s="1"/>
  <c r="Q79" i="75"/>
  <c r="F97" i="36"/>
  <c r="F96" i="36"/>
  <c r="F89" i="36"/>
  <c r="F87" i="36"/>
  <c r="F93" i="36"/>
  <c r="F86" i="36"/>
  <c r="F91" i="36"/>
  <c r="F88" i="36"/>
  <c r="F90" i="36"/>
  <c r="F94" i="36"/>
  <c r="F95" i="36"/>
  <c r="F92" i="36"/>
  <c r="M94" i="34"/>
  <c r="M96" i="34"/>
  <c r="M97" i="34"/>
  <c r="M95" i="34"/>
  <c r="M93" i="34"/>
  <c r="M88" i="34"/>
  <c r="M86" i="34"/>
  <c r="M92" i="34"/>
  <c r="M89" i="34"/>
  <c r="M87" i="34"/>
  <c r="M90" i="34"/>
  <c r="M91" i="34"/>
  <c r="M87" i="38"/>
  <c r="M88" i="38"/>
  <c r="M86" i="38"/>
  <c r="M89" i="38"/>
  <c r="AC155" i="36" l="1"/>
  <c r="AC91" i="77"/>
  <c r="AC87" i="77"/>
  <c r="AC90" i="77"/>
  <c r="AC86" i="77"/>
  <c r="AC89" i="77"/>
  <c r="AC88" i="77"/>
  <c r="AC92" i="77"/>
  <c r="T101" i="77"/>
  <c r="AA101" i="77" s="1"/>
  <c r="M101" i="77"/>
  <c r="T100" i="77"/>
  <c r="AA100" i="77" s="1"/>
  <c r="M100" i="77"/>
  <c r="T104" i="77"/>
  <c r="AA104" i="77" s="1"/>
  <c r="M104" i="77"/>
  <c r="T98" i="77"/>
  <c r="AA98" i="77" s="1"/>
  <c r="M98" i="77"/>
  <c r="T102" i="77"/>
  <c r="AA102" i="77" s="1"/>
  <c r="M102" i="77"/>
  <c r="T99" i="77"/>
  <c r="AA99" i="77" s="1"/>
  <c r="M99" i="77"/>
  <c r="T103" i="77"/>
  <c r="AA103" i="77" s="1"/>
  <c r="M103" i="77"/>
  <c r="J96" i="36"/>
  <c r="P96" i="36"/>
  <c r="V96" i="36" s="1"/>
  <c r="X96" i="36" s="1"/>
  <c r="J97" i="36"/>
  <c r="P97" i="36"/>
  <c r="V97" i="36" s="1"/>
  <c r="X97" i="36" s="1"/>
  <c r="J92" i="36"/>
  <c r="P92" i="36"/>
  <c r="V92" i="36" s="1"/>
  <c r="X92" i="36" s="1"/>
  <c r="J95" i="36"/>
  <c r="P95" i="36"/>
  <c r="V95" i="36" s="1"/>
  <c r="X95" i="36" s="1"/>
  <c r="J91" i="36"/>
  <c r="P91" i="36"/>
  <c r="V91" i="36" s="1"/>
  <c r="X91" i="36" s="1"/>
  <c r="J93" i="36"/>
  <c r="P93" i="36"/>
  <c r="V93" i="36" s="1"/>
  <c r="X93" i="36" s="1"/>
  <c r="J94" i="36"/>
  <c r="P94" i="36"/>
  <c r="V94" i="36" s="1"/>
  <c r="X94" i="36" s="1"/>
  <c r="J86" i="36"/>
  <c r="P86" i="36"/>
  <c r="V86" i="36" s="1"/>
  <c r="X86" i="36" s="1"/>
  <c r="J87" i="36"/>
  <c r="P87" i="36"/>
  <c r="V87" i="36" s="1"/>
  <c r="X87" i="36" s="1"/>
  <c r="J90" i="36"/>
  <c r="P90" i="36"/>
  <c r="V90" i="36" s="1"/>
  <c r="X90" i="36" s="1"/>
  <c r="J88" i="36"/>
  <c r="P88" i="36"/>
  <c r="V88" i="36" s="1"/>
  <c r="X88" i="36" s="1"/>
  <c r="J89" i="36"/>
  <c r="P89" i="36"/>
  <c r="V89" i="36" s="1"/>
  <c r="X89" i="36" s="1"/>
  <c r="G111" i="77"/>
  <c r="M111" i="77" s="1"/>
  <c r="G113" i="77"/>
  <c r="M113" i="77" s="1"/>
  <c r="G110" i="77"/>
  <c r="M110" i="77" s="1"/>
  <c r="G112" i="77"/>
  <c r="M112" i="77" s="1"/>
  <c r="G116" i="77"/>
  <c r="G115" i="77"/>
  <c r="M115" i="77" s="1"/>
  <c r="G114" i="77"/>
  <c r="M114" i="77" s="1"/>
  <c r="N103" i="76"/>
  <c r="E115" i="76"/>
  <c r="E127" i="76" s="1"/>
  <c r="N127" i="76" s="1"/>
  <c r="N100" i="76"/>
  <c r="E112" i="76"/>
  <c r="E124" i="76" s="1"/>
  <c r="N124" i="76" s="1"/>
  <c r="N99" i="76"/>
  <c r="E111" i="76"/>
  <c r="E123" i="76" s="1"/>
  <c r="N123" i="76" s="1"/>
  <c r="N102" i="76"/>
  <c r="E114" i="76"/>
  <c r="E126" i="76" s="1"/>
  <c r="N126" i="76" s="1"/>
  <c r="N98" i="76"/>
  <c r="E110" i="76"/>
  <c r="E122" i="76" s="1"/>
  <c r="N104" i="76"/>
  <c r="E116" i="76"/>
  <c r="N101" i="76"/>
  <c r="E113" i="76"/>
  <c r="E125" i="76" s="1"/>
  <c r="N125" i="76" s="1"/>
  <c r="N105" i="76"/>
  <c r="E117" i="76"/>
  <c r="Q86" i="75"/>
  <c r="E98" i="75"/>
  <c r="K98" i="75" s="1"/>
  <c r="U98" i="75" s="1"/>
  <c r="E99" i="75"/>
  <c r="K99" i="75" s="1"/>
  <c r="U99" i="75" s="1"/>
  <c r="Q87" i="75"/>
  <c r="E108" i="75"/>
  <c r="K108" i="75" s="1"/>
  <c r="U108" i="75" s="1"/>
  <c r="Q96" i="75"/>
  <c r="Q89" i="75"/>
  <c r="E101" i="75"/>
  <c r="K101" i="75" s="1"/>
  <c r="U101" i="75" s="1"/>
  <c r="Q93" i="75"/>
  <c r="E105" i="75"/>
  <c r="K105" i="75" s="1"/>
  <c r="U105" i="75" s="1"/>
  <c r="E106" i="75"/>
  <c r="K106" i="75" s="1"/>
  <c r="U106" i="75" s="1"/>
  <c r="Q94" i="75"/>
  <c r="E100" i="75"/>
  <c r="K100" i="75" s="1"/>
  <c r="U100" i="75" s="1"/>
  <c r="Q88" i="75"/>
  <c r="E109" i="75"/>
  <c r="K109" i="75" s="1"/>
  <c r="U109" i="75" s="1"/>
  <c r="Q97" i="75"/>
  <c r="Q90" i="75"/>
  <c r="E102" i="75"/>
  <c r="K102" i="75" s="1"/>
  <c r="U102" i="75" s="1"/>
  <c r="Q91" i="75"/>
  <c r="E103" i="75"/>
  <c r="K103" i="75" s="1"/>
  <c r="U103" i="75" s="1"/>
  <c r="Q92" i="75"/>
  <c r="E104" i="75"/>
  <c r="K104" i="75" s="1"/>
  <c r="U104" i="75" s="1"/>
  <c r="E107" i="75"/>
  <c r="K107" i="75" s="1"/>
  <c r="U107" i="75" s="1"/>
  <c r="Q95" i="75"/>
  <c r="F108" i="36"/>
  <c r="F109" i="36"/>
  <c r="F104" i="36"/>
  <c r="F102" i="36"/>
  <c r="F98" i="36"/>
  <c r="F105" i="36"/>
  <c r="F107" i="36"/>
  <c r="F103" i="36"/>
  <c r="F99" i="36"/>
  <c r="F101" i="36"/>
  <c r="F100" i="36"/>
  <c r="F106" i="36"/>
  <c r="M107" i="34"/>
  <c r="M109" i="34"/>
  <c r="M106" i="34"/>
  <c r="M108" i="34"/>
  <c r="M105" i="34"/>
  <c r="M100" i="34"/>
  <c r="M104" i="34"/>
  <c r="M102" i="34"/>
  <c r="M99" i="34"/>
  <c r="M98" i="34"/>
  <c r="M103" i="34"/>
  <c r="M101" i="34"/>
  <c r="M98" i="38"/>
  <c r="M100" i="38"/>
  <c r="M99" i="38"/>
  <c r="M101" i="38"/>
  <c r="AC156" i="36" l="1"/>
  <c r="AC101" i="77"/>
  <c r="AC103" i="77"/>
  <c r="AC99" i="77"/>
  <c r="AC102" i="77"/>
  <c r="AC98" i="77"/>
  <c r="AC100" i="77"/>
  <c r="AC104" i="77"/>
  <c r="T116" i="77"/>
  <c r="AA116" i="77" s="1"/>
  <c r="M116" i="77"/>
  <c r="G126" i="77"/>
  <c r="M126" i="77" s="1"/>
  <c r="T114" i="77"/>
  <c r="AA114" i="77" s="1"/>
  <c r="G127" i="77"/>
  <c r="M127" i="77" s="1"/>
  <c r="T115" i="77"/>
  <c r="AA115" i="77" s="1"/>
  <c r="G124" i="77"/>
  <c r="M124" i="77" s="1"/>
  <c r="T112" i="77"/>
  <c r="AA112" i="77" s="1"/>
  <c r="G122" i="77"/>
  <c r="M122" i="77" s="1"/>
  <c r="T110" i="77"/>
  <c r="AA110" i="77" s="1"/>
  <c r="G123" i="77"/>
  <c r="M123" i="77" s="1"/>
  <c r="T111" i="77"/>
  <c r="AA111" i="77" s="1"/>
  <c r="G125" i="77"/>
  <c r="M125" i="77" s="1"/>
  <c r="T113" i="77"/>
  <c r="AA113" i="77" s="1"/>
  <c r="J100" i="36"/>
  <c r="P100" i="36"/>
  <c r="V100" i="36" s="1"/>
  <c r="X100" i="36" s="1"/>
  <c r="J108" i="36"/>
  <c r="P108" i="36"/>
  <c r="V108" i="36" s="1"/>
  <c r="X108" i="36" s="1"/>
  <c r="J101" i="36"/>
  <c r="P101" i="36"/>
  <c r="V101" i="36" s="1"/>
  <c r="X101" i="36" s="1"/>
  <c r="J109" i="36"/>
  <c r="P109" i="36"/>
  <c r="V109" i="36" s="1"/>
  <c r="X109" i="36" s="1"/>
  <c r="J99" i="36"/>
  <c r="P99" i="36"/>
  <c r="V99" i="36" s="1"/>
  <c r="X99" i="36" s="1"/>
  <c r="J105" i="36"/>
  <c r="P105" i="36"/>
  <c r="V105" i="36" s="1"/>
  <c r="X105" i="36" s="1"/>
  <c r="J98" i="36"/>
  <c r="P98" i="36"/>
  <c r="V98" i="36" s="1"/>
  <c r="X98" i="36" s="1"/>
  <c r="J106" i="36"/>
  <c r="P106" i="36"/>
  <c r="V106" i="36" s="1"/>
  <c r="X106" i="36" s="1"/>
  <c r="J107" i="36"/>
  <c r="P107" i="36"/>
  <c r="V107" i="36" s="1"/>
  <c r="X107" i="36" s="1"/>
  <c r="J102" i="36"/>
  <c r="P102" i="36"/>
  <c r="V102" i="36" s="1"/>
  <c r="X102" i="36" s="1"/>
  <c r="J103" i="36"/>
  <c r="P103" i="36"/>
  <c r="V103" i="36" s="1"/>
  <c r="X103" i="36" s="1"/>
  <c r="J104" i="36"/>
  <c r="P104" i="36"/>
  <c r="V104" i="36" s="1"/>
  <c r="X104" i="36" s="1"/>
  <c r="E134" i="76"/>
  <c r="N122" i="76"/>
  <c r="G128" i="77"/>
  <c r="M128" i="77" s="1"/>
  <c r="E129" i="76"/>
  <c r="N129" i="76" s="1"/>
  <c r="E128" i="76"/>
  <c r="N128" i="76" s="1"/>
  <c r="M131" i="34"/>
  <c r="M128" i="34"/>
  <c r="M132" i="34"/>
  <c r="M129" i="34"/>
  <c r="M130" i="34"/>
  <c r="M133" i="34"/>
  <c r="N117" i="76"/>
  <c r="N111" i="76"/>
  <c r="N115" i="76"/>
  <c r="N114" i="76"/>
  <c r="N116" i="76"/>
  <c r="N112" i="76"/>
  <c r="N113" i="76"/>
  <c r="N110" i="76"/>
  <c r="Q108" i="75"/>
  <c r="E120" i="75"/>
  <c r="K120" i="75" s="1"/>
  <c r="U120" i="75" s="1"/>
  <c r="E111" i="75"/>
  <c r="Q99" i="75"/>
  <c r="Q107" i="75"/>
  <c r="E119" i="75"/>
  <c r="K119" i="75" s="1"/>
  <c r="U119" i="75" s="1"/>
  <c r="E121" i="75"/>
  <c r="K121" i="75" s="1"/>
  <c r="U121" i="75" s="1"/>
  <c r="Q109" i="75"/>
  <c r="E117" i="75"/>
  <c r="K117" i="75" s="1"/>
  <c r="U117" i="75" s="1"/>
  <c r="Q105" i="75"/>
  <c r="E114" i="75"/>
  <c r="Q102" i="75"/>
  <c r="E116" i="75"/>
  <c r="K116" i="75" s="1"/>
  <c r="U116" i="75" s="1"/>
  <c r="Q104" i="75"/>
  <c r="E112" i="75"/>
  <c r="Q100" i="75"/>
  <c r="E113" i="75"/>
  <c r="Q101" i="75"/>
  <c r="E110" i="75"/>
  <c r="Q98" i="75"/>
  <c r="E118" i="75"/>
  <c r="K118" i="75" s="1"/>
  <c r="U118" i="75" s="1"/>
  <c r="Q106" i="75"/>
  <c r="E115" i="75"/>
  <c r="Q103" i="75"/>
  <c r="F121" i="36"/>
  <c r="F120" i="36"/>
  <c r="F119" i="36"/>
  <c r="F112" i="36"/>
  <c r="P112" i="36" s="1"/>
  <c r="V112" i="36" s="1"/>
  <c r="X112" i="36" s="1"/>
  <c r="F110" i="36"/>
  <c r="P110" i="36" s="1"/>
  <c r="V110" i="36" s="1"/>
  <c r="X110" i="36" s="1"/>
  <c r="F114" i="36"/>
  <c r="P114" i="36" s="1"/>
  <c r="V114" i="36" s="1"/>
  <c r="X114" i="36" s="1"/>
  <c r="F117" i="36"/>
  <c r="F111" i="36"/>
  <c r="P111" i="36" s="1"/>
  <c r="V111" i="36" s="1"/>
  <c r="X111" i="36" s="1"/>
  <c r="F118" i="36"/>
  <c r="F116" i="36"/>
  <c r="F113" i="36"/>
  <c r="P113" i="36" s="1"/>
  <c r="V113" i="36" s="1"/>
  <c r="X113" i="36" s="1"/>
  <c r="F115" i="36"/>
  <c r="M117" i="34"/>
  <c r="M121" i="34"/>
  <c r="M120" i="34"/>
  <c r="M119" i="34"/>
  <c r="M118" i="34"/>
  <c r="M116" i="34"/>
  <c r="M115" i="34"/>
  <c r="M113" i="34"/>
  <c r="M114" i="34"/>
  <c r="M110" i="34"/>
  <c r="M112" i="34"/>
  <c r="M111" i="34"/>
  <c r="M113" i="38"/>
  <c r="M110" i="38"/>
  <c r="M111" i="38"/>
  <c r="M112" i="38"/>
  <c r="AC157" i="36" l="1"/>
  <c r="AC116" i="77"/>
  <c r="AC113" i="77"/>
  <c r="AC111" i="77"/>
  <c r="AC110" i="77"/>
  <c r="AC115" i="77"/>
  <c r="AC112" i="77"/>
  <c r="AC114" i="77"/>
  <c r="T125" i="77"/>
  <c r="AA125" i="77" s="1"/>
  <c r="T123" i="77"/>
  <c r="AA123" i="77" s="1"/>
  <c r="T128" i="77"/>
  <c r="AA128" i="77" s="1"/>
  <c r="T122" i="77"/>
  <c r="AA122" i="77" s="1"/>
  <c r="T124" i="77"/>
  <c r="AA124" i="77" s="1"/>
  <c r="T127" i="77"/>
  <c r="AA127" i="77" s="1"/>
  <c r="T126" i="77"/>
  <c r="AA126" i="77" s="1"/>
  <c r="J119" i="36"/>
  <c r="P119" i="36"/>
  <c r="V119" i="36" s="1"/>
  <c r="X119" i="36" s="1"/>
  <c r="J120" i="36"/>
  <c r="P120" i="36"/>
  <c r="V120" i="36" s="1"/>
  <c r="X120" i="36" s="1"/>
  <c r="J116" i="36"/>
  <c r="P116" i="36"/>
  <c r="V116" i="36" s="1"/>
  <c r="X116" i="36" s="1"/>
  <c r="J121" i="36"/>
  <c r="P121" i="36"/>
  <c r="V121" i="36" s="1"/>
  <c r="X121" i="36" s="1"/>
  <c r="J118" i="36"/>
  <c r="P118" i="36"/>
  <c r="V118" i="36" s="1"/>
  <c r="X118" i="36" s="1"/>
  <c r="J115" i="36"/>
  <c r="P115" i="36"/>
  <c r="V115" i="36" s="1"/>
  <c r="X115" i="36" s="1"/>
  <c r="J117" i="36"/>
  <c r="P117" i="36"/>
  <c r="V117" i="36" s="1"/>
  <c r="X117" i="36" s="1"/>
  <c r="F125" i="36"/>
  <c r="J113" i="36"/>
  <c r="F123" i="36"/>
  <c r="J111" i="36"/>
  <c r="F122" i="36"/>
  <c r="J110" i="36"/>
  <c r="F124" i="36"/>
  <c r="J112" i="36"/>
  <c r="F126" i="36"/>
  <c r="J114" i="36"/>
  <c r="E123" i="75"/>
  <c r="K123" i="75" s="1"/>
  <c r="U123" i="75" s="1"/>
  <c r="K111" i="75"/>
  <c r="U111" i="75" s="1"/>
  <c r="E122" i="75"/>
  <c r="K110" i="75"/>
  <c r="U110" i="75" s="1"/>
  <c r="E125" i="75"/>
  <c r="K125" i="75" s="1"/>
  <c r="U125" i="75" s="1"/>
  <c r="K113" i="75"/>
  <c r="U113" i="75" s="1"/>
  <c r="E124" i="75"/>
  <c r="K124" i="75" s="1"/>
  <c r="U124" i="75" s="1"/>
  <c r="K112" i="75"/>
  <c r="U112" i="75" s="1"/>
  <c r="E126" i="75"/>
  <c r="K126" i="75" s="1"/>
  <c r="U126" i="75" s="1"/>
  <c r="K114" i="75"/>
  <c r="U114" i="75" s="1"/>
  <c r="E127" i="75"/>
  <c r="K127" i="75" s="1"/>
  <c r="U127" i="75" s="1"/>
  <c r="K115" i="75"/>
  <c r="U115" i="75" s="1"/>
  <c r="E128" i="75"/>
  <c r="K128" i="75" s="1"/>
  <c r="U128" i="75" s="1"/>
  <c r="E129" i="75"/>
  <c r="K129" i="75" s="1"/>
  <c r="U129" i="75" s="1"/>
  <c r="E133" i="75"/>
  <c r="K133" i="75" s="1"/>
  <c r="U133" i="75" s="1"/>
  <c r="E131" i="75"/>
  <c r="K131" i="75" s="1"/>
  <c r="U131" i="75" s="1"/>
  <c r="E132" i="75"/>
  <c r="K132" i="75" s="1"/>
  <c r="U132" i="75" s="1"/>
  <c r="E130" i="75"/>
  <c r="K130" i="75" s="1"/>
  <c r="U130" i="75" s="1"/>
  <c r="F128" i="36"/>
  <c r="F130" i="36"/>
  <c r="F133" i="36"/>
  <c r="F132" i="36"/>
  <c r="F131" i="36"/>
  <c r="F129" i="36"/>
  <c r="F127" i="36"/>
  <c r="G135" i="77"/>
  <c r="M135" i="77" s="1"/>
  <c r="G139" i="77"/>
  <c r="M139" i="77" s="1"/>
  <c r="G138" i="77"/>
  <c r="M138" i="77" s="1"/>
  <c r="G140" i="77"/>
  <c r="M140" i="77" s="1"/>
  <c r="G137" i="77"/>
  <c r="M137" i="77" s="1"/>
  <c r="G136" i="77"/>
  <c r="M136" i="77" s="1"/>
  <c r="G134" i="77"/>
  <c r="M134" i="77" s="1"/>
  <c r="E139" i="76"/>
  <c r="E135" i="76"/>
  <c r="E141" i="76"/>
  <c r="E137" i="76"/>
  <c r="E140" i="76"/>
  <c r="E138" i="76"/>
  <c r="E136" i="76"/>
  <c r="Q118" i="75"/>
  <c r="Q110" i="75"/>
  <c r="Q121" i="75"/>
  <c r="Q112" i="75"/>
  <c r="Q119" i="75"/>
  <c r="Q111" i="75"/>
  <c r="Q113" i="75"/>
  <c r="Q120" i="75"/>
  <c r="Q116" i="75"/>
  <c r="Q114" i="75"/>
  <c r="Q117" i="75"/>
  <c r="Q115" i="75"/>
  <c r="M122" i="34"/>
  <c r="M126" i="34"/>
  <c r="M127" i="34"/>
  <c r="M125" i="34"/>
  <c r="M123" i="34"/>
  <c r="M124" i="34"/>
  <c r="M123" i="38"/>
  <c r="M122" i="38"/>
  <c r="M124" i="38"/>
  <c r="M125" i="38"/>
  <c r="AC158" i="36" l="1"/>
  <c r="AC125" i="77"/>
  <c r="AC126" i="77"/>
  <c r="AC127" i="77"/>
  <c r="AC124" i="77"/>
  <c r="AC128" i="77"/>
  <c r="AC122" i="77"/>
  <c r="AC123" i="77"/>
  <c r="T135" i="77"/>
  <c r="AA135" i="77" s="1"/>
  <c r="T134" i="77"/>
  <c r="AA134" i="77" s="1"/>
  <c r="T136" i="77"/>
  <c r="AA136" i="77" s="1"/>
  <c r="T140" i="77"/>
  <c r="AA140" i="77" s="1"/>
  <c r="T138" i="77"/>
  <c r="AA138" i="77" s="1"/>
  <c r="T137" i="77"/>
  <c r="AA137" i="77" s="1"/>
  <c r="T139" i="77"/>
  <c r="AA139" i="77" s="1"/>
  <c r="J129" i="36"/>
  <c r="P129" i="36"/>
  <c r="V129" i="36" s="1"/>
  <c r="X129" i="36" s="1"/>
  <c r="J131" i="36"/>
  <c r="P131" i="36"/>
  <c r="V131" i="36" s="1"/>
  <c r="X131" i="36" s="1"/>
  <c r="J125" i="36"/>
  <c r="P125" i="36"/>
  <c r="V125" i="36" s="1"/>
  <c r="X125" i="36" s="1"/>
  <c r="J130" i="36"/>
  <c r="P130" i="36"/>
  <c r="V130" i="36" s="1"/>
  <c r="X130" i="36" s="1"/>
  <c r="J128" i="36"/>
  <c r="P128" i="36"/>
  <c r="V128" i="36" s="1"/>
  <c r="X128" i="36" s="1"/>
  <c r="J124" i="36"/>
  <c r="P124" i="36"/>
  <c r="V124" i="36" s="1"/>
  <c r="X124" i="36" s="1"/>
  <c r="J122" i="36"/>
  <c r="P122" i="36"/>
  <c r="V122" i="36" s="1"/>
  <c r="X122" i="36" s="1"/>
  <c r="J132" i="36"/>
  <c r="P132" i="36"/>
  <c r="V132" i="36" s="1"/>
  <c r="X132" i="36" s="1"/>
  <c r="J133" i="36"/>
  <c r="P133" i="36"/>
  <c r="V133" i="36" s="1"/>
  <c r="X133" i="36" s="1"/>
  <c r="J126" i="36"/>
  <c r="P126" i="36"/>
  <c r="V126" i="36" s="1"/>
  <c r="X126" i="36" s="1"/>
  <c r="J127" i="36"/>
  <c r="P127" i="36"/>
  <c r="V127" i="36" s="1"/>
  <c r="X127" i="36" s="1"/>
  <c r="J123" i="36"/>
  <c r="P123" i="36"/>
  <c r="V123" i="36" s="1"/>
  <c r="X123" i="36" s="1"/>
  <c r="Q123" i="75"/>
  <c r="K122" i="75"/>
  <c r="U122" i="75" s="1"/>
  <c r="Q122" i="75"/>
  <c r="Q125" i="75"/>
  <c r="Q127" i="75"/>
  <c r="Q126" i="75"/>
  <c r="Q124" i="75"/>
  <c r="Q131" i="75"/>
  <c r="Q133" i="75"/>
  <c r="Q129" i="75"/>
  <c r="Q128" i="75"/>
  <c r="Q130" i="75"/>
  <c r="Q132" i="75"/>
  <c r="N141" i="76"/>
  <c r="N138" i="76"/>
  <c r="N134" i="76"/>
  <c r="N137" i="76"/>
  <c r="N136" i="76"/>
  <c r="N135" i="76"/>
  <c r="N140" i="76"/>
  <c r="N139" i="76"/>
  <c r="E135" i="75"/>
  <c r="E144" i="75"/>
  <c r="E143" i="75"/>
  <c r="E145" i="75"/>
  <c r="E138" i="75"/>
  <c r="E137" i="75"/>
  <c r="E134" i="75"/>
  <c r="E141" i="75"/>
  <c r="E139" i="75"/>
  <c r="E142" i="75"/>
  <c r="E140" i="75"/>
  <c r="E136" i="75"/>
  <c r="F145" i="36"/>
  <c r="F144" i="36"/>
  <c r="F140" i="36"/>
  <c r="F137" i="36"/>
  <c r="F136" i="36"/>
  <c r="F141" i="36"/>
  <c r="F139" i="36"/>
  <c r="F135" i="36"/>
  <c r="F143" i="36"/>
  <c r="F138" i="36"/>
  <c r="F142" i="36"/>
  <c r="F134" i="36"/>
  <c r="M145" i="34"/>
  <c r="M143" i="34"/>
  <c r="M142" i="34"/>
  <c r="M144" i="34"/>
  <c r="M141" i="34"/>
  <c r="M137" i="34"/>
  <c r="M139" i="34"/>
  <c r="M138" i="34"/>
  <c r="M140" i="34"/>
  <c r="M135" i="34"/>
  <c r="M136" i="34"/>
  <c r="M134" i="34"/>
  <c r="M137" i="38"/>
  <c r="M135" i="38"/>
  <c r="M134" i="38"/>
  <c r="M136" i="38"/>
  <c r="N147" i="76" l="1"/>
  <c r="AC159" i="36"/>
  <c r="AC135" i="77"/>
  <c r="AC137" i="77"/>
  <c r="AC138" i="77"/>
  <c r="AC139" i="77"/>
  <c r="AC140" i="77"/>
  <c r="AC136" i="77"/>
  <c r="AC134" i="77"/>
  <c r="J145" i="36"/>
  <c r="P145" i="36"/>
  <c r="V145" i="36" s="1"/>
  <c r="X145" i="36" s="1"/>
  <c r="J139" i="36"/>
  <c r="P139" i="36"/>
  <c r="V139" i="36" s="1"/>
  <c r="X139" i="36" s="1"/>
  <c r="J141" i="36"/>
  <c r="P141" i="36"/>
  <c r="V141" i="36" s="1"/>
  <c r="X141" i="36" s="1"/>
  <c r="J136" i="36"/>
  <c r="P136" i="36"/>
  <c r="V136" i="36" s="1"/>
  <c r="X136" i="36" s="1"/>
  <c r="J144" i="36"/>
  <c r="P144" i="36"/>
  <c r="V144" i="36" s="1"/>
  <c r="X144" i="36" s="1"/>
  <c r="J137" i="36"/>
  <c r="P137" i="36"/>
  <c r="V137" i="36" s="1"/>
  <c r="X137" i="36" s="1"/>
  <c r="J134" i="36"/>
  <c r="P134" i="36"/>
  <c r="V134" i="36" s="1"/>
  <c r="X134" i="36" s="1"/>
  <c r="J142" i="36"/>
  <c r="P142" i="36"/>
  <c r="V142" i="36" s="1"/>
  <c r="X142" i="36" s="1"/>
  <c r="J138" i="36"/>
  <c r="P138" i="36"/>
  <c r="V138" i="36" s="1"/>
  <c r="X138" i="36" s="1"/>
  <c r="J140" i="36"/>
  <c r="P140" i="36"/>
  <c r="V140" i="36" s="1"/>
  <c r="X140" i="36" s="1"/>
  <c r="J143" i="36"/>
  <c r="P143" i="36"/>
  <c r="V143" i="36" s="1"/>
  <c r="X143" i="36" s="1"/>
  <c r="J135" i="36"/>
  <c r="P135" i="36"/>
  <c r="V135" i="36" s="1"/>
  <c r="X135" i="36" s="1"/>
  <c r="K142" i="75"/>
  <c r="U142" i="75" s="1"/>
  <c r="K140" i="75"/>
  <c r="U140" i="75" s="1"/>
  <c r="K139" i="75"/>
  <c r="U139" i="75" s="1"/>
  <c r="K134" i="75"/>
  <c r="U134" i="75" s="1"/>
  <c r="K143" i="75"/>
  <c r="U143" i="75" s="1"/>
  <c r="K144" i="75"/>
  <c r="U144" i="75" s="1"/>
  <c r="K135" i="75"/>
  <c r="U135" i="75" s="1"/>
  <c r="K136" i="75"/>
  <c r="U136" i="75" s="1"/>
  <c r="K137" i="75"/>
  <c r="U137" i="75" s="1"/>
  <c r="K145" i="75"/>
  <c r="U145" i="75" s="1"/>
  <c r="K141" i="75"/>
  <c r="U141" i="75" s="1"/>
  <c r="K138" i="75"/>
  <c r="U138" i="75" s="1"/>
  <c r="Q139" i="75"/>
  <c r="Q135" i="75"/>
  <c r="Q140" i="75"/>
  <c r="Q141" i="75"/>
  <c r="Q143" i="75"/>
  <c r="Q138" i="75"/>
  <c r="Q145" i="75"/>
  <c r="Q134" i="75"/>
  <c r="Q137" i="75"/>
  <c r="Q142" i="75"/>
  <c r="Q144" i="75"/>
  <c r="Q136" i="75"/>
  <c r="R147" i="77" l="1"/>
  <c r="AC160" i="36"/>
  <c r="G20" i="71"/>
  <c r="G19" i="24" s="1"/>
  <c r="G28" i="57" s="1"/>
  <c r="G9" i="71"/>
  <c r="G21" i="71" l="1"/>
  <c r="E20" i="71" l="1"/>
  <c r="D20" i="71"/>
  <c r="AC15" i="17" s="1"/>
  <c r="AC55" i="17" s="1"/>
  <c r="D19" i="71"/>
  <c r="G15" i="152" l="1"/>
  <c r="AC16" i="17"/>
  <c r="AC56" i="17" s="1"/>
  <c r="E19" i="71"/>
  <c r="S15" i="17"/>
  <c r="S55" i="17" s="1"/>
  <c r="G15" i="25"/>
  <c r="G14" i="152" l="1"/>
  <c r="D9" i="71"/>
  <c r="D18" i="71"/>
  <c r="E18" i="71"/>
  <c r="E9" i="71"/>
  <c r="S16" i="17"/>
  <c r="S56" i="17" s="1"/>
  <c r="G14" i="25"/>
  <c r="L29" i="71" l="1"/>
  <c r="L37" i="71" s="1"/>
  <c r="L30" i="71"/>
  <c r="L28" i="71"/>
  <c r="G13" i="152"/>
  <c r="G19" i="152" s="1"/>
  <c r="G13" i="25"/>
  <c r="G19" i="25" s="1"/>
  <c r="I16" i="17"/>
  <c r="I56" i="17" s="1"/>
  <c r="E21" i="71"/>
  <c r="I15" i="17"/>
  <c r="I55" i="17" s="1"/>
  <c r="D21" i="71"/>
  <c r="L36" i="71" l="1"/>
  <c r="O30" i="71"/>
  <c r="L38" i="71"/>
  <c r="K11" i="36"/>
  <c r="O13" i="76"/>
  <c r="S13" i="76" s="1"/>
  <c r="N13" i="34"/>
  <c r="K8" i="36"/>
  <c r="R13" i="75"/>
  <c r="F25" i="75"/>
  <c r="R12" i="75"/>
  <c r="F24" i="75"/>
  <c r="K10" i="36"/>
  <c r="K9" i="36"/>
  <c r="K12" i="36"/>
  <c r="K13" i="36"/>
  <c r="N11" i="38"/>
  <c r="Y9" i="36" l="1"/>
  <c r="BB9" i="36" s="1"/>
  <c r="L9" i="36"/>
  <c r="Y13" i="36"/>
  <c r="BB13" i="36" s="1"/>
  <c r="L13" i="36"/>
  <c r="Y12" i="36"/>
  <c r="BB12" i="36" s="1"/>
  <c r="L12" i="36"/>
  <c r="Y10" i="36"/>
  <c r="BB10" i="36" s="1"/>
  <c r="L10" i="36"/>
  <c r="Y8" i="36"/>
  <c r="BB8" i="36" s="1"/>
  <c r="L8" i="36"/>
  <c r="Y11" i="36"/>
  <c r="BB11" i="36" s="1"/>
  <c r="L11" i="36"/>
  <c r="S13" i="34"/>
  <c r="AU13" i="34" s="1"/>
  <c r="L39" i="71"/>
  <c r="O38" i="71"/>
  <c r="O39" i="71" s="1"/>
  <c r="O31" i="71"/>
  <c r="W12" i="75"/>
  <c r="X12" i="75" s="1"/>
  <c r="Y12" i="75" s="1"/>
  <c r="W13" i="75"/>
  <c r="X13" i="75" s="1"/>
  <c r="Y13" i="75" s="1"/>
  <c r="S11" i="38"/>
  <c r="T11" i="38" s="1"/>
  <c r="U11" i="38" s="1"/>
  <c r="F25" i="76"/>
  <c r="O25" i="76" s="1"/>
  <c r="S25" i="76" s="1"/>
  <c r="G23" i="36"/>
  <c r="K23" i="36" s="1"/>
  <c r="N13" i="38"/>
  <c r="H22" i="77"/>
  <c r="N22" i="77" s="1"/>
  <c r="G22" i="36"/>
  <c r="K22" i="36" s="1"/>
  <c r="H25" i="77"/>
  <c r="N25" i="77" s="1"/>
  <c r="N10" i="34"/>
  <c r="N11" i="34"/>
  <c r="R11" i="75"/>
  <c r="F23" i="75"/>
  <c r="R10" i="75"/>
  <c r="F22" i="75"/>
  <c r="R24" i="75"/>
  <c r="F36" i="75"/>
  <c r="N23" i="38"/>
  <c r="N10" i="38"/>
  <c r="H24" i="77"/>
  <c r="N24" i="77" s="1"/>
  <c r="H21" i="77"/>
  <c r="N21" i="77" s="1"/>
  <c r="H20" i="77"/>
  <c r="N20" i="77" s="1"/>
  <c r="G21" i="36"/>
  <c r="K21" i="36" s="1"/>
  <c r="H23" i="77"/>
  <c r="N23" i="77" s="1"/>
  <c r="O9" i="76"/>
  <c r="S9" i="76" s="1"/>
  <c r="F21" i="76"/>
  <c r="N8" i="34"/>
  <c r="O10" i="76"/>
  <c r="S10" i="76" s="1"/>
  <c r="F22" i="76"/>
  <c r="N12" i="38"/>
  <c r="O12" i="76"/>
  <c r="S12" i="76" s="1"/>
  <c r="F24" i="76"/>
  <c r="G24" i="36"/>
  <c r="K24" i="36" s="1"/>
  <c r="R25" i="75"/>
  <c r="F37" i="75"/>
  <c r="N12" i="34"/>
  <c r="N8" i="38"/>
  <c r="F21" i="75"/>
  <c r="R9" i="75"/>
  <c r="G20" i="36"/>
  <c r="K20" i="36" s="1"/>
  <c r="O11" i="76"/>
  <c r="S11" i="76" s="1"/>
  <c r="F23" i="76"/>
  <c r="N9" i="38"/>
  <c r="O8" i="76"/>
  <c r="S8" i="76" s="1"/>
  <c r="F20" i="76"/>
  <c r="G25" i="36"/>
  <c r="K25" i="36" s="1"/>
  <c r="N9" i="34"/>
  <c r="R8" i="75"/>
  <c r="F20" i="75"/>
  <c r="BC9" i="36" l="1"/>
  <c r="BC11" i="36"/>
  <c r="BC10" i="36"/>
  <c r="BC12" i="36"/>
  <c r="BC13" i="36"/>
  <c r="BC8" i="36"/>
  <c r="Y25" i="36"/>
  <c r="BB25" i="36" s="1"/>
  <c r="L25" i="36"/>
  <c r="Y22" i="36"/>
  <c r="BB22" i="36" s="1"/>
  <c r="L22" i="36"/>
  <c r="Y20" i="36"/>
  <c r="BB20" i="36" s="1"/>
  <c r="L20" i="36"/>
  <c r="Y23" i="36"/>
  <c r="BB23" i="36" s="1"/>
  <c r="L23" i="36"/>
  <c r="Y21" i="36"/>
  <c r="BB21" i="36" s="1"/>
  <c r="L21" i="36"/>
  <c r="Y24" i="36"/>
  <c r="BB24" i="36" s="1"/>
  <c r="L24" i="36"/>
  <c r="AT13" i="34"/>
  <c r="S11" i="34"/>
  <c r="AU11" i="34" s="1"/>
  <c r="S12" i="34"/>
  <c r="AU12" i="34" s="1"/>
  <c r="S9" i="34"/>
  <c r="AT9" i="34" s="1"/>
  <c r="S8" i="34"/>
  <c r="AU8" i="34" s="1"/>
  <c r="S10" i="34"/>
  <c r="AT10" i="34" s="1"/>
  <c r="AV11" i="38"/>
  <c r="AU11" i="38"/>
  <c r="AE23" i="77"/>
  <c r="O23" i="77"/>
  <c r="AE25" i="77"/>
  <c r="O25" i="77"/>
  <c r="AE22" i="77"/>
  <c r="O22" i="77"/>
  <c r="AE20" i="77"/>
  <c r="O20" i="77"/>
  <c r="AE21" i="77"/>
  <c r="O21" i="77"/>
  <c r="AE24" i="77"/>
  <c r="O24" i="77"/>
  <c r="G35" i="36"/>
  <c r="K35" i="36" s="1"/>
  <c r="W25" i="75"/>
  <c r="X25" i="75" s="1"/>
  <c r="Y25" i="75" s="1"/>
  <c r="W24" i="75"/>
  <c r="X24" i="75" s="1"/>
  <c r="Y24" i="75" s="1"/>
  <c r="W11" i="75"/>
  <c r="X11" i="75" s="1"/>
  <c r="Y11" i="75" s="1"/>
  <c r="W8" i="75"/>
  <c r="X8" i="75" s="1"/>
  <c r="Y8" i="75" s="1"/>
  <c r="W9" i="75"/>
  <c r="X9" i="75" s="1"/>
  <c r="Y9" i="75" s="1"/>
  <c r="W10" i="75"/>
  <c r="X10" i="75" s="1"/>
  <c r="Y10" i="75" s="1"/>
  <c r="S10" i="38"/>
  <c r="T10" i="38" s="1"/>
  <c r="U10" i="38" s="1"/>
  <c r="S9" i="38"/>
  <c r="T9" i="38" s="1"/>
  <c r="U9" i="38" s="1"/>
  <c r="S13" i="38"/>
  <c r="T13" i="38" s="1"/>
  <c r="U13" i="38" s="1"/>
  <c r="S12" i="38"/>
  <c r="T12" i="38" s="1"/>
  <c r="U12" i="38" s="1"/>
  <c r="S8" i="38"/>
  <c r="T8" i="38" s="1"/>
  <c r="U8" i="38" s="1"/>
  <c r="S23" i="38"/>
  <c r="T23" i="38" s="1"/>
  <c r="U23" i="38" s="1"/>
  <c r="F37" i="76"/>
  <c r="O37" i="76" s="1"/>
  <c r="S37" i="76" s="1"/>
  <c r="N25" i="34"/>
  <c r="N37" i="34"/>
  <c r="O20" i="76"/>
  <c r="S20" i="76" s="1"/>
  <c r="F32" i="76"/>
  <c r="G36" i="36"/>
  <c r="K36" i="36" s="1"/>
  <c r="H32" i="77"/>
  <c r="N32" i="77" s="1"/>
  <c r="N21" i="38"/>
  <c r="O24" i="76"/>
  <c r="S24" i="76" s="1"/>
  <c r="F36" i="76"/>
  <c r="H33" i="77"/>
  <c r="N33" i="77" s="1"/>
  <c r="R23" i="75"/>
  <c r="F35" i="75"/>
  <c r="O23" i="76"/>
  <c r="S23" i="76" s="1"/>
  <c r="F35" i="76"/>
  <c r="N24" i="38"/>
  <c r="H36" i="77"/>
  <c r="N36" i="77" s="1"/>
  <c r="N23" i="34"/>
  <c r="N22" i="34"/>
  <c r="H37" i="77"/>
  <c r="N37" i="77" s="1"/>
  <c r="N22" i="38"/>
  <c r="G34" i="36"/>
  <c r="K34" i="36" s="1"/>
  <c r="F34" i="76"/>
  <c r="O22" i="76"/>
  <c r="S22" i="76" s="1"/>
  <c r="G32" i="36"/>
  <c r="K32" i="36" s="1"/>
  <c r="N20" i="34"/>
  <c r="H34" i="77"/>
  <c r="N34" i="77" s="1"/>
  <c r="R20" i="75"/>
  <c r="F32" i="75"/>
  <c r="R21" i="75"/>
  <c r="F33" i="75"/>
  <c r="O21" i="76"/>
  <c r="S21" i="76" s="1"/>
  <c r="F33" i="76"/>
  <c r="N21" i="34"/>
  <c r="G37" i="36"/>
  <c r="K37" i="36" s="1"/>
  <c r="H35" i="77"/>
  <c r="N35" i="77" s="1"/>
  <c r="R37" i="75"/>
  <c r="F49" i="75"/>
  <c r="G33" i="36"/>
  <c r="K33" i="36" s="1"/>
  <c r="R22" i="75"/>
  <c r="F34" i="75"/>
  <c r="N25" i="38"/>
  <c r="N20" i="38"/>
  <c r="N35" i="38"/>
  <c r="N24" i="34"/>
  <c r="R36" i="75"/>
  <c r="F48" i="75"/>
  <c r="BC23" i="36" l="1"/>
  <c r="BC25" i="36"/>
  <c r="BC24" i="36"/>
  <c r="BC21" i="36"/>
  <c r="BC22" i="36"/>
  <c r="BC20" i="36"/>
  <c r="Y37" i="36"/>
  <c r="BB37" i="36" s="1"/>
  <c r="L37" i="36"/>
  <c r="Y32" i="36"/>
  <c r="BB32" i="36" s="1"/>
  <c r="L32" i="36"/>
  <c r="Y33" i="36"/>
  <c r="BB33" i="36" s="1"/>
  <c r="L33" i="36"/>
  <c r="Y34" i="36"/>
  <c r="BB34" i="36" s="1"/>
  <c r="L34" i="36"/>
  <c r="Y36" i="36"/>
  <c r="BB36" i="36" s="1"/>
  <c r="L36" i="36"/>
  <c r="Y35" i="36"/>
  <c r="BB35" i="36" s="1"/>
  <c r="L35" i="36"/>
  <c r="AT12" i="34"/>
  <c r="AT11" i="34"/>
  <c r="AT8" i="34"/>
  <c r="AU9" i="34"/>
  <c r="AU10" i="34"/>
  <c r="S20" i="34"/>
  <c r="AU20" i="34" s="1"/>
  <c r="S37" i="34"/>
  <c r="AU37" i="34" s="1"/>
  <c r="S21" i="34"/>
  <c r="AT21" i="34" s="1"/>
  <c r="S23" i="34"/>
  <c r="AT23" i="34" s="1"/>
  <c r="S25" i="34"/>
  <c r="AT25" i="34" s="1"/>
  <c r="S24" i="34"/>
  <c r="AT24" i="34" s="1"/>
  <c r="S22" i="34"/>
  <c r="AT22" i="34" s="1"/>
  <c r="AV23" i="38"/>
  <c r="AV12" i="38"/>
  <c r="AV13" i="38"/>
  <c r="AV10" i="38"/>
  <c r="AV8" i="38"/>
  <c r="AV9" i="38"/>
  <c r="AU10" i="38"/>
  <c r="AU12" i="38"/>
  <c r="AU23" i="38"/>
  <c r="AU8" i="38"/>
  <c r="AU9" i="38"/>
  <c r="AU13" i="38"/>
  <c r="AE36" i="77"/>
  <c r="O36" i="77"/>
  <c r="AE33" i="77"/>
  <c r="O33" i="77"/>
  <c r="AE32" i="77"/>
  <c r="O32" i="77"/>
  <c r="AE37" i="77"/>
  <c r="O37" i="77"/>
  <c r="AE34" i="77"/>
  <c r="O34" i="77"/>
  <c r="AE35" i="77"/>
  <c r="O35" i="77"/>
  <c r="G47" i="36"/>
  <c r="K47" i="36" s="1"/>
  <c r="W23" i="75"/>
  <c r="X23" i="75" s="1"/>
  <c r="Y23" i="75" s="1"/>
  <c r="W36" i="75"/>
  <c r="X36" i="75" s="1"/>
  <c r="Y36" i="75" s="1"/>
  <c r="W21" i="75"/>
  <c r="X21" i="75" s="1"/>
  <c r="Y21" i="75" s="1"/>
  <c r="W22" i="75"/>
  <c r="X22" i="75" s="1"/>
  <c r="Y22" i="75" s="1"/>
  <c r="W20" i="75"/>
  <c r="X20" i="75" s="1"/>
  <c r="Y20" i="75" s="1"/>
  <c r="W37" i="75"/>
  <c r="X37" i="75" s="1"/>
  <c r="Y37" i="75" s="1"/>
  <c r="F49" i="76"/>
  <c r="O49" i="76" s="1"/>
  <c r="S49" i="76" s="1"/>
  <c r="S35" i="38"/>
  <c r="T35" i="38" s="1"/>
  <c r="U35" i="38" s="1"/>
  <c r="S25" i="38"/>
  <c r="T25" i="38" s="1"/>
  <c r="U25" i="38" s="1"/>
  <c r="S20" i="38"/>
  <c r="T20" i="38" s="1"/>
  <c r="U20" i="38" s="1"/>
  <c r="S22" i="38"/>
  <c r="T22" i="38" s="1"/>
  <c r="U22" i="38" s="1"/>
  <c r="S24" i="38"/>
  <c r="T24" i="38" s="1"/>
  <c r="U24" i="38" s="1"/>
  <c r="S21" i="38"/>
  <c r="T21" i="38" s="1"/>
  <c r="U21" i="38" s="1"/>
  <c r="N49" i="34"/>
  <c r="G46" i="36"/>
  <c r="K46" i="36" s="1"/>
  <c r="R35" i="75"/>
  <c r="F47" i="75"/>
  <c r="N34" i="38"/>
  <c r="H45" i="77"/>
  <c r="N45" i="77" s="1"/>
  <c r="O36" i="76"/>
  <c r="S36" i="76" s="1"/>
  <c r="F48" i="76"/>
  <c r="N33" i="38"/>
  <c r="N32" i="38"/>
  <c r="N35" i="34"/>
  <c r="N37" i="38"/>
  <c r="R48" i="75"/>
  <c r="F60" i="75"/>
  <c r="L60" i="75" s="1"/>
  <c r="V60" i="75" s="1"/>
  <c r="H49" i="77"/>
  <c r="N49" i="77" s="1"/>
  <c r="G45" i="36"/>
  <c r="K45" i="36" s="1"/>
  <c r="R32" i="75"/>
  <c r="F44" i="75"/>
  <c r="R49" i="75"/>
  <c r="F61" i="75"/>
  <c r="L61" i="75" s="1"/>
  <c r="V61" i="75" s="1"/>
  <c r="H47" i="77"/>
  <c r="N47" i="77" s="1"/>
  <c r="G48" i="36"/>
  <c r="K48" i="36" s="1"/>
  <c r="N47" i="38"/>
  <c r="N33" i="34"/>
  <c r="O35" i="76"/>
  <c r="S35" i="76" s="1"/>
  <c r="F47" i="76"/>
  <c r="O32" i="76"/>
  <c r="S32" i="76" s="1"/>
  <c r="F44" i="76"/>
  <c r="F45" i="76"/>
  <c r="O33" i="76"/>
  <c r="S33" i="76" s="1"/>
  <c r="R34" i="75"/>
  <c r="F46" i="75"/>
  <c r="R33" i="75"/>
  <c r="F45" i="75"/>
  <c r="N34" i="34"/>
  <c r="H46" i="77"/>
  <c r="N46" i="77" s="1"/>
  <c r="N32" i="34"/>
  <c r="H48" i="77"/>
  <c r="N48" i="77" s="1"/>
  <c r="H44" i="77"/>
  <c r="N44" i="77" s="1"/>
  <c r="N36" i="34"/>
  <c r="G49" i="36"/>
  <c r="K49" i="36" s="1"/>
  <c r="N36" i="38"/>
  <c r="G44" i="36"/>
  <c r="K44" i="36" s="1"/>
  <c r="O34" i="76"/>
  <c r="S34" i="76" s="1"/>
  <c r="F46" i="76"/>
  <c r="BC36" i="36" l="1"/>
  <c r="BC34" i="36"/>
  <c r="BC32" i="36"/>
  <c r="BC33" i="36"/>
  <c r="BC37" i="36"/>
  <c r="BC35" i="36"/>
  <c r="Y46" i="36"/>
  <c r="BB46" i="36" s="1"/>
  <c r="L46" i="36"/>
  <c r="Y45" i="36"/>
  <c r="BB45" i="36" s="1"/>
  <c r="L45" i="36"/>
  <c r="Y44" i="36"/>
  <c r="BB44" i="36" s="1"/>
  <c r="L44" i="36"/>
  <c r="Y49" i="36"/>
  <c r="BB49" i="36" s="1"/>
  <c r="L49" i="36"/>
  <c r="Y48" i="36"/>
  <c r="BB48" i="36" s="1"/>
  <c r="L48" i="36"/>
  <c r="Y47" i="36"/>
  <c r="BB47" i="36" s="1"/>
  <c r="L47" i="36"/>
  <c r="AT37" i="34"/>
  <c r="AT20" i="34"/>
  <c r="AU23" i="34"/>
  <c r="AU24" i="34"/>
  <c r="AU25" i="34"/>
  <c r="AU21" i="34"/>
  <c r="AU22" i="34"/>
  <c r="S36" i="34"/>
  <c r="AU36" i="34" s="1"/>
  <c r="S33" i="34"/>
  <c r="AT33" i="34" s="1"/>
  <c r="S34" i="34"/>
  <c r="AT34" i="34" s="1"/>
  <c r="S49" i="34"/>
  <c r="AU49" i="34" s="1"/>
  <c r="S32" i="34"/>
  <c r="AT32" i="34" s="1"/>
  <c r="S35" i="34"/>
  <c r="AT35" i="34" s="1"/>
  <c r="AV24" i="38"/>
  <c r="AV21" i="38"/>
  <c r="AV35" i="38"/>
  <c r="AV25" i="38"/>
  <c r="AV22" i="38"/>
  <c r="AV20" i="38"/>
  <c r="AU20" i="38"/>
  <c r="AU35" i="38"/>
  <c r="AU24" i="38"/>
  <c r="AU22" i="38"/>
  <c r="AU25" i="38"/>
  <c r="AU21" i="38"/>
  <c r="AE49" i="77"/>
  <c r="O49" i="77"/>
  <c r="AE44" i="77"/>
  <c r="O44" i="77"/>
  <c r="AE45" i="77"/>
  <c r="O45" i="77"/>
  <c r="AE48" i="77"/>
  <c r="O48" i="77"/>
  <c r="AE47" i="77"/>
  <c r="O47" i="77"/>
  <c r="AE46" i="77"/>
  <c r="O46" i="77"/>
  <c r="G59" i="36"/>
  <c r="K59" i="36" s="1"/>
  <c r="W49" i="75"/>
  <c r="X49" i="75" s="1"/>
  <c r="Y49" i="75" s="1"/>
  <c r="W32" i="75"/>
  <c r="X32" i="75" s="1"/>
  <c r="Y32" i="75" s="1"/>
  <c r="W34" i="75"/>
  <c r="X34" i="75" s="1"/>
  <c r="Y34" i="75" s="1"/>
  <c r="W35" i="75"/>
  <c r="X35" i="75" s="1"/>
  <c r="Y35" i="75" s="1"/>
  <c r="W48" i="75"/>
  <c r="X48" i="75" s="1"/>
  <c r="Y48" i="75" s="1"/>
  <c r="F61" i="76"/>
  <c r="O61" i="76" s="1"/>
  <c r="S61" i="76" s="1"/>
  <c r="W33" i="75"/>
  <c r="X33" i="75" s="1"/>
  <c r="Y33" i="75" s="1"/>
  <c r="S36" i="38"/>
  <c r="T36" i="38" s="1"/>
  <c r="U36" i="38" s="1"/>
  <c r="S32" i="38"/>
  <c r="T32" i="38" s="1"/>
  <c r="U32" i="38" s="1"/>
  <c r="S33" i="38"/>
  <c r="T33" i="38" s="1"/>
  <c r="U33" i="38" s="1"/>
  <c r="S47" i="38"/>
  <c r="T47" i="38" s="1"/>
  <c r="U47" i="38" s="1"/>
  <c r="S34" i="38"/>
  <c r="T34" i="38" s="1"/>
  <c r="U34" i="38" s="1"/>
  <c r="S37" i="38"/>
  <c r="T37" i="38" s="1"/>
  <c r="U37" i="38" s="1"/>
  <c r="N61" i="34"/>
  <c r="R61" i="75"/>
  <c r="F73" i="75"/>
  <c r="L73" i="75" s="1"/>
  <c r="V73" i="75" s="1"/>
  <c r="N47" i="34"/>
  <c r="H56" i="77"/>
  <c r="N56" i="77" s="1"/>
  <c r="O44" i="76"/>
  <c r="S44" i="76" s="1"/>
  <c r="F56" i="76"/>
  <c r="R44" i="75"/>
  <c r="F56" i="75"/>
  <c r="L56" i="75" s="1"/>
  <c r="V56" i="75" s="1"/>
  <c r="N44" i="38"/>
  <c r="G57" i="36"/>
  <c r="K57" i="36" s="1"/>
  <c r="N45" i="38"/>
  <c r="O48" i="76"/>
  <c r="S48" i="76" s="1"/>
  <c r="F60" i="76"/>
  <c r="O46" i="76"/>
  <c r="S46" i="76" s="1"/>
  <c r="F58" i="76"/>
  <c r="H57" i="77"/>
  <c r="N57" i="77" s="1"/>
  <c r="O45" i="76"/>
  <c r="S45" i="76" s="1"/>
  <c r="F57" i="76"/>
  <c r="N45" i="34"/>
  <c r="O47" i="76"/>
  <c r="S47" i="76" s="1"/>
  <c r="F59" i="76"/>
  <c r="N49" i="38"/>
  <c r="N46" i="38"/>
  <c r="H60" i="77"/>
  <c r="N60" i="77" s="1"/>
  <c r="N44" i="34"/>
  <c r="R60" i="75"/>
  <c r="F72" i="75"/>
  <c r="L72" i="75" s="1"/>
  <c r="V72" i="75" s="1"/>
  <c r="R45" i="75"/>
  <c r="F57" i="75"/>
  <c r="L57" i="75" s="1"/>
  <c r="V57" i="75" s="1"/>
  <c r="R47" i="75"/>
  <c r="F59" i="75"/>
  <c r="L59" i="75" s="1"/>
  <c r="V59" i="75" s="1"/>
  <c r="H58" i="77"/>
  <c r="N58" i="77" s="1"/>
  <c r="N59" i="38"/>
  <c r="G56" i="36"/>
  <c r="K56" i="36" s="1"/>
  <c r="G61" i="36"/>
  <c r="K61" i="36" s="1"/>
  <c r="R46" i="75"/>
  <c r="F58" i="75"/>
  <c r="L58" i="75" s="1"/>
  <c r="V58" i="75" s="1"/>
  <c r="H59" i="77"/>
  <c r="N59" i="77" s="1"/>
  <c r="G58" i="36"/>
  <c r="K58" i="36" s="1"/>
  <c r="N48" i="34"/>
  <c r="H61" i="77"/>
  <c r="N61" i="77" s="1"/>
  <c r="N46" i="34"/>
  <c r="N48" i="38"/>
  <c r="G60" i="36"/>
  <c r="K60" i="36" s="1"/>
  <c r="BC49" i="36" l="1"/>
  <c r="BC48" i="36"/>
  <c r="BC44" i="36"/>
  <c r="BC46" i="36"/>
  <c r="BC47" i="36"/>
  <c r="BC45" i="36"/>
  <c r="Y57" i="36"/>
  <c r="BB57" i="36" s="1"/>
  <c r="L57" i="36"/>
  <c r="Y60" i="36"/>
  <c r="BB60" i="36" s="1"/>
  <c r="L60" i="36"/>
  <c r="Y56" i="36"/>
  <c r="BB56" i="36" s="1"/>
  <c r="L56" i="36"/>
  <c r="Y58" i="36"/>
  <c r="BB58" i="36" s="1"/>
  <c r="L58" i="36"/>
  <c r="Y61" i="36"/>
  <c r="BB61" i="36" s="1"/>
  <c r="L61" i="36"/>
  <c r="Y59" i="36"/>
  <c r="BB59" i="36" s="1"/>
  <c r="L59" i="36"/>
  <c r="AU35" i="34"/>
  <c r="AT49" i="34"/>
  <c r="AT36" i="34"/>
  <c r="AU33" i="34"/>
  <c r="AU34" i="34"/>
  <c r="AU32" i="34"/>
  <c r="S46" i="34"/>
  <c r="AU46" i="34" s="1"/>
  <c r="S48" i="34"/>
  <c r="AU48" i="34" s="1"/>
  <c r="S44" i="34"/>
  <c r="AT44" i="34" s="1"/>
  <c r="S45" i="34"/>
  <c r="AT45" i="34" s="1"/>
  <c r="S47" i="34"/>
  <c r="AT47" i="34" s="1"/>
  <c r="S61" i="34"/>
  <c r="AT61" i="34" s="1"/>
  <c r="AV33" i="38"/>
  <c r="AV47" i="38"/>
  <c r="AV36" i="38"/>
  <c r="AV37" i="38"/>
  <c r="AV32" i="38"/>
  <c r="AV34" i="38"/>
  <c r="AU37" i="38"/>
  <c r="AU47" i="38"/>
  <c r="AU33" i="38"/>
  <c r="AU32" i="38"/>
  <c r="AU36" i="38"/>
  <c r="AU34" i="38"/>
  <c r="AE60" i="77"/>
  <c r="O60" i="77"/>
  <c r="AE59" i="77"/>
  <c r="O59" i="77"/>
  <c r="AE61" i="77"/>
  <c r="O61" i="77"/>
  <c r="AE56" i="77"/>
  <c r="O56" i="77"/>
  <c r="AE58" i="77"/>
  <c r="O58" i="77"/>
  <c r="AE57" i="77"/>
  <c r="O57" i="77"/>
  <c r="G71" i="36"/>
  <c r="K71" i="36" s="1"/>
  <c r="F73" i="76"/>
  <c r="F85" i="76" s="1"/>
  <c r="W47" i="75"/>
  <c r="X47" i="75" s="1"/>
  <c r="Y47" i="75" s="1"/>
  <c r="W45" i="75"/>
  <c r="X45" i="75" s="1"/>
  <c r="Y45" i="75" s="1"/>
  <c r="W46" i="75"/>
  <c r="X46" i="75" s="1"/>
  <c r="Y46" i="75" s="1"/>
  <c r="W44" i="75"/>
  <c r="X44" i="75" s="1"/>
  <c r="Y44" i="75" s="1"/>
  <c r="W60" i="75"/>
  <c r="X60" i="75" s="1"/>
  <c r="Y60" i="75" s="1"/>
  <c r="W61" i="75"/>
  <c r="X61" i="75" s="1"/>
  <c r="Y61" i="75" s="1"/>
  <c r="S49" i="38"/>
  <c r="T49" i="38" s="1"/>
  <c r="U49" i="38" s="1"/>
  <c r="S45" i="38"/>
  <c r="T45" i="38" s="1"/>
  <c r="U45" i="38" s="1"/>
  <c r="S44" i="38"/>
  <c r="T44" i="38" s="1"/>
  <c r="U44" i="38" s="1"/>
  <c r="S46" i="38"/>
  <c r="T46" i="38" s="1"/>
  <c r="U46" i="38" s="1"/>
  <c r="S59" i="38"/>
  <c r="T59" i="38" s="1"/>
  <c r="U59" i="38" s="1"/>
  <c r="S48" i="38"/>
  <c r="T48" i="38" s="1"/>
  <c r="U48" i="38" s="1"/>
  <c r="N73" i="34"/>
  <c r="N60" i="34"/>
  <c r="N71" i="38"/>
  <c r="N61" i="38"/>
  <c r="N57" i="38"/>
  <c r="H70" i="77"/>
  <c r="N70" i="77" s="1"/>
  <c r="G69" i="36"/>
  <c r="K69" i="36" s="1"/>
  <c r="N56" i="38"/>
  <c r="R56" i="75"/>
  <c r="F68" i="75"/>
  <c r="L68" i="75" s="1"/>
  <c r="V68" i="75" s="1"/>
  <c r="R72" i="75"/>
  <c r="F84" i="75"/>
  <c r="L84" i="75" s="1"/>
  <c r="V84" i="75" s="1"/>
  <c r="O57" i="76"/>
  <c r="S57" i="76" s="1"/>
  <c r="F69" i="76"/>
  <c r="O56" i="76"/>
  <c r="S56" i="76" s="1"/>
  <c r="F68" i="76"/>
  <c r="R59" i="75"/>
  <c r="F71" i="75"/>
  <c r="L71" i="75" s="1"/>
  <c r="V71" i="75" s="1"/>
  <c r="H71" i="77"/>
  <c r="N71" i="77" s="1"/>
  <c r="R58" i="75"/>
  <c r="F70" i="75"/>
  <c r="L70" i="75" s="1"/>
  <c r="V70" i="75" s="1"/>
  <c r="H68" i="77"/>
  <c r="N68" i="77" s="1"/>
  <c r="O59" i="76"/>
  <c r="S59" i="76" s="1"/>
  <c r="F71" i="76"/>
  <c r="N59" i="34"/>
  <c r="G70" i="36"/>
  <c r="K70" i="36" s="1"/>
  <c r="G72" i="36"/>
  <c r="K72" i="36" s="1"/>
  <c r="R57" i="75"/>
  <c r="F69" i="75"/>
  <c r="L69" i="75" s="1"/>
  <c r="V69" i="75" s="1"/>
  <c r="N57" i="34"/>
  <c r="N56" i="34"/>
  <c r="H69" i="77"/>
  <c r="N69" i="77" s="1"/>
  <c r="N58" i="34"/>
  <c r="H72" i="77"/>
  <c r="N72" i="77" s="1"/>
  <c r="H73" i="77"/>
  <c r="N73" i="77" s="1"/>
  <c r="G68" i="36"/>
  <c r="K68" i="36" s="1"/>
  <c r="O60" i="76"/>
  <c r="S60" i="76" s="1"/>
  <c r="F72" i="76"/>
  <c r="F85" i="75"/>
  <c r="L85" i="75" s="1"/>
  <c r="V85" i="75" s="1"/>
  <c r="R73" i="75"/>
  <c r="N60" i="38"/>
  <c r="G73" i="36"/>
  <c r="K73" i="36" s="1"/>
  <c r="F70" i="76"/>
  <c r="O58" i="76"/>
  <c r="S58" i="76" s="1"/>
  <c r="N58" i="38"/>
  <c r="BC59" i="36" l="1"/>
  <c r="BC58" i="36"/>
  <c r="BC56" i="36"/>
  <c r="BC57" i="36"/>
  <c r="BC60" i="36"/>
  <c r="BC61" i="36"/>
  <c r="Y70" i="36"/>
  <c r="BB70" i="36" s="1"/>
  <c r="L70" i="36"/>
  <c r="Y72" i="36"/>
  <c r="BB72" i="36" s="1"/>
  <c r="L72" i="36"/>
  <c r="Y73" i="36"/>
  <c r="BB73" i="36" s="1"/>
  <c r="L73" i="36"/>
  <c r="Y69" i="36"/>
  <c r="BB69" i="36" s="1"/>
  <c r="L69" i="36"/>
  <c r="Y68" i="36"/>
  <c r="BB68" i="36" s="1"/>
  <c r="L68" i="36"/>
  <c r="Y71" i="36"/>
  <c r="BB71" i="36" s="1"/>
  <c r="L71" i="36"/>
  <c r="AT46" i="34"/>
  <c r="AU47" i="34"/>
  <c r="AU61" i="34"/>
  <c r="AU45" i="34"/>
  <c r="AT48" i="34"/>
  <c r="AU44" i="34"/>
  <c r="S59" i="34"/>
  <c r="AU59" i="34" s="1"/>
  <c r="S60" i="34"/>
  <c r="AU60" i="34" s="1"/>
  <c r="S58" i="34"/>
  <c r="AU58" i="34" s="1"/>
  <c r="S73" i="34"/>
  <c r="AT73" i="34" s="1"/>
  <c r="S56" i="34"/>
  <c r="AT56" i="34" s="1"/>
  <c r="S57" i="34"/>
  <c r="AT57" i="34" s="1"/>
  <c r="AV49" i="38"/>
  <c r="AV45" i="38"/>
  <c r="AV59" i="38"/>
  <c r="AV46" i="38"/>
  <c r="AV44" i="38"/>
  <c r="AV48" i="38"/>
  <c r="AU49" i="38"/>
  <c r="AU46" i="38"/>
  <c r="AU45" i="38"/>
  <c r="AU48" i="38"/>
  <c r="AU59" i="38"/>
  <c r="AU44" i="38"/>
  <c r="AE68" i="77"/>
  <c r="O68" i="77"/>
  <c r="AE69" i="77"/>
  <c r="O69" i="77"/>
  <c r="AE70" i="77"/>
  <c r="O70" i="77"/>
  <c r="AE72" i="77"/>
  <c r="O72" i="77"/>
  <c r="AE73" i="77"/>
  <c r="O73" i="77"/>
  <c r="AE71" i="77"/>
  <c r="O71" i="77"/>
  <c r="O73" i="76"/>
  <c r="S73" i="76" s="1"/>
  <c r="G83" i="36"/>
  <c r="K83" i="36" s="1"/>
  <c r="W58" i="75"/>
  <c r="X58" i="75" s="1"/>
  <c r="Y58" i="75" s="1"/>
  <c r="W73" i="75"/>
  <c r="X73" i="75" s="1"/>
  <c r="Y73" i="75" s="1"/>
  <c r="W59" i="75"/>
  <c r="X59" i="75" s="1"/>
  <c r="Y59" i="75" s="1"/>
  <c r="W57" i="75"/>
  <c r="X57" i="75" s="1"/>
  <c r="Y57" i="75" s="1"/>
  <c r="W72" i="75"/>
  <c r="X72" i="75" s="1"/>
  <c r="Y72" i="75" s="1"/>
  <c r="W56" i="75"/>
  <c r="X56" i="75" s="1"/>
  <c r="Y56" i="75" s="1"/>
  <c r="S60" i="38"/>
  <c r="T60" i="38" s="1"/>
  <c r="U60" i="38" s="1"/>
  <c r="S56" i="38"/>
  <c r="T56" i="38" s="1"/>
  <c r="U56" i="38" s="1"/>
  <c r="S58" i="38"/>
  <c r="T58" i="38" s="1"/>
  <c r="U58" i="38" s="1"/>
  <c r="S61" i="38"/>
  <c r="T61" i="38" s="1"/>
  <c r="U61" i="38" s="1"/>
  <c r="S57" i="38"/>
  <c r="T57" i="38" s="1"/>
  <c r="U57" i="38" s="1"/>
  <c r="S71" i="38"/>
  <c r="T71" i="38" s="1"/>
  <c r="U71" i="38" s="1"/>
  <c r="N85" i="34"/>
  <c r="N72" i="38"/>
  <c r="N68" i="34"/>
  <c r="R70" i="75"/>
  <c r="F82" i="75"/>
  <c r="L82" i="75" s="1"/>
  <c r="V82" i="75" s="1"/>
  <c r="N68" i="38"/>
  <c r="O85" i="76"/>
  <c r="S85" i="76" s="1"/>
  <c r="F97" i="76"/>
  <c r="H83" i="77"/>
  <c r="N83" i="77" s="1"/>
  <c r="G81" i="36"/>
  <c r="K81" i="36" s="1"/>
  <c r="G80" i="36"/>
  <c r="K80" i="36" s="1"/>
  <c r="G84" i="36"/>
  <c r="K84" i="36" s="1"/>
  <c r="N69" i="34"/>
  <c r="F97" i="75"/>
  <c r="L97" i="75" s="1"/>
  <c r="V97" i="75" s="1"/>
  <c r="R85" i="75"/>
  <c r="F84" i="76"/>
  <c r="O72" i="76"/>
  <c r="S72" i="76" s="1"/>
  <c r="F81" i="75"/>
  <c r="L81" i="75" s="1"/>
  <c r="V81" i="75" s="1"/>
  <c r="R69" i="75"/>
  <c r="R71" i="75"/>
  <c r="F83" i="75"/>
  <c r="L83" i="75" s="1"/>
  <c r="V83" i="75" s="1"/>
  <c r="H82" i="77"/>
  <c r="N82" i="77" s="1"/>
  <c r="H85" i="77"/>
  <c r="N85" i="77" s="1"/>
  <c r="N69" i="38"/>
  <c r="O69" i="76"/>
  <c r="S69" i="76" s="1"/>
  <c r="F81" i="76"/>
  <c r="N73" i="38"/>
  <c r="O68" i="76"/>
  <c r="S68" i="76" s="1"/>
  <c r="F80" i="76"/>
  <c r="F96" i="75"/>
  <c r="L96" i="75" s="1"/>
  <c r="V96" i="75" s="1"/>
  <c r="R84" i="75"/>
  <c r="N83" i="38"/>
  <c r="N70" i="38"/>
  <c r="H84" i="77"/>
  <c r="N84" i="77" s="1"/>
  <c r="N71" i="34"/>
  <c r="N70" i="34"/>
  <c r="G85" i="36"/>
  <c r="K85" i="36" s="1"/>
  <c r="H80" i="77"/>
  <c r="N80" i="77" s="1"/>
  <c r="R68" i="75"/>
  <c r="F80" i="75"/>
  <c r="L80" i="75" s="1"/>
  <c r="V80" i="75" s="1"/>
  <c r="N72" i="34"/>
  <c r="G82" i="36"/>
  <c r="K82" i="36" s="1"/>
  <c r="O70" i="76"/>
  <c r="S70" i="76" s="1"/>
  <c r="F82" i="76"/>
  <c r="O71" i="76"/>
  <c r="S71" i="76" s="1"/>
  <c r="F83" i="76"/>
  <c r="H81" i="77"/>
  <c r="N81" i="77" s="1"/>
  <c r="BC71" i="36" l="1"/>
  <c r="BC70" i="36"/>
  <c r="BC72" i="36"/>
  <c r="BC73" i="36"/>
  <c r="BC68" i="36"/>
  <c r="BC69" i="36"/>
  <c r="Y80" i="36"/>
  <c r="BB80" i="36" s="1"/>
  <c r="L80" i="36"/>
  <c r="Y84" i="36"/>
  <c r="BB84" i="36" s="1"/>
  <c r="L84" i="36"/>
  <c r="Y82" i="36"/>
  <c r="BB82" i="36" s="1"/>
  <c r="L82" i="36"/>
  <c r="Y81" i="36"/>
  <c r="BB81" i="36" s="1"/>
  <c r="L81" i="36"/>
  <c r="Y83" i="36"/>
  <c r="BB83" i="36" s="1"/>
  <c r="L83" i="36"/>
  <c r="Y85" i="36"/>
  <c r="BB85" i="36" s="1"/>
  <c r="L85" i="36"/>
  <c r="AT60" i="34"/>
  <c r="AT59" i="34"/>
  <c r="AU57" i="34"/>
  <c r="AT58" i="34"/>
  <c r="AU56" i="34"/>
  <c r="AU73" i="34"/>
  <c r="S69" i="34"/>
  <c r="AU69" i="34" s="1"/>
  <c r="S70" i="34"/>
  <c r="AT70" i="34" s="1"/>
  <c r="S68" i="34"/>
  <c r="AT68" i="34" s="1"/>
  <c r="AV56" i="38"/>
  <c r="S72" i="34"/>
  <c r="AT72" i="34" s="1"/>
  <c r="S71" i="34"/>
  <c r="AT71" i="34" s="1"/>
  <c r="S85" i="34"/>
  <c r="AT85" i="34" s="1"/>
  <c r="AV60" i="38"/>
  <c r="AV58" i="38"/>
  <c r="AV71" i="38"/>
  <c r="AV57" i="38"/>
  <c r="AV61" i="38"/>
  <c r="AU58" i="38"/>
  <c r="AU56" i="38"/>
  <c r="AU60" i="38"/>
  <c r="AU71" i="38"/>
  <c r="AU57" i="38"/>
  <c r="AU61" i="38"/>
  <c r="AE83" i="77"/>
  <c r="O83" i="77"/>
  <c r="AE85" i="77"/>
  <c r="O85" i="77"/>
  <c r="AE81" i="77"/>
  <c r="O81" i="77"/>
  <c r="AE80" i="77"/>
  <c r="O80" i="77"/>
  <c r="AE82" i="77"/>
  <c r="O82" i="77"/>
  <c r="AE84" i="77"/>
  <c r="O84" i="77"/>
  <c r="G95" i="36"/>
  <c r="K95" i="36" s="1"/>
  <c r="W69" i="75"/>
  <c r="X69" i="75" s="1"/>
  <c r="Y69" i="75" s="1"/>
  <c r="W70" i="75"/>
  <c r="X70" i="75" s="1"/>
  <c r="Y70" i="75" s="1"/>
  <c r="W68" i="75"/>
  <c r="X68" i="75" s="1"/>
  <c r="Y68" i="75" s="1"/>
  <c r="W84" i="75"/>
  <c r="X84" i="75" s="1"/>
  <c r="Y84" i="75" s="1"/>
  <c r="W85" i="75"/>
  <c r="X85" i="75" s="1"/>
  <c r="Y85" i="75" s="1"/>
  <c r="W71" i="75"/>
  <c r="X71" i="75" s="1"/>
  <c r="Y71" i="75" s="1"/>
  <c r="S72" i="38"/>
  <c r="T72" i="38" s="1"/>
  <c r="U72" i="38" s="1"/>
  <c r="S83" i="38"/>
  <c r="T83" i="38" s="1"/>
  <c r="U83" i="38" s="1"/>
  <c r="S70" i="38"/>
  <c r="T70" i="38" s="1"/>
  <c r="U70" i="38" s="1"/>
  <c r="S73" i="38"/>
  <c r="T73" i="38" s="1"/>
  <c r="U73" i="38" s="1"/>
  <c r="S68" i="38"/>
  <c r="T68" i="38" s="1"/>
  <c r="U68" i="38" s="1"/>
  <c r="S69" i="38"/>
  <c r="T69" i="38" s="1"/>
  <c r="U69" i="38" s="1"/>
  <c r="N97" i="34"/>
  <c r="N82" i="38"/>
  <c r="G93" i="36"/>
  <c r="K93" i="36" s="1"/>
  <c r="N95" i="38"/>
  <c r="H95" i="77"/>
  <c r="N95" i="77" s="1"/>
  <c r="H92" i="77"/>
  <c r="N92" i="77" s="1"/>
  <c r="H94" i="77"/>
  <c r="N94" i="77" s="1"/>
  <c r="N80" i="38"/>
  <c r="R83" i="75"/>
  <c r="F95" i="75"/>
  <c r="L95" i="75" s="1"/>
  <c r="V95" i="75" s="1"/>
  <c r="R82" i="75"/>
  <c r="F94" i="75"/>
  <c r="L94" i="75" s="1"/>
  <c r="V94" i="75" s="1"/>
  <c r="N84" i="34"/>
  <c r="R96" i="75"/>
  <c r="F108" i="75"/>
  <c r="L108" i="75" s="1"/>
  <c r="V108" i="75" s="1"/>
  <c r="O84" i="76"/>
  <c r="S84" i="76" s="1"/>
  <c r="F96" i="76"/>
  <c r="G92" i="36"/>
  <c r="K92" i="36" s="1"/>
  <c r="N82" i="34"/>
  <c r="N80" i="34"/>
  <c r="G97" i="36"/>
  <c r="K97" i="36" s="1"/>
  <c r="O97" i="76"/>
  <c r="S97" i="76" s="1"/>
  <c r="F109" i="76"/>
  <c r="O83" i="76"/>
  <c r="S83" i="76" s="1"/>
  <c r="F95" i="76"/>
  <c r="R80" i="75"/>
  <c r="F92" i="75"/>
  <c r="L92" i="75" s="1"/>
  <c r="V92" i="75" s="1"/>
  <c r="N83" i="34"/>
  <c r="G94" i="36"/>
  <c r="K94" i="36" s="1"/>
  <c r="H96" i="77"/>
  <c r="N96" i="77" s="1"/>
  <c r="G96" i="36"/>
  <c r="K96" i="36" s="1"/>
  <c r="N84" i="38"/>
  <c r="O80" i="76"/>
  <c r="S80" i="76" s="1"/>
  <c r="F92" i="76"/>
  <c r="R81" i="75"/>
  <c r="F93" i="75"/>
  <c r="L93" i="75" s="1"/>
  <c r="V93" i="75" s="1"/>
  <c r="H93" i="77"/>
  <c r="N93" i="77" s="1"/>
  <c r="N85" i="38"/>
  <c r="O81" i="76"/>
  <c r="S81" i="76" s="1"/>
  <c r="F93" i="76"/>
  <c r="R97" i="75"/>
  <c r="F109" i="75"/>
  <c r="L109" i="75" s="1"/>
  <c r="V109" i="75" s="1"/>
  <c r="O82" i="76"/>
  <c r="S82" i="76" s="1"/>
  <c r="F94" i="76"/>
  <c r="N81" i="38"/>
  <c r="N81" i="34"/>
  <c r="H97" i="77"/>
  <c r="N97" i="77" s="1"/>
  <c r="BC81" i="36" l="1"/>
  <c r="BC82" i="36"/>
  <c r="BC80" i="36"/>
  <c r="BC84" i="36"/>
  <c r="BC83" i="36"/>
  <c r="BC85" i="36"/>
  <c r="Y96" i="36"/>
  <c r="BB96" i="36" s="1"/>
  <c r="L96" i="36"/>
  <c r="Y95" i="36"/>
  <c r="BB95" i="36" s="1"/>
  <c r="L95" i="36"/>
  <c r="Y92" i="36"/>
  <c r="BB92" i="36" s="1"/>
  <c r="L92" i="36"/>
  <c r="Y93" i="36"/>
  <c r="BB93" i="36" s="1"/>
  <c r="L93" i="36"/>
  <c r="Y94" i="36"/>
  <c r="BB94" i="36" s="1"/>
  <c r="L94" i="36"/>
  <c r="Y97" i="36"/>
  <c r="BB97" i="36" s="1"/>
  <c r="L97" i="36"/>
  <c r="AU70" i="34"/>
  <c r="AT69" i="34"/>
  <c r="AU85" i="34"/>
  <c r="AU71" i="34"/>
  <c r="AU68" i="34"/>
  <c r="AU72" i="34"/>
  <c r="S84" i="34"/>
  <c r="AU84" i="34" s="1"/>
  <c r="S83" i="34"/>
  <c r="AU83" i="34" s="1"/>
  <c r="S81" i="34"/>
  <c r="AU81" i="34" s="1"/>
  <c r="S80" i="34"/>
  <c r="AU80" i="34" s="1"/>
  <c r="S82" i="34"/>
  <c r="AT82" i="34" s="1"/>
  <c r="S97" i="34"/>
  <c r="AT97" i="34" s="1"/>
  <c r="AV73" i="38"/>
  <c r="AV68" i="38"/>
  <c r="AV69" i="38"/>
  <c r="AV70" i="38"/>
  <c r="AV83" i="38"/>
  <c r="AV72" i="38"/>
  <c r="AU68" i="38"/>
  <c r="AU69" i="38"/>
  <c r="AU83" i="38"/>
  <c r="AU73" i="38"/>
  <c r="AU72" i="38"/>
  <c r="AU70" i="38"/>
  <c r="G107" i="36"/>
  <c r="K107" i="36" s="1"/>
  <c r="AE96" i="77"/>
  <c r="O96" i="77"/>
  <c r="AE94" i="77"/>
  <c r="O94" i="77"/>
  <c r="AE92" i="77"/>
  <c r="O92" i="77"/>
  <c r="AE95" i="77"/>
  <c r="O95" i="77"/>
  <c r="AE97" i="77"/>
  <c r="O97" i="77"/>
  <c r="AE93" i="77"/>
  <c r="O93" i="77"/>
  <c r="W83" i="75"/>
  <c r="X83" i="75" s="1"/>
  <c r="Y83" i="75" s="1"/>
  <c r="W97" i="75"/>
  <c r="X97" i="75" s="1"/>
  <c r="Y97" i="75" s="1"/>
  <c r="W80" i="75"/>
  <c r="X80" i="75" s="1"/>
  <c r="Y80" i="75" s="1"/>
  <c r="W96" i="75"/>
  <c r="X96" i="75" s="1"/>
  <c r="Y96" i="75" s="1"/>
  <c r="W81" i="75"/>
  <c r="X81" i="75" s="1"/>
  <c r="Y81" i="75" s="1"/>
  <c r="W82" i="75"/>
  <c r="X82" i="75" s="1"/>
  <c r="Y82" i="75" s="1"/>
  <c r="S84" i="38"/>
  <c r="T84" i="38" s="1"/>
  <c r="U84" i="38" s="1"/>
  <c r="S82" i="38"/>
  <c r="T82" i="38" s="1"/>
  <c r="U82" i="38" s="1"/>
  <c r="S81" i="38"/>
  <c r="T81" i="38" s="1"/>
  <c r="U81" i="38" s="1"/>
  <c r="S80" i="38"/>
  <c r="T80" i="38" s="1"/>
  <c r="U80" i="38" s="1"/>
  <c r="S95" i="38"/>
  <c r="T95" i="38" s="1"/>
  <c r="U95" i="38" s="1"/>
  <c r="S85" i="38"/>
  <c r="T85" i="38" s="1"/>
  <c r="U85" i="38" s="1"/>
  <c r="N109" i="34"/>
  <c r="N92" i="34"/>
  <c r="R95" i="75"/>
  <c r="F107" i="75"/>
  <c r="L107" i="75" s="1"/>
  <c r="V107" i="75" s="1"/>
  <c r="H108" i="77"/>
  <c r="N108" i="77" s="1"/>
  <c r="N92" i="38"/>
  <c r="N94" i="34"/>
  <c r="H106" i="77"/>
  <c r="N106" i="77" s="1"/>
  <c r="N97" i="38"/>
  <c r="G104" i="36"/>
  <c r="K104" i="36" s="1"/>
  <c r="H109" i="77"/>
  <c r="N109" i="77" s="1"/>
  <c r="H107" i="77"/>
  <c r="N107" i="77" s="1"/>
  <c r="G106" i="36"/>
  <c r="K106" i="36" s="1"/>
  <c r="R108" i="75"/>
  <c r="F120" i="75"/>
  <c r="R92" i="75"/>
  <c r="F104" i="75"/>
  <c r="L104" i="75" s="1"/>
  <c r="V104" i="75" s="1"/>
  <c r="O92" i="76"/>
  <c r="S92" i="76" s="1"/>
  <c r="F104" i="76"/>
  <c r="N95" i="34"/>
  <c r="O96" i="76"/>
  <c r="S96" i="76" s="1"/>
  <c r="F108" i="76"/>
  <c r="H105" i="77"/>
  <c r="N105" i="77" s="1"/>
  <c r="R93" i="75"/>
  <c r="F105" i="75"/>
  <c r="L105" i="75" s="1"/>
  <c r="V105" i="75" s="1"/>
  <c r="N93" i="38"/>
  <c r="G105" i="36"/>
  <c r="K105" i="36" s="1"/>
  <c r="H104" i="77"/>
  <c r="N104" i="77" s="1"/>
  <c r="O93" i="76"/>
  <c r="S93" i="76" s="1"/>
  <c r="F105" i="76"/>
  <c r="O95" i="76"/>
  <c r="S95" i="76" s="1"/>
  <c r="F107" i="76"/>
  <c r="N107" i="38"/>
  <c r="N96" i="38"/>
  <c r="F106" i="75"/>
  <c r="L106" i="75" s="1"/>
  <c r="V106" i="75" s="1"/>
  <c r="R94" i="75"/>
  <c r="O94" i="76"/>
  <c r="S94" i="76" s="1"/>
  <c r="F106" i="76"/>
  <c r="G109" i="36"/>
  <c r="K109" i="36" s="1"/>
  <c r="N94" i="38"/>
  <c r="R109" i="75"/>
  <c r="F121" i="75"/>
  <c r="N93" i="34"/>
  <c r="N96" i="34"/>
  <c r="F121" i="76"/>
  <c r="F133" i="76" s="1"/>
  <c r="O133" i="76" s="1"/>
  <c r="S133" i="76" s="1"/>
  <c r="O109" i="76"/>
  <c r="S109" i="76" s="1"/>
  <c r="G108" i="36"/>
  <c r="K108" i="36" s="1"/>
  <c r="BC94" i="36" l="1"/>
  <c r="BC96" i="36"/>
  <c r="BC92" i="36"/>
  <c r="BC97" i="36"/>
  <c r="BC93" i="36"/>
  <c r="BC95" i="36"/>
  <c r="Y105" i="36"/>
  <c r="BB105" i="36" s="1"/>
  <c r="L105" i="36"/>
  <c r="Y107" i="36"/>
  <c r="BB107" i="36" s="1"/>
  <c r="L107" i="36"/>
  <c r="Y108" i="36"/>
  <c r="BB108" i="36" s="1"/>
  <c r="L108" i="36"/>
  <c r="Y106" i="36"/>
  <c r="BB106" i="36" s="1"/>
  <c r="L106" i="36"/>
  <c r="Y109" i="36"/>
  <c r="BB109" i="36" s="1"/>
  <c r="L109" i="36"/>
  <c r="Y104" i="36"/>
  <c r="BB104" i="36" s="1"/>
  <c r="L104" i="36"/>
  <c r="AT84" i="34"/>
  <c r="AT83" i="34"/>
  <c r="AU97" i="34"/>
  <c r="AT81" i="34"/>
  <c r="AT80" i="34"/>
  <c r="AU82" i="34"/>
  <c r="S96" i="34"/>
  <c r="AU96" i="34" s="1"/>
  <c r="S92" i="34"/>
  <c r="AT92" i="34" s="1"/>
  <c r="S109" i="34"/>
  <c r="AT109" i="34" s="1"/>
  <c r="S93" i="34"/>
  <c r="AT93" i="34" s="1"/>
  <c r="S94" i="34"/>
  <c r="AT94" i="34" s="1"/>
  <c r="S95" i="34"/>
  <c r="AT95" i="34" s="1"/>
  <c r="AV84" i="38"/>
  <c r="AV80" i="38"/>
  <c r="AV81" i="38"/>
  <c r="AV85" i="38"/>
  <c r="AV82" i="38"/>
  <c r="AV95" i="38"/>
  <c r="AU85" i="38"/>
  <c r="AU80" i="38"/>
  <c r="AU84" i="38"/>
  <c r="AU81" i="38"/>
  <c r="AU82" i="38"/>
  <c r="AU95" i="38"/>
  <c r="G119" i="36"/>
  <c r="K119" i="36" s="1"/>
  <c r="AE107" i="77"/>
  <c r="O107" i="77"/>
  <c r="AE104" i="77"/>
  <c r="O104" i="77"/>
  <c r="AE109" i="77"/>
  <c r="O109" i="77"/>
  <c r="AE108" i="77"/>
  <c r="O108" i="77"/>
  <c r="AE106" i="77"/>
  <c r="O106" i="77"/>
  <c r="AE105" i="77"/>
  <c r="O105" i="77"/>
  <c r="W109" i="75"/>
  <c r="X109" i="75" s="1"/>
  <c r="Y109" i="75" s="1"/>
  <c r="W92" i="75"/>
  <c r="X92" i="75" s="1"/>
  <c r="Y92" i="75" s="1"/>
  <c r="W108" i="75"/>
  <c r="X108" i="75" s="1"/>
  <c r="Y108" i="75" s="1"/>
  <c r="W95" i="75"/>
  <c r="X95" i="75" s="1"/>
  <c r="Y95" i="75" s="1"/>
  <c r="W94" i="75"/>
  <c r="X94" i="75" s="1"/>
  <c r="Y94" i="75" s="1"/>
  <c r="W93" i="75"/>
  <c r="X93" i="75" s="1"/>
  <c r="Y93" i="75" s="1"/>
  <c r="F132" i="75"/>
  <c r="L132" i="75" s="1"/>
  <c r="V132" i="75" s="1"/>
  <c r="L120" i="75"/>
  <c r="V120" i="75" s="1"/>
  <c r="F133" i="75"/>
  <c r="L133" i="75" s="1"/>
  <c r="V133" i="75" s="1"/>
  <c r="L121" i="75"/>
  <c r="V121" i="75" s="1"/>
  <c r="S96" i="38"/>
  <c r="T96" i="38" s="1"/>
  <c r="U96" i="38" s="1"/>
  <c r="S97" i="38"/>
  <c r="T97" i="38" s="1"/>
  <c r="U97" i="38" s="1"/>
  <c r="S92" i="38"/>
  <c r="T92" i="38" s="1"/>
  <c r="U92" i="38" s="1"/>
  <c r="S93" i="38"/>
  <c r="T93" i="38" s="1"/>
  <c r="U93" i="38" s="1"/>
  <c r="S107" i="38"/>
  <c r="T107" i="38" s="1"/>
  <c r="U107" i="38" s="1"/>
  <c r="S94" i="38"/>
  <c r="T94" i="38" s="1"/>
  <c r="U94" i="38" s="1"/>
  <c r="N121" i="34"/>
  <c r="N106" i="38"/>
  <c r="R121" i="75"/>
  <c r="O107" i="76"/>
  <c r="S107" i="76" s="1"/>
  <c r="F119" i="76"/>
  <c r="F131" i="76" s="1"/>
  <c r="O131" i="76" s="1"/>
  <c r="S131" i="76" s="1"/>
  <c r="F120" i="76"/>
  <c r="F132" i="76" s="1"/>
  <c r="O132" i="76" s="1"/>
  <c r="S132" i="76" s="1"/>
  <c r="O108" i="76"/>
  <c r="S108" i="76" s="1"/>
  <c r="G116" i="36"/>
  <c r="N109" i="38"/>
  <c r="N107" i="34"/>
  <c r="H118" i="77"/>
  <c r="R104" i="75"/>
  <c r="F116" i="75"/>
  <c r="N106" i="34"/>
  <c r="R120" i="75"/>
  <c r="N104" i="38"/>
  <c r="O105" i="76"/>
  <c r="S105" i="76" s="1"/>
  <c r="F117" i="76"/>
  <c r="F129" i="76" s="1"/>
  <c r="O129" i="76" s="1"/>
  <c r="S129" i="76" s="1"/>
  <c r="H116" i="77"/>
  <c r="H120" i="77"/>
  <c r="O104" i="76"/>
  <c r="S104" i="76" s="1"/>
  <c r="F116" i="76"/>
  <c r="F128" i="76" s="1"/>
  <c r="O128" i="76" s="1"/>
  <c r="S128" i="76" s="1"/>
  <c r="R107" i="75"/>
  <c r="F119" i="75"/>
  <c r="N105" i="38"/>
  <c r="G121" i="36"/>
  <c r="F118" i="76"/>
  <c r="F130" i="76" s="1"/>
  <c r="O130" i="76" s="1"/>
  <c r="S130" i="76" s="1"/>
  <c r="O106" i="76"/>
  <c r="S106" i="76" s="1"/>
  <c r="G117" i="36"/>
  <c r="G118" i="36"/>
  <c r="R106" i="75"/>
  <c r="F118" i="75"/>
  <c r="N108" i="34"/>
  <c r="N108" i="38"/>
  <c r="N105" i="34"/>
  <c r="N119" i="38"/>
  <c r="H117" i="77"/>
  <c r="H121" i="77"/>
  <c r="N104" i="34"/>
  <c r="G120" i="36"/>
  <c r="O121" i="76"/>
  <c r="S121" i="76" s="1"/>
  <c r="R105" i="75"/>
  <c r="F117" i="75"/>
  <c r="H119" i="77"/>
  <c r="BC104" i="36" l="1"/>
  <c r="BC105" i="36"/>
  <c r="BC108" i="36"/>
  <c r="BC106" i="36"/>
  <c r="BC109" i="36"/>
  <c r="BC107" i="36"/>
  <c r="Y119" i="36"/>
  <c r="BB119" i="36" s="1"/>
  <c r="L119" i="36"/>
  <c r="AT96" i="34"/>
  <c r="AU93" i="34"/>
  <c r="AU109" i="34"/>
  <c r="AU92" i="34"/>
  <c r="AU95" i="34"/>
  <c r="AU94" i="34"/>
  <c r="S107" i="34"/>
  <c r="AU107" i="34" s="1"/>
  <c r="S104" i="34"/>
  <c r="AU104" i="34" s="1"/>
  <c r="S108" i="34"/>
  <c r="AT108" i="34" s="1"/>
  <c r="S105" i="34"/>
  <c r="AT105" i="34" s="1"/>
  <c r="S106" i="34"/>
  <c r="AT106" i="34" s="1"/>
  <c r="S121" i="34"/>
  <c r="AT121" i="34" s="1"/>
  <c r="G131" i="36"/>
  <c r="K131" i="36" s="1"/>
  <c r="AV97" i="38"/>
  <c r="AV94" i="38"/>
  <c r="AV92" i="38"/>
  <c r="AV93" i="38"/>
  <c r="AV107" i="38"/>
  <c r="AV96" i="38"/>
  <c r="AU97" i="38"/>
  <c r="AU94" i="38"/>
  <c r="AU93" i="38"/>
  <c r="AU107" i="38"/>
  <c r="AU96" i="38"/>
  <c r="AU92" i="38"/>
  <c r="H130" i="77"/>
  <c r="N130" i="77" s="1"/>
  <c r="N118" i="77"/>
  <c r="H133" i="77"/>
  <c r="N133" i="77" s="1"/>
  <c r="N121" i="77"/>
  <c r="H131" i="77"/>
  <c r="N131" i="77" s="1"/>
  <c r="N119" i="77"/>
  <c r="H132" i="77"/>
  <c r="N132" i="77" s="1"/>
  <c r="N120" i="77"/>
  <c r="H129" i="77"/>
  <c r="N129" i="77" s="1"/>
  <c r="N117" i="77"/>
  <c r="H128" i="77"/>
  <c r="N128" i="77" s="1"/>
  <c r="N116" i="77"/>
  <c r="G128" i="36"/>
  <c r="K128" i="36" s="1"/>
  <c r="K116" i="36"/>
  <c r="G132" i="36"/>
  <c r="K132" i="36" s="1"/>
  <c r="K120" i="36"/>
  <c r="G133" i="36"/>
  <c r="K133" i="36" s="1"/>
  <c r="K121" i="36"/>
  <c r="G129" i="36"/>
  <c r="K129" i="36" s="1"/>
  <c r="K117" i="36"/>
  <c r="G130" i="36"/>
  <c r="K130" i="36" s="1"/>
  <c r="K118" i="36"/>
  <c r="W121" i="75"/>
  <c r="X121" i="75" s="1"/>
  <c r="Y121" i="75" s="1"/>
  <c r="W106" i="75"/>
  <c r="X106" i="75" s="1"/>
  <c r="Y106" i="75" s="1"/>
  <c r="W120" i="75"/>
  <c r="X120" i="75" s="1"/>
  <c r="Y120" i="75" s="1"/>
  <c r="W107" i="75"/>
  <c r="X107" i="75" s="1"/>
  <c r="Y107" i="75" s="1"/>
  <c r="W104" i="75"/>
  <c r="X104" i="75" s="1"/>
  <c r="Y104" i="75" s="1"/>
  <c r="W105" i="75"/>
  <c r="X105" i="75" s="1"/>
  <c r="Y105" i="75" s="1"/>
  <c r="R132" i="75"/>
  <c r="R133" i="75"/>
  <c r="F128" i="75"/>
  <c r="L128" i="75" s="1"/>
  <c r="V128" i="75" s="1"/>
  <c r="L116" i="75"/>
  <c r="V116" i="75" s="1"/>
  <c r="F131" i="75"/>
  <c r="L131" i="75" s="1"/>
  <c r="V131" i="75" s="1"/>
  <c r="L119" i="75"/>
  <c r="V119" i="75" s="1"/>
  <c r="F129" i="75"/>
  <c r="L129" i="75" s="1"/>
  <c r="V129" i="75" s="1"/>
  <c r="L117" i="75"/>
  <c r="V117" i="75" s="1"/>
  <c r="F130" i="75"/>
  <c r="L130" i="75" s="1"/>
  <c r="V130" i="75" s="1"/>
  <c r="L118" i="75"/>
  <c r="V118" i="75" s="1"/>
  <c r="S106" i="38"/>
  <c r="T106" i="38" s="1"/>
  <c r="U106" i="38" s="1"/>
  <c r="S108" i="38"/>
  <c r="T108" i="38" s="1"/>
  <c r="U108" i="38" s="1"/>
  <c r="S104" i="38"/>
  <c r="T104" i="38" s="1"/>
  <c r="U104" i="38" s="1"/>
  <c r="S105" i="38"/>
  <c r="T105" i="38" s="1"/>
  <c r="U105" i="38" s="1"/>
  <c r="S109" i="38"/>
  <c r="T109" i="38" s="1"/>
  <c r="U109" i="38" s="1"/>
  <c r="S119" i="38"/>
  <c r="T119" i="38" s="1"/>
  <c r="U119" i="38" s="1"/>
  <c r="N133" i="34"/>
  <c r="N119" i="34"/>
  <c r="O117" i="76"/>
  <c r="S117" i="76" s="1"/>
  <c r="N121" i="38"/>
  <c r="O118" i="76"/>
  <c r="S118" i="76" s="1"/>
  <c r="N118" i="34"/>
  <c r="O120" i="76"/>
  <c r="S120" i="76" s="1"/>
  <c r="N116" i="34"/>
  <c r="N117" i="34"/>
  <c r="O119" i="76"/>
  <c r="S119" i="76" s="1"/>
  <c r="N131" i="38"/>
  <c r="F144" i="75"/>
  <c r="F145" i="75"/>
  <c r="N117" i="38"/>
  <c r="R117" i="75"/>
  <c r="R116" i="75"/>
  <c r="N120" i="38"/>
  <c r="F145" i="76"/>
  <c r="R118" i="75"/>
  <c r="N118" i="38"/>
  <c r="N116" i="38"/>
  <c r="R119" i="75"/>
  <c r="N120" i="34"/>
  <c r="O116" i="76"/>
  <c r="S116" i="76" s="1"/>
  <c r="BC119" i="36" l="1"/>
  <c r="Y130" i="36"/>
  <c r="BB130" i="36" s="1"/>
  <c r="L130" i="36"/>
  <c r="Y131" i="36"/>
  <c r="BB131" i="36" s="1"/>
  <c r="L131" i="36"/>
  <c r="Y117" i="36"/>
  <c r="BB117" i="36" s="1"/>
  <c r="L117" i="36"/>
  <c r="Y129" i="36"/>
  <c r="BB129" i="36" s="1"/>
  <c r="L129" i="36"/>
  <c r="Y121" i="36"/>
  <c r="BB121" i="36" s="1"/>
  <c r="L121" i="36"/>
  <c r="Y133" i="36"/>
  <c r="BB133" i="36" s="1"/>
  <c r="L133" i="36"/>
  <c r="Y120" i="36"/>
  <c r="BB120" i="36" s="1"/>
  <c r="L120" i="36"/>
  <c r="Y128" i="36"/>
  <c r="BB128" i="36" s="1"/>
  <c r="L128" i="36"/>
  <c r="Y132" i="36"/>
  <c r="BB132" i="36" s="1"/>
  <c r="L132" i="36"/>
  <c r="Y116" i="36"/>
  <c r="BB116" i="36" s="1"/>
  <c r="L116" i="36"/>
  <c r="Y118" i="36"/>
  <c r="BB118" i="36" s="1"/>
  <c r="L118" i="36"/>
  <c r="AU106" i="34"/>
  <c r="AT104" i="34"/>
  <c r="AT107" i="34"/>
  <c r="AU121" i="34"/>
  <c r="AU108" i="34"/>
  <c r="AU105" i="34"/>
  <c r="G143" i="36"/>
  <c r="K143" i="36" s="1"/>
  <c r="S117" i="34"/>
  <c r="AU117" i="34" s="1"/>
  <c r="S120" i="34"/>
  <c r="AT120" i="34" s="1"/>
  <c r="S119" i="34"/>
  <c r="AT119" i="34" s="1"/>
  <c r="S133" i="34"/>
  <c r="AT133" i="34" s="1"/>
  <c r="S118" i="34"/>
  <c r="AT118" i="34" s="1"/>
  <c r="S116" i="34"/>
  <c r="AT116" i="34" s="1"/>
  <c r="AV104" i="38"/>
  <c r="AV106" i="38"/>
  <c r="AV108" i="38"/>
  <c r="AV119" i="38"/>
  <c r="AV109" i="38"/>
  <c r="AV105" i="38"/>
  <c r="AU108" i="38"/>
  <c r="AU109" i="38"/>
  <c r="AU106" i="38"/>
  <c r="AU119" i="38"/>
  <c r="AU105" i="38"/>
  <c r="AU104" i="38"/>
  <c r="AE128" i="77"/>
  <c r="O128" i="77"/>
  <c r="AE129" i="77"/>
  <c r="O129" i="77"/>
  <c r="AE131" i="77"/>
  <c r="O131" i="77"/>
  <c r="AE133" i="77"/>
  <c r="O133" i="77"/>
  <c r="AE132" i="77"/>
  <c r="O132" i="77"/>
  <c r="AE130" i="77"/>
  <c r="O130" i="77"/>
  <c r="AE116" i="77"/>
  <c r="O116" i="77"/>
  <c r="AE117" i="77"/>
  <c r="O117" i="77"/>
  <c r="AE120" i="77"/>
  <c r="O120" i="77"/>
  <c r="AE119" i="77"/>
  <c r="O119" i="77"/>
  <c r="AE121" i="77"/>
  <c r="O121" i="77"/>
  <c r="AE118" i="77"/>
  <c r="O118" i="77"/>
  <c r="W133" i="75"/>
  <c r="X133" i="75" s="1"/>
  <c r="W132" i="75"/>
  <c r="X132" i="75" s="1"/>
  <c r="R130" i="75"/>
  <c r="W130" i="75" s="1"/>
  <c r="X130" i="75" s="1"/>
  <c r="R131" i="75"/>
  <c r="W131" i="75" s="1"/>
  <c r="X131" i="75" s="1"/>
  <c r="R129" i="75"/>
  <c r="W117" i="75"/>
  <c r="X117" i="75" s="1"/>
  <c r="Y117" i="75" s="1"/>
  <c r="W119" i="75"/>
  <c r="X119" i="75" s="1"/>
  <c r="Y119" i="75" s="1"/>
  <c r="W118" i="75"/>
  <c r="X118" i="75" s="1"/>
  <c r="Y118" i="75" s="1"/>
  <c r="R128" i="75"/>
  <c r="W116" i="75"/>
  <c r="X116" i="75" s="1"/>
  <c r="Y116" i="75" s="1"/>
  <c r="L144" i="75"/>
  <c r="V144" i="75" s="1"/>
  <c r="L145" i="75"/>
  <c r="V145" i="75" s="1"/>
  <c r="S131" i="38"/>
  <c r="T131" i="38" s="1"/>
  <c r="S118" i="38"/>
  <c r="T118" i="38" s="1"/>
  <c r="U118" i="38" s="1"/>
  <c r="S120" i="38"/>
  <c r="T120" i="38" s="1"/>
  <c r="U120" i="38" s="1"/>
  <c r="S117" i="38"/>
  <c r="T117" i="38" s="1"/>
  <c r="U117" i="38" s="1"/>
  <c r="S121" i="38"/>
  <c r="T121" i="38" s="1"/>
  <c r="U121" i="38" s="1"/>
  <c r="S116" i="38"/>
  <c r="T116" i="38" s="1"/>
  <c r="U116" i="38" s="1"/>
  <c r="N145" i="34"/>
  <c r="N143" i="38"/>
  <c r="G140" i="36"/>
  <c r="K140" i="36" s="1"/>
  <c r="F143" i="75"/>
  <c r="O145" i="76"/>
  <c r="N128" i="38"/>
  <c r="N132" i="38"/>
  <c r="F143" i="76"/>
  <c r="F142" i="76"/>
  <c r="N133" i="38"/>
  <c r="H145" i="77"/>
  <c r="N145" i="77" s="1"/>
  <c r="AE145" i="77" s="1"/>
  <c r="N129" i="34"/>
  <c r="G141" i="36"/>
  <c r="K141" i="36" s="1"/>
  <c r="H141" i="77"/>
  <c r="N141" i="77" s="1"/>
  <c r="F141" i="75"/>
  <c r="N128" i="34"/>
  <c r="F141" i="76"/>
  <c r="G142" i="36"/>
  <c r="K142" i="36" s="1"/>
  <c r="H144" i="77"/>
  <c r="N144" i="77" s="1"/>
  <c r="R145" i="75"/>
  <c r="N131" i="34"/>
  <c r="G144" i="36"/>
  <c r="K144" i="36" s="1"/>
  <c r="F140" i="75"/>
  <c r="N130" i="38"/>
  <c r="G145" i="36"/>
  <c r="K145" i="36" s="1"/>
  <c r="N129" i="38"/>
  <c r="F140" i="76"/>
  <c r="F142" i="75"/>
  <c r="R144" i="75"/>
  <c r="N130" i="34"/>
  <c r="H140" i="77"/>
  <c r="N140" i="77" s="1"/>
  <c r="H142" i="77"/>
  <c r="N142" i="77" s="1"/>
  <c r="F144" i="76"/>
  <c r="H143" i="77"/>
  <c r="N143" i="77" s="1"/>
  <c r="N132" i="34"/>
  <c r="BC133" i="36" l="1"/>
  <c r="BC117" i="36"/>
  <c r="BC121" i="36"/>
  <c r="BC129" i="36"/>
  <c r="BC118" i="36"/>
  <c r="BC130" i="36"/>
  <c r="BC131" i="36"/>
  <c r="BC132" i="36"/>
  <c r="BC128" i="36"/>
  <c r="BC116" i="36"/>
  <c r="BC120" i="36"/>
  <c r="Y144" i="36"/>
  <c r="BB144" i="36" s="1"/>
  <c r="L144" i="36"/>
  <c r="Y143" i="36"/>
  <c r="BB143" i="36" s="1"/>
  <c r="L143" i="36"/>
  <c r="Y142" i="36"/>
  <c r="BB142" i="36" s="1"/>
  <c r="L142" i="36"/>
  <c r="Y140" i="36"/>
  <c r="BB140" i="36" s="1"/>
  <c r="L140" i="36"/>
  <c r="Y141" i="36"/>
  <c r="BB141" i="36" s="1"/>
  <c r="L141" i="36"/>
  <c r="Y145" i="36"/>
  <c r="BB145" i="36" s="1"/>
  <c r="L145" i="36"/>
  <c r="AT117" i="34"/>
  <c r="AU116" i="34"/>
  <c r="AU118" i="34"/>
  <c r="AU133" i="34"/>
  <c r="AU120" i="34"/>
  <c r="AU119" i="34"/>
  <c r="S130" i="34"/>
  <c r="AU130" i="34" s="1"/>
  <c r="S129" i="34"/>
  <c r="AU129" i="34" s="1"/>
  <c r="S131" i="34"/>
  <c r="AT131" i="34" s="1"/>
  <c r="S132" i="34"/>
  <c r="AT132" i="34" s="1"/>
  <c r="S145" i="34"/>
  <c r="AT145" i="34" s="1"/>
  <c r="S128" i="34"/>
  <c r="AT128" i="34" s="1"/>
  <c r="AV116" i="38"/>
  <c r="AV121" i="38"/>
  <c r="AV118" i="38"/>
  <c r="AV131" i="38"/>
  <c r="AV117" i="38"/>
  <c r="AV120" i="38"/>
  <c r="AU116" i="38"/>
  <c r="AU121" i="38"/>
  <c r="AU118" i="38"/>
  <c r="AU131" i="38"/>
  <c r="AU117" i="38"/>
  <c r="AU120" i="38"/>
  <c r="AE140" i="77"/>
  <c r="O140" i="77"/>
  <c r="AE142" i="77"/>
  <c r="O142" i="77"/>
  <c r="O145" i="77"/>
  <c r="AE141" i="77"/>
  <c r="O141" i="77"/>
  <c r="AE144" i="77"/>
  <c r="O144" i="77"/>
  <c r="AE143" i="77"/>
  <c r="O143" i="77"/>
  <c r="S145" i="76"/>
  <c r="O147" i="76"/>
  <c r="W145" i="75"/>
  <c r="X145" i="75" s="1"/>
  <c r="W144" i="75"/>
  <c r="X144" i="75" s="1"/>
  <c r="W129" i="75"/>
  <c r="X129" i="75" s="1"/>
  <c r="W128" i="75"/>
  <c r="X128" i="75" s="1"/>
  <c r="L143" i="75"/>
  <c r="V143" i="75" s="1"/>
  <c r="L141" i="75"/>
  <c r="V141" i="75" s="1"/>
  <c r="L140" i="75"/>
  <c r="V140" i="75" s="1"/>
  <c r="L142" i="75"/>
  <c r="V142" i="75" s="1"/>
  <c r="S132" i="38"/>
  <c r="T132" i="38" s="1"/>
  <c r="S143" i="38"/>
  <c r="T143" i="38" s="1"/>
  <c r="S129" i="38"/>
  <c r="T129" i="38" s="1"/>
  <c r="S128" i="38"/>
  <c r="T128" i="38" s="1"/>
  <c r="S133" i="38"/>
  <c r="T133" i="38" s="1"/>
  <c r="S130" i="38"/>
  <c r="T130" i="38" s="1"/>
  <c r="O141" i="76"/>
  <c r="S141" i="76" s="1"/>
  <c r="O142" i="76"/>
  <c r="S142" i="76" s="1"/>
  <c r="N140" i="34"/>
  <c r="O143" i="76"/>
  <c r="S143" i="76" s="1"/>
  <c r="R141" i="75"/>
  <c r="N144" i="38"/>
  <c r="N140" i="38"/>
  <c r="N142" i="34"/>
  <c r="R140" i="75"/>
  <c r="R143" i="75"/>
  <c r="N142" i="38"/>
  <c r="N144" i="34"/>
  <c r="N143" i="34"/>
  <c r="O140" i="76"/>
  <c r="S140" i="76" s="1"/>
  <c r="O144" i="76"/>
  <c r="S144" i="76" s="1"/>
  <c r="N141" i="38"/>
  <c r="N145" i="38"/>
  <c r="R142" i="75"/>
  <c r="N141" i="34"/>
  <c r="K5" i="36"/>
  <c r="BC142" i="36" l="1"/>
  <c r="BC140" i="36"/>
  <c r="BC141" i="36"/>
  <c r="BC143" i="36"/>
  <c r="BC144" i="36"/>
  <c r="BC145" i="36"/>
  <c r="Y5" i="36"/>
  <c r="BB5" i="36" s="1"/>
  <c r="L5" i="36"/>
  <c r="AT129" i="34"/>
  <c r="AT130" i="34"/>
  <c r="AU131" i="34"/>
  <c r="AU128" i="34"/>
  <c r="AU132" i="34"/>
  <c r="AU145" i="34"/>
  <c r="S142" i="34"/>
  <c r="AU142" i="34" s="1"/>
  <c r="S143" i="34"/>
  <c r="AU143" i="34" s="1"/>
  <c r="S144" i="34"/>
  <c r="AU144" i="34" s="1"/>
  <c r="S140" i="34"/>
  <c r="AT140" i="34" s="1"/>
  <c r="S141" i="34"/>
  <c r="AT141" i="34" s="1"/>
  <c r="S147" i="76"/>
  <c r="AV133" i="38"/>
  <c r="AV128" i="38"/>
  <c r="AV130" i="38"/>
  <c r="AV132" i="38"/>
  <c r="AV129" i="38"/>
  <c r="AV143" i="38"/>
  <c r="AU129" i="38"/>
  <c r="AU130" i="38"/>
  <c r="AU128" i="38"/>
  <c r="AU132" i="38"/>
  <c r="AU133" i="38"/>
  <c r="AU143" i="38"/>
  <c r="W140" i="75"/>
  <c r="X140" i="75" s="1"/>
  <c r="W143" i="75"/>
  <c r="X143" i="75" s="1"/>
  <c r="W142" i="75"/>
  <c r="X142" i="75" s="1"/>
  <c r="W141" i="75"/>
  <c r="X141" i="75" s="1"/>
  <c r="S145" i="38"/>
  <c r="T145" i="38" s="1"/>
  <c r="S141" i="38"/>
  <c r="T141" i="38" s="1"/>
  <c r="S140" i="38"/>
  <c r="T140" i="38" s="1"/>
  <c r="S142" i="38"/>
  <c r="T142" i="38" s="1"/>
  <c r="S144" i="38"/>
  <c r="T144" i="38" s="1"/>
  <c r="S147" i="77"/>
  <c r="K4" i="36"/>
  <c r="H18" i="77"/>
  <c r="N18" i="77" s="1"/>
  <c r="G17" i="36"/>
  <c r="K17" i="36" s="1"/>
  <c r="O2" i="76"/>
  <c r="S2" i="76" s="1"/>
  <c r="F14" i="76"/>
  <c r="K3" i="36"/>
  <c r="K6" i="36"/>
  <c r="K2" i="36"/>
  <c r="K7" i="36"/>
  <c r="R7" i="75"/>
  <c r="F19" i="75"/>
  <c r="F16" i="76"/>
  <c r="O4" i="76"/>
  <c r="S4" i="76" s="1"/>
  <c r="BC5" i="36" l="1"/>
  <c r="Y6" i="36"/>
  <c r="BB6" i="36" s="1"/>
  <c r="L6" i="36"/>
  <c r="Y3" i="36"/>
  <c r="BB3" i="36" s="1"/>
  <c r="L3" i="36"/>
  <c r="Y4" i="36"/>
  <c r="BB4" i="36" s="1"/>
  <c r="L4" i="36"/>
  <c r="Y7" i="36"/>
  <c r="BB7" i="36" s="1"/>
  <c r="L7" i="36"/>
  <c r="Y17" i="36"/>
  <c r="BB17" i="36" s="1"/>
  <c r="L17" i="36"/>
  <c r="Y2" i="36"/>
  <c r="BB2" i="36" s="1"/>
  <c r="L2" i="36"/>
  <c r="AT142" i="34"/>
  <c r="AT144" i="34"/>
  <c r="AT143" i="34"/>
  <c r="AU140" i="34"/>
  <c r="AU141" i="34"/>
  <c r="AU141" i="38"/>
  <c r="AV140" i="38"/>
  <c r="AV144" i="38"/>
  <c r="AU144" i="38"/>
  <c r="AV145" i="38"/>
  <c r="AV142" i="38"/>
  <c r="AV141" i="38"/>
  <c r="AU140" i="38"/>
  <c r="AU142" i="38"/>
  <c r="AU145" i="38"/>
  <c r="AE18" i="77"/>
  <c r="O18" i="77"/>
  <c r="G16" i="36"/>
  <c r="K16" i="36" s="1"/>
  <c r="W7" i="75"/>
  <c r="X7" i="75" s="1"/>
  <c r="Y7" i="75" s="1"/>
  <c r="H30" i="77"/>
  <c r="N30" i="77" s="1"/>
  <c r="R6" i="75"/>
  <c r="F18" i="75"/>
  <c r="N7" i="38"/>
  <c r="N2" i="38"/>
  <c r="N6" i="34"/>
  <c r="R2" i="75"/>
  <c r="W2" i="75" s="1"/>
  <c r="F14" i="75"/>
  <c r="G14" i="36"/>
  <c r="K14" i="36" s="1"/>
  <c r="N3" i="34"/>
  <c r="N2" i="34"/>
  <c r="R19" i="75"/>
  <c r="F31" i="75"/>
  <c r="O3" i="76"/>
  <c r="S3" i="76" s="1"/>
  <c r="F15" i="76"/>
  <c r="N4" i="38"/>
  <c r="G18" i="36"/>
  <c r="K18" i="36" s="1"/>
  <c r="N5" i="34"/>
  <c r="F15" i="75"/>
  <c r="R3" i="75"/>
  <c r="N6" i="38"/>
  <c r="O5" i="76"/>
  <c r="S5" i="76" s="1"/>
  <c r="F17" i="76"/>
  <c r="N3" i="38"/>
  <c r="N5" i="38"/>
  <c r="O16" i="76"/>
  <c r="S16" i="76" s="1"/>
  <c r="F28" i="76"/>
  <c r="R5" i="75"/>
  <c r="F17" i="75"/>
  <c r="G15" i="36"/>
  <c r="K15" i="36" s="1"/>
  <c r="N4" i="34"/>
  <c r="F26" i="76"/>
  <c r="O14" i="76"/>
  <c r="S14" i="76" s="1"/>
  <c r="N7" i="34"/>
  <c r="F16" i="75"/>
  <c r="R4" i="75"/>
  <c r="H16" i="77"/>
  <c r="N16" i="77" s="1"/>
  <c r="G29" i="36"/>
  <c r="K29" i="36" s="1"/>
  <c r="H19" i="77"/>
  <c r="N19" i="77" s="1"/>
  <c r="H15" i="77"/>
  <c r="N15" i="77" s="1"/>
  <c r="O6" i="76"/>
  <c r="S6" i="76" s="1"/>
  <c r="F18" i="76"/>
  <c r="H17" i="77"/>
  <c r="N17" i="77" s="1"/>
  <c r="G19" i="36"/>
  <c r="K19" i="36" s="1"/>
  <c r="F19" i="76"/>
  <c r="O7" i="76"/>
  <c r="S7" i="76" s="1"/>
  <c r="H14" i="77"/>
  <c r="N14" i="77" s="1"/>
  <c r="BC7" i="36" l="1"/>
  <c r="BC4" i="36"/>
  <c r="BC17" i="36"/>
  <c r="BC6" i="36"/>
  <c r="BC3" i="36"/>
  <c r="BC2" i="36"/>
  <c r="Y15" i="36"/>
  <c r="BB15" i="36" s="1"/>
  <c r="L15" i="36"/>
  <c r="Y19" i="36"/>
  <c r="BB19" i="36" s="1"/>
  <c r="L19" i="36"/>
  <c r="Y16" i="36"/>
  <c r="BB16" i="36" s="1"/>
  <c r="L16" i="36"/>
  <c r="Y14" i="36"/>
  <c r="BB14" i="36" s="1"/>
  <c r="L14" i="36"/>
  <c r="Y29" i="36"/>
  <c r="BB29" i="36" s="1"/>
  <c r="L29" i="36"/>
  <c r="Y18" i="36"/>
  <c r="BB18" i="36" s="1"/>
  <c r="L18" i="36"/>
  <c r="S3" i="34"/>
  <c r="AT3" i="34" s="1"/>
  <c r="S5" i="34"/>
  <c r="AT5" i="34" s="1"/>
  <c r="S7" i="34"/>
  <c r="AT7" i="34" s="1"/>
  <c r="S4" i="34"/>
  <c r="AU4" i="34" s="1"/>
  <c r="S6" i="34"/>
  <c r="AT6" i="34" s="1"/>
  <c r="S2" i="34"/>
  <c r="AT2" i="34" s="1"/>
  <c r="G28" i="36"/>
  <c r="K28" i="36" s="1"/>
  <c r="S2" i="38"/>
  <c r="AU2" i="38" s="1"/>
  <c r="AE15" i="77"/>
  <c r="O15" i="77"/>
  <c r="AE19" i="77"/>
  <c r="O19" i="77"/>
  <c r="AE30" i="77"/>
  <c r="O30" i="77"/>
  <c r="AE17" i="77"/>
  <c r="O17" i="77"/>
  <c r="AE16" i="77"/>
  <c r="O16" i="77"/>
  <c r="AE14" i="77"/>
  <c r="O14" i="77"/>
  <c r="W19" i="75"/>
  <c r="X19" i="75" s="1"/>
  <c r="Y19" i="75" s="1"/>
  <c r="W3" i="75"/>
  <c r="X3" i="75" s="1"/>
  <c r="Y3" i="75" s="1"/>
  <c r="W4" i="75"/>
  <c r="X4" i="75" s="1"/>
  <c r="Y4" i="75" s="1"/>
  <c r="W5" i="75"/>
  <c r="X5" i="75" s="1"/>
  <c r="Y5" i="75" s="1"/>
  <c r="W6" i="75"/>
  <c r="X6" i="75" s="1"/>
  <c r="Y6" i="75" s="1"/>
  <c r="S5" i="38"/>
  <c r="T5" i="38" s="1"/>
  <c r="U5" i="38" s="1"/>
  <c r="S3" i="38"/>
  <c r="T3" i="38" s="1"/>
  <c r="U3" i="38" s="1"/>
  <c r="S4" i="38"/>
  <c r="T4" i="38" s="1"/>
  <c r="U4" i="38" s="1"/>
  <c r="S7" i="38"/>
  <c r="T7" i="38" s="1"/>
  <c r="U7" i="38" s="1"/>
  <c r="S6" i="38"/>
  <c r="AU6" i="38" s="1"/>
  <c r="P45" i="17"/>
  <c r="R45" i="17" s="1"/>
  <c r="T45" i="17" s="1"/>
  <c r="H42" i="77"/>
  <c r="O18" i="76"/>
  <c r="S18" i="76" s="1"/>
  <c r="F30" i="76"/>
  <c r="N16" i="34"/>
  <c r="N18" i="38"/>
  <c r="N15" i="34"/>
  <c r="H27" i="77"/>
  <c r="N27" i="77" s="1"/>
  <c r="Z5" i="17"/>
  <c r="AB5" i="17" s="1"/>
  <c r="G26" i="36"/>
  <c r="K26" i="36" s="1"/>
  <c r="N17" i="34"/>
  <c r="H31" i="77"/>
  <c r="N31" i="77" s="1"/>
  <c r="G30" i="36"/>
  <c r="K30" i="36" s="1"/>
  <c r="X2" i="75"/>
  <c r="Y2" i="75" s="1"/>
  <c r="N17" i="38"/>
  <c r="N18" i="34"/>
  <c r="R14" i="75"/>
  <c r="W14" i="75" s="1"/>
  <c r="F26" i="75"/>
  <c r="O15" i="76"/>
  <c r="S15" i="76" s="1"/>
  <c r="F27" i="76"/>
  <c r="N14" i="38"/>
  <c r="H26" i="77"/>
  <c r="N26" i="77" s="1"/>
  <c r="N15" i="38"/>
  <c r="O17" i="76"/>
  <c r="S17" i="76" s="1"/>
  <c r="F29" i="76"/>
  <c r="R31" i="75"/>
  <c r="F43" i="75"/>
  <c r="N19" i="38"/>
  <c r="G27" i="36"/>
  <c r="K27" i="36" s="1"/>
  <c r="G41" i="36"/>
  <c r="K41" i="36" s="1"/>
  <c r="O28" i="76"/>
  <c r="S28" i="76" s="1"/>
  <c r="F40" i="76"/>
  <c r="H28" i="77"/>
  <c r="N28" i="77" s="1"/>
  <c r="R16" i="75"/>
  <c r="F28" i="75"/>
  <c r="N19" i="34"/>
  <c r="N14" i="34"/>
  <c r="R18" i="75"/>
  <c r="F30" i="75"/>
  <c r="R15" i="75"/>
  <c r="F27" i="75"/>
  <c r="R17" i="75"/>
  <c r="F29" i="75"/>
  <c r="N16" i="38"/>
  <c r="F31" i="76"/>
  <c r="O19" i="76"/>
  <c r="S19" i="76" s="1"/>
  <c r="G31" i="36"/>
  <c r="K31" i="36" s="1"/>
  <c r="H29" i="77"/>
  <c r="N29" i="77" s="1"/>
  <c r="O26" i="76"/>
  <c r="S26" i="76" s="1"/>
  <c r="F38" i="76"/>
  <c r="BC16" i="36" l="1"/>
  <c r="BC19" i="36"/>
  <c r="BC15" i="36"/>
  <c r="BC18" i="36"/>
  <c r="BC29" i="36"/>
  <c r="BC14" i="36"/>
  <c r="Y31" i="36"/>
  <c r="BB31" i="36" s="1"/>
  <c r="L31" i="36"/>
  <c r="Y27" i="36"/>
  <c r="BB27" i="36" s="1"/>
  <c r="L27" i="36"/>
  <c r="Y41" i="36"/>
  <c r="BB41" i="36" s="1"/>
  <c r="L41" i="36"/>
  <c r="Y30" i="36"/>
  <c r="BB30" i="36" s="1"/>
  <c r="L30" i="36"/>
  <c r="Y26" i="36"/>
  <c r="BB26" i="36" s="1"/>
  <c r="L26" i="36"/>
  <c r="Y28" i="36"/>
  <c r="BB28" i="36" s="1"/>
  <c r="L28" i="36"/>
  <c r="AT4" i="34"/>
  <c r="AU5" i="34"/>
  <c r="AU7" i="34"/>
  <c r="AU6" i="34"/>
  <c r="AU3" i="34"/>
  <c r="AU2" i="34"/>
  <c r="P5" i="17"/>
  <c r="R5" i="17" s="1"/>
  <c r="T5" i="17" s="1"/>
  <c r="S17" i="34"/>
  <c r="AU17" i="34" s="1"/>
  <c r="S15" i="34"/>
  <c r="AT15" i="34" s="1"/>
  <c r="S19" i="34"/>
  <c r="AT19" i="34" s="1"/>
  <c r="S16" i="34"/>
  <c r="AT16" i="34" s="1"/>
  <c r="S14" i="34"/>
  <c r="AU14" i="34" s="1"/>
  <c r="S18" i="34"/>
  <c r="AT18" i="34" s="1"/>
  <c r="G40" i="36"/>
  <c r="K40" i="36" s="1"/>
  <c r="AV7" i="38"/>
  <c r="AV6" i="38"/>
  <c r="AV3" i="38"/>
  <c r="AV4" i="38"/>
  <c r="AV5" i="38"/>
  <c r="T2" i="38"/>
  <c r="U2" i="38" s="1"/>
  <c r="AU7" i="38"/>
  <c r="AV2" i="38"/>
  <c r="AU4" i="38"/>
  <c r="AU3" i="38"/>
  <c r="AU5" i="38"/>
  <c r="S14" i="38"/>
  <c r="AU14" i="38" s="1"/>
  <c r="AE28" i="77"/>
  <c r="O28" i="77"/>
  <c r="AE29" i="77"/>
  <c r="O29" i="77"/>
  <c r="AE31" i="77"/>
  <c r="O31" i="77"/>
  <c r="AE27" i="77"/>
  <c r="O27" i="77"/>
  <c r="AE26" i="77"/>
  <c r="O26" i="77"/>
  <c r="H54" i="77"/>
  <c r="N54" i="77" s="1"/>
  <c r="N42" i="77"/>
  <c r="Z45" i="17"/>
  <c r="AB45" i="17" s="1"/>
  <c r="AD45" i="17" s="1"/>
  <c r="F45" i="17"/>
  <c r="H45" i="17" s="1"/>
  <c r="J45" i="17" s="1"/>
  <c r="F5" i="17"/>
  <c r="H5" i="17" s="1"/>
  <c r="J5" i="17" s="1"/>
  <c r="W16" i="75"/>
  <c r="X16" i="75" s="1"/>
  <c r="Y16" i="75" s="1"/>
  <c r="W17" i="75"/>
  <c r="X17" i="75" s="1"/>
  <c r="Y17" i="75" s="1"/>
  <c r="W18" i="75"/>
  <c r="X18" i="75" s="1"/>
  <c r="Y18" i="75" s="1"/>
  <c r="W31" i="75"/>
  <c r="X31" i="75" s="1"/>
  <c r="Y31" i="75" s="1"/>
  <c r="W15" i="75"/>
  <c r="X15" i="75" s="1"/>
  <c r="Y15" i="75" s="1"/>
  <c r="T6" i="38"/>
  <c r="U6" i="38" s="1"/>
  <c r="S19" i="38"/>
  <c r="T19" i="38" s="1"/>
  <c r="U19" i="38" s="1"/>
  <c r="S17" i="38"/>
  <c r="T17" i="38" s="1"/>
  <c r="U17" i="38" s="1"/>
  <c r="S18" i="38"/>
  <c r="T18" i="38" s="1"/>
  <c r="U18" i="38" s="1"/>
  <c r="S15" i="38"/>
  <c r="AU15" i="38" s="1"/>
  <c r="S16" i="38"/>
  <c r="T16" i="38" s="1"/>
  <c r="U16" i="38" s="1"/>
  <c r="P46" i="17"/>
  <c r="R46" i="17" s="1"/>
  <c r="T46" i="17" s="1"/>
  <c r="N29" i="34"/>
  <c r="G53" i="36"/>
  <c r="K53" i="36" s="1"/>
  <c r="O27" i="76"/>
  <c r="S27" i="76" s="1"/>
  <c r="F39" i="76"/>
  <c r="R26" i="75"/>
  <c r="W26" i="75" s="1"/>
  <c r="F38" i="75"/>
  <c r="G38" i="36"/>
  <c r="K38" i="36" s="1"/>
  <c r="Z6" i="17"/>
  <c r="AB6" i="17" s="1"/>
  <c r="R30" i="75"/>
  <c r="F42" i="75"/>
  <c r="N31" i="38"/>
  <c r="N30" i="34"/>
  <c r="G43" i="36"/>
  <c r="K43" i="36" s="1"/>
  <c r="N29" i="38"/>
  <c r="R28" i="75"/>
  <c r="F40" i="75"/>
  <c r="N27" i="38"/>
  <c r="H41" i="77"/>
  <c r="N41" i="77" s="1"/>
  <c r="F55" i="75"/>
  <c r="L55" i="75" s="1"/>
  <c r="V55" i="75" s="1"/>
  <c r="R43" i="75"/>
  <c r="O38" i="76"/>
  <c r="S38" i="76" s="1"/>
  <c r="F50" i="76"/>
  <c r="G42" i="36"/>
  <c r="K42" i="36" s="1"/>
  <c r="N30" i="38"/>
  <c r="G39" i="36"/>
  <c r="K39" i="36" s="1"/>
  <c r="N26" i="34"/>
  <c r="N31" i="34"/>
  <c r="N27" i="34"/>
  <c r="F43" i="76"/>
  <c r="O31" i="76"/>
  <c r="S31" i="76" s="1"/>
  <c r="N28" i="34"/>
  <c r="X14" i="75"/>
  <c r="Y14" i="75" s="1"/>
  <c r="N28" i="38"/>
  <c r="R29" i="75"/>
  <c r="F41" i="75"/>
  <c r="H38" i="77"/>
  <c r="N38" i="77" s="1"/>
  <c r="O30" i="76"/>
  <c r="S30" i="76" s="1"/>
  <c r="F42" i="76"/>
  <c r="C18" i="57"/>
  <c r="D18" i="57" s="1"/>
  <c r="H18" i="57" s="1"/>
  <c r="AD5" i="17"/>
  <c r="H39" i="77"/>
  <c r="N39" i="77" s="1"/>
  <c r="O29" i="76"/>
  <c r="S29" i="76" s="1"/>
  <c r="F41" i="76"/>
  <c r="H40" i="77"/>
  <c r="N40" i="77" s="1"/>
  <c r="F52" i="76"/>
  <c r="O40" i="76"/>
  <c r="S40" i="76" s="1"/>
  <c r="R27" i="75"/>
  <c r="F39" i="75"/>
  <c r="N26" i="38"/>
  <c r="H43" i="77"/>
  <c r="N43" i="77" s="1"/>
  <c r="BC30" i="36" l="1"/>
  <c r="BC41" i="36"/>
  <c r="BC27" i="36"/>
  <c r="BC31" i="36"/>
  <c r="BC26" i="36"/>
  <c r="BC28" i="36"/>
  <c r="Y43" i="36"/>
  <c r="BB43" i="36" s="1"/>
  <c r="L43" i="36"/>
  <c r="Y40" i="36"/>
  <c r="BB40" i="36" s="1"/>
  <c r="L40" i="36"/>
  <c r="Y39" i="36"/>
  <c r="BB39" i="36" s="1"/>
  <c r="L39" i="36"/>
  <c r="Y38" i="36"/>
  <c r="BB38" i="36" s="1"/>
  <c r="L38" i="36"/>
  <c r="Y42" i="36"/>
  <c r="BB42" i="36" s="1"/>
  <c r="L42" i="36"/>
  <c r="Y53" i="36"/>
  <c r="BB53" i="36" s="1"/>
  <c r="L53" i="36"/>
  <c r="AT17" i="34"/>
  <c r="AU18" i="34"/>
  <c r="AU16" i="34"/>
  <c r="AU19" i="34"/>
  <c r="AU15" i="34"/>
  <c r="P6" i="17"/>
  <c r="R6" i="17" s="1"/>
  <c r="T6" i="17" s="1"/>
  <c r="S31" i="34"/>
  <c r="AT31" i="34" s="1"/>
  <c r="AT14" i="34"/>
  <c r="S26" i="34"/>
  <c r="AT26" i="34" s="1"/>
  <c r="S29" i="34"/>
  <c r="AT29" i="34" s="1"/>
  <c r="G52" i="36"/>
  <c r="K52" i="36" s="1"/>
  <c r="S28" i="34"/>
  <c r="AT28" i="34" s="1"/>
  <c r="S27" i="34"/>
  <c r="AU27" i="34" s="1"/>
  <c r="S30" i="34"/>
  <c r="AT30" i="34" s="1"/>
  <c r="AV19" i="38"/>
  <c r="AV18" i="38"/>
  <c r="AV14" i="38"/>
  <c r="AV15" i="38"/>
  <c r="AV16" i="38"/>
  <c r="AV17" i="38"/>
  <c r="T14" i="38"/>
  <c r="U14" i="38" s="1"/>
  <c r="AU17" i="38"/>
  <c r="AU19" i="38"/>
  <c r="AU18" i="38"/>
  <c r="AU16" i="38"/>
  <c r="S26" i="38"/>
  <c r="AU26" i="38" s="1"/>
  <c r="AE40" i="77"/>
  <c r="O40" i="77"/>
  <c r="AE42" i="77"/>
  <c r="O42" i="77"/>
  <c r="AE54" i="77"/>
  <c r="O54" i="77"/>
  <c r="AE39" i="77"/>
  <c r="O39" i="77"/>
  <c r="AE38" i="77"/>
  <c r="O38" i="77"/>
  <c r="H66" i="77"/>
  <c r="N66" i="77" s="1"/>
  <c r="AE41" i="77"/>
  <c r="O41" i="77"/>
  <c r="AE43" i="77"/>
  <c r="O43" i="77"/>
  <c r="Z46" i="17"/>
  <c r="AB46" i="17" s="1"/>
  <c r="AD46" i="17" s="1"/>
  <c r="W28" i="75"/>
  <c r="X28" i="75" s="1"/>
  <c r="Y28" i="75" s="1"/>
  <c r="F46" i="17"/>
  <c r="H46" i="17" s="1"/>
  <c r="J46" i="17" s="1"/>
  <c r="W27" i="75"/>
  <c r="X27" i="75" s="1"/>
  <c r="Y27" i="75" s="1"/>
  <c r="W29" i="75"/>
  <c r="X29" i="75" s="1"/>
  <c r="Y29" i="75" s="1"/>
  <c r="W30" i="75"/>
  <c r="X30" i="75" s="1"/>
  <c r="Y30" i="75" s="1"/>
  <c r="W43" i="75"/>
  <c r="X43" i="75" s="1"/>
  <c r="Y43" i="75" s="1"/>
  <c r="F6" i="17"/>
  <c r="H6" i="17" s="1"/>
  <c r="J6" i="17" s="1"/>
  <c r="T15" i="38"/>
  <c r="U15" i="38" s="1"/>
  <c r="S27" i="38"/>
  <c r="T27" i="38" s="1"/>
  <c r="U27" i="38" s="1"/>
  <c r="S28" i="38"/>
  <c r="T28" i="38" s="1"/>
  <c r="U28" i="38" s="1"/>
  <c r="S31" i="38"/>
  <c r="T31" i="38" s="1"/>
  <c r="U31" i="38" s="1"/>
  <c r="S30" i="38"/>
  <c r="T30" i="38" s="1"/>
  <c r="U30" i="38" s="1"/>
  <c r="S29" i="38"/>
  <c r="T29" i="38" s="1"/>
  <c r="U29" i="38" s="1"/>
  <c r="C23" i="152"/>
  <c r="C26" i="152" s="1"/>
  <c r="P47" i="17"/>
  <c r="R47" i="17" s="1"/>
  <c r="T47" i="17" s="1"/>
  <c r="Z7" i="17"/>
  <c r="AB7" i="17" s="1"/>
  <c r="C20" i="57" s="1"/>
  <c r="D20" i="57" s="1"/>
  <c r="H20" i="57" s="1"/>
  <c r="R42" i="75"/>
  <c r="F54" i="75"/>
  <c r="L54" i="75" s="1"/>
  <c r="V54" i="75" s="1"/>
  <c r="O42" i="76"/>
  <c r="S42" i="76" s="1"/>
  <c r="F54" i="76"/>
  <c r="O43" i="76"/>
  <c r="S43" i="76" s="1"/>
  <c r="F55" i="76"/>
  <c r="R55" i="75"/>
  <c r="F67" i="75"/>
  <c r="L67" i="75" s="1"/>
  <c r="V67" i="75" s="1"/>
  <c r="C19" i="57"/>
  <c r="D19" i="57" s="1"/>
  <c r="H19" i="57" s="1"/>
  <c r="C5" i="57"/>
  <c r="D5" i="57" s="1"/>
  <c r="AD6" i="17"/>
  <c r="H53" i="77"/>
  <c r="N53" i="77" s="1"/>
  <c r="G50" i="36"/>
  <c r="K50" i="36" s="1"/>
  <c r="R39" i="75"/>
  <c r="F51" i="75"/>
  <c r="R41" i="75"/>
  <c r="F53" i="75"/>
  <c r="L53" i="75" s="1"/>
  <c r="V53" i="75" s="1"/>
  <c r="N39" i="34"/>
  <c r="N43" i="34"/>
  <c r="N39" i="38"/>
  <c r="N42" i="38"/>
  <c r="G55" i="36"/>
  <c r="K55" i="36" s="1"/>
  <c r="H50" i="77"/>
  <c r="N50" i="77" s="1"/>
  <c r="X26" i="75"/>
  <c r="Y26" i="75" s="1"/>
  <c r="H51" i="77"/>
  <c r="N51" i="77" s="1"/>
  <c r="F64" i="76"/>
  <c r="O52" i="76"/>
  <c r="S52" i="76" s="1"/>
  <c r="N40" i="38"/>
  <c r="R40" i="75"/>
  <c r="F52" i="75"/>
  <c r="L52" i="75" s="1"/>
  <c r="V52" i="75" s="1"/>
  <c r="H52" i="77"/>
  <c r="N52" i="77" s="1"/>
  <c r="F51" i="76"/>
  <c r="O39" i="76"/>
  <c r="S39" i="76" s="1"/>
  <c r="G51" i="36"/>
  <c r="K51" i="36" s="1"/>
  <c r="N41" i="38"/>
  <c r="G65" i="36"/>
  <c r="K65" i="36" s="1"/>
  <c r="N42" i="34"/>
  <c r="G54" i="36"/>
  <c r="K54" i="36" s="1"/>
  <c r="N41" i="34"/>
  <c r="N38" i="38"/>
  <c r="R38" i="75"/>
  <c r="W38" i="75" s="1"/>
  <c r="F50" i="75"/>
  <c r="N38" i="34"/>
  <c r="O41" i="76"/>
  <c r="S41" i="76" s="1"/>
  <c r="F53" i="76"/>
  <c r="H55" i="77"/>
  <c r="N55" i="77" s="1"/>
  <c r="N40" i="34"/>
  <c r="O50" i="76"/>
  <c r="S50" i="76" s="1"/>
  <c r="F62" i="76"/>
  <c r="N43" i="38"/>
  <c r="BC42" i="36" l="1"/>
  <c r="BC38" i="36"/>
  <c r="BC39" i="36"/>
  <c r="BC43" i="36"/>
  <c r="BC40" i="36"/>
  <c r="BC53" i="36"/>
  <c r="Y54" i="36"/>
  <c r="BB54" i="36" s="1"/>
  <c r="L54" i="36"/>
  <c r="Y55" i="36"/>
  <c r="BB55" i="36" s="1"/>
  <c r="L55" i="36"/>
  <c r="Y65" i="36"/>
  <c r="BB65" i="36" s="1"/>
  <c r="L65" i="36"/>
  <c r="Y52" i="36"/>
  <c r="BB52" i="36" s="1"/>
  <c r="L52" i="36"/>
  <c r="Y51" i="36"/>
  <c r="BB51" i="36" s="1"/>
  <c r="L51" i="36"/>
  <c r="Y50" i="36"/>
  <c r="BB50" i="36" s="1"/>
  <c r="L50" i="36"/>
  <c r="AU26" i="34"/>
  <c r="AU30" i="34"/>
  <c r="AU31" i="34"/>
  <c r="AU29" i="34"/>
  <c r="AU28" i="34"/>
  <c r="P7" i="17"/>
  <c r="R7" i="17" s="1"/>
  <c r="T7" i="17" s="1"/>
  <c r="S42" i="34"/>
  <c r="AU42" i="34" s="1"/>
  <c r="AT27" i="34"/>
  <c r="S40" i="34"/>
  <c r="AT40" i="34" s="1"/>
  <c r="S43" i="34"/>
  <c r="AU43" i="34" s="1"/>
  <c r="S39" i="34"/>
  <c r="AT39" i="34" s="1"/>
  <c r="S38" i="34"/>
  <c r="AT38" i="34" s="1"/>
  <c r="S41" i="34"/>
  <c r="AT41" i="34" s="1"/>
  <c r="G64" i="36"/>
  <c r="K64" i="36" s="1"/>
  <c r="AV30" i="38"/>
  <c r="AV31" i="38"/>
  <c r="AV26" i="38"/>
  <c r="AV29" i="38"/>
  <c r="AV28" i="38"/>
  <c r="AV27" i="38"/>
  <c r="T26" i="38"/>
  <c r="U26" i="38" s="1"/>
  <c r="AU29" i="38"/>
  <c r="AU27" i="38"/>
  <c r="AU30" i="38"/>
  <c r="AU31" i="38"/>
  <c r="AU28" i="38"/>
  <c r="S38" i="38"/>
  <c r="AU38" i="38" s="1"/>
  <c r="H78" i="77"/>
  <c r="N78" i="77" s="1"/>
  <c r="AE78" i="77" s="1"/>
  <c r="AE66" i="77"/>
  <c r="O66" i="77"/>
  <c r="AE50" i="77"/>
  <c r="O50" i="77"/>
  <c r="AE55" i="77"/>
  <c r="O55" i="77"/>
  <c r="AE53" i="77"/>
  <c r="O53" i="77"/>
  <c r="AE51" i="77"/>
  <c r="O51" i="77"/>
  <c r="AE52" i="77"/>
  <c r="O52" i="77"/>
  <c r="Z47" i="17"/>
  <c r="AB47" i="17" s="1"/>
  <c r="AD47" i="17" s="1"/>
  <c r="W55" i="75"/>
  <c r="X55" i="75" s="1"/>
  <c r="Y55" i="75" s="1"/>
  <c r="W41" i="75"/>
  <c r="X41" i="75" s="1"/>
  <c r="Y41" i="75" s="1"/>
  <c r="W42" i="75"/>
  <c r="X42" i="75" s="1"/>
  <c r="Y42" i="75" s="1"/>
  <c r="W39" i="75"/>
  <c r="X39" i="75" s="1"/>
  <c r="Y39" i="75" s="1"/>
  <c r="F47" i="17"/>
  <c r="H47" i="17" s="1"/>
  <c r="J47" i="17" s="1"/>
  <c r="W40" i="75"/>
  <c r="F7" i="17"/>
  <c r="H7" i="17" s="1"/>
  <c r="J7" i="17" s="1"/>
  <c r="S42" i="38"/>
  <c r="T42" i="38" s="1"/>
  <c r="U42" i="38" s="1"/>
  <c r="S39" i="38"/>
  <c r="T39" i="38" s="1"/>
  <c r="U39" i="38" s="1"/>
  <c r="S41" i="38"/>
  <c r="T41" i="38" s="1"/>
  <c r="U41" i="38" s="1"/>
  <c r="S40" i="38"/>
  <c r="T40" i="38" s="1"/>
  <c r="U40" i="38" s="1"/>
  <c r="S43" i="38"/>
  <c r="T43" i="38" s="1"/>
  <c r="U43" i="38" s="1"/>
  <c r="D23" i="152"/>
  <c r="D26" i="152" s="1"/>
  <c r="E23" i="152"/>
  <c r="E26" i="152" s="1"/>
  <c r="P48" i="17"/>
  <c r="R48" i="17" s="1"/>
  <c r="T48" i="17" s="1"/>
  <c r="AD7" i="17"/>
  <c r="C6" i="57"/>
  <c r="D6" i="57" s="1"/>
  <c r="Z8" i="17"/>
  <c r="AB8" i="17" s="1"/>
  <c r="C21" i="57" s="1"/>
  <c r="D21" i="57" s="1"/>
  <c r="H21" i="57" s="1"/>
  <c r="G62" i="36"/>
  <c r="K62" i="36" s="1"/>
  <c r="R52" i="75"/>
  <c r="F64" i="75"/>
  <c r="L64" i="75" s="1"/>
  <c r="V64" i="75" s="1"/>
  <c r="O53" i="76"/>
  <c r="S53" i="76" s="1"/>
  <c r="F65" i="76"/>
  <c r="N51" i="38"/>
  <c r="H65" i="77"/>
  <c r="N65" i="77" s="1"/>
  <c r="N52" i="34"/>
  <c r="O64" i="76"/>
  <c r="S64" i="76" s="1"/>
  <c r="F76" i="76"/>
  <c r="H63" i="77"/>
  <c r="N63" i="77" s="1"/>
  <c r="N55" i="34"/>
  <c r="G63" i="36"/>
  <c r="K63" i="36" s="1"/>
  <c r="N51" i="34"/>
  <c r="F79" i="75"/>
  <c r="L79" i="75" s="1"/>
  <c r="V79" i="75" s="1"/>
  <c r="R67" i="75"/>
  <c r="X38" i="75"/>
  <c r="Y38" i="75" s="1"/>
  <c r="N53" i="38"/>
  <c r="R50" i="75"/>
  <c r="W50" i="75" s="1"/>
  <c r="F62" i="75"/>
  <c r="L62" i="75" s="1"/>
  <c r="V62" i="75" s="1"/>
  <c r="N50" i="38"/>
  <c r="R53" i="75"/>
  <c r="F65" i="75"/>
  <c r="L65" i="75" s="1"/>
  <c r="V65" i="75" s="1"/>
  <c r="O55" i="76"/>
  <c r="S55" i="76" s="1"/>
  <c r="F67" i="76"/>
  <c r="H67" i="77"/>
  <c r="N67" i="77" s="1"/>
  <c r="F63" i="76"/>
  <c r="O51" i="76"/>
  <c r="S51" i="76" s="1"/>
  <c r="N55" i="38"/>
  <c r="N53" i="34"/>
  <c r="H62" i="77"/>
  <c r="N62" i="77" s="1"/>
  <c r="R51" i="75"/>
  <c r="F63" i="75"/>
  <c r="L63" i="75" s="1"/>
  <c r="V63" i="75" s="1"/>
  <c r="O54" i="76"/>
  <c r="S54" i="76" s="1"/>
  <c r="F66" i="76"/>
  <c r="N54" i="38"/>
  <c r="N50" i="34"/>
  <c r="H64" i="77"/>
  <c r="N64" i="77" s="1"/>
  <c r="R54" i="75"/>
  <c r="F66" i="75"/>
  <c r="L66" i="75" s="1"/>
  <c r="V66" i="75" s="1"/>
  <c r="G67" i="36"/>
  <c r="K67" i="36" s="1"/>
  <c r="N54" i="34"/>
  <c r="N52" i="38"/>
  <c r="G77" i="36"/>
  <c r="K77" i="36" s="1"/>
  <c r="O62" i="76"/>
  <c r="S62" i="76" s="1"/>
  <c r="F74" i="76"/>
  <c r="G66" i="36"/>
  <c r="K66" i="36" s="1"/>
  <c r="BC52" i="36" l="1"/>
  <c r="BC51" i="36"/>
  <c r="BC65" i="36"/>
  <c r="BC55" i="36"/>
  <c r="BC54" i="36"/>
  <c r="BC50" i="36"/>
  <c r="Y67" i="36"/>
  <c r="BB67" i="36" s="1"/>
  <c r="L67" i="36"/>
  <c r="Y64" i="36"/>
  <c r="BB64" i="36" s="1"/>
  <c r="L64" i="36"/>
  <c r="Y62" i="36"/>
  <c r="BB62" i="36" s="1"/>
  <c r="L62" i="36"/>
  <c r="Y63" i="36"/>
  <c r="BB63" i="36" s="1"/>
  <c r="L63" i="36"/>
  <c r="Y66" i="36"/>
  <c r="BB66" i="36" s="1"/>
  <c r="L66" i="36"/>
  <c r="Y77" i="36"/>
  <c r="BB77" i="36" s="1"/>
  <c r="L77" i="36"/>
  <c r="AT42" i="34"/>
  <c r="AU41" i="34"/>
  <c r="AU38" i="34"/>
  <c r="AT43" i="34"/>
  <c r="AU40" i="34"/>
  <c r="AU39" i="34"/>
  <c r="G76" i="36"/>
  <c r="K76" i="36" s="1"/>
  <c r="P8" i="17"/>
  <c r="R8" i="17" s="1"/>
  <c r="T8" i="17" s="1"/>
  <c r="S53" i="34"/>
  <c r="AU53" i="34" s="1"/>
  <c r="S51" i="34"/>
  <c r="AT51" i="34" s="1"/>
  <c r="S54" i="34"/>
  <c r="AT54" i="34" s="1"/>
  <c r="S55" i="34"/>
  <c r="AT55" i="34" s="1"/>
  <c r="S52" i="34"/>
  <c r="AT52" i="34" s="1"/>
  <c r="S50" i="34"/>
  <c r="AT50" i="34" s="1"/>
  <c r="H90" i="77"/>
  <c r="N90" i="77" s="1"/>
  <c r="AE90" i="77" s="1"/>
  <c r="T38" i="38"/>
  <c r="U38" i="38" s="1"/>
  <c r="AV43" i="38"/>
  <c r="AV38" i="38"/>
  <c r="AV41" i="38"/>
  <c r="AV39" i="38"/>
  <c r="AV42" i="38"/>
  <c r="AV40" i="38"/>
  <c r="AU43" i="38"/>
  <c r="AU39" i="38"/>
  <c r="AU42" i="38"/>
  <c r="AU41" i="38"/>
  <c r="AU40" i="38"/>
  <c r="S50" i="38"/>
  <c r="T50" i="38" s="1"/>
  <c r="U50" i="38" s="1"/>
  <c r="O78" i="77"/>
  <c r="AE64" i="77"/>
  <c r="O64" i="77"/>
  <c r="AE62" i="77"/>
  <c r="O62" i="77"/>
  <c r="AE65" i="77"/>
  <c r="O65" i="77"/>
  <c r="AE67" i="77"/>
  <c r="O67" i="77"/>
  <c r="AE63" i="77"/>
  <c r="O63" i="77"/>
  <c r="Z48" i="17"/>
  <c r="AB48" i="17" s="1"/>
  <c r="AD48" i="17" s="1"/>
  <c r="F48" i="17"/>
  <c r="H48" i="17" s="1"/>
  <c r="J48" i="17" s="1"/>
  <c r="X40" i="75"/>
  <c r="Y40" i="75" s="1"/>
  <c r="W52" i="75"/>
  <c r="X52" i="75" s="1"/>
  <c r="Y52" i="75" s="1"/>
  <c r="W51" i="75"/>
  <c r="X51" i="75" s="1"/>
  <c r="Y51" i="75" s="1"/>
  <c r="W53" i="75"/>
  <c r="W54" i="75"/>
  <c r="X54" i="75" s="1"/>
  <c r="Y54" i="75" s="1"/>
  <c r="W67" i="75"/>
  <c r="X67" i="75" s="1"/>
  <c r="Y67" i="75" s="1"/>
  <c r="F8" i="17"/>
  <c r="H8" i="17" s="1"/>
  <c r="J8" i="17" s="1"/>
  <c r="S53" i="38"/>
  <c r="T53" i="38" s="1"/>
  <c r="U53" i="38" s="1"/>
  <c r="S52" i="38"/>
  <c r="T52" i="38" s="1"/>
  <c r="U52" i="38" s="1"/>
  <c r="S54" i="38"/>
  <c r="T54" i="38" s="1"/>
  <c r="U54" i="38" s="1"/>
  <c r="S51" i="38"/>
  <c r="AU51" i="38" s="1"/>
  <c r="S55" i="38"/>
  <c r="T55" i="38" s="1"/>
  <c r="U55" i="38" s="1"/>
  <c r="F23" i="152"/>
  <c r="F26" i="152" s="1"/>
  <c r="P49" i="17"/>
  <c r="R49" i="17" s="1"/>
  <c r="T49" i="17" s="1"/>
  <c r="C7" i="57"/>
  <c r="D7" i="57" s="1"/>
  <c r="AD8" i="17"/>
  <c r="O74" i="76"/>
  <c r="S74" i="76" s="1"/>
  <c r="F86" i="76"/>
  <c r="H74" i="77"/>
  <c r="N74" i="77" s="1"/>
  <c r="H76" i="77"/>
  <c r="N76" i="77" s="1"/>
  <c r="N67" i="38"/>
  <c r="N65" i="38"/>
  <c r="N64" i="34"/>
  <c r="O63" i="76"/>
  <c r="S63" i="76" s="1"/>
  <c r="F75" i="76"/>
  <c r="H77" i="77"/>
  <c r="N77" i="77" s="1"/>
  <c r="N64" i="38"/>
  <c r="O66" i="76"/>
  <c r="S66" i="76" s="1"/>
  <c r="F78" i="76"/>
  <c r="H79" i="77"/>
  <c r="N79" i="77" s="1"/>
  <c r="F91" i="75"/>
  <c r="L91" i="75" s="1"/>
  <c r="V91" i="75" s="1"/>
  <c r="R79" i="75"/>
  <c r="N63" i="38"/>
  <c r="F77" i="76"/>
  <c r="O65" i="76"/>
  <c r="S65" i="76" s="1"/>
  <c r="N66" i="34"/>
  <c r="F75" i="75"/>
  <c r="L75" i="75" s="1"/>
  <c r="V75" i="75" s="1"/>
  <c r="R63" i="75"/>
  <c r="O67" i="76"/>
  <c r="S67" i="76" s="1"/>
  <c r="F79" i="76"/>
  <c r="N63" i="34"/>
  <c r="G75" i="36"/>
  <c r="K75" i="36" s="1"/>
  <c r="R64" i="75"/>
  <c r="F76" i="75"/>
  <c r="L76" i="75" s="1"/>
  <c r="V76" i="75" s="1"/>
  <c r="R65" i="75"/>
  <c r="F77" i="75"/>
  <c r="L77" i="75" s="1"/>
  <c r="V77" i="75" s="1"/>
  <c r="G79" i="36"/>
  <c r="K79" i="36" s="1"/>
  <c r="N67" i="34"/>
  <c r="R66" i="75"/>
  <c r="F78" i="75"/>
  <c r="L78" i="75" s="1"/>
  <c r="V78" i="75" s="1"/>
  <c r="N62" i="34"/>
  <c r="G89" i="36"/>
  <c r="K89" i="36" s="1"/>
  <c r="N66" i="38"/>
  <c r="N62" i="38"/>
  <c r="G74" i="36"/>
  <c r="K74" i="36" s="1"/>
  <c r="N65" i="34"/>
  <c r="H75" i="77"/>
  <c r="N75" i="77" s="1"/>
  <c r="R62" i="75"/>
  <c r="W62" i="75" s="1"/>
  <c r="F74" i="75"/>
  <c r="L74" i="75" s="1"/>
  <c r="V74" i="75" s="1"/>
  <c r="G78" i="36"/>
  <c r="K78" i="36" s="1"/>
  <c r="X50" i="75"/>
  <c r="Y50" i="75" s="1"/>
  <c r="F88" i="76"/>
  <c r="O76" i="76"/>
  <c r="S76" i="76" s="1"/>
  <c r="Z9" i="17"/>
  <c r="AB9" i="17" s="1"/>
  <c r="BC62" i="36" l="1"/>
  <c r="BC77" i="36"/>
  <c r="BC64" i="36"/>
  <c r="BC67" i="36"/>
  <c r="BC66" i="36"/>
  <c r="BC63" i="36"/>
  <c r="Y75" i="36"/>
  <c r="BB75" i="36" s="1"/>
  <c r="L75" i="36"/>
  <c r="Y89" i="36"/>
  <c r="BB89" i="36" s="1"/>
  <c r="L89" i="36"/>
  <c r="Y74" i="36"/>
  <c r="BB74" i="36" s="1"/>
  <c r="L74" i="36"/>
  <c r="Y79" i="36"/>
  <c r="BB79" i="36" s="1"/>
  <c r="L79" i="36"/>
  <c r="Y76" i="36"/>
  <c r="BB76" i="36" s="1"/>
  <c r="L76" i="36"/>
  <c r="Y78" i="36"/>
  <c r="BB78" i="36" s="1"/>
  <c r="L78" i="36"/>
  <c r="AT53" i="34"/>
  <c r="AU50" i="34"/>
  <c r="AU52" i="34"/>
  <c r="AU54" i="34"/>
  <c r="AU55" i="34"/>
  <c r="AU51" i="34"/>
  <c r="G88" i="36"/>
  <c r="K88" i="36" s="1"/>
  <c r="S66" i="34"/>
  <c r="AT66" i="34" s="1"/>
  <c r="S62" i="34"/>
  <c r="AT62" i="34" s="1"/>
  <c r="S67" i="34"/>
  <c r="AT67" i="34" s="1"/>
  <c r="P9" i="17"/>
  <c r="R9" i="17" s="1"/>
  <c r="T9" i="17" s="1"/>
  <c r="S65" i="34"/>
  <c r="AU65" i="34" s="1"/>
  <c r="S63" i="34"/>
  <c r="AT63" i="34" s="1"/>
  <c r="H102" i="77"/>
  <c r="N102" i="77" s="1"/>
  <c r="O102" i="77" s="1"/>
  <c r="S64" i="34"/>
  <c r="AT64" i="34" s="1"/>
  <c r="O90" i="77"/>
  <c r="AV50" i="38"/>
  <c r="AU52" i="38"/>
  <c r="AV55" i="38"/>
  <c r="AV52" i="38"/>
  <c r="AV53" i="38"/>
  <c r="AV51" i="38"/>
  <c r="AV54" i="38"/>
  <c r="AU50" i="38"/>
  <c r="AU55" i="38"/>
  <c r="AU53" i="38"/>
  <c r="AU54" i="38"/>
  <c r="S62" i="38"/>
  <c r="T62" i="38" s="1"/>
  <c r="U62" i="38" s="1"/>
  <c r="AE77" i="77"/>
  <c r="O77" i="77"/>
  <c r="AE76" i="77"/>
  <c r="O76" i="77"/>
  <c r="AE79" i="77"/>
  <c r="O79" i="77"/>
  <c r="AE74" i="77"/>
  <c r="O74" i="77"/>
  <c r="AE75" i="77"/>
  <c r="O75" i="77"/>
  <c r="Z49" i="17"/>
  <c r="AB49" i="17" s="1"/>
  <c r="AD49" i="17" s="1"/>
  <c r="F49" i="17"/>
  <c r="H49" i="17" s="1"/>
  <c r="J49" i="17" s="1"/>
  <c r="X53" i="75"/>
  <c r="Y53" i="75" s="1"/>
  <c r="W65" i="75"/>
  <c r="X65" i="75" s="1"/>
  <c r="Y65" i="75" s="1"/>
  <c r="W79" i="75"/>
  <c r="X79" i="75" s="1"/>
  <c r="Y79" i="75" s="1"/>
  <c r="W64" i="75"/>
  <c r="X64" i="75" s="1"/>
  <c r="Y64" i="75" s="1"/>
  <c r="W66" i="75"/>
  <c r="X66" i="75" s="1"/>
  <c r="Y66" i="75" s="1"/>
  <c r="W63" i="75"/>
  <c r="X63" i="75" s="1"/>
  <c r="Y63" i="75" s="1"/>
  <c r="F9" i="17"/>
  <c r="H9" i="17" s="1"/>
  <c r="J9" i="17" s="1"/>
  <c r="S67" i="38"/>
  <c r="T67" i="38" s="1"/>
  <c r="U67" i="38" s="1"/>
  <c r="T51" i="38"/>
  <c r="U51" i="38" s="1"/>
  <c r="S64" i="38"/>
  <c r="T64" i="38" s="1"/>
  <c r="U64" i="38" s="1"/>
  <c r="S65" i="38"/>
  <c r="T65" i="38" s="1"/>
  <c r="U65" i="38" s="1"/>
  <c r="S63" i="38"/>
  <c r="AU63" i="38" s="1"/>
  <c r="S66" i="38"/>
  <c r="T66" i="38" s="1"/>
  <c r="U66" i="38" s="1"/>
  <c r="P50" i="17"/>
  <c r="R50" i="17" s="1"/>
  <c r="T50" i="17" s="1"/>
  <c r="Z10" i="17"/>
  <c r="AB10" i="17" s="1"/>
  <c r="AD10" i="17" s="1"/>
  <c r="O75" i="76"/>
  <c r="S75" i="76" s="1"/>
  <c r="F87" i="76"/>
  <c r="N74" i="38"/>
  <c r="F89" i="75"/>
  <c r="L89" i="75" s="1"/>
  <c r="V89" i="75" s="1"/>
  <c r="R77" i="75"/>
  <c r="N76" i="34"/>
  <c r="F88" i="75"/>
  <c r="L88" i="75" s="1"/>
  <c r="V88" i="75" s="1"/>
  <c r="R76" i="75"/>
  <c r="N77" i="38"/>
  <c r="O88" i="76"/>
  <c r="S88" i="76" s="1"/>
  <c r="F100" i="76"/>
  <c r="N75" i="38"/>
  <c r="G90" i="36"/>
  <c r="K90" i="36" s="1"/>
  <c r="G101" i="36"/>
  <c r="K101" i="36" s="1"/>
  <c r="G87" i="36"/>
  <c r="K87" i="36" s="1"/>
  <c r="R91" i="75"/>
  <c r="F103" i="75"/>
  <c r="L103" i="75" s="1"/>
  <c r="V103" i="75" s="1"/>
  <c r="O77" i="76"/>
  <c r="S77" i="76" s="1"/>
  <c r="F89" i="76"/>
  <c r="N79" i="38"/>
  <c r="H91" i="77"/>
  <c r="N91" i="77" s="1"/>
  <c r="H88" i="77"/>
  <c r="N88" i="77" s="1"/>
  <c r="C22" i="57"/>
  <c r="D22" i="57" s="1"/>
  <c r="H22" i="57" s="1"/>
  <c r="C8" i="57"/>
  <c r="D8" i="57" s="1"/>
  <c r="AD9" i="17"/>
  <c r="H87" i="77"/>
  <c r="N87" i="77" s="1"/>
  <c r="N75" i="34"/>
  <c r="F90" i="76"/>
  <c r="O78" i="76"/>
  <c r="S78" i="76" s="1"/>
  <c r="N78" i="38"/>
  <c r="F86" i="75"/>
  <c r="L86" i="75" s="1"/>
  <c r="V86" i="75" s="1"/>
  <c r="R74" i="75"/>
  <c r="W74" i="75" s="1"/>
  <c r="X62" i="75"/>
  <c r="Y62" i="75" s="1"/>
  <c r="N77" i="34"/>
  <c r="O79" i="76"/>
  <c r="S79" i="76" s="1"/>
  <c r="F91" i="76"/>
  <c r="N76" i="38"/>
  <c r="N74" i="34"/>
  <c r="H86" i="77"/>
  <c r="N86" i="77" s="1"/>
  <c r="F90" i="75"/>
  <c r="L90" i="75" s="1"/>
  <c r="V90" i="75" s="1"/>
  <c r="R78" i="75"/>
  <c r="R75" i="75"/>
  <c r="F87" i="75"/>
  <c r="L87" i="75" s="1"/>
  <c r="V87" i="75" s="1"/>
  <c r="H89" i="77"/>
  <c r="N89" i="77" s="1"/>
  <c r="O86" i="76"/>
  <c r="S86" i="76" s="1"/>
  <c r="F98" i="76"/>
  <c r="N79" i="34"/>
  <c r="G86" i="36"/>
  <c r="K86" i="36" s="1"/>
  <c r="G91" i="36"/>
  <c r="K91" i="36" s="1"/>
  <c r="N78" i="34"/>
  <c r="BC79" i="36" l="1"/>
  <c r="BC89" i="36"/>
  <c r="BC74" i="36"/>
  <c r="BC75" i="36"/>
  <c r="BC78" i="36"/>
  <c r="BC76" i="36"/>
  <c r="Y90" i="36"/>
  <c r="BB90" i="36" s="1"/>
  <c r="L90" i="36"/>
  <c r="Y101" i="36"/>
  <c r="BB101" i="36" s="1"/>
  <c r="L101" i="36"/>
  <c r="Y91" i="36"/>
  <c r="BB91" i="36" s="1"/>
  <c r="L91" i="36"/>
  <c r="Y88" i="36"/>
  <c r="BB88" i="36" s="1"/>
  <c r="L88" i="36"/>
  <c r="Y86" i="36"/>
  <c r="BB86" i="36" s="1"/>
  <c r="L86" i="36"/>
  <c r="Y87" i="36"/>
  <c r="BB87" i="36" s="1"/>
  <c r="L87" i="36"/>
  <c r="G100" i="36"/>
  <c r="K100" i="36" s="1"/>
  <c r="P10" i="17"/>
  <c r="R10" i="17" s="1"/>
  <c r="T10" i="17" s="1"/>
  <c r="AU64" i="34"/>
  <c r="AE102" i="77"/>
  <c r="AU62" i="34"/>
  <c r="AU66" i="34"/>
  <c r="AU63" i="34"/>
  <c r="AU67" i="34"/>
  <c r="S74" i="34"/>
  <c r="AU74" i="34" s="1"/>
  <c r="S76" i="34"/>
  <c r="AT76" i="34" s="1"/>
  <c r="S77" i="34"/>
  <c r="AU77" i="34" s="1"/>
  <c r="S78" i="34"/>
  <c r="AT78" i="34" s="1"/>
  <c r="AT65" i="34"/>
  <c r="S79" i="34"/>
  <c r="AT79" i="34" s="1"/>
  <c r="S75" i="34"/>
  <c r="H114" i="77"/>
  <c r="H126" i="77" s="1"/>
  <c r="N126" i="77" s="1"/>
  <c r="AV66" i="38"/>
  <c r="AV67" i="38"/>
  <c r="AV62" i="38"/>
  <c r="AV63" i="38"/>
  <c r="AV65" i="38"/>
  <c r="AV64" i="38"/>
  <c r="AU62" i="38"/>
  <c r="AU67" i="38"/>
  <c r="AU66" i="38"/>
  <c r="AU65" i="38"/>
  <c r="AU64" i="38"/>
  <c r="S74" i="38"/>
  <c r="AU74" i="38" s="1"/>
  <c r="AE87" i="77"/>
  <c r="O87" i="77"/>
  <c r="AE86" i="77"/>
  <c r="O86" i="77"/>
  <c r="AE88" i="77"/>
  <c r="O88" i="77"/>
  <c r="AE91" i="77"/>
  <c r="O91" i="77"/>
  <c r="AE89" i="77"/>
  <c r="O89" i="77"/>
  <c r="Z50" i="17"/>
  <c r="AB50" i="17" s="1"/>
  <c r="AD50" i="17" s="1"/>
  <c r="F50" i="17"/>
  <c r="H50" i="17" s="1"/>
  <c r="J50" i="17" s="1"/>
  <c r="W76" i="75"/>
  <c r="X76" i="75" s="1"/>
  <c r="Y76" i="75" s="1"/>
  <c r="W77" i="75"/>
  <c r="X77" i="75" s="1"/>
  <c r="Y77" i="75" s="1"/>
  <c r="W78" i="75"/>
  <c r="X78" i="75" s="1"/>
  <c r="Y78" i="75" s="1"/>
  <c r="W91" i="75"/>
  <c r="X91" i="75" s="1"/>
  <c r="Y91" i="75" s="1"/>
  <c r="W75" i="75"/>
  <c r="F10" i="17"/>
  <c r="H10" i="17" s="1"/>
  <c r="J10" i="17" s="1"/>
  <c r="T63" i="38"/>
  <c r="U63" i="38" s="1"/>
  <c r="S75" i="38"/>
  <c r="T75" i="38" s="1"/>
  <c r="U75" i="38" s="1"/>
  <c r="S77" i="38"/>
  <c r="T77" i="38" s="1"/>
  <c r="U77" i="38" s="1"/>
  <c r="S78" i="38"/>
  <c r="T78" i="38" s="1"/>
  <c r="U78" i="38" s="1"/>
  <c r="S79" i="38"/>
  <c r="T79" i="38" s="1"/>
  <c r="U79" i="38" s="1"/>
  <c r="S76" i="38"/>
  <c r="T76" i="38" s="1"/>
  <c r="U76" i="38" s="1"/>
  <c r="G23" i="152"/>
  <c r="G26" i="152" s="1"/>
  <c r="P51" i="17"/>
  <c r="R51" i="17" s="1"/>
  <c r="T51" i="17" s="1"/>
  <c r="C9" i="57"/>
  <c r="D9" i="57" s="1"/>
  <c r="C23" i="57"/>
  <c r="D23" i="57" s="1"/>
  <c r="H23" i="57" s="1"/>
  <c r="Z11" i="17"/>
  <c r="AB11" i="17" s="1"/>
  <c r="C24" i="57" s="1"/>
  <c r="D24" i="57" s="1"/>
  <c r="H24" i="57" s="1"/>
  <c r="F102" i="75"/>
  <c r="L102" i="75" s="1"/>
  <c r="V102" i="75" s="1"/>
  <c r="R90" i="75"/>
  <c r="G103" i="36"/>
  <c r="K103" i="36" s="1"/>
  <c r="H98" i="77"/>
  <c r="N98" i="77" s="1"/>
  <c r="R86" i="75"/>
  <c r="W86" i="75" s="1"/>
  <c r="F98" i="75"/>
  <c r="L98" i="75" s="1"/>
  <c r="V98" i="75" s="1"/>
  <c r="N91" i="38"/>
  <c r="N89" i="38"/>
  <c r="X74" i="75"/>
  <c r="Y74" i="75" s="1"/>
  <c r="G98" i="36"/>
  <c r="K98" i="36" s="1"/>
  <c r="N90" i="38"/>
  <c r="N90" i="34"/>
  <c r="N91" i="34"/>
  <c r="N86" i="34"/>
  <c r="R88" i="75"/>
  <c r="F100" i="75"/>
  <c r="L100" i="75" s="1"/>
  <c r="V100" i="75" s="1"/>
  <c r="O90" i="76"/>
  <c r="S90" i="76" s="1"/>
  <c r="F102" i="76"/>
  <c r="F115" i="75"/>
  <c r="R103" i="75"/>
  <c r="N88" i="34"/>
  <c r="N88" i="38"/>
  <c r="N87" i="34"/>
  <c r="G99" i="36"/>
  <c r="K99" i="36" s="1"/>
  <c r="F101" i="76"/>
  <c r="O89" i="76"/>
  <c r="S89" i="76" s="1"/>
  <c r="O98" i="76"/>
  <c r="S98" i="76" s="1"/>
  <c r="F110" i="76"/>
  <c r="F122" i="76" s="1"/>
  <c r="O91" i="76"/>
  <c r="S91" i="76" s="1"/>
  <c r="F103" i="76"/>
  <c r="H99" i="77"/>
  <c r="N99" i="77" s="1"/>
  <c r="R89" i="75"/>
  <c r="F101" i="75"/>
  <c r="L101" i="75" s="1"/>
  <c r="V101" i="75" s="1"/>
  <c r="G113" i="36"/>
  <c r="N89" i="34"/>
  <c r="H101" i="77"/>
  <c r="N101" i="77" s="1"/>
  <c r="F99" i="75"/>
  <c r="L99" i="75" s="1"/>
  <c r="V99" i="75" s="1"/>
  <c r="R87" i="75"/>
  <c r="G102" i="36"/>
  <c r="K102" i="36" s="1"/>
  <c r="N86" i="38"/>
  <c r="H100" i="77"/>
  <c r="N100" i="77" s="1"/>
  <c r="N87" i="38"/>
  <c r="O87" i="76"/>
  <c r="S87" i="76" s="1"/>
  <c r="F99" i="76"/>
  <c r="H103" i="77"/>
  <c r="N103" i="77" s="1"/>
  <c r="O100" i="76"/>
  <c r="S100" i="76" s="1"/>
  <c r="F112" i="76"/>
  <c r="F124" i="76" s="1"/>
  <c r="O124" i="76" s="1"/>
  <c r="S124" i="76" s="1"/>
  <c r="BC87" i="36" l="1"/>
  <c r="BC90" i="36"/>
  <c r="BC101" i="36"/>
  <c r="BC88" i="36"/>
  <c r="BC86" i="36"/>
  <c r="BC91" i="36"/>
  <c r="Y98" i="36"/>
  <c r="BB98" i="36" s="1"/>
  <c r="L98" i="36"/>
  <c r="Y100" i="36"/>
  <c r="BB100" i="36" s="1"/>
  <c r="L100" i="36"/>
  <c r="Y99" i="36"/>
  <c r="BB99" i="36" s="1"/>
  <c r="L99" i="36"/>
  <c r="Y102" i="36"/>
  <c r="BB102" i="36" s="1"/>
  <c r="L102" i="36"/>
  <c r="Y103" i="36"/>
  <c r="BB103" i="36" s="1"/>
  <c r="L103" i="36"/>
  <c r="G112" i="36"/>
  <c r="K112" i="36" s="1"/>
  <c r="AT77" i="34"/>
  <c r="AT74" i="34"/>
  <c r="AU79" i="34"/>
  <c r="AU76" i="34"/>
  <c r="AU78" i="34"/>
  <c r="P11" i="17"/>
  <c r="R11" i="17" s="1"/>
  <c r="T11" i="17" s="1"/>
  <c r="AU75" i="34"/>
  <c r="AT75" i="34"/>
  <c r="S89" i="34"/>
  <c r="AU89" i="34" s="1"/>
  <c r="S88" i="34"/>
  <c r="AU88" i="34" s="1"/>
  <c r="S91" i="34"/>
  <c r="AT91" i="34" s="1"/>
  <c r="S86" i="34"/>
  <c r="AT86" i="34" s="1"/>
  <c r="S90" i="34"/>
  <c r="AU90" i="34" s="1"/>
  <c r="N114" i="77"/>
  <c r="O114" i="77" s="1"/>
  <c r="S87" i="34"/>
  <c r="AU87" i="34" s="1"/>
  <c r="T74" i="38"/>
  <c r="U74" i="38" s="1"/>
  <c r="AV74" i="38"/>
  <c r="AV79" i="38"/>
  <c r="AV76" i="38"/>
  <c r="AV77" i="38"/>
  <c r="AV75" i="38"/>
  <c r="AV78" i="38"/>
  <c r="AU79" i="38"/>
  <c r="AU76" i="38"/>
  <c r="AU75" i="38"/>
  <c r="AU78" i="38"/>
  <c r="AU77" i="38"/>
  <c r="S86" i="38"/>
  <c r="T86" i="38" s="1"/>
  <c r="U86" i="38" s="1"/>
  <c r="AE126" i="77"/>
  <c r="O126" i="77"/>
  <c r="AE100" i="77"/>
  <c r="O100" i="77"/>
  <c r="AE101" i="77"/>
  <c r="O101" i="77"/>
  <c r="AE103" i="77"/>
  <c r="O103" i="77"/>
  <c r="AE98" i="77"/>
  <c r="O98" i="77"/>
  <c r="AE99" i="77"/>
  <c r="O99" i="77"/>
  <c r="Z51" i="17"/>
  <c r="AB51" i="17" s="1"/>
  <c r="AD51" i="17" s="1"/>
  <c r="G125" i="36"/>
  <c r="K125" i="36" s="1"/>
  <c r="K113" i="36"/>
  <c r="F51" i="17"/>
  <c r="H51" i="17" s="1"/>
  <c r="J51" i="17" s="1"/>
  <c r="W88" i="75"/>
  <c r="X88" i="75" s="1"/>
  <c r="Y88" i="75" s="1"/>
  <c r="W87" i="75"/>
  <c r="X87" i="75" s="1"/>
  <c r="Y87" i="75" s="1"/>
  <c r="W90" i="75"/>
  <c r="X90" i="75" s="1"/>
  <c r="Y90" i="75" s="1"/>
  <c r="X75" i="75"/>
  <c r="Y75" i="75" s="1"/>
  <c r="W103" i="75"/>
  <c r="X103" i="75" s="1"/>
  <c r="Y103" i="75" s="1"/>
  <c r="W89" i="75"/>
  <c r="X89" i="75" s="1"/>
  <c r="Y89" i="75" s="1"/>
  <c r="F127" i="75"/>
  <c r="L127" i="75" s="1"/>
  <c r="V127" i="75" s="1"/>
  <c r="L115" i="75"/>
  <c r="V115" i="75" s="1"/>
  <c r="F11" i="17"/>
  <c r="H11" i="17" s="1"/>
  <c r="J11" i="17" s="1"/>
  <c r="S91" i="38"/>
  <c r="T91" i="38" s="1"/>
  <c r="U91" i="38" s="1"/>
  <c r="S89" i="38"/>
  <c r="T89" i="38" s="1"/>
  <c r="U89" i="38" s="1"/>
  <c r="S87" i="38"/>
  <c r="T87" i="38" s="1"/>
  <c r="U87" i="38" s="1"/>
  <c r="S88" i="38"/>
  <c r="AU88" i="38" s="1"/>
  <c r="S90" i="38"/>
  <c r="T90" i="38" s="1"/>
  <c r="U90" i="38" s="1"/>
  <c r="I23" i="152"/>
  <c r="I26" i="152" s="1"/>
  <c r="H23" i="152"/>
  <c r="H26" i="152" s="1"/>
  <c r="P52" i="17"/>
  <c r="R52" i="17" s="1"/>
  <c r="T52" i="17" s="1"/>
  <c r="F134" i="76"/>
  <c r="O122" i="76"/>
  <c r="S122" i="76" s="1"/>
  <c r="C10" i="57"/>
  <c r="D10" i="57" s="1"/>
  <c r="AD11" i="17"/>
  <c r="R100" i="75"/>
  <c r="F112" i="75"/>
  <c r="N101" i="38"/>
  <c r="O99" i="76"/>
  <c r="S99" i="76" s="1"/>
  <c r="F111" i="76"/>
  <c r="F123" i="76" s="1"/>
  <c r="O123" i="76" s="1"/>
  <c r="S123" i="76" s="1"/>
  <c r="N103" i="38"/>
  <c r="O101" i="76"/>
  <c r="S101" i="76" s="1"/>
  <c r="F113" i="76"/>
  <c r="F125" i="76" s="1"/>
  <c r="O125" i="76" s="1"/>
  <c r="S125" i="76" s="1"/>
  <c r="N98" i="34"/>
  <c r="F110" i="75"/>
  <c r="R98" i="75"/>
  <c r="W98" i="75" s="1"/>
  <c r="N103" i="34"/>
  <c r="X86" i="75"/>
  <c r="Y86" i="75" s="1"/>
  <c r="N99" i="38"/>
  <c r="N101" i="34"/>
  <c r="N99" i="34"/>
  <c r="G111" i="36"/>
  <c r="N102" i="34"/>
  <c r="H113" i="77"/>
  <c r="N100" i="38"/>
  <c r="N102" i="38"/>
  <c r="O110" i="76"/>
  <c r="S110" i="76" s="1"/>
  <c r="G114" i="36"/>
  <c r="F111" i="75"/>
  <c r="R99" i="75"/>
  <c r="H110" i="77"/>
  <c r="H111" i="77"/>
  <c r="G110" i="36"/>
  <c r="G115" i="36"/>
  <c r="H112" i="77"/>
  <c r="N98" i="38"/>
  <c r="Z12" i="17"/>
  <c r="AB12" i="17" s="1"/>
  <c r="H138" i="77"/>
  <c r="N138" i="77" s="1"/>
  <c r="O103" i="76"/>
  <c r="S103" i="76" s="1"/>
  <c r="F115" i="76"/>
  <c r="F127" i="76" s="1"/>
  <c r="O127" i="76" s="1"/>
  <c r="S127" i="76" s="1"/>
  <c r="R115" i="75"/>
  <c r="R101" i="75"/>
  <c r="F113" i="75"/>
  <c r="N100" i="34"/>
  <c r="O112" i="76"/>
  <c r="S112" i="76" s="1"/>
  <c r="H115" i="77"/>
  <c r="F114" i="76"/>
  <c r="F126" i="76" s="1"/>
  <c r="O126" i="76" s="1"/>
  <c r="S126" i="76" s="1"/>
  <c r="O102" i="76"/>
  <c r="S102" i="76" s="1"/>
  <c r="F114" i="75"/>
  <c r="R102" i="75"/>
  <c r="BC103" i="36" l="1"/>
  <c r="BC102" i="36"/>
  <c r="BC98" i="36"/>
  <c r="BC100" i="36"/>
  <c r="BC99" i="36"/>
  <c r="G124" i="36"/>
  <c r="K124" i="36" s="1"/>
  <c r="Y112" i="36"/>
  <c r="BB112" i="36" s="1"/>
  <c r="L112" i="36"/>
  <c r="Y125" i="36"/>
  <c r="BB125" i="36" s="1"/>
  <c r="L125" i="36"/>
  <c r="Y113" i="36"/>
  <c r="BB113" i="36" s="1"/>
  <c r="L113" i="36"/>
  <c r="AE114" i="77"/>
  <c r="AT90" i="34"/>
  <c r="AU86" i="34"/>
  <c r="AT88" i="34"/>
  <c r="AT89" i="34"/>
  <c r="AU91" i="34"/>
  <c r="P12" i="17"/>
  <c r="R12" i="17" s="1"/>
  <c r="T12" i="17" s="1"/>
  <c r="AT87" i="34"/>
  <c r="S103" i="34"/>
  <c r="AU103" i="34" s="1"/>
  <c r="S100" i="34"/>
  <c r="AT100" i="34" s="1"/>
  <c r="S98" i="34"/>
  <c r="AT98" i="34" s="1"/>
  <c r="S102" i="34"/>
  <c r="AT102" i="34" s="1"/>
  <c r="S99" i="34"/>
  <c r="AT99" i="34" s="1"/>
  <c r="S101" i="34"/>
  <c r="AT101" i="34" s="1"/>
  <c r="AV88" i="38"/>
  <c r="AV86" i="38"/>
  <c r="AV90" i="38"/>
  <c r="AV89" i="38"/>
  <c r="AV91" i="38"/>
  <c r="AV87" i="38"/>
  <c r="AU86" i="38"/>
  <c r="AU89" i="38"/>
  <c r="AU91" i="38"/>
  <c r="AU90" i="38"/>
  <c r="AU87" i="38"/>
  <c r="S98" i="38"/>
  <c r="T98" i="38" s="1"/>
  <c r="U98" i="38" s="1"/>
  <c r="AE138" i="77"/>
  <c r="O138" i="77"/>
  <c r="H123" i="77"/>
  <c r="N123" i="77" s="1"/>
  <c r="N111" i="77"/>
  <c r="H127" i="77"/>
  <c r="N127" i="77" s="1"/>
  <c r="N115" i="77"/>
  <c r="H125" i="77"/>
  <c r="N125" i="77" s="1"/>
  <c r="N113" i="77"/>
  <c r="H124" i="77"/>
  <c r="N124" i="77" s="1"/>
  <c r="N112" i="77"/>
  <c r="H122" i="77"/>
  <c r="N122" i="77" s="1"/>
  <c r="N110" i="77"/>
  <c r="Z52" i="17"/>
  <c r="AB52" i="17" s="1"/>
  <c r="AD52" i="17" s="1"/>
  <c r="G127" i="36"/>
  <c r="K127" i="36" s="1"/>
  <c r="K115" i="36"/>
  <c r="G123" i="36"/>
  <c r="K123" i="36" s="1"/>
  <c r="K111" i="36"/>
  <c r="G126" i="36"/>
  <c r="K126" i="36" s="1"/>
  <c r="K114" i="36"/>
  <c r="G122" i="36"/>
  <c r="K122" i="36" s="1"/>
  <c r="K110" i="36"/>
  <c r="R127" i="75"/>
  <c r="W127" i="75" s="1"/>
  <c r="X127" i="75" s="1"/>
  <c r="W102" i="75"/>
  <c r="X102" i="75" s="1"/>
  <c r="Y102" i="75" s="1"/>
  <c r="F52" i="17"/>
  <c r="H52" i="17" s="1"/>
  <c r="J52" i="17" s="1"/>
  <c r="W115" i="75"/>
  <c r="X115" i="75" s="1"/>
  <c r="Y115" i="75" s="1"/>
  <c r="W101" i="75"/>
  <c r="X101" i="75" s="1"/>
  <c r="Y101" i="75" s="1"/>
  <c r="W99" i="75"/>
  <c r="W100" i="75"/>
  <c r="X100" i="75" s="1"/>
  <c r="Y100" i="75" s="1"/>
  <c r="F125" i="75"/>
  <c r="L125" i="75" s="1"/>
  <c r="V125" i="75" s="1"/>
  <c r="L113" i="75"/>
  <c r="V113" i="75" s="1"/>
  <c r="F124" i="75"/>
  <c r="L124" i="75" s="1"/>
  <c r="V124" i="75" s="1"/>
  <c r="L112" i="75"/>
  <c r="V112" i="75" s="1"/>
  <c r="F123" i="75"/>
  <c r="L123" i="75" s="1"/>
  <c r="V123" i="75" s="1"/>
  <c r="L111" i="75"/>
  <c r="V111" i="75" s="1"/>
  <c r="F126" i="75"/>
  <c r="L126" i="75" s="1"/>
  <c r="V126" i="75" s="1"/>
  <c r="L114" i="75"/>
  <c r="V114" i="75" s="1"/>
  <c r="F122" i="75"/>
  <c r="L122" i="75" s="1"/>
  <c r="V122" i="75" s="1"/>
  <c r="L110" i="75"/>
  <c r="V110" i="75" s="1"/>
  <c r="F12" i="17"/>
  <c r="H12" i="17" s="1"/>
  <c r="J12" i="17" s="1"/>
  <c r="S103" i="38"/>
  <c r="T103" i="38" s="1"/>
  <c r="U103" i="38" s="1"/>
  <c r="S101" i="38"/>
  <c r="T101" i="38" s="1"/>
  <c r="U101" i="38" s="1"/>
  <c r="S99" i="38"/>
  <c r="T99" i="38" s="1"/>
  <c r="U99" i="38" s="1"/>
  <c r="S102" i="38"/>
  <c r="T102" i="38" s="1"/>
  <c r="U102" i="38" s="1"/>
  <c r="T88" i="38"/>
  <c r="U88" i="38" s="1"/>
  <c r="S100" i="38"/>
  <c r="T100" i="38" s="1"/>
  <c r="U100" i="38" s="1"/>
  <c r="P53" i="17"/>
  <c r="R53" i="17" s="1"/>
  <c r="T53" i="17" s="1"/>
  <c r="G137" i="36"/>
  <c r="K137" i="36" s="1"/>
  <c r="N115" i="34"/>
  <c r="O115" i="76"/>
  <c r="S115" i="76" s="1"/>
  <c r="R114" i="75"/>
  <c r="X98" i="75"/>
  <c r="Y98" i="75" s="1"/>
  <c r="R110" i="75"/>
  <c r="AD12" i="17"/>
  <c r="C11" i="57"/>
  <c r="D11" i="57" s="1"/>
  <c r="C25" i="57"/>
  <c r="D25" i="57" s="1"/>
  <c r="H25" i="57" s="1"/>
  <c r="O114" i="76"/>
  <c r="S114" i="76" s="1"/>
  <c r="N114" i="34"/>
  <c r="N110" i="34"/>
  <c r="O113" i="76"/>
  <c r="S113" i="76" s="1"/>
  <c r="R111" i="75"/>
  <c r="N110" i="38"/>
  <c r="F136" i="76"/>
  <c r="N111" i="34"/>
  <c r="N115" i="38"/>
  <c r="N113" i="34"/>
  <c r="O111" i="76"/>
  <c r="S111" i="76" s="1"/>
  <c r="N112" i="34"/>
  <c r="Z13" i="17"/>
  <c r="AB13" i="17" s="1"/>
  <c r="N114" i="38"/>
  <c r="N111" i="38"/>
  <c r="N113" i="38"/>
  <c r="F139" i="75"/>
  <c r="N112" i="38"/>
  <c r="R112" i="75"/>
  <c r="R113" i="75"/>
  <c r="BC112" i="36" l="1"/>
  <c r="BC113" i="36"/>
  <c r="BC125" i="36"/>
  <c r="L124" i="36"/>
  <c r="Y124" i="36"/>
  <c r="BB124" i="36" s="1"/>
  <c r="G136" i="36"/>
  <c r="K136" i="36" s="1"/>
  <c r="Y127" i="36"/>
  <c r="BB127" i="36" s="1"/>
  <c r="L127" i="36"/>
  <c r="Y114" i="36"/>
  <c r="BB114" i="36" s="1"/>
  <c r="L114" i="36"/>
  <c r="Y110" i="36"/>
  <c r="BB110" i="36" s="1"/>
  <c r="L110" i="36"/>
  <c r="Y111" i="36"/>
  <c r="BB111" i="36" s="1"/>
  <c r="L111" i="36"/>
  <c r="Y123" i="36"/>
  <c r="BB123" i="36" s="1"/>
  <c r="L123" i="36"/>
  <c r="Y122" i="36"/>
  <c r="BB122" i="36" s="1"/>
  <c r="L122" i="36"/>
  <c r="Y126" i="36"/>
  <c r="BB126" i="36" s="1"/>
  <c r="L126" i="36"/>
  <c r="Y137" i="36"/>
  <c r="BB137" i="36" s="1"/>
  <c r="L137" i="36"/>
  <c r="Y115" i="36"/>
  <c r="BB115" i="36" s="1"/>
  <c r="L115" i="36"/>
  <c r="AU100" i="34"/>
  <c r="AU99" i="34"/>
  <c r="AU101" i="34"/>
  <c r="AT103" i="34"/>
  <c r="AU98" i="34"/>
  <c r="AU102" i="34"/>
  <c r="P13" i="17"/>
  <c r="R13" i="17" s="1"/>
  <c r="T13" i="17" s="1"/>
  <c r="S112" i="34"/>
  <c r="AU112" i="34" s="1"/>
  <c r="S113" i="34"/>
  <c r="AU113" i="34" s="1"/>
  <c r="S111" i="34"/>
  <c r="AU111" i="34" s="1"/>
  <c r="S115" i="34"/>
  <c r="AT115" i="34" s="1"/>
  <c r="S110" i="34"/>
  <c r="AT110" i="34" s="1"/>
  <c r="S114" i="34"/>
  <c r="AT114" i="34" s="1"/>
  <c r="AV103" i="38"/>
  <c r="AV98" i="38"/>
  <c r="AV99" i="38"/>
  <c r="AV102" i="38"/>
  <c r="AV100" i="38"/>
  <c r="AV101" i="38"/>
  <c r="AU98" i="38"/>
  <c r="AU102" i="38"/>
  <c r="AU103" i="38"/>
  <c r="AU100" i="38"/>
  <c r="AU99" i="38"/>
  <c r="AU101" i="38"/>
  <c r="S110" i="38"/>
  <c r="AU110" i="38" s="1"/>
  <c r="AE124" i="77"/>
  <c r="O124" i="77"/>
  <c r="AE125" i="77"/>
  <c r="O125" i="77"/>
  <c r="AE127" i="77"/>
  <c r="O127" i="77"/>
  <c r="AE123" i="77"/>
  <c r="O123" i="77"/>
  <c r="AE122" i="77"/>
  <c r="O122" i="77"/>
  <c r="AE110" i="77"/>
  <c r="O110" i="77"/>
  <c r="AE112" i="77"/>
  <c r="O112" i="77"/>
  <c r="AE113" i="77"/>
  <c r="O113" i="77"/>
  <c r="AE115" i="77"/>
  <c r="O115" i="77"/>
  <c r="AE111" i="77"/>
  <c r="O111" i="77"/>
  <c r="Z53" i="17"/>
  <c r="AB53" i="17" s="1"/>
  <c r="AD53" i="17" s="1"/>
  <c r="W110" i="75"/>
  <c r="X110" i="75" s="1"/>
  <c r="Y110" i="75" s="1"/>
  <c r="F53" i="17"/>
  <c r="H53" i="17" s="1"/>
  <c r="J53" i="17" s="1"/>
  <c r="W112" i="75"/>
  <c r="X112" i="75" s="1"/>
  <c r="Y112" i="75" s="1"/>
  <c r="W111" i="75"/>
  <c r="X111" i="75" s="1"/>
  <c r="Y111" i="75" s="1"/>
  <c r="R124" i="75"/>
  <c r="W124" i="75" s="1"/>
  <c r="X124" i="75" s="1"/>
  <c r="X99" i="75"/>
  <c r="Y99" i="75" s="1"/>
  <c r="R125" i="75"/>
  <c r="W114" i="75"/>
  <c r="X114" i="75" s="1"/>
  <c r="Y114" i="75" s="1"/>
  <c r="R123" i="75"/>
  <c r="W113" i="75"/>
  <c r="X113" i="75" s="1"/>
  <c r="Y113" i="75" s="1"/>
  <c r="R122" i="75"/>
  <c r="W122" i="75" s="1"/>
  <c r="X122" i="75" s="1"/>
  <c r="L139" i="75"/>
  <c r="V139" i="75" s="1"/>
  <c r="R126" i="75"/>
  <c r="S115" i="38"/>
  <c r="T115" i="38" s="1"/>
  <c r="U115" i="38" s="1"/>
  <c r="S113" i="38"/>
  <c r="T113" i="38" s="1"/>
  <c r="U113" i="38" s="1"/>
  <c r="S112" i="38"/>
  <c r="T112" i="38" s="1"/>
  <c r="U112" i="38" s="1"/>
  <c r="F13" i="17"/>
  <c r="H13" i="17" s="1"/>
  <c r="J13" i="17" s="1"/>
  <c r="S111" i="38"/>
  <c r="AU111" i="38" s="1"/>
  <c r="S114" i="38"/>
  <c r="T114" i="38" s="1"/>
  <c r="U114" i="38" s="1"/>
  <c r="J23" i="152"/>
  <c r="P54" i="17"/>
  <c r="R54" i="17" s="1"/>
  <c r="T54" i="17" s="1"/>
  <c r="H134" i="77"/>
  <c r="N134" i="77" s="1"/>
  <c r="F138" i="76"/>
  <c r="N124" i="38"/>
  <c r="H135" i="77"/>
  <c r="N135" i="77" s="1"/>
  <c r="N124" i="34"/>
  <c r="F135" i="75"/>
  <c r="R139" i="75"/>
  <c r="F135" i="76"/>
  <c r="H136" i="77"/>
  <c r="N136" i="77" s="1"/>
  <c r="F138" i="75"/>
  <c r="F137" i="76"/>
  <c r="F139" i="76"/>
  <c r="G134" i="36"/>
  <c r="K134" i="36" s="1"/>
  <c r="N127" i="38"/>
  <c r="F134" i="75"/>
  <c r="H139" i="77"/>
  <c r="N139" i="77" s="1"/>
  <c r="N122" i="38"/>
  <c r="G139" i="36"/>
  <c r="K139" i="36" s="1"/>
  <c r="G135" i="36"/>
  <c r="K135" i="36" s="1"/>
  <c r="N127" i="34"/>
  <c r="N125" i="38"/>
  <c r="N122" i="34"/>
  <c r="N123" i="38"/>
  <c r="G138" i="36"/>
  <c r="K138" i="36" s="1"/>
  <c r="C12" i="57"/>
  <c r="C26" i="57"/>
  <c r="D26" i="57" s="1"/>
  <c r="H26" i="57" s="1"/>
  <c r="AD13" i="17"/>
  <c r="N125" i="34"/>
  <c r="F137" i="75"/>
  <c r="O136" i="76"/>
  <c r="S136" i="76" s="1"/>
  <c r="H137" i="77"/>
  <c r="N137" i="77" s="1"/>
  <c r="N123" i="34"/>
  <c r="O134" i="76"/>
  <c r="S134" i="76" s="1"/>
  <c r="N126" i="34"/>
  <c r="F136" i="75"/>
  <c r="N126" i="38"/>
  <c r="BB147" i="36" l="1"/>
  <c r="BC127" i="36"/>
  <c r="BC115" i="36"/>
  <c r="BC137" i="36"/>
  <c r="BC111" i="36"/>
  <c r="BC122" i="36"/>
  <c r="BC126" i="36"/>
  <c r="BC110" i="36"/>
  <c r="BC124" i="36"/>
  <c r="BC123" i="36"/>
  <c r="BC114" i="36"/>
  <c r="L136" i="36"/>
  <c r="Y136" i="36"/>
  <c r="BB136" i="36" s="1"/>
  <c r="Y138" i="36"/>
  <c r="BB138" i="36" s="1"/>
  <c r="L138" i="36"/>
  <c r="Y135" i="36"/>
  <c r="BB135" i="36" s="1"/>
  <c r="L135" i="36"/>
  <c r="Y139" i="36"/>
  <c r="BB139" i="36" s="1"/>
  <c r="L139" i="36"/>
  <c r="Y134" i="36"/>
  <c r="BB134" i="36" s="1"/>
  <c r="L134" i="36"/>
  <c r="AT111" i="34"/>
  <c r="AT113" i="34"/>
  <c r="AU110" i="34"/>
  <c r="AU114" i="34"/>
  <c r="AT112" i="34"/>
  <c r="AU115" i="34"/>
  <c r="S125" i="34"/>
  <c r="AU125" i="34" s="1"/>
  <c r="S122" i="34"/>
  <c r="AU122" i="34" s="1"/>
  <c r="S126" i="34"/>
  <c r="AU126" i="34" s="1"/>
  <c r="S123" i="34"/>
  <c r="AU123" i="34" s="1"/>
  <c r="S124" i="34"/>
  <c r="AT124" i="34" s="1"/>
  <c r="S127" i="34"/>
  <c r="AU127" i="34" s="1"/>
  <c r="AV115" i="38"/>
  <c r="AV112" i="38"/>
  <c r="AV111" i="38"/>
  <c r="AV114" i="38"/>
  <c r="AV113" i="38"/>
  <c r="AV110" i="38"/>
  <c r="T110" i="38"/>
  <c r="U110" i="38" s="1"/>
  <c r="AU115" i="38"/>
  <c r="AU114" i="38"/>
  <c r="AU113" i="38"/>
  <c r="AU112" i="38"/>
  <c r="S122" i="38"/>
  <c r="T122" i="38" s="1"/>
  <c r="AE134" i="77"/>
  <c r="O134" i="77"/>
  <c r="AE139" i="77"/>
  <c r="O139" i="77"/>
  <c r="AE137" i="77"/>
  <c r="O137" i="77"/>
  <c r="AE136" i="77"/>
  <c r="O136" i="77"/>
  <c r="AE135" i="77"/>
  <c r="O135" i="77"/>
  <c r="Z54" i="17"/>
  <c r="AB54" i="17" s="1"/>
  <c r="AD54" i="17" s="1"/>
  <c r="W126" i="75"/>
  <c r="X126" i="75" s="1"/>
  <c r="W123" i="75"/>
  <c r="X123" i="75" s="1"/>
  <c r="F54" i="17"/>
  <c r="H54" i="17" s="1"/>
  <c r="J54" i="17" s="1"/>
  <c r="W125" i="75"/>
  <c r="X125" i="75" s="1"/>
  <c r="W139" i="75"/>
  <c r="X139" i="75" s="1"/>
  <c r="L137" i="75"/>
  <c r="V137" i="75" s="1"/>
  <c r="L138" i="75"/>
  <c r="V138" i="75" s="1"/>
  <c r="L135" i="75"/>
  <c r="V135" i="75" s="1"/>
  <c r="L136" i="75"/>
  <c r="V136" i="75" s="1"/>
  <c r="L134" i="75"/>
  <c r="V134" i="75" s="1"/>
  <c r="F14" i="17"/>
  <c r="H14" i="17" s="1"/>
  <c r="J14" i="17" s="1"/>
  <c r="T111" i="38"/>
  <c r="U111" i="38" s="1"/>
  <c r="S126" i="38"/>
  <c r="T126" i="38" s="1"/>
  <c r="S123" i="38"/>
  <c r="T123" i="38" s="1"/>
  <c r="S127" i="38"/>
  <c r="T127" i="38" s="1"/>
  <c r="S124" i="38"/>
  <c r="T124" i="38" s="1"/>
  <c r="S125" i="38"/>
  <c r="AU125" i="38" s="1"/>
  <c r="K23" i="152"/>
  <c r="Q12" i="152"/>
  <c r="Q15" i="152" s="1"/>
  <c r="J26" i="152"/>
  <c r="P55" i="17"/>
  <c r="R55" i="17" s="1"/>
  <c r="T55" i="17" s="1"/>
  <c r="N139" i="38"/>
  <c r="R135" i="75"/>
  <c r="N139" i="34"/>
  <c r="Z15" i="17"/>
  <c r="AB15" i="17" s="1"/>
  <c r="AD15" i="17" s="1"/>
  <c r="N136" i="34"/>
  <c r="D12" i="57"/>
  <c r="O139" i="76"/>
  <c r="S139" i="76" s="1"/>
  <c r="N135" i="34"/>
  <c r="O137" i="76"/>
  <c r="S137" i="76" s="1"/>
  <c r="N136" i="38"/>
  <c r="N134" i="38"/>
  <c r="R138" i="75"/>
  <c r="N134" i="34"/>
  <c r="N137" i="38"/>
  <c r="O138" i="76"/>
  <c r="S138" i="76" s="1"/>
  <c r="N138" i="38"/>
  <c r="N138" i="34"/>
  <c r="R134" i="75"/>
  <c r="R137" i="75"/>
  <c r="O135" i="76"/>
  <c r="S135" i="76" s="1"/>
  <c r="N135" i="38"/>
  <c r="R136" i="75"/>
  <c r="N137" i="34"/>
  <c r="BB148" i="36" l="1"/>
  <c r="BC147" i="36"/>
  <c r="BC135" i="36"/>
  <c r="BC134" i="36"/>
  <c r="BC139" i="36"/>
  <c r="BC138" i="36"/>
  <c r="BC136" i="36"/>
  <c r="AT126" i="34"/>
  <c r="AT123" i="34"/>
  <c r="AT122" i="34"/>
  <c r="AU124" i="34"/>
  <c r="AU147" i="34" s="1"/>
  <c r="AT125" i="34"/>
  <c r="P15" i="17"/>
  <c r="R15" i="17" s="1"/>
  <c r="T15" i="17" s="1"/>
  <c r="N4" i="25" s="1"/>
  <c r="W5" i="25" s="1"/>
  <c r="AT127" i="34"/>
  <c r="S136" i="34"/>
  <c r="AU136" i="34" s="1"/>
  <c r="S135" i="34"/>
  <c r="AU135" i="34" s="1"/>
  <c r="S139" i="34"/>
  <c r="AT139" i="34" s="1"/>
  <c r="S138" i="34"/>
  <c r="AT138" i="34" s="1"/>
  <c r="S137" i="34"/>
  <c r="AT137" i="34" s="1"/>
  <c r="S134" i="34"/>
  <c r="AT134" i="34" s="1"/>
  <c r="AV122" i="38"/>
  <c r="AV124" i="38"/>
  <c r="AV126" i="38"/>
  <c r="AV125" i="38"/>
  <c r="AV123" i="38"/>
  <c r="AV127" i="38"/>
  <c r="AU126" i="38"/>
  <c r="AU123" i="38"/>
  <c r="AU122" i="38"/>
  <c r="AU127" i="38"/>
  <c r="AU124" i="38"/>
  <c r="S135" i="38"/>
  <c r="AU135" i="38" s="1"/>
  <c r="S134" i="38"/>
  <c r="T134" i="38" s="1"/>
  <c r="C20" i="73"/>
  <c r="C14" i="57"/>
  <c r="C33" i="57" s="1"/>
  <c r="F55" i="17"/>
  <c r="H55" i="17" s="1"/>
  <c r="J55" i="17" s="1"/>
  <c r="M3" i="152" s="1"/>
  <c r="T4" i="152" s="1"/>
  <c r="M3" i="25"/>
  <c r="W134" i="75"/>
  <c r="X134" i="75" s="1"/>
  <c r="W137" i="75"/>
  <c r="X137" i="75" s="1"/>
  <c r="W136" i="75"/>
  <c r="X136" i="75" s="1"/>
  <c r="W138" i="75"/>
  <c r="X138" i="75" s="1"/>
  <c r="W135" i="75"/>
  <c r="X135" i="75" s="1"/>
  <c r="F15" i="17"/>
  <c r="H15" i="17" s="1"/>
  <c r="J15" i="17" s="1"/>
  <c r="S138" i="38"/>
  <c r="T138" i="38" s="1"/>
  <c r="S137" i="38"/>
  <c r="T137" i="38" s="1"/>
  <c r="T125" i="38"/>
  <c r="S139" i="38"/>
  <c r="T139" i="38" s="1"/>
  <c r="S136" i="38"/>
  <c r="T136" i="38" s="1"/>
  <c r="R12" i="152"/>
  <c r="R15" i="152" s="1"/>
  <c r="K26" i="152"/>
  <c r="M4" i="152"/>
  <c r="T5" i="152" s="1"/>
  <c r="P56" i="17"/>
  <c r="R56" i="17" s="1"/>
  <c r="T56" i="17" s="1"/>
  <c r="N4" i="152" s="1"/>
  <c r="K18" i="25"/>
  <c r="K16" i="25"/>
  <c r="Z14" i="17"/>
  <c r="Z16" i="17"/>
  <c r="P14" i="17"/>
  <c r="R14" i="17" s="1"/>
  <c r="T14" i="17" s="1"/>
  <c r="C28" i="57"/>
  <c r="D28" i="57" s="1"/>
  <c r="H28" i="57" s="1"/>
  <c r="C19" i="24"/>
  <c r="D19" i="24" s="1"/>
  <c r="H19" i="24" s="1"/>
  <c r="BC148" i="36" l="1"/>
  <c r="AV147" i="38"/>
  <c r="AU147" i="38"/>
  <c r="AT147" i="34"/>
  <c r="AT135" i="34"/>
  <c r="AU134" i="34"/>
  <c r="AT136" i="34"/>
  <c r="AU139" i="34"/>
  <c r="AU138" i="34"/>
  <c r="AU137" i="34"/>
  <c r="P16" i="17"/>
  <c r="R16" i="17" s="1"/>
  <c r="T16" i="17" s="1"/>
  <c r="O4" i="25" s="1"/>
  <c r="AV134" i="38"/>
  <c r="AV136" i="38"/>
  <c r="AV135" i="38"/>
  <c r="AV137" i="38"/>
  <c r="AV139" i="38"/>
  <c r="AV138" i="38"/>
  <c r="AU139" i="38"/>
  <c r="AU134" i="38"/>
  <c r="AU138" i="38"/>
  <c r="AU137" i="38"/>
  <c r="T135" i="38"/>
  <c r="AU136" i="38"/>
  <c r="C34" i="57"/>
  <c r="D14" i="57"/>
  <c r="D33" i="57" s="1"/>
  <c r="E33" i="57" s="1"/>
  <c r="AB16" i="17"/>
  <c r="AD16" i="17" s="1"/>
  <c r="AB14" i="17"/>
  <c r="C13" i="57" s="1"/>
  <c r="D13" i="57" s="1"/>
  <c r="M14" i="153"/>
  <c r="Z55" i="17"/>
  <c r="AB55" i="17" s="1"/>
  <c r="AD55" i="17" s="1"/>
  <c r="M5" i="152" s="1"/>
  <c r="Z56" i="17"/>
  <c r="AB56" i="17" s="1"/>
  <c r="AD56" i="17" s="1"/>
  <c r="N5" i="152" s="1"/>
  <c r="N3" i="25"/>
  <c r="F56" i="17"/>
  <c r="H56" i="17" s="1"/>
  <c r="J56" i="17" s="1"/>
  <c r="N3" i="152" s="1"/>
  <c r="F16" i="17"/>
  <c r="H16" i="17" s="1"/>
  <c r="J16" i="17" s="1"/>
  <c r="M23" i="152"/>
  <c r="C14" i="152"/>
  <c r="E14" i="152" s="1"/>
  <c r="J14" i="152" s="1"/>
  <c r="N23" i="25"/>
  <c r="N5" i="25"/>
  <c r="M4" i="25"/>
  <c r="F20" i="73"/>
  <c r="F22" i="73" s="1"/>
  <c r="AV148" i="38" l="1"/>
  <c r="AU148" i="38"/>
  <c r="AU148" i="34"/>
  <c r="AT148" i="34"/>
  <c r="D34" i="57"/>
  <c r="E34" i="57" s="1"/>
  <c r="C20" i="24"/>
  <c r="D20" i="24" s="1"/>
  <c r="C29" i="57"/>
  <c r="D29" i="57" s="1"/>
  <c r="C27" i="57"/>
  <c r="D27" i="57" s="1"/>
  <c r="H27" i="57" s="1"/>
  <c r="L23" i="152" s="1"/>
  <c r="AD14" i="17"/>
  <c r="M20" i="73" s="1"/>
  <c r="C18" i="24"/>
  <c r="D18" i="24" s="1"/>
  <c r="H18" i="24" s="1"/>
  <c r="M23" i="25" s="1"/>
  <c r="M15" i="153"/>
  <c r="W6" i="25"/>
  <c r="M13" i="153"/>
  <c r="W4" i="25"/>
  <c r="T6" i="152"/>
  <c r="T10" i="152" s="1"/>
  <c r="N26" i="25"/>
  <c r="N9" i="25"/>
  <c r="O3" i="25"/>
  <c r="C48" i="152"/>
  <c r="H14" i="152"/>
  <c r="U5" i="152" s="1"/>
  <c r="M26" i="152"/>
  <c r="M9" i="152"/>
  <c r="C13" i="152"/>
  <c r="O5" i="25"/>
  <c r="C15" i="152"/>
  <c r="E15" i="152" s="1"/>
  <c r="C14" i="25"/>
  <c r="H20" i="73"/>
  <c r="C22" i="73"/>
  <c r="E20" i="73"/>
  <c r="M5" i="25" l="1"/>
  <c r="M9" i="25" s="1"/>
  <c r="E14" i="25"/>
  <c r="N14" i="153" s="1"/>
  <c r="M19" i="153"/>
  <c r="W10" i="25"/>
  <c r="C15" i="25"/>
  <c r="C13" i="25"/>
  <c r="S12" i="152"/>
  <c r="S15" i="152" s="1"/>
  <c r="L26" i="152"/>
  <c r="J15" i="152"/>
  <c r="H15" i="152"/>
  <c r="U6" i="152" s="1"/>
  <c r="C49" i="152"/>
  <c r="N9" i="152"/>
  <c r="O9" i="25"/>
  <c r="E13" i="152"/>
  <c r="C19" i="152"/>
  <c r="M26" i="25"/>
  <c r="J20" i="73"/>
  <c r="H22" i="73"/>
  <c r="E22" i="73"/>
  <c r="G20" i="73"/>
  <c r="H14" i="25" l="1"/>
  <c r="X5" i="25" s="1"/>
  <c r="C4" i="153"/>
  <c r="J14" i="25"/>
  <c r="C48" i="25"/>
  <c r="K14" i="25"/>
  <c r="E15" i="25"/>
  <c r="C49" i="25" s="1"/>
  <c r="C19" i="25"/>
  <c r="E13" i="25"/>
  <c r="J13" i="25" s="1"/>
  <c r="E19" i="152"/>
  <c r="J13" i="152"/>
  <c r="C47" i="152"/>
  <c r="H13" i="152"/>
  <c r="J22" i="73"/>
  <c r="G22" i="73"/>
  <c r="N20" i="73"/>
  <c r="AR31" i="4"/>
  <c r="AT31" i="4"/>
  <c r="AS31" i="4"/>
  <c r="AQ31" i="4"/>
  <c r="AU31" i="4"/>
  <c r="AP31" i="4"/>
  <c r="C60" i="25" l="1"/>
  <c r="C70" i="25"/>
  <c r="AQ32" i="4"/>
  <c r="AP46" i="4" s="1"/>
  <c r="AU46" i="4"/>
  <c r="AT46" i="4"/>
  <c r="AS32" i="4"/>
  <c r="AP48" i="4" s="1"/>
  <c r="AT48" i="4"/>
  <c r="AU48" i="4"/>
  <c r="AT32" i="4"/>
  <c r="AP49" i="4" s="1"/>
  <c r="AU49" i="4"/>
  <c r="AT49" i="4"/>
  <c r="AP32" i="4"/>
  <c r="AP45" i="4" s="1"/>
  <c r="AU45" i="4"/>
  <c r="AT45" i="4"/>
  <c r="AV31" i="4"/>
  <c r="AU32" i="4"/>
  <c r="AP50" i="4" s="1"/>
  <c r="AT50" i="4"/>
  <c r="AU50" i="4"/>
  <c r="AR32" i="4"/>
  <c r="AP47" i="4" s="1"/>
  <c r="AT47" i="4"/>
  <c r="AU47" i="4"/>
  <c r="H15" i="25"/>
  <c r="X6" i="25" s="1"/>
  <c r="N15" i="153"/>
  <c r="K15" i="25"/>
  <c r="J15" i="25"/>
  <c r="M23" i="153"/>
  <c r="T12" i="152"/>
  <c r="T15" i="152" s="1"/>
  <c r="K13" i="25"/>
  <c r="N13" i="153"/>
  <c r="C47" i="25"/>
  <c r="E19" i="25"/>
  <c r="K19" i="25" s="1"/>
  <c r="H13" i="25"/>
  <c r="X4" i="25" s="1"/>
  <c r="C53" i="152"/>
  <c r="H19" i="152"/>
  <c r="U4" i="152"/>
  <c r="U10" i="152" s="1"/>
  <c r="W12" i="25"/>
  <c r="W15" i="25" s="1"/>
  <c r="J19" i="152"/>
  <c r="AV32" i="4" l="1"/>
  <c r="C53" i="25"/>
  <c r="M26" i="153"/>
  <c r="C5" i="153"/>
  <c r="X10" i="25"/>
  <c r="H19" i="25"/>
  <c r="C3" i="153"/>
  <c r="N19" i="153"/>
  <c r="J19" i="25"/>
  <c r="C9" i="153" l="1"/>
  <c r="P67" i="151" l="1"/>
  <c r="P35" i="151"/>
  <c r="P24" i="151" s="1"/>
  <c r="P144" i="151" l="1"/>
  <c r="P156" i="151" s="1"/>
  <c r="P51" i="151"/>
  <c r="P169" i="151"/>
  <c r="P65" i="151"/>
  <c r="P159" i="151" s="1"/>
  <c r="P46" i="151"/>
  <c r="P56" i="151"/>
  <c r="P176" i="151" s="1"/>
  <c r="Q35" i="151"/>
  <c r="Q67" i="151"/>
  <c r="P52" i="151"/>
  <c r="P54" i="151"/>
  <c r="P43" i="151"/>
  <c r="P171" i="151" s="1"/>
  <c r="P27" i="151"/>
  <c r="P177" i="151" s="1"/>
  <c r="P25" i="151"/>
  <c r="P59" i="151"/>
  <c r="P19" i="151"/>
  <c r="P14" i="151"/>
  <c r="P33" i="151"/>
  <c r="P140" i="151" s="1"/>
  <c r="P162" i="151" l="1"/>
  <c r="P173" i="151"/>
  <c r="P142" i="151"/>
  <c r="P154" i="151" s="1"/>
  <c r="L176" i="151"/>
  <c r="P57" i="151"/>
  <c r="P60" i="151" s="1"/>
  <c r="P163" i="151"/>
  <c r="P174" i="151"/>
  <c r="P161" i="151"/>
  <c r="P172" i="151"/>
  <c r="N176" i="151"/>
  <c r="P143" i="151"/>
  <c r="P155" i="151" s="1"/>
  <c r="P49" i="151"/>
  <c r="P47" i="151"/>
  <c r="P50" i="151" s="1"/>
  <c r="P15" i="151"/>
  <c r="P17" i="151"/>
  <c r="L177" i="151" s="1"/>
  <c r="P11" i="151"/>
  <c r="P153" i="151" s="1"/>
  <c r="R35" i="151"/>
  <c r="R67" i="151"/>
  <c r="P22" i="151"/>
  <c r="N177" i="151" s="1"/>
  <c r="P20" i="151"/>
  <c r="N178" i="151" s="1"/>
  <c r="P28" i="151"/>
  <c r="Q25" i="151"/>
  <c r="P64" i="151"/>
  <c r="P158" i="151" s="1"/>
  <c r="P44" i="151"/>
  <c r="P55" i="151"/>
  <c r="Q46" i="151"/>
  <c r="Q56" i="151"/>
  <c r="Q65" i="151"/>
  <c r="Q51" i="151"/>
  <c r="Q54" i="151" s="1"/>
  <c r="Q19" i="151"/>
  <c r="Q22" i="151" s="1"/>
  <c r="Q14" i="151"/>
  <c r="Q33" i="151"/>
  <c r="Q24" i="151"/>
  <c r="Q27" i="151" s="1"/>
  <c r="L178" i="151" l="1"/>
  <c r="P178" i="151"/>
  <c r="P106" i="151"/>
  <c r="P179" i="151"/>
  <c r="Q28" i="151"/>
  <c r="P23" i="151"/>
  <c r="N179" i="151" s="1"/>
  <c r="Q20" i="151"/>
  <c r="S67" i="151"/>
  <c r="S35" i="151"/>
  <c r="R65" i="151"/>
  <c r="R56" i="151"/>
  <c r="R59" i="151" s="1"/>
  <c r="R51" i="151"/>
  <c r="R54" i="151" s="1"/>
  <c r="R46" i="151"/>
  <c r="R24" i="151"/>
  <c r="R27" i="151" s="1"/>
  <c r="R14" i="151"/>
  <c r="R19" i="151"/>
  <c r="R22" i="151" s="1"/>
  <c r="R33" i="151"/>
  <c r="P107" i="151"/>
  <c r="P112" i="151" s="1"/>
  <c r="Q11" i="151"/>
  <c r="Q32" i="151" s="1"/>
  <c r="Q17" i="151"/>
  <c r="P105" i="151"/>
  <c r="Q59" i="151"/>
  <c r="Q57" i="151"/>
  <c r="P12" i="151"/>
  <c r="P32" i="151"/>
  <c r="P139" i="151" s="1"/>
  <c r="Q43" i="151"/>
  <c r="Q64" i="151" s="1"/>
  <c r="Q49" i="151"/>
  <c r="Q47" i="151"/>
  <c r="Q52" i="151"/>
  <c r="P127" i="151"/>
  <c r="P128" i="151"/>
  <c r="P126" i="151"/>
  <c r="P18" i="151"/>
  <c r="L179" i="151" s="1"/>
  <c r="Q15" i="151"/>
  <c r="P108" i="151" l="1"/>
  <c r="Q12" i="151"/>
  <c r="P96" i="151"/>
  <c r="P117" i="151" s="1"/>
  <c r="P122" i="151" s="1"/>
  <c r="P95" i="151"/>
  <c r="P97" i="151"/>
  <c r="S65" i="151"/>
  <c r="S56" i="151"/>
  <c r="S59" i="151" s="1"/>
  <c r="S51" i="151"/>
  <c r="S54" i="151" s="1"/>
  <c r="S46" i="151"/>
  <c r="R52" i="151"/>
  <c r="Q55" i="151"/>
  <c r="R47" i="151"/>
  <c r="Q50" i="151"/>
  <c r="R12" i="151"/>
  <c r="Q60" i="151"/>
  <c r="R57" i="151"/>
  <c r="Q23" i="151"/>
  <c r="R20" i="151"/>
  <c r="R11" i="151"/>
  <c r="R32" i="151" s="1"/>
  <c r="R17" i="151"/>
  <c r="R43" i="151"/>
  <c r="R64" i="151" s="1"/>
  <c r="R49" i="151"/>
  <c r="T35" i="151"/>
  <c r="T67" i="151"/>
  <c r="S14" i="151"/>
  <c r="S33" i="151"/>
  <c r="S19" i="151"/>
  <c r="S22" i="151" s="1"/>
  <c r="S24" i="151"/>
  <c r="S27" i="151" s="1"/>
  <c r="R25" i="151"/>
  <c r="Q18" i="151"/>
  <c r="R15" i="151"/>
  <c r="Q44" i="151"/>
  <c r="R44" i="151" l="1"/>
  <c r="S15" i="151"/>
  <c r="R18" i="151"/>
  <c r="U67" i="151"/>
  <c r="U35" i="151"/>
  <c r="T46" i="151"/>
  <c r="T51" i="151"/>
  <c r="T54" i="151" s="1"/>
  <c r="T56" i="151"/>
  <c r="T59" i="151" s="1"/>
  <c r="T65" i="151"/>
  <c r="P118" i="151"/>
  <c r="P123" i="151" s="1"/>
  <c r="P102" i="151"/>
  <c r="P131" i="151" s="1"/>
  <c r="S25" i="151"/>
  <c r="R28" i="151"/>
  <c r="S17" i="151"/>
  <c r="S11" i="151"/>
  <c r="S32" i="151" s="1"/>
  <c r="R55" i="151"/>
  <c r="S52" i="151"/>
  <c r="T19" i="151"/>
  <c r="T22" i="151" s="1"/>
  <c r="T24" i="151"/>
  <c r="T27" i="151" s="1"/>
  <c r="T14" i="151"/>
  <c r="T33" i="151"/>
  <c r="P116" i="151"/>
  <c r="P121" i="151" s="1"/>
  <c r="P98" i="151"/>
  <c r="R23" i="151"/>
  <c r="S20" i="151"/>
  <c r="R60" i="151"/>
  <c r="S57" i="151"/>
  <c r="R50" i="151"/>
  <c r="S47" i="151"/>
  <c r="S43" i="151"/>
  <c r="S64" i="151" s="1"/>
  <c r="S49" i="151"/>
  <c r="S12" i="151" l="1"/>
  <c r="S50" i="151"/>
  <c r="T47" i="151"/>
  <c r="P134" i="151"/>
  <c r="H8" i="71"/>
  <c r="S28" i="151"/>
  <c r="T25" i="151"/>
  <c r="S60" i="151"/>
  <c r="T57" i="151"/>
  <c r="S23" i="151"/>
  <c r="T20" i="151"/>
  <c r="V67" i="151"/>
  <c r="V35" i="151"/>
  <c r="U24" i="151"/>
  <c r="U27" i="151" s="1"/>
  <c r="U33" i="151"/>
  <c r="U14" i="151"/>
  <c r="U19" i="151"/>
  <c r="U22" i="151" s="1"/>
  <c r="U65" i="151"/>
  <c r="U56" i="151"/>
  <c r="U59" i="151" s="1"/>
  <c r="U51" i="151"/>
  <c r="U54" i="151" s="1"/>
  <c r="U46" i="151"/>
  <c r="S18" i="151"/>
  <c r="T15" i="151"/>
  <c r="T49" i="151"/>
  <c r="T43" i="151"/>
  <c r="T64" i="151" s="1"/>
  <c r="T11" i="151"/>
  <c r="T32" i="151" s="1"/>
  <c r="T17" i="151"/>
  <c r="S55" i="151"/>
  <c r="T52" i="151"/>
  <c r="S44" i="151"/>
  <c r="T44" i="151" s="1"/>
  <c r="T12" i="151" l="1"/>
  <c r="T55" i="151"/>
  <c r="U52" i="151"/>
  <c r="W67" i="151"/>
  <c r="W35" i="151"/>
  <c r="T23" i="151"/>
  <c r="U20" i="151"/>
  <c r="U17" i="151"/>
  <c r="U11" i="151"/>
  <c r="U32" i="151" s="1"/>
  <c r="V51" i="151"/>
  <c r="V54" i="151" s="1"/>
  <c r="V65" i="151"/>
  <c r="V46" i="151"/>
  <c r="V56" i="151"/>
  <c r="V59" i="151" s="1"/>
  <c r="H20" i="71"/>
  <c r="H9" i="71"/>
  <c r="T50" i="151"/>
  <c r="U47" i="151"/>
  <c r="V33" i="151"/>
  <c r="V19" i="151"/>
  <c r="V22" i="151" s="1"/>
  <c r="V14" i="151"/>
  <c r="V24" i="151"/>
  <c r="V27" i="151" s="1"/>
  <c r="T60" i="151"/>
  <c r="U57" i="151"/>
  <c r="T18" i="151"/>
  <c r="U15" i="151"/>
  <c r="U25" i="151"/>
  <c r="T28" i="151"/>
  <c r="U43" i="151"/>
  <c r="U64" i="151" s="1"/>
  <c r="U49" i="151"/>
  <c r="V43" i="151" l="1"/>
  <c r="V64" i="151" s="1"/>
  <c r="V49" i="151"/>
  <c r="V20" i="151"/>
  <c r="U23" i="151"/>
  <c r="W65" i="151"/>
  <c r="W56" i="151"/>
  <c r="W59" i="151" s="1"/>
  <c r="W46" i="151"/>
  <c r="W51" i="151"/>
  <c r="W54" i="151" s="1"/>
  <c r="H21" i="71"/>
  <c r="G20" i="24"/>
  <c r="U28" i="151"/>
  <c r="V25" i="151"/>
  <c r="V15" i="151"/>
  <c r="U18" i="151"/>
  <c r="U60" i="151"/>
  <c r="V57" i="151"/>
  <c r="W14" i="151"/>
  <c r="W19" i="151"/>
  <c r="W22" i="151" s="1"/>
  <c r="W24" i="151"/>
  <c r="W27" i="151" s="1"/>
  <c r="W33" i="151"/>
  <c r="V17" i="151"/>
  <c r="V11" i="151"/>
  <c r="V32" i="151" s="1"/>
  <c r="U12" i="151"/>
  <c r="U55" i="151"/>
  <c r="V52" i="151"/>
  <c r="V47" i="151"/>
  <c r="U50" i="151"/>
  <c r="U44" i="151"/>
  <c r="V44" i="151" l="1"/>
  <c r="V12" i="151"/>
  <c r="G29" i="57"/>
  <c r="H29" i="57" s="1"/>
  <c r="N23" i="152" s="1"/>
  <c r="H20" i="24"/>
  <c r="V18" i="151"/>
  <c r="W15" i="151"/>
  <c r="V60" i="151"/>
  <c r="W57" i="151"/>
  <c r="V28" i="151"/>
  <c r="W25" i="151"/>
  <c r="W47" i="151"/>
  <c r="V50" i="151"/>
  <c r="W52" i="151"/>
  <c r="V55" i="151"/>
  <c r="W49" i="151"/>
  <c r="W43" i="151"/>
  <c r="W64" i="151" s="1"/>
  <c r="W20" i="151"/>
  <c r="V23" i="151"/>
  <c r="W17" i="151"/>
  <c r="W11" i="151"/>
  <c r="W32" i="151" s="1"/>
  <c r="W12" i="151" l="1"/>
  <c r="W55" i="151"/>
  <c r="X52" i="151"/>
  <c r="X55" i="151" s="1"/>
  <c r="W44" i="151"/>
  <c r="X44" i="151" s="1"/>
  <c r="X57" i="151"/>
  <c r="X60" i="151" s="1"/>
  <c r="W60" i="151"/>
  <c r="X47" i="151"/>
  <c r="X50" i="151" s="1"/>
  <c r="W50" i="151"/>
  <c r="X15" i="151"/>
  <c r="X18" i="151" s="1"/>
  <c r="W18" i="151"/>
  <c r="K20" i="73"/>
  <c r="O23" i="25"/>
  <c r="W28" i="151"/>
  <c r="X25" i="151"/>
  <c r="X28" i="151" s="1"/>
  <c r="W23" i="151"/>
  <c r="X20" i="151"/>
  <c r="X23" i="151" s="1"/>
  <c r="N26" i="152"/>
  <c r="C30" i="152"/>
  <c r="X12" i="151" l="1"/>
  <c r="L20" i="73"/>
  <c r="K22" i="73"/>
  <c r="O26" i="25"/>
  <c r="C30" i="25"/>
  <c r="C33" i="152"/>
  <c r="C33" i="25" l="1"/>
  <c r="L22" i="73"/>
  <c r="O20" i="73"/>
  <c r="D30" i="152" l="1"/>
  <c r="D30" i="25"/>
  <c r="D33" i="25" l="1"/>
  <c r="E30" i="25"/>
  <c r="D33" i="152"/>
  <c r="E30" i="152"/>
  <c r="D49" i="152" l="1"/>
  <c r="D53" i="152" s="1"/>
  <c r="U12" i="152"/>
  <c r="U15" i="152" s="1"/>
  <c r="E33" i="152"/>
  <c r="N23" i="153"/>
  <c r="X12" i="25"/>
  <c r="X15" i="25" s="1"/>
  <c r="E33" i="25"/>
  <c r="D49" i="25"/>
  <c r="D53" i="25" l="1"/>
  <c r="D5" i="153"/>
  <c r="D9" i="153" s="1"/>
  <c r="N26" i="153"/>
  <c r="O91" i="151" l="1"/>
  <c r="M31" i="71" s="1"/>
  <c r="M29" i="71" l="1"/>
  <c r="M37" i="71" s="1"/>
  <c r="C69" i="25" s="1"/>
  <c r="M28" i="71"/>
  <c r="M30" i="71"/>
  <c r="P91" i="151"/>
  <c r="Q91" i="151"/>
  <c r="P30" i="71" l="1"/>
  <c r="M38" i="71"/>
  <c r="M36" i="71"/>
  <c r="C68" i="25" s="1"/>
  <c r="R91" i="151"/>
  <c r="M39" i="71" l="1"/>
  <c r="P38" i="71"/>
  <c r="P31" i="71"/>
  <c r="S91" i="151"/>
  <c r="P39" i="71" l="1"/>
  <c r="D70" i="25"/>
  <c r="D74" i="25" s="1"/>
  <c r="T91" i="151"/>
  <c r="U91" i="151" l="1"/>
  <c r="V91" i="151" l="1"/>
  <c r="W91" i="151" l="1"/>
  <c r="X91" i="151"/>
  <c r="X89" i="151"/>
  <c r="O85" i="151"/>
  <c r="O89" i="151" s="1"/>
  <c r="P81" i="151" a="1"/>
  <c r="P81" i="151" s="1"/>
  <c r="N85" i="151"/>
  <c r="N89" i="151" s="1"/>
  <c r="D31" i="71" s="1"/>
  <c r="D29" i="71" l="1"/>
  <c r="D37" i="71" s="1"/>
  <c r="D28" i="71"/>
  <c r="D30" i="71"/>
  <c r="P85" i="151"/>
  <c r="P89" i="151" s="1"/>
  <c r="Q81" i="151"/>
  <c r="E31" i="71"/>
  <c r="D38" i="71" l="1"/>
  <c r="G30" i="71"/>
  <c r="D36" i="71"/>
  <c r="D39" i="71" s="1"/>
  <c r="E30" i="71"/>
  <c r="E28" i="71"/>
  <c r="E29" i="71"/>
  <c r="E37" i="71" s="1"/>
  <c r="C59" i="25" s="1"/>
  <c r="R81" i="151"/>
  <c r="Q85" i="151"/>
  <c r="Q89" i="151" s="1"/>
  <c r="E36" i="71" l="1"/>
  <c r="C58" i="25" s="1"/>
  <c r="H30" i="71"/>
  <c r="E38" i="71"/>
  <c r="G38" i="71"/>
  <c r="G39" i="71" s="1"/>
  <c r="G31" i="71"/>
  <c r="S81" i="151"/>
  <c r="R85" i="151"/>
  <c r="R89" i="151" s="1"/>
  <c r="E39" i="71" l="1"/>
  <c r="H38" i="71"/>
  <c r="H31" i="71"/>
  <c r="S85" i="151"/>
  <c r="S89" i="151" s="1"/>
  <c r="T81" i="151"/>
  <c r="H39" i="71" l="1"/>
  <c r="D60" i="25"/>
  <c r="D64" i="25" s="1"/>
  <c r="C64" i="25"/>
  <c r="C74" i="25"/>
  <c r="U81" i="151"/>
  <c r="T85" i="151"/>
  <c r="T89" i="151" s="1"/>
  <c r="U85" i="151" l="1"/>
  <c r="U89" i="151" s="1"/>
  <c r="V81" i="151"/>
  <c r="W81" i="151" l="1"/>
  <c r="W85" i="151" s="1"/>
  <c r="W89" i="151" s="1"/>
  <c r="V85" i="151"/>
  <c r="V89" i="15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Andrew Blair</author>
  </authors>
  <commentList>
    <comment ref="O53" authorId="0" shapeId="0" xr:uid="{88245284-1132-448A-83D0-4274C356B034}">
      <text>
        <r>
          <rPr>
            <b/>
            <sz val="9"/>
            <color indexed="81"/>
            <rFont val="Tahoma"/>
            <family val="2"/>
          </rPr>
          <t>Andrew Blair:</t>
        </r>
        <r>
          <rPr>
            <sz val="9"/>
            <color indexed="81"/>
            <rFont val="Tahoma"/>
            <family val="2"/>
          </rPr>
          <t xml:space="preserve">
Replaced 36,799kW</t>
        </r>
      </text>
    </comment>
    <comment ref="O79" authorId="0" shapeId="0" xr:uid="{14C3953D-C484-4F4F-BD4F-49C29A17DD79}">
      <text>
        <r>
          <rPr>
            <b/>
            <sz val="9"/>
            <color indexed="81"/>
            <rFont val="Tahoma"/>
            <family val="2"/>
          </rPr>
          <t>Andrew Blair:</t>
        </r>
        <r>
          <rPr>
            <sz val="9"/>
            <color indexed="81"/>
            <rFont val="Tahoma"/>
            <family val="2"/>
          </rPr>
          <t xml:space="preserve">
Smoothed 30,789kW (Jun) and 2,022 kW (Jul)</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<sst xmlns="http://schemas.openxmlformats.org/spreadsheetml/2006/main" count="2273" uniqueCount="539">
  <si>
    <t>Billing Determinant Summary</t>
  </si>
  <si>
    <t>kWh</t>
  </si>
  <si>
    <t>kW</t>
  </si>
  <si>
    <t>Customers / Devices</t>
  </si>
  <si>
    <t>Total</t>
  </si>
  <si>
    <t>Consumption (kWh)</t>
  </si>
  <si>
    <t>2016 Actual</t>
  </si>
  <si>
    <t>2017 Actual</t>
  </si>
  <si>
    <t>2018 Actual</t>
  </si>
  <si>
    <t>2019 Actual</t>
  </si>
  <si>
    <t>2020 Actual</t>
  </si>
  <si>
    <t>2021 Actual</t>
  </si>
  <si>
    <t>2022 Actual</t>
  </si>
  <si>
    <t>2023 Actual</t>
  </si>
  <si>
    <t>2024 Actual</t>
  </si>
  <si>
    <t>2025 Actual</t>
  </si>
  <si>
    <t>2026 Forecast</t>
  </si>
  <si>
    <t>2027 Forecast</t>
  </si>
  <si>
    <t>Residential</t>
  </si>
  <si>
    <t>GS &lt; 50</t>
  </si>
  <si>
    <t>GS &gt; 50</t>
  </si>
  <si>
    <t>Street Light</t>
  </si>
  <si>
    <t>Sentinel Light</t>
  </si>
  <si>
    <t>USL</t>
  </si>
  <si>
    <t>Billed Demand (kW)</t>
  </si>
  <si>
    <t>Customers</t>
  </si>
  <si>
    <t>Date</t>
  </si>
  <si>
    <t>Year</t>
  </si>
  <si>
    <t>Month</t>
  </si>
  <si>
    <t>Residential_kWh</t>
  </si>
  <si>
    <t>Res_CDM</t>
  </si>
  <si>
    <t>Res_NoCDM</t>
  </si>
  <si>
    <t>Residential_Customers</t>
  </si>
  <si>
    <t>GS_lt_50_kWh</t>
  </si>
  <si>
    <t>GS_lt_50_CDM</t>
  </si>
  <si>
    <t>GS_lt_50_NoCDM</t>
  </si>
  <si>
    <t>GS_lt_50_Customers</t>
  </si>
  <si>
    <t>GS_gt_50_kWh</t>
  </si>
  <si>
    <t>GS_gt_50_CDM</t>
  </si>
  <si>
    <t>GS_gt_50_NoCDM</t>
  </si>
  <si>
    <t>GS_gt_50_kW</t>
  </si>
  <si>
    <t>GS_gt_50_Customers</t>
  </si>
  <si>
    <t>Streetlights_kWh</t>
  </si>
  <si>
    <t>Streetlights_kW</t>
  </si>
  <si>
    <t>Streetlights_Connections</t>
  </si>
  <si>
    <t>SentinelLights_kWh</t>
  </si>
  <si>
    <t>SentinelLights_kW</t>
  </si>
  <si>
    <t>SentinelLights_Connections</t>
  </si>
  <si>
    <t>USL_kWh</t>
  </si>
  <si>
    <t>USL_Customers</t>
  </si>
  <si>
    <t>LargekWh</t>
  </si>
  <si>
    <t>LargekW</t>
  </si>
  <si>
    <t>GSgtxLCkWh</t>
  </si>
  <si>
    <t>GSgtxLCkWh_NoCDM</t>
  </si>
  <si>
    <t>GSgtxLCkW</t>
  </si>
  <si>
    <t>ON GDP</t>
  </si>
  <si>
    <t>OEA_GDP</t>
  </si>
  <si>
    <t>Ont_FTEAdj</t>
  </si>
  <si>
    <t>Ont_FTE</t>
  </si>
  <si>
    <t>Ott_FTEAdj</t>
  </si>
  <si>
    <t>Ott_FTE</t>
  </si>
  <si>
    <t>Ont_FTEAdjChange</t>
  </si>
  <si>
    <t>Ont_FTEChange</t>
  </si>
  <si>
    <t>Tor_FTEAdjChange</t>
  </si>
  <si>
    <t>Tor_FTEChange</t>
  </si>
  <si>
    <t>ON GDPChange</t>
  </si>
  <si>
    <t>OEA_GDPChange</t>
  </si>
  <si>
    <t>MeanTemp</t>
  </si>
  <si>
    <t>HDD20</t>
  </si>
  <si>
    <t>CDD20</t>
  </si>
  <si>
    <t>HDD18</t>
  </si>
  <si>
    <t>CDD18</t>
  </si>
  <si>
    <t>HDD16</t>
  </si>
  <si>
    <t>CDD16</t>
  </si>
  <si>
    <t>HDD14</t>
  </si>
  <si>
    <t>CDD14</t>
  </si>
  <si>
    <t>HDD12</t>
  </si>
  <si>
    <t>CDD12</t>
  </si>
  <si>
    <t>HDD10</t>
  </si>
  <si>
    <t>CDD10</t>
  </si>
  <si>
    <t>HDD8</t>
  </si>
  <si>
    <t>CDD8</t>
  </si>
  <si>
    <t>Jan</t>
  </si>
  <si>
    <t>Feb</t>
  </si>
  <si>
    <t>Mar</t>
  </si>
  <si>
    <t>Apr</t>
  </si>
  <si>
    <t>May</t>
  </si>
  <si>
    <t>Jun</t>
  </si>
  <si>
    <t>Jul</t>
  </si>
  <si>
    <t>Aug</t>
  </si>
  <si>
    <t>Sept</t>
  </si>
  <si>
    <t>Oct</t>
  </si>
  <si>
    <t>Nov</t>
  </si>
  <si>
    <t>Dec</t>
  </si>
  <si>
    <t>Spring</t>
  </si>
  <si>
    <t>Fall</t>
  </si>
  <si>
    <t>Shoulder</t>
  </si>
  <si>
    <t>Trend</t>
  </si>
  <si>
    <t>Month Days</t>
  </si>
  <si>
    <t>Peak Days</t>
  </si>
  <si>
    <t>COVID</t>
  </si>
  <si>
    <t>COVID_AM</t>
  </si>
  <si>
    <t>COVID_WFH</t>
  </si>
  <si>
    <t>COVID2020</t>
  </si>
  <si>
    <t>CovHDD20</t>
  </si>
  <si>
    <t>CovCDD20</t>
  </si>
  <si>
    <t>CovHDD18</t>
  </si>
  <si>
    <t>CovCDD18</t>
  </si>
  <si>
    <t>CovHDD16</t>
  </si>
  <si>
    <t>CovCDD16</t>
  </si>
  <si>
    <t>CovHDD14</t>
  </si>
  <si>
    <t>CovCDD14</t>
  </si>
  <si>
    <t>CovHDD12</t>
  </si>
  <si>
    <t>CovCDD12</t>
  </si>
  <si>
    <t>CovHDD10</t>
  </si>
  <si>
    <t>CovCDD10</t>
  </si>
  <si>
    <t>CovHDD8</t>
  </si>
  <si>
    <t>CovCDD8</t>
  </si>
  <si>
    <t>CWFHHDD20</t>
  </si>
  <si>
    <t>CWFHCDD20</t>
  </si>
  <si>
    <t>CWFHHDD18</t>
  </si>
  <si>
    <t>CWFHCDD18</t>
  </si>
  <si>
    <t>CWFHHDD16</t>
  </si>
  <si>
    <t>CWFHCDD16</t>
  </si>
  <si>
    <t>CWFHHDD14</t>
  </si>
  <si>
    <t>CWFHCDD14</t>
  </si>
  <si>
    <t>CWFHHDD12</t>
  </si>
  <si>
    <t>CWFHCDD12</t>
  </si>
  <si>
    <t>CWFHHDD10</t>
  </si>
  <si>
    <t>CWFHCDD10</t>
  </si>
  <si>
    <t>CWFHHDD8</t>
  </si>
  <si>
    <t>CWFHCDD8</t>
  </si>
  <si>
    <t>AvgRes</t>
  </si>
  <si>
    <t>AvgResD</t>
  </si>
  <si>
    <t>ResD</t>
  </si>
  <si>
    <t>AvgGSlt50</t>
  </si>
  <si>
    <t>AvgGSlt50D</t>
  </si>
  <si>
    <t>GSlt50D</t>
  </si>
  <si>
    <t>AvgGSgt50</t>
  </si>
  <si>
    <t>AvgGSgt50MD</t>
  </si>
  <si>
    <t>AvgGSgt50PD</t>
  </si>
  <si>
    <t>GSgt50MD</t>
  </si>
  <si>
    <t>GSgt50PD</t>
  </si>
  <si>
    <t>FlagNov25</t>
  </si>
  <si>
    <t>FlagDec25</t>
  </si>
  <si>
    <t>StatsCan 14-10-0459-01</t>
  </si>
  <si>
    <t>StatsCan 36-10-0402-01</t>
  </si>
  <si>
    <t>Ontario Economic Accounts Table 15</t>
  </si>
  <si>
    <t>Change</t>
  </si>
  <si>
    <t>Q1</t>
  </si>
  <si>
    <t>Q2</t>
  </si>
  <si>
    <t>Latest Figures as of March 31, 2026</t>
  </si>
  <si>
    <t>BMO</t>
  </si>
  <si>
    <t>RBC</t>
  </si>
  <si>
    <t>Scotia</t>
  </si>
  <si>
    <t>TD</t>
  </si>
  <si>
    <t>Average Used</t>
  </si>
  <si>
    <t>Q3</t>
  </si>
  <si>
    <t>GDP</t>
  </si>
  <si>
    <t>Q4</t>
  </si>
  <si>
    <t>FTE</t>
  </si>
  <si>
    <t>https://economics.bmo.com/media/filer_public/d7/2d/d72d512a-a8b7-4078-90ba-62d488135772/outlookprovincial.pdf</t>
  </si>
  <si>
    <t>https://www.rbc.com/en/economics/wp-content/uploads/sites/23/2025/12/Provincial-Forecast-Tables-Q4-20251.pdf</t>
  </si>
  <si>
    <t>https://www.scotiabank.com/ca/en/about/economics/economics-publications/post.other-publications.global-outlook-and-forecast-tables.scotiabank%27s-forecast-tables.2026.march-24--2026.html</t>
  </si>
  <si>
    <t>https://economics.td.com/provincial-economic-forecast#on</t>
  </si>
  <si>
    <t>June</t>
  </si>
  <si>
    <t>July</t>
  </si>
  <si>
    <t>August</t>
  </si>
  <si>
    <t>Min</t>
  </si>
  <si>
    <t>Max</t>
  </si>
  <si>
    <t>10 Year Average</t>
  </si>
  <si>
    <t>Pembroke Climate</t>
  </si>
  <si>
    <t>January</t>
  </si>
  <si>
    <t>February</t>
  </si>
  <si>
    <t>March</t>
  </si>
  <si>
    <t>April</t>
  </si>
  <si>
    <t>September</t>
  </si>
  <si>
    <t>October</t>
  </si>
  <si>
    <t>November</t>
  </si>
  <si>
    <t>December</t>
  </si>
  <si>
    <t>Implementation Year</t>
  </si>
  <si>
    <t>Savings Year</t>
  </si>
  <si>
    <t>GS&lt;50</t>
  </si>
  <si>
    <t>GS&gt;50</t>
  </si>
  <si>
    <t>Streetlight</t>
  </si>
  <si>
    <t>Sentinel Lights</t>
  </si>
  <si>
    <t>Incremental CDM (accounting for lost persistence)</t>
  </si>
  <si>
    <t>const</t>
  </si>
  <si>
    <t>Predicted</t>
  </si>
  <si>
    <t>Difference</t>
  </si>
  <si>
    <t>Model 1: Prais-Winsten, using observations 2020:01-2025:12 (T = 72)</t>
  </si>
  <si>
    <t>Dependent variable: Res_NoCDM</t>
  </si>
  <si>
    <t>rho = -0.257364</t>
  </si>
  <si>
    <t>coefficient</t>
  </si>
  <si>
    <t>std. error</t>
  </si>
  <si>
    <t>t-ratio</t>
  </si>
  <si>
    <t>p-value</t>
  </si>
  <si>
    <t>MonthDays</t>
  </si>
  <si>
    <t>Statistics based on the rho-differenced data</t>
  </si>
  <si>
    <t>Sum squared resid</t>
  </si>
  <si>
    <t>S.E. of regression</t>
  </si>
  <si>
    <t>R-squared</t>
  </si>
  <si>
    <t>Adjusted R-squared</t>
  </si>
  <si>
    <t>F(6, 65)</t>
  </si>
  <si>
    <t>P-value(F)</t>
  </si>
  <si>
    <t>rho</t>
  </si>
  <si>
    <t>Durbin-Watson</t>
  </si>
  <si>
    <t>Statistics based on the original data</t>
  </si>
  <si>
    <t>Mean dependent var</t>
  </si>
  <si>
    <t>S.D. dependent var</t>
  </si>
  <si>
    <t>Model 2: Prais-Winsten, using observations 2020:01-2025:12 (T = 72)</t>
  </si>
  <si>
    <t>Dependent variable: GS_lt_50_NoCDM</t>
  </si>
  <si>
    <t>rho = 0.0672694</t>
  </si>
  <si>
    <t>ONGDP</t>
  </si>
  <si>
    <t>F(5, 66)</t>
  </si>
  <si>
    <t>Model 3: Prais-Winsten, using observations 2020:01-2025:12 (T = 72)</t>
  </si>
  <si>
    <t>Dependent variable: GS_gt_50_NoCDM</t>
  </si>
  <si>
    <t>rho = 0.931582</t>
  </si>
  <si>
    <t>F(2, 69)</t>
  </si>
  <si>
    <t>Model 4: Prais-Winsten, using observations 2020:01-2025:12 (T = 72)</t>
  </si>
  <si>
    <t>Dependent variable: GSgtxLCkWh_NoCDM</t>
  </si>
  <si>
    <t>rho = 0.42377</t>
  </si>
  <si>
    <t>Model 5: Prais-Winsten, using observations 2016:01-2025:12 (T = 120)</t>
  </si>
  <si>
    <t>Dependent variable: LargekWh</t>
  </si>
  <si>
    <t>rho = 0.331068</t>
  </si>
  <si>
    <t>F(4, 115)</t>
  </si>
  <si>
    <t>Statscan New zero-emission vehicle registrations, quarterly 20-10-0025-01</t>
  </si>
  <si>
    <t>Fuel type</t>
  </si>
  <si>
    <t>Ontario</t>
  </si>
  <si>
    <t>Pembroke</t>
  </si>
  <si>
    <t>Killaloe, Hagarty and Richards</t>
  </si>
  <si>
    <t>Total Vehicles (All Types)</t>
  </si>
  <si>
    <t>All zero-emission vehicles</t>
  </si>
  <si>
    <t>Battery electric</t>
  </si>
  <si>
    <t>Plug-in hybrid electric</t>
  </si>
  <si>
    <t>Vehicle type</t>
  </si>
  <si>
    <t>Passenger cars</t>
  </si>
  <si>
    <t>Pickup trucks</t>
  </si>
  <si>
    <t>Multi-purpose vehicles</t>
  </si>
  <si>
    <t>Vans</t>
  </si>
  <si>
    <t>All Vehicles</t>
  </si>
  <si>
    <t>Q1 2017</t>
  </si>
  <si>
    <t>Q2 2017</t>
  </si>
  <si>
    <t>Q3 2017</t>
  </si>
  <si>
    <t>Q4 2017</t>
  </si>
  <si>
    <t>Q1 2018</t>
  </si>
  <si>
    <t>Q2 2018</t>
  </si>
  <si>
    <t>Q3 2018</t>
  </si>
  <si>
    <t>Q4 2018</t>
  </si>
  <si>
    <t>Q1 2019</t>
  </si>
  <si>
    <t>Q2 2019</t>
  </si>
  <si>
    <t>Q3 2019</t>
  </si>
  <si>
    <t>Q4 2019</t>
  </si>
  <si>
    <t>Q1 2020</t>
  </si>
  <si>
    <t>Q2 2020</t>
  </si>
  <si>
    <t>Q3 2020</t>
  </si>
  <si>
    <t>Q4 2020</t>
  </si>
  <si>
    <t>Q1 2021</t>
  </si>
  <si>
    <t>Q2 2021</t>
  </si>
  <si>
    <t>Q3 2021</t>
  </si>
  <si>
    <t>Q4 2021</t>
  </si>
  <si>
    <t>Q1 2022</t>
  </si>
  <si>
    <t>Q2 2022</t>
  </si>
  <si>
    <t>Q3 2022</t>
  </si>
  <si>
    <t>Q4 2022</t>
  </si>
  <si>
    <t>Q1 2023</t>
  </si>
  <si>
    <t>Q2 2023</t>
  </si>
  <si>
    <t>Q3 2023</t>
  </si>
  <si>
    <t>Q4 2023</t>
  </si>
  <si>
    <t>Q1 2024</t>
  </si>
  <si>
    <t>Q2 2024</t>
  </si>
  <si>
    <t>Q3 2024</t>
  </si>
  <si>
    <t>Q4 2024</t>
  </si>
  <si>
    <t>Q1 2025</t>
  </si>
  <si>
    <t>Q2 2025</t>
  </si>
  <si>
    <t>Q3 2025</t>
  </si>
  <si>
    <t>Q4 2025</t>
  </si>
  <si>
    <t>Quarterly Increases</t>
  </si>
  <si>
    <t>Cumulative</t>
  </si>
  <si>
    <t>Avg. Distance</t>
  </si>
  <si>
    <t>Avg. Efficiency</t>
  </si>
  <si>
    <t>km</t>
  </si>
  <si>
    <t>kWh/ 100 km</t>
  </si>
  <si>
    <t>Passenger</t>
  </si>
  <si>
    <t>2-21-050-EV-Charging-Performance-Requirements-in-GTHA.pdf (cleanairpartnership.org)</t>
  </si>
  <si>
    <t>Multi-purpose vehicles (SUV)</t>
  </si>
  <si>
    <t>Van</t>
  </si>
  <si>
    <t>Pick-Up Truck</t>
  </si>
  <si>
    <t>Battery EVs</t>
  </si>
  <si>
    <t>Total EVs</t>
  </si>
  <si>
    <t>ORPC</t>
  </si>
  <si>
    <t>New</t>
  </si>
  <si>
    <t>Passenger + SUV EVs</t>
  </si>
  <si>
    <t>kWh/EV</t>
  </si>
  <si>
    <t>New kWh</t>
  </si>
  <si>
    <t>Cumulative kWh</t>
  </si>
  <si>
    <t>Van EVs</t>
  </si>
  <si>
    <t>Pickup Trucks</t>
  </si>
  <si>
    <t>ORPC % of ON New EVs</t>
  </si>
  <si>
    <t>EVs</t>
  </si>
  <si>
    <t>ON EVs as % of All New Vehicles</t>
  </si>
  <si>
    <t>Passenger EV as % of EV</t>
  </si>
  <si>
    <t>Van EV as % of EV</t>
  </si>
  <si>
    <t>Pickup Truck EV as % of EV</t>
  </si>
  <si>
    <t>Plug-in hybrid EVs</t>
  </si>
  <si>
    <t>Federal EV Target</t>
  </si>
  <si>
    <t>Actual/Forecast % EVs</t>
  </si>
  <si>
    <t>All Vehicles - New</t>
  </si>
  <si>
    <t>Total ZEVs</t>
  </si>
  <si>
    <t>ORPC EVs as &amp; of all ORPC Vehicles</t>
  </si>
  <si>
    <t>Low Scenario</t>
  </si>
  <si>
    <t>Reference Scenario</t>
  </si>
  <si>
    <t>High Scenario</t>
  </si>
  <si>
    <t>New EVs</t>
  </si>
  <si>
    <t>New Incremental kWh</t>
  </si>
  <si>
    <t>Passenger/SUV</t>
  </si>
  <si>
    <t>Pick-up Truck</t>
  </si>
  <si>
    <t>2025 Customer Count</t>
  </si>
  <si>
    <t>EV kWh by Class</t>
  </si>
  <si>
    <t>New Incremental kW</t>
  </si>
  <si>
    <t>Load Factor</t>
  </si>
  <si>
    <t>With half-year</t>
  </si>
  <si>
    <t>Full-Year</t>
  </si>
  <si>
    <t>Cumulative kW</t>
  </si>
  <si>
    <t>Small Business</t>
  </si>
  <si>
    <t>Consumption per Year</t>
  </si>
  <si>
    <t>m3/year</t>
  </si>
  <si>
    <t>Typical Enbridge Residential Customer</t>
  </si>
  <si>
    <t>Heating Profile</t>
  </si>
  <si>
    <t>/Month</t>
  </si>
  <si>
    <t>Less summer</t>
  </si>
  <si>
    <t>Convert m3 to GJ</t>
  </si>
  <si>
    <t xml:space="preserve">GJ/m3 </t>
  </si>
  <si>
    <t>https://apps.cer-rec.gc.ca/Conversion/conversion-tables.aspx</t>
  </si>
  <si>
    <t>Convert GJ to kWh</t>
  </si>
  <si>
    <t>kWh/GJ</t>
  </si>
  <si>
    <t>Convert m3 to kWh</t>
  </si>
  <si>
    <t>kWh/m3</t>
  </si>
  <si>
    <t>kWh per Customer</t>
  </si>
  <si>
    <t>kWh/Customer</t>
  </si>
  <si>
    <t>Heat Pump Efficiency</t>
  </si>
  <si>
    <t>Delivered heat kWh-equivalent/kWh</t>
  </si>
  <si>
    <t>https://oee.nrcan.gc.ca/pml-lmp/index.cfm?language_langue=en&amp;action=app.search-recherche&amp;appliance=ASHP1_GH&amp;_gl=1*22c7uc*_ga*MTkyNTkxMzczNi4xNjg5MDg1ODA2*_ga_C2N57Y7DX5*MTcxNTM1MDU3Ni40My4xLjE3MTUzNTA1ODAuMC4wLjA.</t>
  </si>
  <si>
    <t>Adj. Consumption</t>
  </si>
  <si>
    <t>Customer Count</t>
  </si>
  <si>
    <t>Increase in customers/year</t>
  </si>
  <si>
    <t>Existing Conversions %</t>
  </si>
  <si>
    <t>New Connection %</t>
  </si>
  <si>
    <t>Existing Connections #</t>
  </si>
  <si>
    <t>New Connections #</t>
  </si>
  <si>
    <t>Total Connections</t>
  </si>
  <si>
    <t>Total kWh</t>
  </si>
  <si>
    <t>Residential kWh</t>
  </si>
  <si>
    <t xml:space="preserve">  Winter</t>
  </si>
  <si>
    <t xml:space="preserve">  Summer</t>
  </si>
  <si>
    <t>Seasonally Adjusted kWh</t>
  </si>
  <si>
    <t>GS &lt; 50 kWh</t>
  </si>
  <si>
    <t>2026 Incremental</t>
  </si>
  <si>
    <t>2027 Incremental</t>
  </si>
  <si>
    <t>Reference</t>
  </si>
  <si>
    <t>Low</t>
  </si>
  <si>
    <t>High</t>
  </si>
  <si>
    <t>Additional</t>
  </si>
  <si>
    <t>Heating</t>
  </si>
  <si>
    <t>Loads are incremental to loads forecasted based on 10-year consumption</t>
  </si>
  <si>
    <t>Figures are added in 'Normalized Annual Summary' and 'kW Forecast'</t>
  </si>
  <si>
    <t>Customer</t>
  </si>
  <si>
    <t>Expansions</t>
  </si>
  <si>
    <t>Res kWh</t>
  </si>
  <si>
    <t>Absolute</t>
  </si>
  <si>
    <t>GS &gt; 50 kWh</t>
  </si>
  <si>
    <t>Large Customer</t>
  </si>
  <si>
    <t>CDM Added Back</t>
  </si>
  <si>
    <t>Error (%)</t>
  </si>
  <si>
    <t>Total 2020-25</t>
  </si>
  <si>
    <t>Mean Absolute Percentage Error (Total Annual)</t>
  </si>
  <si>
    <t>Mean Absolute Percentage Error (2020-25 Annual)</t>
  </si>
  <si>
    <t>Mean Absolute Percentage Error (Monthly)</t>
  </si>
  <si>
    <t>WN Predicted</t>
  </si>
  <si>
    <t>HDDLow</t>
  </si>
  <si>
    <t>HDDHigh</t>
  </si>
  <si>
    <t>CDDLow</t>
  </si>
  <si>
    <t>CDDHigh</t>
  </si>
  <si>
    <t>Low Predicted</t>
  </si>
  <si>
    <t>High Predicted</t>
  </si>
  <si>
    <t>Normalized</t>
  </si>
  <si>
    <t>GS&lt;50 kWh</t>
  </si>
  <si>
    <t>GS&gt;50 kWh</t>
  </si>
  <si>
    <t>Actual</t>
  </si>
  <si>
    <t>Cumulative Persisting CDM</t>
  </si>
  <si>
    <t>Actual No CDM</t>
  </si>
  <si>
    <t>Normal Predicted 
No CDM</t>
  </si>
  <si>
    <t>Additional Loads</t>
  </si>
  <si>
    <t>Normalized with Additional Loads</t>
  </si>
  <si>
    <t>Normal 
No CDM</t>
  </si>
  <si>
    <t>Additional / Lost Loads</t>
  </si>
  <si>
    <t>Connections</t>
  </si>
  <si>
    <t>Average per Connection</t>
  </si>
  <si>
    <t>Normal Forecast</t>
  </si>
  <si>
    <t>Average per Customer</t>
  </si>
  <si>
    <t>A</t>
  </si>
  <si>
    <t>B</t>
  </si>
  <si>
    <t>C = A + B</t>
  </si>
  <si>
    <t>D</t>
  </si>
  <si>
    <t>E = B</t>
  </si>
  <si>
    <t>F = D - E</t>
  </si>
  <si>
    <t>G</t>
  </si>
  <si>
    <t>H = F + G</t>
  </si>
  <si>
    <t>C = A / B</t>
  </si>
  <si>
    <t>D = B * C</t>
  </si>
  <si>
    <t>Percent of Prior Year</t>
  </si>
  <si>
    <t>St. Lights</t>
  </si>
  <si>
    <t>Devices</t>
  </si>
  <si>
    <t>Monthly Averages</t>
  </si>
  <si>
    <t>(Check)</t>
  </si>
  <si>
    <t>Sep</t>
  </si>
  <si>
    <t>Street Lights</t>
  </si>
  <si>
    <t>Ratio</t>
  </si>
  <si>
    <t>3-Yr MA</t>
  </si>
  <si>
    <t>C = B / A</t>
  </si>
  <si>
    <t>kWh Normalized</t>
  </si>
  <si>
    <t>kW Normalized</t>
  </si>
  <si>
    <t>Avg.</t>
  </si>
  <si>
    <t xml:space="preserve">Trend Ratio </t>
  </si>
  <si>
    <t>Total Forecast</t>
  </si>
  <si>
    <t>Trend Ratio (3-Yr. MA)</t>
  </si>
  <si>
    <t>E = D * G</t>
  </si>
  <si>
    <t>F</t>
  </si>
  <si>
    <t>H</t>
  </si>
  <si>
    <t>I = E + H</t>
  </si>
  <si>
    <t>E = D * F</t>
  </si>
  <si>
    <t>Divergence</t>
  </si>
  <si>
    <t>5-year change</t>
  </si>
  <si>
    <t>10-year change</t>
  </si>
  <si>
    <t>10-year average used</t>
  </si>
  <si>
    <t>5-year average used</t>
  </si>
  <si>
    <t>Ratio Trend</t>
  </si>
  <si>
    <t>Energy Efficiency in Ontario:  2023 Conservation and Demand Management Results</t>
  </si>
  <si>
    <t>In year energy savings (GWh)</t>
  </si>
  <si>
    <t>In year energy savings (kWh)</t>
  </si>
  <si>
    <t>Target</t>
  </si>
  <si>
    <t>ORPC Share</t>
  </si>
  <si>
    <t>Actual 2021</t>
  </si>
  <si>
    <t>Actual 2021-22</t>
  </si>
  <si>
    <t>Actual 2021-23</t>
  </si>
  <si>
    <t>Actual 2021-24</t>
  </si>
  <si>
    <t>Forecast</t>
  </si>
  <si>
    <t>Progress to Target</t>
  </si>
  <si>
    <t>Retrofit</t>
  </si>
  <si>
    <t>% of provincial kWh</t>
  </si>
  <si>
    <t xml:space="preserve">Energy Performance </t>
  </si>
  <si>
    <t>Energy Management</t>
  </si>
  <si>
    <t>Total by Year</t>
  </si>
  <si>
    <t>Industrial Energy Efficiency</t>
  </si>
  <si>
    <t>New Construction</t>
  </si>
  <si>
    <t>Home Renovation Savings</t>
  </si>
  <si>
    <t>Commercial HVAC DR</t>
  </si>
  <si>
    <t>Peak Perks</t>
  </si>
  <si>
    <t>Existing Building Commissioning program</t>
  </si>
  <si>
    <t>Targeted Greenhouse</t>
  </si>
  <si>
    <t>Local Initiatives</t>
  </si>
  <si>
    <t>Residential Demand Response</t>
  </si>
  <si>
    <t>Energy Affordability Program</t>
  </si>
  <si>
    <t>% of prov. LIM</t>
  </si>
  <si>
    <t>First Nations Program</t>
  </si>
  <si>
    <t>https://www.ieso.ca/en/Sector-Participants/Energy-Efficiency/2021-2024-Conservation-and-Demand-Management-Framework</t>
  </si>
  <si>
    <t>https://www.ieso.ca/Sector-Participants/Energy-Efficiency/2021-2024-Conservation-and-Demand-Management-Framework</t>
  </si>
  <si>
    <t xml:space="preserve">Source: </t>
  </si>
  <si>
    <t>2021-2024 Conservation and Demand Management Framework Program Plan 2022-12-15</t>
  </si>
  <si>
    <t>March 2024 APO, page 26</t>
  </si>
  <si>
    <t>Energy Efficiency in Ontario:  2021-2024 Conservation and Demand Management and Legacy Framework Results</t>
  </si>
  <si>
    <t>"This Forecast assumes the delivery of CDM programs will continue after the current Framework. It is
assumed that the annual savings of new programs will be consistent with levels forecasted for the
enhanced 2021-2024 CDM Framework, on a proportion of gross demand basis."</t>
  </si>
  <si>
    <t>Report Ref:</t>
  </si>
  <si>
    <t>Page 11</t>
  </si>
  <si>
    <t>Page 18</t>
  </si>
  <si>
    <t>Page 22/23</t>
  </si>
  <si>
    <t>5-Year Avg.</t>
  </si>
  <si>
    <t>Province</t>
  </si>
  <si>
    <t>Cummulative</t>
  </si>
  <si>
    <t>w/ 1/2 Year Adj.</t>
  </si>
  <si>
    <t>ORPC % Share</t>
  </si>
  <si>
    <t>GS &lt; 50 kW</t>
  </si>
  <si>
    <t>GS &gt; 50 kW</t>
  </si>
  <si>
    <t>OEB Open Data (RRR): Section 2.1.5.4 Demand and Revenue</t>
  </si>
  <si>
    <t>Low-Income Measure</t>
  </si>
  <si>
    <t>Almonte</t>
  </si>
  <si>
    <t>Beachburg</t>
  </si>
  <si>
    <t>Killaloe</t>
  </si>
  <si>
    <t>ORPC %</t>
  </si>
  <si>
    <t>Statistics Canada - 2021 Census Data "Low income and income inequality in 2020"</t>
  </si>
  <si>
    <t>"In low income based on the Low-income measure, after tax (LIM-AT)"</t>
  </si>
  <si>
    <t>Total CDM</t>
  </si>
  <si>
    <t>GS&lt; 50</t>
  </si>
  <si>
    <t>CDM</t>
  </si>
  <si>
    <t>*Allocations based on LRAMVA allocations in 2016-2019 period</t>
  </si>
  <si>
    <t>Provincial Total</t>
  </si>
  <si>
    <t>ORPC Share %</t>
  </si>
  <si>
    <t>2025-2027 Forecasted kWh Savings by Rate Class</t>
  </si>
  <si>
    <t>Rate Class</t>
  </si>
  <si>
    <t>CDM Adj Weight</t>
  </si>
  <si>
    <t>Amount</t>
  </si>
  <si>
    <t>E</t>
  </si>
  <si>
    <t>F = D * E</t>
  </si>
  <si>
    <t>I = G * H</t>
  </si>
  <si>
    <t>J</t>
  </si>
  <si>
    <t>K</t>
  </si>
  <si>
    <t>L = J * K</t>
  </si>
  <si>
    <t>TOTAL</t>
  </si>
  <si>
    <t>2025-2026 kW Forcasted Savings by Rate Class</t>
  </si>
  <si>
    <t>Weather-Normal Forecast</t>
  </si>
  <si>
    <t>% Savings</t>
  </si>
  <si>
    <t>H = G / F</t>
  </si>
  <si>
    <t>I</t>
  </si>
  <si>
    <t>J = H * I</t>
  </si>
  <si>
    <t>L</t>
  </si>
  <si>
    <t>M = L / K</t>
  </si>
  <si>
    <t>N</t>
  </si>
  <si>
    <t>O = M * N</t>
  </si>
  <si>
    <t>2025 Normalized</t>
  </si>
  <si>
    <t>CDM Adjusted</t>
  </si>
  <si>
    <t>2027 Weather Normal Forecast</t>
  </si>
  <si>
    <t>CDM Adjustment</t>
  </si>
  <si>
    <t>2027 CDM Adjusted Forecast</t>
  </si>
  <si>
    <t>Additional EV &amp; Heating Loads</t>
  </si>
  <si>
    <t>2027 Forecast Excluding Additional Loads</t>
  </si>
  <si>
    <t>Change from 2025 Actual to 2027</t>
  </si>
  <si>
    <t>Change from 2025 Normalized to 2027</t>
  </si>
  <si>
    <t>Customers/Devices</t>
  </si>
  <si>
    <t>Summary</t>
  </si>
  <si>
    <t>2016 Normal</t>
  </si>
  <si>
    <t>2017 Normal</t>
  </si>
  <si>
    <t>2018 Normal</t>
  </si>
  <si>
    <t>2019 Normal</t>
  </si>
  <si>
    <t>2020 Normal</t>
  </si>
  <si>
    <t>2021 Normal</t>
  </si>
  <si>
    <t>2022 Normal</t>
  </si>
  <si>
    <t>2023 Normal</t>
  </si>
  <si>
    <t>2024 Normal</t>
  </si>
  <si>
    <t>2025 Normal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</si>
</sst>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5" formatCode="&quot;$&quot;#,##0_);\(&quot;$&quot;#,##0\)"/>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d\-mmm\-yyyy"/>
    <numFmt numFmtId="167" formatCode="0.0%"/>
    <numFmt numFmtId="168" formatCode="0.0"/>
    <numFmt numFmtId="169" formatCode="_(* #,##0_);_(* \(#,##0\);_(* &quot;-&quot;??_);_(@_)"/>
    <numFmt numFmtId="170" formatCode="0.000000"/>
    <numFmt numFmtId="171" formatCode="_(* #,##0.0_);_(* \(#,##0.0\);_(* &quot;-&quot;??_);_(@_)"/>
    <numFmt numFmtId="172" formatCode="_-* #,##0_-;\-* #,##0_-;_-* &quot;-&quot;??_-;_-@_-"/>
    <numFmt numFmtId="173" formatCode="_-* #,##0.000000_-;\-* #,##0.000000_-;_-* &quot;-&quot;??_-;_-@_-"/>
    <numFmt numFmtId="174" formatCode="0_);\(0\)"/>
    <numFmt numFmtId="175" formatCode="#,##0.0"/>
    <numFmt numFmtId="176" formatCode="0\-0"/>
    <numFmt numFmtId="177" formatCode="##\-#"/>
    <numFmt numFmtId="178" formatCode="&quot;£ &quot;#,##0.00;[Red]\-&quot;£ &quot;#,##0.00"/>
    <numFmt numFmtId="179" formatCode="0.0000000%"/>
    <numFmt numFmtId="180" formatCode="0.000%"/>
    <numFmt numFmtId="181" formatCode="#,##0.000"/>
    <numFmt numFmtId="182" formatCode="_(* #,##0_);_(* \(#,##0\);_(* &quot;-&quot;?_);_(@_)"/>
    <numFmt numFmtId="183" formatCode="_(* #,##0.0_);_(* \(#,##0.0\);_(* &quot;-&quot;?_);_(@_)"/>
    <numFmt numFmtId="184" formatCode="_(* #,##0.000_);_(* \(#,##0.000\);_(* &quot;-&quot;??_);_(@_)"/>
    <numFmt numFmtId="185" formatCode="0.000"/>
    <numFmt numFmtId="186" formatCode="_(* #,##0.0000_);_(* \(#,##0.0000\);_(* &quot;-&quot;??_);_(@_)"/>
    <numFmt numFmtId="187" formatCode="_-* #,##0.0_-;\-* #,##0.0_-;_-* &quot;-&quot;?_-;_-@_-"/>
    <numFmt numFmtId="188" formatCode="0.000E+00"/>
    <numFmt numFmtId="189" formatCode="0.0000"/>
    <numFmt numFmtId="190" formatCode="_-* #,##0.0_-;\-* #,##0.0_-;_-* &quot;-&quot;??_-;_-@_-"/>
  </numFmts>
  <fonts count="72">
    <font>
      <sz val="10"/>
      <name val="Times New Roman"/>
      <family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Times New Roman"/>
      <family val="1"/>
    </font>
    <font>
      <sz val="10"/>
      <name val="Arial"/>
      <family val="2"/>
    </font>
    <font>
      <sz val="11"/>
      <color rgb="FFFF0000"/>
      <name val="Calibri"/>
      <family val="2"/>
      <scheme val="minor"/>
    </font>
    <font>
      <b/>
      <sz val="11"/>
      <color theme="1"/>
      <name val="Calibri"/>
      <family val="2"/>
      <scheme val="minor"/>
    </font>
    <font>
      <i/>
      <sz val="10"/>
      <color rgb="FFC00000"/>
      <name val="Times New Roman"/>
      <family val="1"/>
    </font>
    <font>
      <sz val="11"/>
      <name val="Times New Roman"/>
      <family val="1"/>
    </font>
    <font>
      <sz val="11"/>
      <color theme="1"/>
      <name val="Times New Roman"/>
      <family val="1"/>
    </font>
    <font>
      <b/>
      <sz val="10"/>
      <name val="Arial"/>
      <family val="2"/>
    </font>
    <font>
      <sz val="10"/>
      <color rgb="FFFF0000"/>
      <name val="Arial"/>
      <family val="2"/>
    </font>
    <font>
      <b/>
      <sz val="12"/>
      <name val="Arial"/>
      <family val="2"/>
    </font>
    <font>
      <b/>
      <sz val="10"/>
      <name val="Times New Roman"/>
      <family val="1"/>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2"/>
      <color rgb="FF000000"/>
      <name val="Arial"/>
      <family val="2"/>
    </font>
    <font>
      <b/>
      <sz val="18"/>
      <color theme="3"/>
      <name val="Calibri Light"/>
      <family val="2"/>
      <scheme val="major"/>
    </font>
    <font>
      <sz val="11"/>
      <color rgb="FF9C6500"/>
      <name val="Calibri"/>
      <family val="2"/>
      <scheme val="minor"/>
    </font>
    <font>
      <sz val="11"/>
      <name val="Calibri"/>
      <family val="2"/>
    </font>
    <font>
      <sz val="12"/>
      <name val="Arial"/>
      <family val="2"/>
    </font>
    <font>
      <sz val="11"/>
      <color theme="1"/>
      <name val="Arial"/>
      <family val="2"/>
    </font>
    <font>
      <sz val="8"/>
      <name val="Arial"/>
      <family val="2"/>
    </font>
    <font>
      <u/>
      <sz val="8"/>
      <color rgb="FF0000FF"/>
      <name val="Calibri"/>
      <family val="2"/>
      <scheme val="minor"/>
    </font>
    <font>
      <sz val="8"/>
      <name val="Times New Roman"/>
      <family val="1"/>
    </font>
    <font>
      <b/>
      <sz val="10"/>
      <color rgb="FFFF0000"/>
      <name val="Arial"/>
      <family val="2"/>
    </font>
    <font>
      <sz val="10"/>
      <color rgb="FFFF0000"/>
      <name val="Times New Roman"/>
      <family val="1"/>
    </font>
    <font>
      <sz val="10"/>
      <color rgb="FFC00000"/>
      <name val="Times New Roman"/>
      <family val="1"/>
    </font>
    <font>
      <sz val="15"/>
      <color rgb="FF000000"/>
      <name val="Arial"/>
      <family val="2"/>
    </font>
    <font>
      <u/>
      <sz val="11"/>
      <color theme="10"/>
      <name val="Calibri"/>
      <family val="2"/>
      <scheme val="minor"/>
    </font>
    <font>
      <sz val="10"/>
      <name val="Calibri"/>
      <family val="2"/>
      <scheme val="minor"/>
    </font>
    <font>
      <sz val="11"/>
      <name val="Calibri"/>
      <family val="2"/>
      <scheme val="minor"/>
    </font>
    <font>
      <i/>
      <sz val="10"/>
      <color rgb="FFFF0000"/>
      <name val="Arial"/>
      <family val="2"/>
    </font>
    <font>
      <i/>
      <sz val="11"/>
      <color theme="1"/>
      <name val="Calibri"/>
      <family val="2"/>
      <scheme val="minor"/>
    </font>
    <font>
      <sz val="11"/>
      <color indexed="8"/>
      <name val="Calibri"/>
      <family val="2"/>
    </font>
    <font>
      <b/>
      <sz val="14"/>
      <color theme="1"/>
      <name val="Calibri"/>
      <family val="2"/>
      <scheme val="minor"/>
    </font>
    <font>
      <b/>
      <sz val="10"/>
      <color theme="0"/>
      <name val="Arial"/>
      <family val="2"/>
    </font>
    <font>
      <b/>
      <sz val="11"/>
      <color theme="1"/>
      <name val="Arial"/>
      <family val="2"/>
    </font>
    <font>
      <b/>
      <sz val="10"/>
      <color theme="1"/>
      <name val="Arial"/>
      <family val="2"/>
    </font>
    <font>
      <sz val="10"/>
      <color theme="1"/>
      <name val="Arial"/>
      <family val="2"/>
    </font>
    <font>
      <sz val="10"/>
      <color rgb="FF000000"/>
      <name val="Arial"/>
      <family val="2"/>
    </font>
    <font>
      <b/>
      <sz val="10"/>
      <color rgb="FF000000"/>
      <name val="Arial"/>
      <family val="2"/>
    </font>
    <font>
      <b/>
      <i/>
      <sz val="10"/>
      <color theme="0"/>
      <name val="Arial"/>
      <family val="2"/>
    </font>
    <font>
      <sz val="11"/>
      <color theme="0"/>
      <name val="Arial"/>
      <family val="2"/>
    </font>
    <font>
      <b/>
      <sz val="11"/>
      <color theme="0"/>
      <name val="Arial"/>
      <family val="2"/>
    </font>
    <font>
      <sz val="10"/>
      <color theme="0"/>
      <name val="Arial"/>
      <family val="2"/>
    </font>
    <font>
      <b/>
      <sz val="10"/>
      <color theme="0"/>
      <name val="Times New Roman"/>
      <family val="1"/>
    </font>
    <font>
      <sz val="11"/>
      <name val="Arial"/>
      <family val="2"/>
    </font>
    <font>
      <i/>
      <sz val="10"/>
      <name val="Times New Roman"/>
      <family val="1"/>
    </font>
    <font>
      <sz val="10"/>
      <color rgb="FF000000"/>
      <name val="Times New Roman"/>
      <family val="1"/>
    </font>
    <font>
      <b/>
      <sz val="10"/>
      <color theme="1"/>
      <name val="Times New Roman"/>
      <family val="1"/>
    </font>
    <font>
      <sz val="10"/>
      <color rgb="FF000000"/>
      <name val="Calibri"/>
      <family val="2"/>
      <scheme val="minor"/>
    </font>
    <font>
      <sz val="9"/>
      <color indexed="81"/>
      <name val="Tahoma"/>
      <family val="2"/>
    </font>
    <font>
      <b/>
      <sz val="9"/>
      <color indexed="81"/>
      <name val="Tahoma"/>
      <family val="2"/>
    </font>
    <font>
      <b/>
      <i/>
      <sz val="10"/>
      <color theme="0"/>
      <name val="Times New Roman"/>
      <family val="1"/>
    </font>
    <font>
      <i/>
      <sz val="10"/>
      <color rgb="FFFF0000"/>
      <name val="Times New Roman"/>
      <family val="1"/>
    </font>
  </fonts>
  <fills count="42">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6"/>
        <bgColor indexed="64"/>
      </patternFill>
    </fill>
    <fill>
      <patternFill patternType="solid">
        <fgColor theme="2"/>
        <bgColor indexed="64"/>
      </patternFill>
    </fill>
    <fill>
      <patternFill patternType="solid">
        <fgColor rgb="FF0070C0"/>
        <bgColor indexed="64"/>
      </patternFill>
    </fill>
    <fill>
      <patternFill patternType="solid">
        <fgColor theme="0" tint="-4.9989318521683403E-2"/>
        <bgColor indexed="64"/>
      </patternFill>
    </fill>
  </fills>
  <borders count="7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thin">
        <color auto="1"/>
      </left>
      <right/>
      <top style="medium">
        <color indexed="64"/>
      </top>
      <bottom/>
      <diagonal/>
    </border>
    <border>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301">
    <xf numFmtId="0" fontId="0" fillId="0" borderId="0"/>
    <xf numFmtId="43" fontId="9" fillId="0" borderId="0" applyFont="0" applyFill="0" applyBorder="0" applyAlignment="0" applyProtection="0"/>
    <xf numFmtId="0" fontId="8" fillId="0" borderId="0"/>
    <xf numFmtId="9" fontId="9" fillId="0" borderId="0" applyFont="0" applyFill="0" applyBorder="0" applyAlignment="0" applyProtection="0"/>
    <xf numFmtId="0" fontId="10" fillId="0" borderId="0"/>
    <xf numFmtId="0" fontId="7" fillId="0" borderId="0"/>
    <xf numFmtId="0" fontId="9" fillId="0" borderId="0"/>
    <xf numFmtId="9" fontId="10" fillId="0" borderId="0" applyFont="0" applyFill="0" applyBorder="0" applyAlignment="0" applyProtection="0"/>
    <xf numFmtId="165" fontId="10"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35" fillId="0" borderId="0" applyFont="0" applyFill="0" applyBorder="0" applyAlignment="0" applyProtection="0"/>
    <xf numFmtId="171" fontId="10" fillId="0" borderId="0"/>
    <xf numFmtId="175"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71" fontId="10" fillId="0" borderId="0"/>
    <xf numFmtId="14" fontId="10" fillId="0" borderId="0"/>
    <xf numFmtId="176" fontId="10" fillId="0" borderId="0"/>
    <xf numFmtId="14" fontId="10" fillId="0" borderId="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6" fillId="35" borderId="0" applyNumberFormat="0" applyBorder="0" applyAlignment="0" applyProtection="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31" fillId="13" borderId="0" applyNumberFormat="0" applyBorder="0" applyAlignment="0" applyProtection="0"/>
    <xf numFmtId="0" fontId="31" fillId="17" borderId="0" applyNumberFormat="0" applyBorder="0" applyAlignment="0" applyProtection="0"/>
    <xf numFmtId="0" fontId="31" fillId="21" borderId="0" applyNumberFormat="0" applyBorder="0" applyAlignment="0" applyProtection="0"/>
    <xf numFmtId="0" fontId="31" fillId="25" borderId="0" applyNumberFormat="0" applyBorder="0" applyAlignment="0" applyProtection="0"/>
    <xf numFmtId="0" fontId="31" fillId="29" borderId="0" applyNumberFormat="0" applyBorder="0" applyAlignment="0" applyProtection="0"/>
    <xf numFmtId="0" fontId="31" fillId="33" borderId="0" applyNumberFormat="0" applyBorder="0" applyAlignment="0" applyProtection="0"/>
    <xf numFmtId="0" fontId="24" fillId="7" borderId="0" applyNumberFormat="0" applyBorder="0" applyAlignment="0" applyProtection="0"/>
    <xf numFmtId="0" fontId="27" fillId="10" borderId="29" applyNumberFormat="0" applyAlignment="0" applyProtection="0"/>
    <xf numFmtId="0" fontId="29" fillId="11" borderId="32"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165" fontId="6" fillId="0" borderId="0" applyFont="0" applyFill="0" applyBorder="0" applyAlignment="0" applyProtection="0"/>
    <xf numFmtId="43"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5" fontId="6" fillId="0" borderId="0" applyFont="0" applyFill="0" applyBorder="0" applyAlignment="0" applyProtection="0"/>
    <xf numFmtId="43"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43"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3" fontId="10" fillId="0" borderId="0" applyFont="0" applyFill="0" applyBorder="0" applyAlignment="0" applyProtection="0"/>
    <xf numFmtId="164" fontId="6" fillId="0" borderId="0" applyFont="0" applyFill="0" applyBorder="0" applyAlignment="0" applyProtection="0"/>
    <xf numFmtId="44" fontId="6"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36" fillId="0" borderId="0" applyFont="0" applyFill="0" applyBorder="0" applyAlignment="0" applyProtection="0"/>
    <xf numFmtId="164" fontId="37" fillId="0" borderId="0" applyFont="0" applyFill="0" applyBorder="0" applyAlignment="0" applyProtection="0"/>
    <xf numFmtId="164" fontId="37" fillId="0" borderId="0" applyFont="0" applyFill="0" applyBorder="0" applyAlignment="0" applyProtection="0"/>
    <xf numFmtId="44" fontId="37" fillId="0" borderId="0" applyFont="0" applyFill="0" applyBorder="0" applyAlignment="0" applyProtection="0"/>
    <xf numFmtId="44" fontId="10"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164" fontId="6" fillId="0" borderId="0" applyFont="0" applyFill="0" applyBorder="0" applyAlignment="0" applyProtection="0"/>
    <xf numFmtId="4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44" fontId="6" fillId="0" borderId="0" applyFont="0" applyFill="0" applyBorder="0" applyAlignment="0" applyProtection="0"/>
    <xf numFmtId="164" fontId="6" fillId="0" borderId="0" applyFont="0" applyFill="0" applyBorder="0" applyAlignment="0" applyProtection="0"/>
    <xf numFmtId="4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5" fontId="10" fillId="0" borderId="0" applyFont="0" applyFill="0" applyBorder="0" applyAlignment="0" applyProtection="0"/>
    <xf numFmtId="14" fontId="10" fillId="0" borderId="0" applyFont="0" applyFill="0" applyBorder="0" applyAlignment="0" applyProtection="0"/>
    <xf numFmtId="0" fontId="30" fillId="0" borderId="0" applyNumberFormat="0" applyFill="0" applyBorder="0" applyAlignment="0" applyProtection="0"/>
    <xf numFmtId="2" fontId="10" fillId="0" borderId="0" applyFont="0" applyFill="0" applyBorder="0" applyAlignment="0" applyProtection="0"/>
    <xf numFmtId="0" fontId="23" fillId="6" borderId="0" applyNumberFormat="0" applyBorder="0" applyAlignment="0" applyProtection="0"/>
    <xf numFmtId="38" fontId="38" fillId="37" borderId="0" applyNumberFormat="0" applyBorder="0" applyAlignment="0" applyProtection="0"/>
    <xf numFmtId="0" fontId="20" fillId="0" borderId="26" applyNumberFormat="0" applyFill="0" applyAlignment="0" applyProtection="0"/>
    <xf numFmtId="0" fontId="21" fillId="0" borderId="27" applyNumberFormat="0" applyFill="0" applyAlignment="0" applyProtection="0"/>
    <xf numFmtId="0" fontId="22" fillId="0" borderId="28" applyNumberFormat="0" applyFill="0" applyAlignment="0" applyProtection="0"/>
    <xf numFmtId="0" fontId="22" fillId="0" borderId="0" applyNumberFormat="0" applyFill="0" applyBorder="0" applyAlignment="0" applyProtection="0"/>
    <xf numFmtId="0" fontId="39" fillId="0" borderId="0" applyNumberFormat="0" applyFill="0" applyBorder="0" applyAlignment="0" applyProtection="0"/>
    <xf numFmtId="10" fontId="38" fillId="38" borderId="2" applyNumberFormat="0" applyBorder="0" applyAlignment="0" applyProtection="0"/>
    <xf numFmtId="0" fontId="25" fillId="9" borderId="29" applyNumberFormat="0" applyAlignment="0" applyProtection="0"/>
    <xf numFmtId="0" fontId="28" fillId="0" borderId="31" applyNumberFormat="0" applyFill="0" applyAlignment="0" applyProtection="0"/>
    <xf numFmtId="177" fontId="10" fillId="0" borderId="0"/>
    <xf numFmtId="169" fontId="10" fillId="0" borderId="0"/>
    <xf numFmtId="177" fontId="10" fillId="0" borderId="0"/>
    <xf numFmtId="177" fontId="10" fillId="0" borderId="0"/>
    <xf numFmtId="177" fontId="10" fillId="0" borderId="0"/>
    <xf numFmtId="177" fontId="10" fillId="0" borderId="0"/>
    <xf numFmtId="177" fontId="10" fillId="0" borderId="0"/>
    <xf numFmtId="177" fontId="10" fillId="0" borderId="0"/>
    <xf numFmtId="177" fontId="10" fillId="0" borderId="0"/>
    <xf numFmtId="177" fontId="10" fillId="0" borderId="0"/>
    <xf numFmtId="177" fontId="10" fillId="0" borderId="0"/>
    <xf numFmtId="177" fontId="10" fillId="0" borderId="0"/>
    <xf numFmtId="177" fontId="10" fillId="0" borderId="0"/>
    <xf numFmtId="177" fontId="10" fillId="0" borderId="0"/>
    <xf numFmtId="177" fontId="10" fillId="0" borderId="0"/>
    <xf numFmtId="0" fontId="34" fillId="8" borderId="0" applyNumberFormat="0" applyBorder="0" applyAlignment="0" applyProtection="0"/>
    <xf numFmtId="178" fontId="10" fillId="0" borderId="0"/>
    <xf numFmtId="0" fontId="6" fillId="0" borderId="0"/>
    <xf numFmtId="0" fontId="10" fillId="0" borderId="0"/>
    <xf numFmtId="0" fontId="6" fillId="0" borderId="0"/>
    <xf numFmtId="0" fontId="6" fillId="0" borderId="0"/>
    <xf numFmtId="0" fontId="6"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6" fillId="0" borderId="0"/>
    <xf numFmtId="0" fontId="10" fillId="0" borderId="0"/>
    <xf numFmtId="0" fontId="6" fillId="0" borderId="0"/>
    <xf numFmtId="0" fontId="6" fillId="0" borderId="0"/>
    <xf numFmtId="0" fontId="6" fillId="0" borderId="0"/>
    <xf numFmtId="0" fontId="10" fillId="0" borderId="0"/>
    <xf numFmtId="0" fontId="10" fillId="0" borderId="0"/>
    <xf numFmtId="0" fontId="6" fillId="0" borderId="0"/>
    <xf numFmtId="0" fontId="6" fillId="0" borderId="0"/>
    <xf numFmtId="0" fontId="6" fillId="0" borderId="0"/>
    <xf numFmtId="0" fontId="10"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0" borderId="0"/>
    <xf numFmtId="0" fontId="10" fillId="0" borderId="0"/>
    <xf numFmtId="0" fontId="10" fillId="0" borderId="0"/>
    <xf numFmtId="0" fontId="6" fillId="0" borderId="0"/>
    <xf numFmtId="0" fontId="6" fillId="0" borderId="0"/>
    <xf numFmtId="0" fontId="6" fillId="0" borderId="0"/>
    <xf numFmtId="0" fontId="37" fillId="0" borderId="0"/>
    <xf numFmtId="0" fontId="6" fillId="0" borderId="0"/>
    <xf numFmtId="0" fontId="6" fillId="0" borderId="0"/>
    <xf numFmtId="0" fontId="10" fillId="0" borderId="0"/>
    <xf numFmtId="0" fontId="10" fillId="0" borderId="0"/>
    <xf numFmtId="0" fontId="6" fillId="0" borderId="0"/>
    <xf numFmtId="0" fontId="6" fillId="0" borderId="0"/>
    <xf numFmtId="0" fontId="6" fillId="0" borderId="0"/>
    <xf numFmtId="0" fontId="6" fillId="12" borderId="33" applyNumberFormat="0" applyFont="0" applyAlignment="0" applyProtection="0"/>
    <xf numFmtId="0" fontId="6" fillId="12" borderId="33" applyNumberFormat="0" applyFont="0" applyAlignment="0" applyProtection="0"/>
    <xf numFmtId="0" fontId="6" fillId="12" borderId="33" applyNumberFormat="0" applyFont="0" applyAlignment="0" applyProtection="0"/>
    <xf numFmtId="0" fontId="26" fillId="10" borderId="30" applyNumberFormat="0" applyAlignment="0" applyProtection="0"/>
    <xf numFmtId="10"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33" fillId="0" borderId="0" applyNumberFormat="0" applyFill="0" applyBorder="0" applyAlignment="0" applyProtection="0"/>
    <xf numFmtId="0" fontId="12" fillId="0" borderId="34" applyNumberFormat="0" applyFill="0" applyAlignment="0" applyProtection="0"/>
    <xf numFmtId="0" fontId="11" fillId="0" borderId="0" applyNumberFormat="0" applyFill="0" applyBorder="0" applyAlignment="0" applyProtection="0"/>
    <xf numFmtId="0" fontId="5" fillId="0" borderId="0"/>
    <xf numFmtId="0" fontId="45" fillId="0" borderId="0" applyNumberFormat="0" applyFill="0" applyBorder="0" applyAlignment="0" applyProtection="0"/>
    <xf numFmtId="0" fontId="4" fillId="0" borderId="0"/>
    <xf numFmtId="165" fontId="4" fillId="0" borderId="0" applyFont="0" applyFill="0" applyBorder="0" applyAlignment="0" applyProtection="0"/>
    <xf numFmtId="9" fontId="4" fillId="0" borderId="0" applyFont="0" applyFill="0" applyBorder="0" applyAlignment="0" applyProtection="0"/>
    <xf numFmtId="43" fontId="5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3" fillId="0" borderId="0"/>
    <xf numFmtId="9" fontId="3" fillId="0" borderId="0" applyFont="0" applyFill="0" applyBorder="0" applyAlignment="0" applyProtection="0"/>
    <xf numFmtId="165" fontId="3" fillId="0" borderId="0" applyFont="0" applyFill="0" applyBorder="0" applyAlignment="0" applyProtection="0"/>
    <xf numFmtId="0" fontId="2" fillId="0" borderId="0"/>
    <xf numFmtId="165"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cellStyleXfs>
  <cellXfs count="632">
    <xf numFmtId="0" fontId="0" fillId="0" borderId="0" xfId="0"/>
    <xf numFmtId="0" fontId="10" fillId="0" borderId="0" xfId="0" applyFont="1"/>
    <xf numFmtId="43" fontId="10" fillId="0" borderId="0" xfId="1" applyFont="1"/>
    <xf numFmtId="14" fontId="10" fillId="0" borderId="0" xfId="0" applyNumberFormat="1" applyFont="1"/>
    <xf numFmtId="0" fontId="10" fillId="0" borderId="0" xfId="1" applyNumberFormat="1" applyFont="1"/>
    <xf numFmtId="3" fontId="10" fillId="0" borderId="0" xfId="0" applyNumberFormat="1" applyFont="1"/>
    <xf numFmtId="3" fontId="10" fillId="0" borderId="0" xfId="0" quotePrefix="1" applyNumberFormat="1" applyFont="1"/>
    <xf numFmtId="3" fontId="10" fillId="0" borderId="0" xfId="1" applyNumberFormat="1" applyFont="1"/>
    <xf numFmtId="3" fontId="0" fillId="0" borderId="0" xfId="0" applyNumberFormat="1"/>
    <xf numFmtId="14" fontId="0" fillId="0" borderId="0" xfId="0" applyNumberFormat="1"/>
    <xf numFmtId="0" fontId="10" fillId="0" borderId="0" xfId="4"/>
    <xf numFmtId="166" fontId="10" fillId="0" borderId="0" xfId="4" applyNumberFormat="1"/>
    <xf numFmtId="10" fontId="10" fillId="0" borderId="0" xfId="4" applyNumberFormat="1"/>
    <xf numFmtId="2" fontId="0" fillId="0" borderId="0" xfId="0" applyNumberFormat="1"/>
    <xf numFmtId="168" fontId="0" fillId="0" borderId="0" xfId="0" applyNumberFormat="1"/>
    <xf numFmtId="14" fontId="13" fillId="0" borderId="0" xfId="0" applyNumberFormat="1" applyFont="1"/>
    <xf numFmtId="0" fontId="13" fillId="0" borderId="0" xfId="0" applyFont="1"/>
    <xf numFmtId="2" fontId="13" fillId="0" borderId="0" xfId="0" applyNumberFormat="1" applyFont="1"/>
    <xf numFmtId="169" fontId="0" fillId="0" borderId="0" xfId="1" applyNumberFormat="1" applyFont="1"/>
    <xf numFmtId="170" fontId="0" fillId="0" borderId="0" xfId="0" applyNumberFormat="1"/>
    <xf numFmtId="171" fontId="0" fillId="0" borderId="0" xfId="1" applyNumberFormat="1" applyFont="1"/>
    <xf numFmtId="0" fontId="14" fillId="0" borderId="0" xfId="0" applyFont="1"/>
    <xf numFmtId="0" fontId="14" fillId="0" borderId="0" xfId="0" applyFont="1" applyAlignment="1">
      <alignment horizontal="left"/>
    </xf>
    <xf numFmtId="169" fontId="14" fillId="0" borderId="0" xfId="1" applyNumberFormat="1" applyFont="1"/>
    <xf numFmtId="0" fontId="14" fillId="0" borderId="0" xfId="0" applyFont="1" applyAlignment="1" applyProtection="1">
      <alignment horizontal="left" vertical="center"/>
      <protection locked="0"/>
    </xf>
    <xf numFmtId="0" fontId="15" fillId="0" borderId="0" xfId="0" applyFont="1" applyAlignment="1" applyProtection="1">
      <alignment horizontal="left" vertical="center"/>
      <protection locked="0"/>
    </xf>
    <xf numFmtId="0" fontId="10" fillId="4" borderId="0" xfId="0" applyFont="1" applyFill="1"/>
    <xf numFmtId="0" fontId="10" fillId="5" borderId="0" xfId="0" applyFont="1" applyFill="1"/>
    <xf numFmtId="1" fontId="10" fillId="5" borderId="0" xfId="0" applyNumberFormat="1" applyFont="1" applyFill="1"/>
    <xf numFmtId="169" fontId="0" fillId="0" borderId="0" xfId="1" applyNumberFormat="1" applyFont="1" applyAlignment="1">
      <alignment horizontal="right"/>
    </xf>
    <xf numFmtId="43" fontId="0" fillId="0" borderId="0" xfId="0" applyNumberFormat="1"/>
    <xf numFmtId="169" fontId="0" fillId="0" borderId="0" xfId="0" applyNumberFormat="1"/>
    <xf numFmtId="11" fontId="0" fillId="0" borderId="0" xfId="0" applyNumberFormat="1"/>
    <xf numFmtId="1" fontId="0" fillId="0" borderId="0" xfId="0" applyNumberFormat="1"/>
    <xf numFmtId="9" fontId="0" fillId="0" borderId="0" xfId="3" applyFont="1"/>
    <xf numFmtId="167" fontId="0" fillId="0" borderId="0" xfId="3" applyNumberFormat="1" applyFont="1"/>
    <xf numFmtId="167" fontId="0" fillId="0" borderId="0" xfId="0" applyNumberFormat="1"/>
    <xf numFmtId="0" fontId="11" fillId="0" borderId="0" xfId="0" applyFont="1"/>
    <xf numFmtId="0" fontId="0" fillId="0" borderId="0" xfId="0" applyAlignment="1">
      <alignment horizontal="center"/>
    </xf>
    <xf numFmtId="0" fontId="10" fillId="3" borderId="0" xfId="4" applyFill="1"/>
    <xf numFmtId="3" fontId="10" fillId="3" borderId="0" xfId="4" applyNumberFormat="1" applyFill="1"/>
    <xf numFmtId="3" fontId="17" fillId="3" borderId="0" xfId="4" applyNumberFormat="1" applyFont="1" applyFill="1"/>
    <xf numFmtId="0" fontId="17" fillId="3" borderId="0" xfId="4" applyFont="1" applyFill="1"/>
    <xf numFmtId="3" fontId="10" fillId="0" borderId="0" xfId="4" applyNumberFormat="1"/>
    <xf numFmtId="10" fontId="10" fillId="0" borderId="0" xfId="7" applyNumberFormat="1"/>
    <xf numFmtId="0" fontId="17" fillId="0" borderId="0" xfId="4" applyFont="1"/>
    <xf numFmtId="3" fontId="17" fillId="0" borderId="0" xfId="4" applyNumberFormat="1" applyFont="1"/>
    <xf numFmtId="10" fontId="17" fillId="0" borderId="0" xfId="7" applyNumberFormat="1" applyFont="1"/>
    <xf numFmtId="0" fontId="10" fillId="0" borderId="0" xfId="4" applyAlignment="1">
      <alignment horizontal="center"/>
    </xf>
    <xf numFmtId="0" fontId="16" fillId="0" borderId="0" xfId="4" applyFont="1" applyAlignment="1">
      <alignment horizontal="center"/>
    </xf>
    <xf numFmtId="170" fontId="10" fillId="0" borderId="0" xfId="4" applyNumberFormat="1"/>
    <xf numFmtId="172" fontId="0" fillId="0" borderId="0" xfId="8" applyNumberFormat="1" applyFont="1"/>
    <xf numFmtId="170" fontId="16" fillId="0" borderId="0" xfId="4" applyNumberFormat="1" applyFont="1" applyAlignment="1">
      <alignment horizontal="center"/>
    </xf>
    <xf numFmtId="172" fontId="16" fillId="0" borderId="0" xfId="8" applyNumberFormat="1" applyFont="1" applyAlignment="1">
      <alignment horizontal="center"/>
    </xf>
    <xf numFmtId="169" fontId="17" fillId="0" borderId="0" xfId="1" applyNumberFormat="1" applyFont="1"/>
    <xf numFmtId="173" fontId="17" fillId="0" borderId="0" xfId="8" applyNumberFormat="1" applyFont="1"/>
    <xf numFmtId="169" fontId="10" fillId="0" borderId="0" xfId="1" applyNumberFormat="1" applyFont="1"/>
    <xf numFmtId="0" fontId="18" fillId="3" borderId="0" xfId="4" applyFont="1" applyFill="1"/>
    <xf numFmtId="0" fontId="16" fillId="3" borderId="6" xfId="4" applyFont="1" applyFill="1" applyBorder="1" applyAlignment="1">
      <alignment horizontal="center"/>
    </xf>
    <xf numFmtId="3" fontId="10" fillId="3" borderId="7" xfId="4" applyNumberFormat="1" applyFill="1" applyBorder="1"/>
    <xf numFmtId="0" fontId="16" fillId="3" borderId="8" xfId="4" applyFont="1" applyFill="1" applyBorder="1" applyAlignment="1">
      <alignment horizontal="center"/>
    </xf>
    <xf numFmtId="10" fontId="0" fillId="0" borderId="0" xfId="0" applyNumberFormat="1"/>
    <xf numFmtId="4" fontId="32" fillId="0" borderId="0" xfId="0" applyNumberFormat="1" applyFont="1" applyAlignment="1">
      <alignment horizontal="right" vertical="center"/>
    </xf>
    <xf numFmtId="17" fontId="32" fillId="0" borderId="0" xfId="0" applyNumberFormat="1" applyFont="1" applyAlignment="1">
      <alignment horizontal="left" vertical="center" wrapText="1"/>
    </xf>
    <xf numFmtId="3" fontId="10" fillId="0" borderId="0" xfId="4" applyNumberFormat="1" applyAlignment="1">
      <alignment horizontal="center"/>
    </xf>
    <xf numFmtId="169" fontId="10" fillId="0" borderId="0" xfId="1" applyNumberFormat="1" applyFont="1" applyAlignment="1">
      <alignment horizontal="center"/>
    </xf>
    <xf numFmtId="9" fontId="10" fillId="0" borderId="0" xfId="235" applyFont="1"/>
    <xf numFmtId="9" fontId="10" fillId="0" borderId="0" xfId="4" applyNumberFormat="1"/>
    <xf numFmtId="9" fontId="16" fillId="0" borderId="0" xfId="4" applyNumberFormat="1" applyFont="1"/>
    <xf numFmtId="169" fontId="14" fillId="2" borderId="0" xfId="1" applyNumberFormat="1" applyFont="1" applyFill="1"/>
    <xf numFmtId="169" fontId="14" fillId="0" borderId="0" xfId="1" applyNumberFormat="1" applyFont="1" applyFill="1"/>
    <xf numFmtId="169" fontId="10" fillId="0" borderId="0" xfId="0" applyNumberFormat="1" applyFont="1"/>
    <xf numFmtId="171" fontId="10" fillId="0" borderId="0" xfId="0" applyNumberFormat="1" applyFont="1"/>
    <xf numFmtId="10" fontId="0" fillId="0" borderId="0" xfId="3" applyNumberFormat="1" applyFont="1"/>
    <xf numFmtId="173" fontId="41" fillId="0" borderId="0" xfId="8" applyNumberFormat="1" applyFont="1"/>
    <xf numFmtId="9" fontId="0" fillId="0" borderId="0" xfId="0" applyNumberFormat="1"/>
    <xf numFmtId="0" fontId="19" fillId="0" borderId="0" xfId="0" applyFont="1"/>
    <xf numFmtId="0" fontId="42" fillId="0" borderId="0" xfId="0" applyFont="1"/>
    <xf numFmtId="169" fontId="14" fillId="0" borderId="0" xfId="0" applyNumberFormat="1" applyFont="1"/>
    <xf numFmtId="43" fontId="14" fillId="0" borderId="0" xfId="0" applyNumberFormat="1" applyFont="1"/>
    <xf numFmtId="171" fontId="14" fillId="0" borderId="0" xfId="1" applyNumberFormat="1" applyFont="1"/>
    <xf numFmtId="169" fontId="13" fillId="0" borderId="0" xfId="1" applyNumberFormat="1" applyFont="1"/>
    <xf numFmtId="2" fontId="42" fillId="0" borderId="0" xfId="0" applyNumberFormat="1" applyFont="1"/>
    <xf numFmtId="179" fontId="0" fillId="0" borderId="0" xfId="3" applyNumberFormat="1" applyFont="1"/>
    <xf numFmtId="171" fontId="43" fillId="0" borderId="0" xfId="1" applyNumberFormat="1" applyFont="1"/>
    <xf numFmtId="10" fontId="43" fillId="0" borderId="0" xfId="3" applyNumberFormat="1" applyFont="1"/>
    <xf numFmtId="0" fontId="43" fillId="0" borderId="0" xfId="0" applyFont="1"/>
    <xf numFmtId="4" fontId="44" fillId="0" borderId="0" xfId="0" applyNumberFormat="1" applyFont="1" applyAlignment="1">
      <alignment horizontal="right" vertical="center"/>
    </xf>
    <xf numFmtId="0" fontId="44" fillId="0" borderId="0" xfId="0" applyFont="1" applyAlignment="1">
      <alignment horizontal="right" vertical="center"/>
    </xf>
    <xf numFmtId="181" fontId="0" fillId="0" borderId="0" xfId="0" applyNumberFormat="1"/>
    <xf numFmtId="169" fontId="14" fillId="0" borderId="0" xfId="1" applyNumberFormat="1" applyFont="1" applyFill="1" applyBorder="1"/>
    <xf numFmtId="173" fontId="41" fillId="0" borderId="0" xfId="8" applyNumberFormat="1" applyFont="1" applyFill="1"/>
    <xf numFmtId="2" fontId="14" fillId="0" borderId="0" xfId="0" applyNumberFormat="1" applyFont="1"/>
    <xf numFmtId="17" fontId="10" fillId="0" borderId="0" xfId="0" applyNumberFormat="1" applyFont="1"/>
    <xf numFmtId="0" fontId="45" fillId="0" borderId="0" xfId="287"/>
    <xf numFmtId="0" fontId="0" fillId="0" borderId="35" xfId="0" applyBorder="1"/>
    <xf numFmtId="0" fontId="46" fillId="0" borderId="36" xfId="0" applyFont="1" applyBorder="1" applyAlignment="1">
      <alignment horizontal="center"/>
    </xf>
    <xf numFmtId="0" fontId="0" fillId="0" borderId="36" xfId="0" applyBorder="1"/>
    <xf numFmtId="0" fontId="0" fillId="0" borderId="37" xfId="0" applyBorder="1" applyAlignment="1">
      <alignment horizontal="center"/>
    </xf>
    <xf numFmtId="0" fontId="0" fillId="0" borderId="38" xfId="0" applyBorder="1"/>
    <xf numFmtId="0" fontId="0" fillId="0" borderId="39" xfId="0" applyBorder="1"/>
    <xf numFmtId="10" fontId="0" fillId="0" borderId="39" xfId="0" applyNumberFormat="1" applyBorder="1"/>
    <xf numFmtId="0" fontId="47" fillId="0" borderId="0" xfId="0" applyFont="1" applyAlignment="1">
      <alignment horizontal="center"/>
    </xf>
    <xf numFmtId="0" fontId="47" fillId="0" borderId="38" xfId="4" applyFont="1" applyBorder="1"/>
    <xf numFmtId="0" fontId="0" fillId="0" borderId="40" xfId="0" applyBorder="1"/>
    <xf numFmtId="10" fontId="0" fillId="0" borderId="1" xfId="0" applyNumberFormat="1" applyBorder="1"/>
    <xf numFmtId="10" fontId="0" fillId="0" borderId="41" xfId="0" applyNumberFormat="1" applyBorder="1"/>
    <xf numFmtId="167" fontId="0" fillId="0" borderId="1" xfId="0" applyNumberFormat="1" applyBorder="1"/>
    <xf numFmtId="43" fontId="0" fillId="0" borderId="0" xfId="1" applyFont="1" applyAlignment="1">
      <alignment horizontal="center"/>
    </xf>
    <xf numFmtId="171" fontId="13" fillId="0" borderId="0" xfId="1" applyNumberFormat="1" applyFont="1"/>
    <xf numFmtId="14" fontId="43" fillId="0" borderId="0" xfId="0" applyNumberFormat="1" applyFont="1"/>
    <xf numFmtId="169" fontId="10" fillId="4" borderId="0" xfId="1" applyNumberFormat="1" applyFont="1" applyFill="1"/>
    <xf numFmtId="169" fontId="0" fillId="39" borderId="0" xfId="1" applyNumberFormat="1" applyFont="1" applyFill="1" applyAlignment="1">
      <alignment horizontal="right"/>
    </xf>
    <xf numFmtId="0" fontId="19" fillId="0" borderId="0" xfId="0" applyFont="1" applyAlignment="1">
      <alignment horizontal="right"/>
    </xf>
    <xf numFmtId="0" fontId="11" fillId="0" borderId="42" xfId="0" applyFont="1" applyBorder="1"/>
    <xf numFmtId="181" fontId="48" fillId="0" borderId="0" xfId="4" applyNumberFormat="1" applyFont="1" applyAlignment="1">
      <alignment horizontal="center"/>
    </xf>
    <xf numFmtId="172" fontId="0" fillId="0" borderId="0" xfId="1" applyNumberFormat="1" applyFont="1"/>
    <xf numFmtId="0" fontId="4" fillId="0" borderId="0" xfId="288"/>
    <xf numFmtId="0" fontId="4" fillId="0" borderId="0" xfId="288" applyAlignment="1">
      <alignment horizontal="center"/>
    </xf>
    <xf numFmtId="3" fontId="4" fillId="0" borderId="0" xfId="288" applyNumberFormat="1"/>
    <xf numFmtId="10" fontId="4" fillId="0" borderId="0" xfId="288" applyNumberFormat="1"/>
    <xf numFmtId="169" fontId="4" fillId="0" borderId="0" xfId="288" applyNumberFormat="1"/>
    <xf numFmtId="0" fontId="12" fillId="0" borderId="0" xfId="288" applyFont="1"/>
    <xf numFmtId="167" fontId="0" fillId="0" borderId="0" xfId="290" applyNumberFormat="1" applyFont="1"/>
    <xf numFmtId="167" fontId="4" fillId="0" borderId="0" xfId="288" applyNumberFormat="1"/>
    <xf numFmtId="169" fontId="12" fillId="0" borderId="0" xfId="288" applyNumberFormat="1" applyFont="1"/>
    <xf numFmtId="9" fontId="0" fillId="0" borderId="0" xfId="290" applyFont="1"/>
    <xf numFmtId="172" fontId="4" fillId="0" borderId="0" xfId="288" applyNumberFormat="1"/>
    <xf numFmtId="172" fontId="12" fillId="0" borderId="0" xfId="288" applyNumberFormat="1" applyFont="1"/>
    <xf numFmtId="169" fontId="0" fillId="0" borderId="0" xfId="291" applyNumberFormat="1" applyFont="1"/>
    <xf numFmtId="0" fontId="4" fillId="0" borderId="0" xfId="288" quotePrefix="1"/>
    <xf numFmtId="168" fontId="4" fillId="0" borderId="0" xfId="288" applyNumberFormat="1"/>
    <xf numFmtId="182" fontId="4" fillId="0" borderId="0" xfId="288" applyNumberFormat="1"/>
    <xf numFmtId="171" fontId="12" fillId="0" borderId="0" xfId="291" applyNumberFormat="1" applyFont="1"/>
    <xf numFmtId="167" fontId="12" fillId="0" borderId="0" xfId="288" applyNumberFormat="1" applyFont="1"/>
    <xf numFmtId="10" fontId="0" fillId="0" borderId="0" xfId="290" applyNumberFormat="1" applyFont="1" applyAlignment="1">
      <alignment vertical="center"/>
    </xf>
    <xf numFmtId="10" fontId="4" fillId="2" borderId="0" xfId="288" applyNumberFormat="1" applyFill="1"/>
    <xf numFmtId="9" fontId="0" fillId="2" borderId="0" xfId="290" applyFont="1" applyFill="1"/>
    <xf numFmtId="169" fontId="12" fillId="0" borderId="0" xfId="291" applyNumberFormat="1" applyFont="1"/>
    <xf numFmtId="183" fontId="49" fillId="0" borderId="0" xfId="288" applyNumberFormat="1" applyFont="1"/>
    <xf numFmtId="183" fontId="12" fillId="0" borderId="0" xfId="288" applyNumberFormat="1" applyFont="1"/>
    <xf numFmtId="0" fontId="4" fillId="0" borderId="0" xfId="288" applyAlignment="1">
      <alignment vertical="center"/>
    </xf>
    <xf numFmtId="0" fontId="4" fillId="0" borderId="0" xfId="288" applyAlignment="1">
      <alignment horizontal="center" wrapText="1"/>
    </xf>
    <xf numFmtId="0" fontId="37" fillId="3" borderId="0" xfId="288" applyFont="1" applyFill="1"/>
    <xf numFmtId="0" fontId="37" fillId="3" borderId="35" xfId="288" applyFont="1" applyFill="1" applyBorder="1"/>
    <xf numFmtId="0" fontId="37" fillId="3" borderId="36" xfId="288" applyFont="1" applyFill="1" applyBorder="1"/>
    <xf numFmtId="169" fontId="37" fillId="3" borderId="35" xfId="291" applyNumberFormat="1" applyFont="1" applyFill="1" applyBorder="1"/>
    <xf numFmtId="169" fontId="37" fillId="3" borderId="37" xfId="291" applyNumberFormat="1" applyFont="1" applyFill="1" applyBorder="1"/>
    <xf numFmtId="169" fontId="37" fillId="3" borderId="0" xfId="291" applyNumberFormat="1" applyFont="1" applyFill="1" applyBorder="1"/>
    <xf numFmtId="0" fontId="37" fillId="3" borderId="38" xfId="288" applyFont="1" applyFill="1" applyBorder="1"/>
    <xf numFmtId="169" fontId="37" fillId="3" borderId="38" xfId="291" applyNumberFormat="1" applyFont="1" applyFill="1" applyBorder="1"/>
    <xf numFmtId="169" fontId="37" fillId="3" borderId="39" xfId="291" applyNumberFormat="1" applyFont="1" applyFill="1" applyBorder="1"/>
    <xf numFmtId="0" fontId="37" fillId="3" borderId="40" xfId="288" applyFont="1" applyFill="1" applyBorder="1"/>
    <xf numFmtId="0" fontId="53" fillId="3" borderId="1" xfId="288" applyFont="1" applyFill="1" applyBorder="1"/>
    <xf numFmtId="169" fontId="53" fillId="3" borderId="40" xfId="288" applyNumberFormat="1" applyFont="1" applyFill="1" applyBorder="1"/>
    <xf numFmtId="169" fontId="53" fillId="3" borderId="41" xfId="288" applyNumberFormat="1" applyFont="1" applyFill="1" applyBorder="1"/>
    <xf numFmtId="169" fontId="53" fillId="3" borderId="0" xfId="288" applyNumberFormat="1" applyFont="1" applyFill="1"/>
    <xf numFmtId="169" fontId="37" fillId="3" borderId="0" xfId="288" applyNumberFormat="1" applyFont="1" applyFill="1"/>
    <xf numFmtId="0" fontId="53" fillId="3" borderId="38" xfId="288" applyFont="1" applyFill="1" applyBorder="1"/>
    <xf numFmtId="0" fontId="52" fillId="40" borderId="40" xfId="4" applyFont="1" applyFill="1" applyBorder="1" applyAlignment="1">
      <alignment horizontal="center" vertical="center"/>
    </xf>
    <xf numFmtId="0" fontId="52" fillId="40" borderId="41" xfId="4" applyFont="1" applyFill="1" applyBorder="1" applyAlignment="1">
      <alignment horizontal="center" vertical="center"/>
    </xf>
    <xf numFmtId="0" fontId="51" fillId="0" borderId="0" xfId="288" applyFont="1"/>
    <xf numFmtId="0" fontId="37" fillId="0" borderId="0" xfId="288" applyFont="1"/>
    <xf numFmtId="0" fontId="10" fillId="0" borderId="0" xfId="288" applyFont="1"/>
    <xf numFmtId="0" fontId="54" fillId="0" borderId="0" xfId="288" applyFont="1"/>
    <xf numFmtId="0" fontId="54" fillId="0" borderId="0" xfId="288" applyFont="1" applyAlignment="1">
      <alignment horizontal="center"/>
    </xf>
    <xf numFmtId="0" fontId="54" fillId="2" borderId="0" xfId="288" applyFont="1" applyFill="1" applyAlignment="1">
      <alignment horizontal="center"/>
    </xf>
    <xf numFmtId="1" fontId="10" fillId="0" borderId="0" xfId="288" applyNumberFormat="1" applyFont="1"/>
    <xf numFmtId="10" fontId="10" fillId="0" borderId="0" xfId="288" applyNumberFormat="1" applyFont="1" applyAlignment="1">
      <alignment horizontal="center"/>
    </xf>
    <xf numFmtId="10" fontId="10" fillId="0" borderId="0" xfId="288" applyNumberFormat="1" applyFont="1"/>
    <xf numFmtId="0" fontId="10" fillId="41" borderId="0" xfId="288" applyFont="1" applyFill="1"/>
    <xf numFmtId="0" fontId="16" fillId="0" borderId="0" xfId="288" applyFont="1"/>
    <xf numFmtId="171" fontId="16" fillId="0" borderId="0" xfId="291" applyNumberFormat="1" applyFont="1"/>
    <xf numFmtId="169" fontId="16" fillId="0" borderId="0" xfId="288" applyNumberFormat="1" applyFont="1"/>
    <xf numFmtId="184" fontId="16" fillId="0" borderId="0" xfId="291" applyNumberFormat="1" applyFont="1"/>
    <xf numFmtId="0" fontId="10" fillId="0" borderId="35" xfId="288" applyFont="1" applyBorder="1"/>
    <xf numFmtId="0" fontId="10" fillId="0" borderId="36" xfId="288" applyFont="1" applyBorder="1"/>
    <xf numFmtId="0" fontId="10" fillId="0" borderId="37" xfId="288" applyFont="1" applyBorder="1"/>
    <xf numFmtId="0" fontId="16" fillId="0" borderId="38" xfId="288" applyFont="1" applyBorder="1"/>
    <xf numFmtId="0" fontId="16" fillId="0" borderId="0" xfId="292" applyNumberFormat="1" applyFont="1" applyBorder="1"/>
    <xf numFmtId="0" fontId="16" fillId="0" borderId="39" xfId="288" applyFont="1" applyBorder="1" applyAlignment="1">
      <alignment horizontal="center"/>
    </xf>
    <xf numFmtId="0" fontId="10" fillId="0" borderId="0" xfId="288" applyFont="1" applyAlignment="1">
      <alignment horizontal="center"/>
    </xf>
    <xf numFmtId="0" fontId="10" fillId="0" borderId="38" xfId="288" applyFont="1" applyBorder="1"/>
    <xf numFmtId="169" fontId="10" fillId="0" borderId="0" xfId="292" applyNumberFormat="1" applyFont="1" applyBorder="1" applyAlignment="1">
      <alignment vertical="top" wrapText="1"/>
    </xf>
    <xf numFmtId="169" fontId="16" fillId="0" borderId="39" xfId="288" applyNumberFormat="1" applyFont="1" applyBorder="1"/>
    <xf numFmtId="0" fontId="10" fillId="0" borderId="38" xfId="288" applyFont="1" applyBorder="1" applyAlignment="1">
      <alignment horizontal="right"/>
    </xf>
    <xf numFmtId="169" fontId="55" fillId="0" borderId="0" xfId="292" applyNumberFormat="1" applyFont="1" applyBorder="1"/>
    <xf numFmtId="10" fontId="10" fillId="0" borderId="0" xfId="293" applyNumberFormat="1" applyFont="1" applyBorder="1"/>
    <xf numFmtId="10" fontId="16" fillId="0" borderId="39" xfId="293" applyNumberFormat="1" applyFont="1" applyBorder="1"/>
    <xf numFmtId="10" fontId="16" fillId="0" borderId="0" xfId="293" applyNumberFormat="1" applyFont="1"/>
    <xf numFmtId="0" fontId="16" fillId="0" borderId="39" xfId="288" applyFont="1" applyBorder="1"/>
    <xf numFmtId="0" fontId="10" fillId="0" borderId="39" xfId="288" applyFont="1" applyBorder="1"/>
    <xf numFmtId="0" fontId="10" fillId="0" borderId="38" xfId="288" applyFont="1" applyBorder="1" applyAlignment="1">
      <alignment horizontal="center"/>
    </xf>
    <xf numFmtId="10" fontId="10" fillId="0" borderId="0" xfId="290" applyNumberFormat="1" applyFont="1"/>
    <xf numFmtId="169" fontId="16" fillId="0" borderId="38" xfId="288" applyNumberFormat="1" applyFont="1" applyBorder="1"/>
    <xf numFmtId="10" fontId="16" fillId="0" borderId="38" xfId="293" applyNumberFormat="1" applyFont="1" applyBorder="1"/>
    <xf numFmtId="169" fontId="37" fillId="0" borderId="0" xfId="288" applyNumberFormat="1" applyFont="1"/>
    <xf numFmtId="169" fontId="10" fillId="0" borderId="0" xfId="291" applyNumberFormat="1" applyFont="1" applyBorder="1"/>
    <xf numFmtId="10" fontId="16" fillId="0" borderId="0" xfId="293" applyNumberFormat="1" applyFont="1" applyFill="1" applyBorder="1"/>
    <xf numFmtId="0" fontId="16" fillId="0" borderId="1" xfId="288" applyFont="1" applyBorder="1"/>
    <xf numFmtId="169" fontId="16" fillId="0" borderId="1" xfId="288" applyNumberFormat="1" applyFont="1" applyBorder="1"/>
    <xf numFmtId="169" fontId="16" fillId="0" borderId="41" xfId="288" applyNumberFormat="1" applyFont="1" applyBorder="1"/>
    <xf numFmtId="0" fontId="10" fillId="0" borderId="40" xfId="288" applyFont="1" applyBorder="1"/>
    <xf numFmtId="0" fontId="10" fillId="0" borderId="1" xfId="288" applyFont="1" applyBorder="1"/>
    <xf numFmtId="0" fontId="10" fillId="0" borderId="41" xfId="288" applyFont="1" applyBorder="1"/>
    <xf numFmtId="0" fontId="54" fillId="0" borderId="36" xfId="288" applyFont="1" applyBorder="1"/>
    <xf numFmtId="168" fontId="55" fillId="0" borderId="0" xfId="288" applyNumberFormat="1" applyFont="1" applyAlignment="1">
      <alignment horizontal="center"/>
    </xf>
    <xf numFmtId="169" fontId="10" fillId="0" borderId="0" xfId="292" applyNumberFormat="1" applyFont="1" applyBorder="1"/>
    <xf numFmtId="0" fontId="10" fillId="41" borderId="38" xfId="288" applyFont="1" applyFill="1" applyBorder="1"/>
    <xf numFmtId="169" fontId="10" fillId="41" borderId="0" xfId="292" applyNumberFormat="1" applyFont="1" applyFill="1" applyBorder="1"/>
    <xf numFmtId="0" fontId="37" fillId="0" borderId="17" xfId="288" applyFont="1" applyBorder="1" applyAlignment="1">
      <alignment vertical="center" wrapText="1"/>
    </xf>
    <xf numFmtId="169" fontId="37" fillId="0" borderId="2" xfId="291" applyNumberFormat="1" applyFont="1" applyFill="1" applyBorder="1" applyAlignment="1">
      <alignment horizontal="right" vertical="center"/>
    </xf>
    <xf numFmtId="169" fontId="37" fillId="0" borderId="2" xfId="291" applyNumberFormat="1" applyFont="1" applyBorder="1" applyAlignment="1">
      <alignment horizontal="right" vertical="center"/>
    </xf>
    <xf numFmtId="171" fontId="10" fillId="0" borderId="2" xfId="291" applyNumberFormat="1" applyFont="1" applyBorder="1" applyAlignment="1">
      <alignment vertical="center"/>
    </xf>
    <xf numFmtId="169" fontId="37" fillId="0" borderId="2" xfId="291" applyNumberFormat="1" applyFont="1" applyBorder="1" applyAlignment="1">
      <alignment vertical="center"/>
    </xf>
    <xf numFmtId="0" fontId="37" fillId="0" borderId="6" xfId="288" applyFont="1" applyBorder="1" applyAlignment="1">
      <alignment vertical="center" wrapText="1"/>
    </xf>
    <xf numFmtId="10" fontId="16" fillId="0" borderId="39" xfId="290" applyNumberFormat="1" applyFont="1" applyBorder="1" applyAlignment="1">
      <alignment horizontal="right" vertical="center"/>
    </xf>
    <xf numFmtId="169" fontId="37" fillId="0" borderId="21" xfId="291" applyNumberFormat="1" applyFont="1" applyBorder="1" applyAlignment="1">
      <alignment vertical="center"/>
    </xf>
    <xf numFmtId="169" fontId="10" fillId="3" borderId="0" xfId="1" applyNumberFormat="1" applyFont="1" applyFill="1"/>
    <xf numFmtId="3" fontId="10" fillId="3" borderId="42" xfId="4" applyNumberFormat="1" applyFill="1" applyBorder="1"/>
    <xf numFmtId="169" fontId="41" fillId="0" borderId="0" xfId="1" applyNumberFormat="1" applyFont="1" applyFill="1"/>
    <xf numFmtId="169" fontId="17" fillId="0" borderId="0" xfId="1" applyNumberFormat="1" applyFont="1" applyFill="1"/>
    <xf numFmtId="9" fontId="0" fillId="2" borderId="0" xfId="3" applyFont="1" applyFill="1"/>
    <xf numFmtId="0" fontId="19" fillId="0" borderId="0" xfId="0" applyFont="1" applyAlignment="1">
      <alignment horizontal="center"/>
    </xf>
    <xf numFmtId="173" fontId="17" fillId="0" borderId="0" xfId="8" applyNumberFormat="1" applyFont="1" applyFill="1"/>
    <xf numFmtId="167" fontId="10" fillId="3" borderId="0" xfId="3" applyNumberFormat="1" applyFont="1" applyFill="1"/>
    <xf numFmtId="167" fontId="10" fillId="3" borderId="42" xfId="3" applyNumberFormat="1" applyFont="1" applyFill="1" applyBorder="1"/>
    <xf numFmtId="167" fontId="10" fillId="3" borderId="7" xfId="3" applyNumberFormat="1" applyFont="1" applyFill="1" applyBorder="1"/>
    <xf numFmtId="0" fontId="16" fillId="3" borderId="0" xfId="4" applyFont="1" applyFill="1"/>
    <xf numFmtId="185" fontId="18" fillId="3" borderId="0" xfId="4" applyNumberFormat="1" applyFont="1" applyFill="1"/>
    <xf numFmtId="0" fontId="52" fillId="40" borderId="3" xfId="4" applyFont="1" applyFill="1" applyBorder="1" applyAlignment="1">
      <alignment horizontal="center" vertical="center"/>
    </xf>
    <xf numFmtId="0" fontId="52" fillId="40" borderId="4" xfId="4" applyFont="1" applyFill="1" applyBorder="1" applyAlignment="1">
      <alignment horizontal="center" vertical="center" wrapText="1"/>
    </xf>
    <xf numFmtId="0" fontId="52" fillId="40" borderId="5" xfId="4" applyFont="1" applyFill="1" applyBorder="1" applyAlignment="1">
      <alignment horizontal="center" vertical="center" wrapText="1"/>
    </xf>
    <xf numFmtId="0" fontId="52" fillId="40" borderId="9" xfId="4" applyFont="1" applyFill="1" applyBorder="1" applyAlignment="1">
      <alignment horizontal="center"/>
    </xf>
    <xf numFmtId="3" fontId="52" fillId="40" borderId="10" xfId="4" applyNumberFormat="1" applyFont="1" applyFill="1" applyBorder="1"/>
    <xf numFmtId="3" fontId="52" fillId="40" borderId="11" xfId="4" applyNumberFormat="1" applyFont="1" applyFill="1" applyBorder="1"/>
    <xf numFmtId="0" fontId="52" fillId="40" borderId="3" xfId="4" applyFont="1" applyFill="1" applyBorder="1" applyAlignment="1">
      <alignment horizontal="center"/>
    </xf>
    <xf numFmtId="0" fontId="52" fillId="40" borderId="4" xfId="4" applyFont="1" applyFill="1" applyBorder="1" applyAlignment="1">
      <alignment vertical="center"/>
    </xf>
    <xf numFmtId="3" fontId="58" fillId="40" borderId="10" xfId="4" applyNumberFormat="1" applyFont="1" applyFill="1" applyBorder="1"/>
    <xf numFmtId="0" fontId="52" fillId="40" borderId="5" xfId="4" applyFont="1" applyFill="1" applyBorder="1" applyAlignment="1">
      <alignment vertical="center"/>
    </xf>
    <xf numFmtId="0" fontId="52" fillId="40" borderId="3" xfId="4" applyFont="1" applyFill="1" applyBorder="1" applyAlignment="1">
      <alignment horizontal="center" vertical="center" wrapText="1"/>
    </xf>
    <xf numFmtId="3" fontId="52" fillId="40" borderId="43" xfId="4" applyNumberFormat="1" applyFont="1" applyFill="1" applyBorder="1"/>
    <xf numFmtId="167" fontId="52" fillId="40" borderId="43" xfId="3" applyNumberFormat="1" applyFont="1" applyFill="1" applyBorder="1"/>
    <xf numFmtId="167" fontId="52" fillId="40" borderId="11" xfId="3" applyNumberFormat="1" applyFont="1" applyFill="1" applyBorder="1"/>
    <xf numFmtId="0" fontId="59" fillId="40" borderId="17" xfId="288" applyFont="1" applyFill="1" applyBorder="1" applyAlignment="1">
      <alignment horizontal="center" vertical="center"/>
    </xf>
    <xf numFmtId="0" fontId="60" fillId="40" borderId="2" xfId="288" applyFont="1" applyFill="1" applyBorder="1" applyAlignment="1">
      <alignment horizontal="center" vertical="center"/>
    </xf>
    <xf numFmtId="0" fontId="60" fillId="40" borderId="2" xfId="288" applyFont="1" applyFill="1" applyBorder="1" applyAlignment="1">
      <alignment horizontal="center" vertical="center" wrapText="1"/>
    </xf>
    <xf numFmtId="0" fontId="60" fillId="40" borderId="21" xfId="288" applyFont="1" applyFill="1" applyBorder="1" applyAlignment="1">
      <alignment horizontal="center" vertical="center"/>
    </xf>
    <xf numFmtId="0" fontId="60" fillId="40" borderId="2" xfId="288" applyFont="1" applyFill="1" applyBorder="1" applyAlignment="1">
      <alignment horizontal="center"/>
    </xf>
    <xf numFmtId="0" fontId="60" fillId="40" borderId="21" xfId="288" applyFont="1" applyFill="1" applyBorder="1" applyAlignment="1">
      <alignment horizontal="center"/>
    </xf>
    <xf numFmtId="0" fontId="52" fillId="40" borderId="22" xfId="288" applyFont="1" applyFill="1" applyBorder="1" applyAlignment="1">
      <alignment wrapText="1"/>
    </xf>
    <xf numFmtId="169" fontId="52" fillId="40" borderId="23" xfId="291" applyNumberFormat="1" applyFont="1" applyFill="1" applyBorder="1"/>
    <xf numFmtId="171" fontId="52" fillId="40" borderId="23" xfId="291" applyNumberFormat="1" applyFont="1" applyFill="1" applyBorder="1"/>
    <xf numFmtId="169" fontId="52" fillId="40" borderId="23" xfId="291" applyNumberFormat="1" applyFont="1" applyFill="1" applyBorder="1" applyAlignment="1">
      <alignment vertical="top"/>
    </xf>
    <xf numFmtId="169" fontId="52" fillId="40" borderId="24" xfId="291" applyNumberFormat="1" applyFont="1" applyFill="1" applyBorder="1" applyAlignment="1">
      <alignment vertical="top"/>
    </xf>
    <xf numFmtId="0" fontId="61" fillId="40" borderId="0" xfId="4" applyFont="1" applyFill="1" applyAlignment="1">
      <alignment horizontal="right"/>
    </xf>
    <xf numFmtId="0" fontId="52" fillId="40" borderId="0" xfId="4" applyFont="1" applyFill="1" applyAlignment="1">
      <alignment horizontal="center"/>
    </xf>
    <xf numFmtId="0" fontId="52" fillId="40" borderId="0" xfId="4" applyFont="1" applyFill="1" applyAlignment="1">
      <alignment horizontal="right"/>
    </xf>
    <xf numFmtId="0" fontId="62" fillId="40" borderId="0" xfId="0" applyFont="1" applyFill="1"/>
    <xf numFmtId="0" fontId="61" fillId="40" borderId="0" xfId="4" applyFont="1" applyFill="1" applyAlignment="1">
      <alignment horizontal="center" vertical="center" wrapText="1"/>
    </xf>
    <xf numFmtId="0" fontId="0" fillId="0" borderId="0" xfId="0" applyAlignment="1">
      <alignment horizontal="center" vertical="center"/>
    </xf>
    <xf numFmtId="0" fontId="52" fillId="40" borderId="0" xfId="4" applyFont="1" applyFill="1" applyAlignment="1">
      <alignment horizontal="center" vertical="center"/>
    </xf>
    <xf numFmtId="0" fontId="52" fillId="40" borderId="0" xfId="4" applyFont="1" applyFill="1" applyAlignment="1">
      <alignment horizontal="center" vertical="center" wrapText="1"/>
    </xf>
    <xf numFmtId="3" fontId="42" fillId="0" borderId="0" xfId="0" applyNumberFormat="1" applyFont="1"/>
    <xf numFmtId="1" fontId="42" fillId="0" borderId="0" xfId="0" applyNumberFormat="1" applyFont="1"/>
    <xf numFmtId="43" fontId="42" fillId="0" borderId="0" xfId="0" applyNumberFormat="1" applyFont="1"/>
    <xf numFmtId="14" fontId="62" fillId="40" borderId="0" xfId="0" applyNumberFormat="1" applyFont="1" applyFill="1"/>
    <xf numFmtId="43" fontId="62" fillId="40" borderId="0" xfId="0" applyNumberFormat="1" applyFont="1" applyFill="1"/>
    <xf numFmtId="1" fontId="62" fillId="40" borderId="0" xfId="0" applyNumberFormat="1" applyFont="1" applyFill="1"/>
    <xf numFmtId="169" fontId="62" fillId="40" borderId="0" xfId="1" applyNumberFormat="1" applyFont="1" applyFill="1"/>
    <xf numFmtId="0" fontId="37" fillId="0" borderId="0" xfId="5" applyFont="1"/>
    <xf numFmtId="0" fontId="37" fillId="0" borderId="0" xfId="5" applyFont="1" applyAlignment="1">
      <alignment horizontal="right"/>
    </xf>
    <xf numFmtId="0" fontId="59" fillId="40" borderId="0" xfId="5" applyFont="1" applyFill="1"/>
    <xf numFmtId="0" fontId="59" fillId="40" borderId="0" xfId="5" applyFont="1" applyFill="1" applyAlignment="1">
      <alignment horizontal="right"/>
    </xf>
    <xf numFmtId="3" fontId="37" fillId="0" borderId="0" xfId="5" applyNumberFormat="1" applyFont="1"/>
    <xf numFmtId="167" fontId="10" fillId="0" borderId="0" xfId="6" applyNumberFormat="1" applyFont="1"/>
    <xf numFmtId="167" fontId="37" fillId="0" borderId="0" xfId="5" applyNumberFormat="1" applyFont="1"/>
    <xf numFmtId="169" fontId="64" fillId="0" borderId="0" xfId="1" applyNumberFormat="1" applyFont="1"/>
    <xf numFmtId="165" fontId="0" fillId="0" borderId="0" xfId="0" applyNumberFormat="1"/>
    <xf numFmtId="169" fontId="42" fillId="0" borderId="0" xfId="1" applyNumberFormat="1" applyFont="1"/>
    <xf numFmtId="180" fontId="0" fillId="0" borderId="0" xfId="3" applyNumberFormat="1" applyFont="1"/>
    <xf numFmtId="4" fontId="65" fillId="0" borderId="0" xfId="0" applyNumberFormat="1" applyFont="1" applyAlignment="1">
      <alignment horizontal="left" vertical="center"/>
    </xf>
    <xf numFmtId="3" fontId="10" fillId="3" borderId="2" xfId="4" applyNumberFormat="1" applyFill="1" applyBorder="1"/>
    <xf numFmtId="0" fontId="10" fillId="3" borderId="47" xfId="4" applyFill="1" applyBorder="1"/>
    <xf numFmtId="0" fontId="10" fillId="3" borderId="17" xfId="4" applyFill="1" applyBorder="1"/>
    <xf numFmtId="3" fontId="10" fillId="3" borderId="21" xfId="4" applyNumberFormat="1" applyFill="1" applyBorder="1"/>
    <xf numFmtId="0" fontId="52" fillId="40" borderId="12" xfId="4" applyFont="1" applyFill="1" applyBorder="1" applyAlignment="1">
      <alignment vertical="center"/>
    </xf>
    <xf numFmtId="0" fontId="52" fillId="40" borderId="50" xfId="4" applyFont="1" applyFill="1" applyBorder="1" applyAlignment="1">
      <alignment horizontal="center" vertical="center"/>
    </xf>
    <xf numFmtId="0" fontId="52" fillId="40" borderId="51" xfId="4" applyFont="1" applyFill="1" applyBorder="1" applyAlignment="1">
      <alignment horizontal="center" vertical="center"/>
    </xf>
    <xf numFmtId="0" fontId="16" fillId="3" borderId="22" xfId="4" applyFont="1" applyFill="1" applyBorder="1"/>
    <xf numFmtId="3" fontId="16" fillId="3" borderId="23" xfId="4" applyNumberFormat="1" applyFont="1" applyFill="1" applyBorder="1"/>
    <xf numFmtId="3" fontId="16" fillId="3" borderId="24" xfId="4" applyNumberFormat="1" applyFont="1" applyFill="1" applyBorder="1"/>
    <xf numFmtId="3" fontId="10" fillId="3" borderId="48" xfId="4" applyNumberFormat="1" applyFill="1" applyBorder="1"/>
    <xf numFmtId="0" fontId="10" fillId="3" borderId="52" xfId="4" applyFill="1" applyBorder="1"/>
    <xf numFmtId="3" fontId="10" fillId="3" borderId="53" xfId="4" applyNumberFormat="1" applyFill="1" applyBorder="1"/>
    <xf numFmtId="3" fontId="10" fillId="3" borderId="54" xfId="4" applyNumberFormat="1" applyFill="1" applyBorder="1"/>
    <xf numFmtId="171" fontId="42" fillId="0" borderId="0" xfId="0" applyNumberFormat="1" applyFont="1"/>
    <xf numFmtId="43" fontId="0" fillId="0" borderId="0" xfId="1" applyFont="1"/>
    <xf numFmtId="186" fontId="0" fillId="0" borderId="0" xfId="1" applyNumberFormat="1" applyFont="1"/>
    <xf numFmtId="0" fontId="61" fillId="40" borderId="0" xfId="4" applyFont="1" applyFill="1" applyAlignment="1">
      <alignment horizontal="center"/>
    </xf>
    <xf numFmtId="187" fontId="43" fillId="0" borderId="0" xfId="0" applyNumberFormat="1" applyFont="1"/>
    <xf numFmtId="169" fontId="10" fillId="0" borderId="0" xfId="0" quotePrefix="1" applyNumberFormat="1" applyFont="1"/>
    <xf numFmtId="185" fontId="10" fillId="0" borderId="2" xfId="4" applyNumberFormat="1" applyBorder="1" applyAlignment="1">
      <alignment horizontal="right" vertical="center"/>
    </xf>
    <xf numFmtId="172" fontId="10" fillId="0" borderId="0" xfId="289" applyNumberFormat="1" applyFont="1"/>
    <xf numFmtId="0" fontId="60" fillId="40" borderId="17" xfId="288" applyFont="1" applyFill="1" applyBorder="1" applyAlignment="1">
      <alignment horizontal="center" vertical="center" wrapText="1"/>
    </xf>
    <xf numFmtId="0" fontId="60" fillId="40" borderId="21" xfId="288" applyFont="1" applyFill="1" applyBorder="1" applyAlignment="1">
      <alignment horizontal="center" vertical="center" wrapText="1"/>
    </xf>
    <xf numFmtId="0" fontId="60" fillId="40" borderId="20" xfId="288" applyFont="1" applyFill="1" applyBorder="1" applyAlignment="1">
      <alignment horizontal="center" vertical="center" wrapText="1"/>
    </xf>
    <xf numFmtId="169" fontId="37" fillId="0" borderId="17" xfId="288" applyNumberFormat="1" applyFont="1" applyBorder="1" applyAlignment="1">
      <alignment vertical="top"/>
    </xf>
    <xf numFmtId="169" fontId="10" fillId="0" borderId="2" xfId="4" applyNumberFormat="1" applyBorder="1"/>
    <xf numFmtId="167" fontId="10" fillId="0" borderId="2" xfId="290" applyNumberFormat="1" applyFont="1" applyBorder="1" applyAlignment="1">
      <alignment vertical="top"/>
    </xf>
    <xf numFmtId="169" fontId="37" fillId="0" borderId="2" xfId="288" applyNumberFormat="1" applyFont="1" applyBorder="1" applyAlignment="1">
      <alignment vertical="top"/>
    </xf>
    <xf numFmtId="169" fontId="37" fillId="0" borderId="21" xfId="288" applyNumberFormat="1" applyFont="1" applyBorder="1" applyAlignment="1">
      <alignment vertical="top"/>
    </xf>
    <xf numFmtId="169" fontId="37" fillId="0" borderId="20" xfId="288" applyNumberFormat="1" applyFont="1" applyBorder="1" applyAlignment="1">
      <alignment vertical="top"/>
    </xf>
    <xf numFmtId="169" fontId="37" fillId="0" borderId="6" xfId="288" applyNumberFormat="1" applyFont="1" applyBorder="1" applyAlignment="1">
      <alignment vertical="top"/>
    </xf>
    <xf numFmtId="169" fontId="37" fillId="0" borderId="44" xfId="288" applyNumberFormat="1" applyFont="1" applyBorder="1" applyAlignment="1">
      <alignment vertical="top"/>
    </xf>
    <xf numFmtId="169" fontId="37" fillId="0" borderId="45" xfId="288" applyNumberFormat="1" applyFont="1" applyBorder="1" applyAlignment="1">
      <alignment vertical="top"/>
    </xf>
    <xf numFmtId="0" fontId="59" fillId="40" borderId="40" xfId="288" applyFont="1" applyFill="1" applyBorder="1" applyAlignment="1">
      <alignment vertical="center"/>
    </xf>
    <xf numFmtId="0" fontId="59" fillId="40" borderId="18" xfId="288" applyFont="1" applyFill="1" applyBorder="1" applyAlignment="1">
      <alignment vertical="center" wrapText="1"/>
    </xf>
    <xf numFmtId="0" fontId="37" fillId="0" borderId="18" xfId="288" applyFont="1" applyBorder="1" applyAlignment="1">
      <alignment vertical="center" wrapText="1"/>
    </xf>
    <xf numFmtId="0" fontId="37" fillId="0" borderId="35" xfId="288" applyFont="1" applyBorder="1" applyAlignment="1">
      <alignment vertical="center" wrapText="1"/>
    </xf>
    <xf numFmtId="0" fontId="60" fillId="40" borderId="18" xfId="288" applyFont="1" applyFill="1" applyBorder="1" applyAlignment="1">
      <alignment wrapText="1"/>
    </xf>
    <xf numFmtId="169" fontId="60" fillId="40" borderId="17" xfId="288" applyNumberFormat="1" applyFont="1" applyFill="1" applyBorder="1"/>
    <xf numFmtId="169" fontId="60" fillId="40" borderId="2" xfId="288" applyNumberFormat="1" applyFont="1" applyFill="1" applyBorder="1"/>
    <xf numFmtId="167" fontId="60" fillId="40" borderId="2" xfId="290" applyNumberFormat="1" applyFont="1" applyFill="1" applyBorder="1"/>
    <xf numFmtId="169" fontId="60" fillId="40" borderId="2" xfId="291" applyNumberFormat="1" applyFont="1" applyFill="1" applyBorder="1"/>
    <xf numFmtId="169" fontId="60" fillId="40" borderId="20" xfId="288" applyNumberFormat="1" applyFont="1" applyFill="1" applyBorder="1"/>
    <xf numFmtId="43" fontId="9" fillId="0" borderId="0" xfId="1" applyFont="1" applyAlignment="1">
      <alignment horizontal="center"/>
    </xf>
    <xf numFmtId="0" fontId="0" fillId="0" borderId="0" xfId="0" applyAlignment="1">
      <alignment horizontal="right"/>
    </xf>
    <xf numFmtId="168" fontId="42" fillId="0" borderId="0" xfId="0" applyNumberFormat="1" applyFont="1"/>
    <xf numFmtId="3" fontId="56" fillId="0" borderId="0" xfId="288" applyNumberFormat="1" applyFont="1" applyAlignment="1">
      <alignment horizontal="right" vertical="center"/>
    </xf>
    <xf numFmtId="3" fontId="57" fillId="0" borderId="0" xfId="288" applyNumberFormat="1" applyFont="1" applyAlignment="1">
      <alignment horizontal="right" vertical="center"/>
    </xf>
    <xf numFmtId="0" fontId="16" fillId="0" borderId="0" xfId="292" applyNumberFormat="1" applyFont="1" applyBorder="1" applyAlignment="1">
      <alignment horizontal="center"/>
    </xf>
    <xf numFmtId="10" fontId="10" fillId="0" borderId="0" xfId="3" applyNumberFormat="1" applyFont="1" applyBorder="1"/>
    <xf numFmtId="10" fontId="10" fillId="0" borderId="39" xfId="3" applyNumberFormat="1" applyFont="1" applyBorder="1"/>
    <xf numFmtId="0" fontId="55" fillId="0" borderId="0" xfId="288" applyFont="1"/>
    <xf numFmtId="1" fontId="55" fillId="0" borderId="0" xfId="291" applyNumberFormat="1" applyFont="1"/>
    <xf numFmtId="1" fontId="55" fillId="0" borderId="0" xfId="288" applyNumberFormat="1" applyFont="1"/>
    <xf numFmtId="10" fontId="55" fillId="0" borderId="0" xfId="288" applyNumberFormat="1" applyFont="1"/>
    <xf numFmtId="169" fontId="55" fillId="0" borderId="0" xfId="292" applyNumberFormat="1" applyFont="1"/>
    <xf numFmtId="0" fontId="55" fillId="0" borderId="35" xfId="288" applyFont="1" applyBorder="1"/>
    <xf numFmtId="0" fontId="55" fillId="0" borderId="36" xfId="288" applyFont="1" applyBorder="1"/>
    <xf numFmtId="169" fontId="55" fillId="0" borderId="36" xfId="292" applyNumberFormat="1" applyFont="1" applyBorder="1"/>
    <xf numFmtId="169" fontId="55" fillId="0" borderId="37" xfId="292" applyNumberFormat="1" applyFont="1" applyBorder="1"/>
    <xf numFmtId="0" fontId="55" fillId="0" borderId="38" xfId="288" applyFont="1" applyBorder="1"/>
    <xf numFmtId="169" fontId="55" fillId="0" borderId="39" xfId="292" applyNumberFormat="1" applyFont="1" applyBorder="1"/>
    <xf numFmtId="0" fontId="55" fillId="0" borderId="38" xfId="288" applyFont="1" applyBorder="1" applyAlignment="1">
      <alignment horizontal="right"/>
    </xf>
    <xf numFmtId="10" fontId="55" fillId="0" borderId="0" xfId="3" applyNumberFormat="1" applyFont="1" applyBorder="1"/>
    <xf numFmtId="10" fontId="55" fillId="0" borderId="39" xfId="3" applyNumberFormat="1" applyFont="1" applyBorder="1"/>
    <xf numFmtId="167" fontId="55" fillId="0" borderId="0" xfId="290" applyNumberFormat="1" applyFont="1"/>
    <xf numFmtId="10" fontId="55" fillId="0" borderId="0" xfId="290" applyNumberFormat="1" applyFont="1"/>
    <xf numFmtId="172" fontId="55" fillId="0" borderId="0" xfId="289" applyNumberFormat="1" applyFont="1" applyBorder="1"/>
    <xf numFmtId="172" fontId="55" fillId="0" borderId="39" xfId="288" applyNumberFormat="1" applyFont="1" applyBorder="1"/>
    <xf numFmtId="0" fontId="55" fillId="0" borderId="39" xfId="288" applyFont="1" applyBorder="1"/>
    <xf numFmtId="169" fontId="55" fillId="0" borderId="0" xfId="288" applyNumberFormat="1" applyFont="1"/>
    <xf numFmtId="169" fontId="55" fillId="0" borderId="39" xfId="288" applyNumberFormat="1" applyFont="1" applyBorder="1"/>
    <xf numFmtId="0" fontId="55" fillId="0" borderId="40" xfId="288" applyFont="1" applyBorder="1"/>
    <xf numFmtId="0" fontId="55" fillId="0" borderId="37" xfId="288" applyFont="1" applyBorder="1"/>
    <xf numFmtId="167" fontId="55" fillId="0" borderId="0" xfId="290" applyNumberFormat="1" applyFont="1" applyFill="1" applyBorder="1"/>
    <xf numFmtId="9" fontId="55" fillId="0" borderId="39" xfId="293" applyFont="1" applyBorder="1"/>
    <xf numFmtId="9" fontId="55" fillId="0" borderId="0" xfId="293" applyFont="1" applyBorder="1"/>
    <xf numFmtId="9" fontId="55" fillId="0" borderId="0" xfId="288" applyNumberFormat="1" applyFont="1"/>
    <xf numFmtId="0" fontId="55" fillId="0" borderId="1" xfId="288" applyFont="1" applyBorder="1"/>
    <xf numFmtId="0" fontId="55" fillId="0" borderId="41" xfId="288" applyFont="1" applyBorder="1"/>
    <xf numFmtId="0" fontId="55" fillId="0" borderId="47" xfId="288" applyFont="1" applyBorder="1"/>
    <xf numFmtId="0" fontId="55" fillId="0" borderId="48" xfId="290" applyNumberFormat="1" applyFont="1" applyBorder="1" applyAlignment="1">
      <alignment horizontal="center"/>
    </xf>
    <xf numFmtId="0" fontId="55" fillId="0" borderId="48" xfId="288" applyFont="1" applyBorder="1" applyAlignment="1">
      <alignment horizontal="center"/>
    </xf>
    <xf numFmtId="0" fontId="55" fillId="0" borderId="49" xfId="288" applyFont="1" applyBorder="1" applyAlignment="1">
      <alignment horizontal="center"/>
    </xf>
    <xf numFmtId="0" fontId="54" fillId="0" borderId="47" xfId="288" applyFont="1" applyBorder="1"/>
    <xf numFmtId="169" fontId="55" fillId="0" borderId="48" xfId="1" applyNumberFormat="1" applyFont="1" applyBorder="1"/>
    <xf numFmtId="169" fontId="55" fillId="0" borderId="49" xfId="288" applyNumberFormat="1" applyFont="1" applyBorder="1"/>
    <xf numFmtId="0" fontId="55" fillId="0" borderId="17" xfId="288" applyFont="1" applyBorder="1"/>
    <xf numFmtId="169" fontId="55" fillId="0" borderId="2" xfId="1" applyNumberFormat="1" applyFont="1" applyBorder="1"/>
    <xf numFmtId="169" fontId="55" fillId="0" borderId="21" xfId="288" applyNumberFormat="1" applyFont="1" applyBorder="1"/>
    <xf numFmtId="0" fontId="55" fillId="0" borderId="22" xfId="288" applyFont="1" applyBorder="1"/>
    <xf numFmtId="10" fontId="55" fillId="0" borderId="23" xfId="3" applyNumberFormat="1" applyFont="1" applyBorder="1"/>
    <xf numFmtId="10" fontId="55" fillId="0" borderId="24" xfId="3" applyNumberFormat="1" applyFont="1" applyBorder="1"/>
    <xf numFmtId="169" fontId="55" fillId="0" borderId="1" xfId="288" applyNumberFormat="1" applyFont="1" applyBorder="1"/>
    <xf numFmtId="169" fontId="55" fillId="0" borderId="0" xfId="291" applyNumberFormat="1" applyFont="1"/>
    <xf numFmtId="0" fontId="37" fillId="0" borderId="12" xfId="294" applyFont="1" applyBorder="1"/>
    <xf numFmtId="0" fontId="37" fillId="0" borderId="13" xfId="294" applyFont="1" applyBorder="1"/>
    <xf numFmtId="0" fontId="63" fillId="0" borderId="0" xfId="0" applyFont="1"/>
    <xf numFmtId="0" fontId="37" fillId="0" borderId="14" xfId="294" applyFont="1" applyBorder="1"/>
    <xf numFmtId="0" fontId="37" fillId="0" borderId="42" xfId="294" applyFont="1" applyBorder="1"/>
    <xf numFmtId="0" fontId="37" fillId="0" borderId="0" xfId="294" applyFont="1" applyAlignment="1">
      <alignment horizontal="center"/>
    </xf>
    <xf numFmtId="0" fontId="37" fillId="0" borderId="0" xfId="294" applyFont="1"/>
    <xf numFmtId="0" fontId="37" fillId="0" borderId="7" xfId="294" applyFont="1" applyBorder="1"/>
    <xf numFmtId="0" fontId="54" fillId="0" borderId="0" xfId="294" applyFont="1" applyAlignment="1">
      <alignment horizontal="center"/>
    </xf>
    <xf numFmtId="0" fontId="53" fillId="0" borderId="0" xfId="294" applyFont="1"/>
    <xf numFmtId="0" fontId="53" fillId="0" borderId="0" xfId="294" applyFont="1" applyAlignment="1">
      <alignment horizontal="center"/>
    </xf>
    <xf numFmtId="0" fontId="10" fillId="0" borderId="0" xfId="294" applyFont="1"/>
    <xf numFmtId="1" fontId="10" fillId="0" borderId="0" xfId="294" applyNumberFormat="1" applyFont="1"/>
    <xf numFmtId="171" fontId="37" fillId="0" borderId="0" xfId="12" applyNumberFormat="1" applyFont="1" applyFill="1" applyBorder="1"/>
    <xf numFmtId="169" fontId="37" fillId="0" borderId="0" xfId="12" applyNumberFormat="1" applyFont="1" applyFill="1" applyBorder="1"/>
    <xf numFmtId="167" fontId="37" fillId="0" borderId="0" xfId="246" applyNumberFormat="1" applyFont="1" applyFill="1" applyBorder="1"/>
    <xf numFmtId="0" fontId="16" fillId="0" borderId="0" xfId="294" applyFont="1"/>
    <xf numFmtId="171" fontId="53" fillId="0" borderId="0" xfId="294" applyNumberFormat="1" applyFont="1"/>
    <xf numFmtId="169" fontId="53" fillId="0" borderId="0" xfId="12" applyNumberFormat="1" applyFont="1" applyFill="1" applyBorder="1"/>
    <xf numFmtId="167" fontId="53" fillId="0" borderId="0" xfId="246" applyNumberFormat="1" applyFont="1" applyFill="1" applyBorder="1"/>
    <xf numFmtId="0" fontId="63" fillId="0" borderId="0" xfId="0" applyFont="1" applyAlignment="1">
      <alignment vertical="center"/>
    </xf>
    <xf numFmtId="0" fontId="37" fillId="0" borderId="0" xfId="294" applyFont="1" applyAlignment="1">
      <alignment horizontal="right"/>
    </xf>
    <xf numFmtId="0" fontId="37" fillId="0" borderId="43" xfId="294" applyFont="1" applyBorder="1"/>
    <xf numFmtId="0" fontId="37" fillId="0" borderId="10" xfId="294" applyFont="1" applyBorder="1"/>
    <xf numFmtId="0" fontId="37" fillId="0" borderId="11" xfId="294" applyFont="1" applyBorder="1"/>
    <xf numFmtId="15" fontId="66" fillId="0" borderId="0" xfId="0" applyNumberFormat="1" applyFont="1" applyAlignment="1">
      <alignment horizontal="right" vertical="center"/>
    </xf>
    <xf numFmtId="17" fontId="66" fillId="0" borderId="0" xfId="0" applyNumberFormat="1" applyFont="1" applyAlignment="1">
      <alignment horizontal="right" vertical="center"/>
    </xf>
    <xf numFmtId="167" fontId="0" fillId="0" borderId="0" xfId="246" applyNumberFormat="1" applyFont="1" applyBorder="1"/>
    <xf numFmtId="167" fontId="0" fillId="0" borderId="0" xfId="246" applyNumberFormat="1" applyFont="1" applyFill="1" applyBorder="1"/>
    <xf numFmtId="4" fontId="67" fillId="0" borderId="0" xfId="0" applyNumberFormat="1" applyFont="1" applyAlignment="1">
      <alignment horizontal="left" vertical="center"/>
    </xf>
    <xf numFmtId="0" fontId="37" fillId="0" borderId="0" xfId="0" applyFont="1"/>
    <xf numFmtId="0" fontId="37" fillId="0" borderId="35" xfId="297" applyFont="1" applyBorder="1"/>
    <xf numFmtId="0" fontId="37" fillId="0" borderId="36" xfId="297" applyFont="1" applyBorder="1"/>
    <xf numFmtId="0" fontId="37" fillId="0" borderId="38" xfId="297" applyFont="1" applyBorder="1"/>
    <xf numFmtId="0" fontId="37" fillId="0" borderId="0" xfId="297" applyFont="1"/>
    <xf numFmtId="0" fontId="37" fillId="0" borderId="0" xfId="0" applyFont="1" applyAlignment="1">
      <alignment wrapText="1"/>
    </xf>
    <xf numFmtId="0" fontId="37" fillId="0" borderId="38" xfId="297" applyFont="1" applyBorder="1" applyAlignment="1">
      <alignment wrapText="1"/>
    </xf>
    <xf numFmtId="0" fontId="37" fillId="0" borderId="0" xfId="297" applyFont="1" applyAlignment="1">
      <alignment wrapText="1"/>
    </xf>
    <xf numFmtId="0" fontId="37" fillId="0" borderId="40" xfId="0" applyFont="1" applyBorder="1" applyAlignment="1">
      <alignment wrapText="1"/>
    </xf>
    <xf numFmtId="0" fontId="37" fillId="0" borderId="1" xfId="0" applyFont="1" applyBorder="1" applyAlignment="1">
      <alignment wrapText="1"/>
    </xf>
    <xf numFmtId="0" fontId="37" fillId="0" borderId="41" xfId="0" applyFont="1" applyBorder="1" applyAlignment="1">
      <alignment wrapText="1"/>
    </xf>
    <xf numFmtId="0" fontId="37" fillId="0" borderId="16" xfId="0" applyFont="1" applyBorder="1" applyAlignment="1">
      <alignment wrapText="1"/>
    </xf>
    <xf numFmtId="3" fontId="37" fillId="0" borderId="42" xfId="297" applyNumberFormat="1" applyFont="1" applyBorder="1"/>
    <xf numFmtId="172" fontId="37" fillId="0" borderId="42" xfId="1" applyNumberFormat="1" applyFont="1" applyBorder="1"/>
    <xf numFmtId="172" fontId="37" fillId="0" borderId="38" xfId="1" applyNumberFormat="1" applyFont="1" applyBorder="1"/>
    <xf numFmtId="172" fontId="37" fillId="0" borderId="0" xfId="1" applyNumberFormat="1" applyFont="1" applyBorder="1"/>
    <xf numFmtId="172" fontId="37" fillId="0" borderId="39" xfId="1" applyNumberFormat="1" applyFont="1" applyBorder="1"/>
    <xf numFmtId="172" fontId="37" fillId="0" borderId="7" xfId="1" applyNumberFormat="1" applyFont="1" applyBorder="1"/>
    <xf numFmtId="0" fontId="53" fillId="0" borderId="0" xfId="0" applyFont="1" applyAlignment="1">
      <alignment horizontal="center"/>
    </xf>
    <xf numFmtId="17" fontId="37" fillId="0" borderId="66" xfId="297" applyNumberFormat="1" applyFont="1" applyBorder="1"/>
    <xf numFmtId="17" fontId="37" fillId="0" borderId="50" xfId="297" applyNumberFormat="1" applyFont="1" applyBorder="1"/>
    <xf numFmtId="1" fontId="37" fillId="0" borderId="51" xfId="297" applyNumberFormat="1" applyFont="1" applyBorder="1"/>
    <xf numFmtId="172" fontId="37" fillId="0" borderId="12" xfId="1" applyNumberFormat="1" applyFont="1" applyBorder="1"/>
    <xf numFmtId="172" fontId="37" fillId="0" borderId="67" xfId="1" applyNumberFormat="1" applyFont="1" applyBorder="1"/>
    <xf numFmtId="172" fontId="37" fillId="0" borderId="13" xfId="1" applyNumberFormat="1" applyFont="1" applyBorder="1"/>
    <xf numFmtId="172" fontId="37" fillId="0" borderId="68" xfId="1" applyNumberFormat="1" applyFont="1" applyBorder="1"/>
    <xf numFmtId="172" fontId="37" fillId="0" borderId="14" xfId="1" applyNumberFormat="1" applyFont="1" applyBorder="1"/>
    <xf numFmtId="17" fontId="37" fillId="0" borderId="8" xfId="297" applyNumberFormat="1" applyFont="1" applyBorder="1"/>
    <xf numFmtId="17" fontId="37" fillId="0" borderId="55" xfId="297" applyNumberFormat="1" applyFont="1" applyBorder="1"/>
    <xf numFmtId="1" fontId="37" fillId="0" borderId="56" xfId="297" applyNumberFormat="1" applyFont="1" applyBorder="1"/>
    <xf numFmtId="17" fontId="37" fillId="0" borderId="9" xfId="297" applyNumberFormat="1" applyFont="1" applyBorder="1"/>
    <xf numFmtId="17" fontId="37" fillId="0" borderId="69" xfId="297" applyNumberFormat="1" applyFont="1" applyBorder="1"/>
    <xf numFmtId="1" fontId="37" fillId="0" borderId="70" xfId="297" applyNumberFormat="1" applyFont="1" applyBorder="1"/>
    <xf numFmtId="172" fontId="37" fillId="0" borderId="43" xfId="1" applyNumberFormat="1" applyFont="1" applyBorder="1"/>
    <xf numFmtId="172" fontId="37" fillId="0" borderId="64" xfId="1" applyNumberFormat="1" applyFont="1" applyBorder="1"/>
    <xf numFmtId="172" fontId="37" fillId="0" borderId="10" xfId="1" applyNumberFormat="1" applyFont="1" applyBorder="1"/>
    <xf numFmtId="172" fontId="37" fillId="0" borderId="65" xfId="1" applyNumberFormat="1" applyFont="1" applyBorder="1"/>
    <xf numFmtId="172" fontId="37" fillId="0" borderId="11" xfId="1" applyNumberFormat="1" applyFont="1" applyBorder="1"/>
    <xf numFmtId="0" fontId="37" fillId="0" borderId="42" xfId="0" applyFont="1" applyBorder="1"/>
    <xf numFmtId="17" fontId="37" fillId="0" borderId="17" xfId="297" applyNumberFormat="1" applyFont="1" applyBorder="1"/>
    <xf numFmtId="17" fontId="37" fillId="0" borderId="2" xfId="297" applyNumberFormat="1" applyFont="1" applyBorder="1"/>
    <xf numFmtId="1" fontId="37" fillId="0" borderId="2" xfId="297" applyNumberFormat="1" applyFont="1" applyBorder="1"/>
    <xf numFmtId="17" fontId="37" fillId="0" borderId="22" xfId="297" applyNumberFormat="1" applyFont="1" applyBorder="1"/>
    <xf numFmtId="17" fontId="37" fillId="0" borderId="23" xfId="297" applyNumberFormat="1" applyFont="1" applyBorder="1"/>
    <xf numFmtId="1" fontId="37" fillId="0" borderId="23" xfId="297" applyNumberFormat="1" applyFont="1" applyBorder="1"/>
    <xf numFmtId="0" fontId="2" fillId="0" borderId="0" xfId="297"/>
    <xf numFmtId="169" fontId="0" fillId="0" borderId="0" xfId="298" applyNumberFormat="1" applyFont="1"/>
    <xf numFmtId="169" fontId="2" fillId="0" borderId="0" xfId="297" applyNumberFormat="1" applyAlignment="1">
      <alignment horizontal="left"/>
    </xf>
    <xf numFmtId="9" fontId="2" fillId="0" borderId="0" xfId="297" applyNumberFormat="1"/>
    <xf numFmtId="10" fontId="2" fillId="0" borderId="0" xfId="297" applyNumberFormat="1" applyAlignment="1">
      <alignment horizontal="left"/>
    </xf>
    <xf numFmtId="169" fontId="2" fillId="0" borderId="0" xfId="297" applyNumberFormat="1"/>
    <xf numFmtId="10" fontId="2" fillId="0" borderId="0" xfId="297" applyNumberFormat="1"/>
    <xf numFmtId="0" fontId="2" fillId="0" borderId="35" xfId="297" applyBorder="1"/>
    <xf numFmtId="0" fontId="2" fillId="0" borderId="36" xfId="297" applyBorder="1"/>
    <xf numFmtId="0" fontId="2" fillId="0" borderId="36" xfId="297" applyBorder="1" applyAlignment="1">
      <alignment horizontal="left"/>
    </xf>
    <xf numFmtId="0" fontId="2" fillId="0" borderId="2" xfId="297" applyBorder="1"/>
    <xf numFmtId="0" fontId="2" fillId="0" borderId="38" xfId="297" applyBorder="1"/>
    <xf numFmtId="0" fontId="12" fillId="0" borderId="0" xfId="297" applyFont="1" applyAlignment="1">
      <alignment vertical="center"/>
    </xf>
    <xf numFmtId="169" fontId="0" fillId="0" borderId="0" xfId="298" applyNumberFormat="1" applyFont="1" applyBorder="1"/>
    <xf numFmtId="169" fontId="0" fillId="2" borderId="0" xfId="298" applyNumberFormat="1" applyFont="1" applyFill="1" applyBorder="1"/>
    <xf numFmtId="165" fontId="2" fillId="0" borderId="0" xfId="297" applyNumberFormat="1"/>
    <xf numFmtId="0" fontId="12" fillId="0" borderId="36" xfId="297" applyFont="1" applyBorder="1" applyAlignment="1">
      <alignment vertical="center"/>
    </xf>
    <xf numFmtId="169" fontId="0" fillId="0" borderId="36" xfId="298" applyNumberFormat="1" applyFont="1" applyBorder="1"/>
    <xf numFmtId="169" fontId="2" fillId="4" borderId="36" xfId="297" applyNumberFormat="1" applyFill="1" applyBorder="1"/>
    <xf numFmtId="0" fontId="2" fillId="0" borderId="38" xfId="297" applyBorder="1" applyAlignment="1">
      <alignment horizontal="center" vertical="center" wrapText="1"/>
    </xf>
    <xf numFmtId="169" fontId="0" fillId="0" borderId="0" xfId="298" applyNumberFormat="1" applyFont="1" applyFill="1" applyBorder="1"/>
    <xf numFmtId="0" fontId="12" fillId="0" borderId="1" xfId="297" applyFont="1" applyBorder="1" applyAlignment="1">
      <alignment vertical="center"/>
    </xf>
    <xf numFmtId="0" fontId="2" fillId="0" borderId="1" xfId="297" applyBorder="1"/>
    <xf numFmtId="169" fontId="0" fillId="0" borderId="1" xfId="298" applyNumberFormat="1" applyFont="1" applyBorder="1"/>
    <xf numFmtId="171" fontId="2" fillId="0" borderId="0" xfId="297" applyNumberFormat="1"/>
    <xf numFmtId="43" fontId="2" fillId="0" borderId="36" xfId="297" applyNumberFormat="1" applyBorder="1"/>
    <xf numFmtId="10" fontId="0" fillId="0" borderId="0" xfId="299" applyNumberFormat="1" applyFont="1" applyBorder="1"/>
    <xf numFmtId="0" fontId="12" fillId="0" borderId="0" xfId="297" applyFont="1"/>
    <xf numFmtId="167" fontId="0" fillId="0" borderId="0" xfId="299" applyNumberFormat="1" applyFont="1" applyBorder="1"/>
    <xf numFmtId="167" fontId="0" fillId="2" borderId="0" xfId="299" applyNumberFormat="1" applyFont="1" applyFill="1" applyBorder="1"/>
    <xf numFmtId="167" fontId="2" fillId="0" borderId="0" xfId="297" applyNumberFormat="1"/>
    <xf numFmtId="0" fontId="2" fillId="0" borderId="40" xfId="297" applyBorder="1"/>
    <xf numFmtId="167" fontId="0" fillId="0" borderId="1" xfId="299" applyNumberFormat="1" applyFont="1" applyBorder="1"/>
    <xf numFmtId="167" fontId="0" fillId="0" borderId="36" xfId="300" applyNumberFormat="1" applyFont="1" applyBorder="1"/>
    <xf numFmtId="167" fontId="2" fillId="0" borderId="36" xfId="297" applyNumberFormat="1" applyBorder="1"/>
    <xf numFmtId="167" fontId="0" fillId="0" borderId="0" xfId="300" applyNumberFormat="1" applyFont="1" applyBorder="1"/>
    <xf numFmtId="0" fontId="12" fillId="0" borderId="1" xfId="297" applyFont="1" applyBorder="1"/>
    <xf numFmtId="180" fontId="0" fillId="0" borderId="0" xfId="299" applyNumberFormat="1" applyFont="1" applyAlignment="1">
      <alignment horizontal="center"/>
    </xf>
    <xf numFmtId="0" fontId="2" fillId="0" borderId="0" xfId="297" applyAlignment="1">
      <alignment horizontal="center"/>
    </xf>
    <xf numFmtId="0" fontId="2" fillId="0" borderId="0" xfId="297" applyAlignment="1">
      <alignment horizontal="center" vertical="center" wrapText="1"/>
    </xf>
    <xf numFmtId="167" fontId="0" fillId="0" borderId="0" xfId="299" applyNumberFormat="1" applyFont="1"/>
    <xf numFmtId="3" fontId="2" fillId="0" borderId="0" xfId="297" applyNumberFormat="1"/>
    <xf numFmtId="167" fontId="9" fillId="0" borderId="0" xfId="3" applyNumberFormat="1"/>
    <xf numFmtId="169" fontId="12" fillId="0" borderId="0" xfId="297" applyNumberFormat="1" applyFont="1"/>
    <xf numFmtId="9" fontId="0" fillId="0" borderId="0" xfId="299" applyFont="1"/>
    <xf numFmtId="43" fontId="2" fillId="0" borderId="0" xfId="297" applyNumberFormat="1"/>
    <xf numFmtId="0" fontId="12" fillId="0" borderId="0" xfId="297" applyFont="1" applyAlignment="1">
      <alignment horizontal="center"/>
    </xf>
    <xf numFmtId="0" fontId="63" fillId="0" borderId="40" xfId="297" applyFont="1" applyBorder="1"/>
    <xf numFmtId="0" fontId="63" fillId="0" borderId="1" xfId="297" applyFont="1" applyBorder="1"/>
    <xf numFmtId="172" fontId="63" fillId="0" borderId="43" xfId="1" applyNumberFormat="1" applyFont="1" applyBorder="1"/>
    <xf numFmtId="172" fontId="63" fillId="0" borderId="64" xfId="1" applyNumberFormat="1" applyFont="1" applyBorder="1"/>
    <xf numFmtId="172" fontId="63" fillId="0" borderId="10" xfId="1" applyNumberFormat="1" applyFont="1" applyBorder="1"/>
    <xf numFmtId="172" fontId="63" fillId="0" borderId="65" xfId="1" applyNumberFormat="1" applyFont="1" applyBorder="1"/>
    <xf numFmtId="172" fontId="63" fillId="0" borderId="11" xfId="1" applyNumberFormat="1" applyFont="1" applyBorder="1"/>
    <xf numFmtId="3" fontId="37" fillId="0" borderId="43" xfId="297" applyNumberFormat="1" applyFont="1" applyBorder="1"/>
    <xf numFmtId="169" fontId="42" fillId="0" borderId="0" xfId="0" applyNumberFormat="1" applyFont="1"/>
    <xf numFmtId="0" fontId="52" fillId="40" borderId="71" xfId="4" applyFont="1" applyFill="1" applyBorder="1" applyAlignment="1">
      <alignment horizontal="center" vertical="center" wrapText="1"/>
    </xf>
    <xf numFmtId="167" fontId="10" fillId="3" borderId="72" xfId="3" applyNumberFormat="1" applyFont="1" applyFill="1" applyBorder="1"/>
    <xf numFmtId="167" fontId="52" fillId="40" borderId="73" xfId="3" applyNumberFormat="1" applyFont="1" applyFill="1" applyBorder="1"/>
    <xf numFmtId="0" fontId="52" fillId="40" borderId="4" xfId="4" applyFont="1" applyFill="1" applyBorder="1" applyAlignment="1">
      <alignment horizontal="center" vertical="center"/>
    </xf>
    <xf numFmtId="0" fontId="52" fillId="40" borderId="5" xfId="4" applyFont="1" applyFill="1" applyBorder="1" applyAlignment="1">
      <alignment horizontal="center" vertical="center"/>
    </xf>
    <xf numFmtId="167" fontId="14" fillId="0" borderId="0" xfId="3" applyNumberFormat="1" applyFont="1"/>
    <xf numFmtId="3" fontId="10" fillId="2" borderId="0" xfId="0" applyNumberFormat="1" applyFont="1" applyFill="1"/>
    <xf numFmtId="1" fontId="64" fillId="0" borderId="0" xfId="0" applyNumberFormat="1" applyFont="1"/>
    <xf numFmtId="169" fontId="55" fillId="2" borderId="0" xfId="292" applyNumberFormat="1" applyFont="1" applyFill="1"/>
    <xf numFmtId="165" fontId="10" fillId="0" borderId="0" xfId="0" applyNumberFormat="1" applyFont="1"/>
    <xf numFmtId="16" fontId="10" fillId="0" borderId="0" xfId="0" applyNumberFormat="1" applyFont="1"/>
    <xf numFmtId="1" fontId="70" fillId="40" borderId="0" xfId="0" applyNumberFormat="1" applyFont="1" applyFill="1"/>
    <xf numFmtId="169" fontId="9" fillId="0" borderId="0" xfId="1" applyNumberFormat="1" applyFont="1"/>
    <xf numFmtId="10" fontId="10" fillId="3" borderId="0" xfId="3" applyNumberFormat="1" applyFont="1" applyFill="1"/>
    <xf numFmtId="169" fontId="0" fillId="0" borderId="0" xfId="1" applyNumberFormat="1" applyFont="1" applyBorder="1"/>
    <xf numFmtId="0" fontId="37" fillId="0" borderId="6" xfId="0" applyFont="1" applyBorder="1" applyAlignment="1">
      <alignment horizontal="center" wrapText="1"/>
    </xf>
    <xf numFmtId="0" fontId="37" fillId="0" borderId="52" xfId="0" applyFont="1" applyBorder="1" applyAlignment="1">
      <alignment wrapText="1"/>
    </xf>
    <xf numFmtId="172" fontId="37" fillId="0" borderId="8" xfId="1" applyNumberFormat="1" applyFont="1" applyBorder="1"/>
    <xf numFmtId="172" fontId="63" fillId="0" borderId="9" xfId="1" applyNumberFormat="1" applyFont="1" applyBorder="1"/>
    <xf numFmtId="172" fontId="37" fillId="0" borderId="66" xfId="1" applyNumberFormat="1" applyFont="1" applyBorder="1"/>
    <xf numFmtId="172" fontId="37" fillId="0" borderId="9" xfId="1" applyNumberFormat="1" applyFont="1" applyBorder="1"/>
    <xf numFmtId="0" fontId="2" fillId="0" borderId="1" xfId="297" applyBorder="1" applyAlignment="1">
      <alignment horizontal="center"/>
    </xf>
    <xf numFmtId="10" fontId="2" fillId="0" borderId="44" xfId="297" applyNumberFormat="1" applyBorder="1" applyAlignment="1">
      <alignment horizontal="center" vertical="center"/>
    </xf>
    <xf numFmtId="10" fontId="2" fillId="0" borderId="55" xfId="297" applyNumberFormat="1" applyBorder="1" applyAlignment="1">
      <alignment horizontal="center" vertical="center"/>
    </xf>
    <xf numFmtId="0" fontId="2" fillId="0" borderId="55" xfId="297" applyBorder="1"/>
    <xf numFmtId="0" fontId="2" fillId="0" borderId="53" xfId="297" applyBorder="1"/>
    <xf numFmtId="4" fontId="10" fillId="3" borderId="0" xfId="4" applyNumberFormat="1" applyFill="1"/>
    <xf numFmtId="2" fontId="10" fillId="3" borderId="0" xfId="4" applyNumberFormat="1" applyFill="1"/>
    <xf numFmtId="188" fontId="0" fillId="0" borderId="0" xfId="0" applyNumberFormat="1"/>
    <xf numFmtId="189" fontId="0" fillId="0" borderId="0" xfId="0" applyNumberFormat="1"/>
    <xf numFmtId="2" fontId="0" fillId="0" borderId="0" xfId="1" applyNumberFormat="1" applyFont="1"/>
    <xf numFmtId="189" fontId="0" fillId="0" borderId="0" xfId="1" applyNumberFormat="1" applyFont="1"/>
    <xf numFmtId="17" fontId="0" fillId="0" borderId="0" xfId="0" applyNumberFormat="1"/>
    <xf numFmtId="0" fontId="53" fillId="0" borderId="0" xfId="5" applyFont="1" applyAlignment="1">
      <alignment horizontal="center"/>
    </xf>
    <xf numFmtId="3" fontId="53" fillId="0" borderId="0" xfId="5" applyNumberFormat="1" applyFont="1"/>
    <xf numFmtId="167" fontId="16" fillId="0" borderId="0" xfId="6" applyNumberFormat="1" applyFont="1"/>
    <xf numFmtId="0" fontId="16" fillId="0" borderId="0" xfId="0" applyFont="1"/>
    <xf numFmtId="0" fontId="53" fillId="0" borderId="0" xfId="5" applyFont="1" applyAlignment="1">
      <alignment horizontal="right"/>
    </xf>
    <xf numFmtId="0" fontId="53" fillId="0" borderId="0" xfId="5" applyFont="1"/>
    <xf numFmtId="172" fontId="37" fillId="0" borderId="0" xfId="288" applyNumberFormat="1" applyFont="1"/>
    <xf numFmtId="3" fontId="37" fillId="0" borderId="0" xfId="288" applyNumberFormat="1" applyFont="1"/>
    <xf numFmtId="190" fontId="10" fillId="0" borderId="0" xfId="0" applyNumberFormat="1" applyFont="1"/>
    <xf numFmtId="0" fontId="1" fillId="0" borderId="0" xfId="297" applyFont="1"/>
    <xf numFmtId="0" fontId="1" fillId="0" borderId="0" xfId="288" applyFont="1"/>
    <xf numFmtId="9" fontId="4" fillId="0" borderId="0" xfId="288" applyNumberFormat="1"/>
    <xf numFmtId="165" fontId="4" fillId="0" borderId="0" xfId="288" applyNumberFormat="1"/>
    <xf numFmtId="169" fontId="0" fillId="0" borderId="0" xfId="0" applyNumberFormat="1" applyAlignment="1">
      <alignment horizontal="center"/>
    </xf>
    <xf numFmtId="169" fontId="64" fillId="0" borderId="0" xfId="0" applyNumberFormat="1" applyFont="1"/>
    <xf numFmtId="169" fontId="71" fillId="0" borderId="0" xfId="0" applyNumberFormat="1" applyFont="1"/>
    <xf numFmtId="10" fontId="1" fillId="0" borderId="0" xfId="3" applyNumberFormat="1" applyFont="1" applyBorder="1"/>
    <xf numFmtId="0" fontId="1" fillId="0" borderId="1" xfId="297" applyFont="1" applyBorder="1"/>
    <xf numFmtId="167" fontId="1" fillId="0" borderId="1" xfId="3" applyNumberFormat="1" applyFont="1" applyBorder="1"/>
    <xf numFmtId="167" fontId="1" fillId="0" borderId="0" xfId="3" applyNumberFormat="1" applyFont="1" applyBorder="1"/>
    <xf numFmtId="167" fontId="1" fillId="0" borderId="0" xfId="3" applyNumberFormat="1" applyFont="1"/>
    <xf numFmtId="169" fontId="1" fillId="0" borderId="0" xfId="1" applyNumberFormat="1" applyFont="1"/>
    <xf numFmtId="169" fontId="1" fillId="0" borderId="0" xfId="291" applyNumberFormat="1" applyFont="1"/>
    <xf numFmtId="0" fontId="52" fillId="40" borderId="47" xfId="4" applyFont="1" applyFill="1" applyBorder="1" applyAlignment="1">
      <alignment horizontal="center"/>
    </xf>
    <xf numFmtId="0" fontId="52" fillId="40" borderId="60" xfId="4" applyFont="1" applyFill="1" applyBorder="1" applyAlignment="1">
      <alignment horizontal="center"/>
    </xf>
    <xf numFmtId="0" fontId="52" fillId="40" borderId="48" xfId="4" applyFont="1" applyFill="1" applyBorder="1" applyAlignment="1">
      <alignment horizontal="center"/>
    </xf>
    <xf numFmtId="0" fontId="52" fillId="40" borderId="49" xfId="4" applyFont="1" applyFill="1" applyBorder="1" applyAlignment="1">
      <alignment horizontal="center"/>
    </xf>
    <xf numFmtId="0" fontId="52" fillId="40" borderId="8" xfId="4" applyFont="1" applyFill="1" applyBorder="1" applyAlignment="1">
      <alignment horizontal="center"/>
    </xf>
    <xf numFmtId="0" fontId="52" fillId="40" borderId="39" xfId="4" applyFont="1" applyFill="1" applyBorder="1" applyAlignment="1">
      <alignment horizontal="center"/>
    </xf>
    <xf numFmtId="0" fontId="52" fillId="40" borderId="55" xfId="4" applyFont="1" applyFill="1" applyBorder="1" applyAlignment="1">
      <alignment horizontal="center"/>
    </xf>
    <xf numFmtId="0" fontId="52" fillId="40" borderId="56" xfId="4" applyFont="1" applyFill="1" applyBorder="1" applyAlignment="1">
      <alignment horizontal="center"/>
    </xf>
    <xf numFmtId="0" fontId="52" fillId="40" borderId="57" xfId="4" applyFont="1" applyFill="1" applyBorder="1" applyAlignment="1">
      <alignment horizontal="center"/>
    </xf>
    <xf numFmtId="0" fontId="52" fillId="40" borderId="61" xfId="4" applyFont="1" applyFill="1" applyBorder="1" applyAlignment="1">
      <alignment horizontal="center"/>
    </xf>
    <xf numFmtId="0" fontId="52" fillId="40" borderId="58" xfId="4" applyFont="1" applyFill="1" applyBorder="1" applyAlignment="1">
      <alignment horizontal="center"/>
    </xf>
    <xf numFmtId="0" fontId="52" fillId="40" borderId="59" xfId="4" applyFont="1" applyFill="1" applyBorder="1" applyAlignment="1">
      <alignment horizontal="center"/>
    </xf>
    <xf numFmtId="0" fontId="0" fillId="0" borderId="0" xfId="0" applyAlignment="1">
      <alignment horizontal="center"/>
    </xf>
    <xf numFmtId="0" fontId="37" fillId="0" borderId="3" xfId="0" applyFont="1" applyBorder="1" applyAlignment="1">
      <alignment horizontal="center"/>
    </xf>
    <xf numFmtId="0" fontId="37" fillId="0" borderId="4" xfId="0" applyFont="1" applyBorder="1" applyAlignment="1">
      <alignment horizontal="center"/>
    </xf>
    <xf numFmtId="0" fontId="37" fillId="0" borderId="5" xfId="0" applyFont="1" applyBorder="1" applyAlignment="1">
      <alignment horizontal="center"/>
    </xf>
    <xf numFmtId="0" fontId="37" fillId="0" borderId="42" xfId="0" applyFont="1" applyBorder="1" applyAlignment="1">
      <alignment horizontal="center" wrapText="1"/>
    </xf>
    <xf numFmtId="0" fontId="37" fillId="0" borderId="15" xfId="0" applyFont="1" applyBorder="1" applyAlignment="1">
      <alignment horizontal="center" wrapText="1"/>
    </xf>
    <xf numFmtId="0" fontId="37" fillId="0" borderId="38" xfId="0" applyFont="1" applyBorder="1" applyAlignment="1">
      <alignment horizontal="center" wrapText="1"/>
    </xf>
    <xf numFmtId="0" fontId="37" fillId="0" borderId="0" xfId="0" applyFont="1" applyAlignment="1">
      <alignment horizontal="center" wrapText="1"/>
    </xf>
    <xf numFmtId="0" fontId="37" fillId="0" borderId="39" xfId="0" applyFont="1" applyBorder="1" applyAlignment="1">
      <alignment horizontal="center" wrapText="1"/>
    </xf>
    <xf numFmtId="0" fontId="37" fillId="0" borderId="7" xfId="0" applyFont="1" applyBorder="1" applyAlignment="1">
      <alignment horizontal="center" wrapText="1"/>
    </xf>
    <xf numFmtId="0" fontId="53" fillId="0" borderId="0" xfId="0" applyFont="1" applyAlignment="1">
      <alignment horizontal="center"/>
    </xf>
    <xf numFmtId="0" fontId="37" fillId="0" borderId="1" xfId="0" applyFont="1" applyBorder="1" applyAlignment="1">
      <alignment horizontal="center" wrapText="1"/>
    </xf>
    <xf numFmtId="0" fontId="53" fillId="0" borderId="42" xfId="0" applyFont="1" applyBorder="1" applyAlignment="1">
      <alignment horizontal="center"/>
    </xf>
    <xf numFmtId="10" fontId="2" fillId="0" borderId="0" xfId="297" applyNumberFormat="1" applyAlignment="1">
      <alignment horizontal="center" vertical="center"/>
    </xf>
    <xf numFmtId="0" fontId="2" fillId="0" borderId="0" xfId="297" applyAlignment="1">
      <alignment horizontal="center" vertical="center" wrapText="1"/>
    </xf>
    <xf numFmtId="0" fontId="2" fillId="0" borderId="0" xfId="297" applyAlignment="1">
      <alignment horizontal="center" vertical="center"/>
    </xf>
    <xf numFmtId="10" fontId="2" fillId="0" borderId="35" xfId="297" applyNumberFormat="1" applyBorder="1" applyAlignment="1">
      <alignment horizontal="center" vertical="center"/>
    </xf>
    <xf numFmtId="10" fontId="2" fillId="0" borderId="38" xfId="297" applyNumberFormat="1" applyBorder="1" applyAlignment="1">
      <alignment horizontal="center" vertical="center"/>
    </xf>
    <xf numFmtId="10" fontId="2" fillId="0" borderId="40" xfId="297" applyNumberFormat="1" applyBorder="1" applyAlignment="1">
      <alignment horizontal="center" vertical="center"/>
    </xf>
    <xf numFmtId="0" fontId="2" fillId="0" borderId="38" xfId="297" applyBorder="1" applyAlignment="1">
      <alignment horizontal="center"/>
    </xf>
    <xf numFmtId="0" fontId="2" fillId="0" borderId="35" xfId="297" applyBorder="1" applyAlignment="1">
      <alignment horizontal="center" vertical="center" wrapText="1"/>
    </xf>
    <xf numFmtId="0" fontId="2" fillId="0" borderId="38" xfId="297" applyBorder="1" applyAlignment="1">
      <alignment horizontal="center" vertical="center" wrapText="1"/>
    </xf>
    <xf numFmtId="0" fontId="2" fillId="0" borderId="40" xfId="297" applyBorder="1" applyAlignment="1">
      <alignment horizontal="center" vertical="center" wrapText="1"/>
    </xf>
    <xf numFmtId="0" fontId="4" fillId="0" borderId="0" xfId="288" applyAlignment="1">
      <alignment horizontal="center"/>
    </xf>
    <xf numFmtId="10" fontId="0" fillId="0" borderId="0" xfId="290" applyNumberFormat="1" applyFont="1" applyAlignment="1">
      <alignment horizontal="center" vertical="center"/>
    </xf>
    <xf numFmtId="0" fontId="52" fillId="40" borderId="35" xfId="4" applyFont="1" applyFill="1" applyBorder="1" applyAlignment="1">
      <alignment horizontal="center" vertical="center"/>
    </xf>
    <xf numFmtId="0" fontId="52" fillId="40" borderId="37" xfId="4" applyFont="1" applyFill="1" applyBorder="1" applyAlignment="1">
      <alignment horizontal="center" vertical="center"/>
    </xf>
    <xf numFmtId="0" fontId="53" fillId="3" borderId="0" xfId="288" applyFont="1" applyFill="1" applyAlignment="1">
      <alignment horizontal="center"/>
    </xf>
    <xf numFmtId="0" fontId="59" fillId="40" borderId="0" xfId="5" applyFont="1" applyFill="1" applyAlignment="1">
      <alignment horizontal="center"/>
    </xf>
    <xf numFmtId="0" fontId="52" fillId="40" borderId="0" xfId="4" applyFont="1" applyFill="1" applyAlignment="1">
      <alignment horizontal="center"/>
    </xf>
    <xf numFmtId="0" fontId="52" fillId="40" borderId="0" xfId="4" applyFont="1" applyFill="1" applyAlignment="1">
      <alignment horizontal="center" wrapText="1"/>
    </xf>
    <xf numFmtId="0" fontId="10" fillId="0" borderId="0" xfId="4" applyAlignment="1">
      <alignment horizontal="center"/>
    </xf>
    <xf numFmtId="0" fontId="37" fillId="0" borderId="0" xfId="294" applyFont="1" applyAlignment="1">
      <alignment horizontal="center"/>
    </xf>
    <xf numFmtId="0" fontId="60" fillId="40" borderId="3" xfId="288" applyFont="1" applyFill="1" applyBorder="1" applyAlignment="1">
      <alignment horizontal="center"/>
    </xf>
    <xf numFmtId="0" fontId="60" fillId="40" borderId="4" xfId="288" applyFont="1" applyFill="1" applyBorder="1" applyAlignment="1">
      <alignment horizontal="center"/>
    </xf>
    <xf numFmtId="0" fontId="60" fillId="40" borderId="5" xfId="288" applyFont="1" applyFill="1" applyBorder="1" applyAlignment="1">
      <alignment horizontal="center"/>
    </xf>
    <xf numFmtId="0" fontId="60" fillId="40" borderId="60" xfId="288" applyFont="1" applyFill="1" applyBorder="1" applyAlignment="1">
      <alignment horizontal="center"/>
    </xf>
    <xf numFmtId="0" fontId="60" fillId="40" borderId="62" xfId="288" applyFont="1" applyFill="1" applyBorder="1" applyAlignment="1">
      <alignment horizontal="center"/>
    </xf>
    <xf numFmtId="0" fontId="60" fillId="40" borderId="63" xfId="288" applyFont="1" applyFill="1" applyBorder="1" applyAlignment="1">
      <alignment horizontal="center"/>
    </xf>
    <xf numFmtId="0" fontId="60" fillId="40" borderId="46" xfId="288" applyFont="1" applyFill="1" applyBorder="1" applyAlignment="1">
      <alignment horizontal="center"/>
    </xf>
    <xf numFmtId="0" fontId="60" fillId="40" borderId="15" xfId="288" applyFont="1" applyFill="1" applyBorder="1" applyAlignment="1">
      <alignment horizontal="center"/>
    </xf>
    <xf numFmtId="0" fontId="60" fillId="40" borderId="1" xfId="288" applyFont="1" applyFill="1" applyBorder="1" applyAlignment="1">
      <alignment horizontal="center"/>
    </xf>
    <xf numFmtId="0" fontId="60" fillId="40" borderId="16" xfId="288" applyFont="1" applyFill="1" applyBorder="1" applyAlignment="1">
      <alignment horizontal="center"/>
    </xf>
    <xf numFmtId="0" fontId="59" fillId="40" borderId="12" xfId="288" applyFont="1" applyFill="1" applyBorder="1" applyAlignment="1">
      <alignment horizontal="center"/>
    </xf>
    <xf numFmtId="0" fontId="59" fillId="40" borderId="13" xfId="288" applyFont="1" applyFill="1" applyBorder="1" applyAlignment="1">
      <alignment horizontal="center"/>
    </xf>
    <xf numFmtId="0" fontId="59" fillId="40" borderId="14" xfId="288" applyFont="1" applyFill="1" applyBorder="1" applyAlignment="1">
      <alignment horizontal="center"/>
    </xf>
    <xf numFmtId="0" fontId="59" fillId="40" borderId="17" xfId="288" applyFont="1" applyFill="1" applyBorder="1" applyAlignment="1">
      <alignment horizontal="center" vertical="center"/>
    </xf>
    <xf numFmtId="0" fontId="60" fillId="40" borderId="18" xfId="288" applyFont="1" applyFill="1" applyBorder="1" applyAlignment="1">
      <alignment horizontal="center" vertical="center"/>
    </xf>
    <xf numFmtId="0" fontId="60" fillId="40" borderId="19" xfId="288" applyFont="1" applyFill="1" applyBorder="1" applyAlignment="1">
      <alignment horizontal="center" vertical="center"/>
    </xf>
    <xf numFmtId="0" fontId="60" fillId="40" borderId="20" xfId="288" applyFont="1" applyFill="1" applyBorder="1" applyAlignment="1">
      <alignment horizontal="center" vertical="center"/>
    </xf>
    <xf numFmtId="174" fontId="60" fillId="40" borderId="18" xfId="288" applyNumberFormat="1" applyFont="1" applyFill="1" applyBorder="1" applyAlignment="1">
      <alignment horizontal="center" vertical="center" wrapText="1"/>
    </xf>
    <xf numFmtId="174" fontId="60" fillId="40" borderId="19" xfId="288" applyNumberFormat="1" applyFont="1" applyFill="1" applyBorder="1" applyAlignment="1">
      <alignment horizontal="center" vertical="center" wrapText="1"/>
    </xf>
    <xf numFmtId="174" fontId="60" fillId="40" borderId="20" xfId="288" applyNumberFormat="1" applyFont="1" applyFill="1" applyBorder="1" applyAlignment="1">
      <alignment horizontal="center" vertical="center" wrapText="1"/>
    </xf>
    <xf numFmtId="174" fontId="60" fillId="40" borderId="25" xfId="288" applyNumberFormat="1" applyFont="1" applyFill="1" applyBorder="1" applyAlignment="1">
      <alignment horizontal="center" vertical="center" wrapText="1"/>
    </xf>
    <xf numFmtId="0" fontId="37" fillId="0" borderId="0" xfId="5" applyFont="1" applyAlignment="1"/>
  </cellXfs>
  <cellStyles count="301">
    <cellStyle name="$" xfId="13" xr:uid="{00000000-0005-0000-0000-000000000000}"/>
    <cellStyle name="$.00" xfId="14" xr:uid="{00000000-0005-0000-0000-000001000000}"/>
    <cellStyle name="$_9. Rev2Cost_GDPIPI" xfId="15" xr:uid="{00000000-0005-0000-0000-000002000000}"/>
    <cellStyle name="$_9. Rev2Cost_GDPIPI 2" xfId="16" xr:uid="{00000000-0005-0000-0000-000003000000}"/>
    <cellStyle name="$_9. Rev2Cost_GDPIPI_6.2 CBR B" xfId="17" xr:uid="{00000000-0005-0000-0000-000004000000}"/>
    <cellStyle name="$_9. Rev2Cost_GDPIPI_9. Shared Tax - Rate Rider" xfId="18" xr:uid="{00000000-0005-0000-0000-000005000000}"/>
    <cellStyle name="$_lists" xfId="19" xr:uid="{00000000-0005-0000-0000-000006000000}"/>
    <cellStyle name="$_lists 2" xfId="20" xr:uid="{00000000-0005-0000-0000-000007000000}"/>
    <cellStyle name="$_lists_4. Current Monthly Fixed Charge" xfId="21" xr:uid="{00000000-0005-0000-0000-000008000000}"/>
    <cellStyle name="$_lists_6.2 CBR B" xfId="22" xr:uid="{00000000-0005-0000-0000-000009000000}"/>
    <cellStyle name="$_lists_9. Shared Tax - Rate Rider" xfId="23" xr:uid="{00000000-0005-0000-0000-00000A000000}"/>
    <cellStyle name="$_Sheet4" xfId="24" xr:uid="{00000000-0005-0000-0000-00000B000000}"/>
    <cellStyle name="$_Sheet4 2" xfId="25" xr:uid="{00000000-0005-0000-0000-00000C000000}"/>
    <cellStyle name="$_Sheet4_6.2 CBR B" xfId="26" xr:uid="{00000000-0005-0000-0000-00000D000000}"/>
    <cellStyle name="$_Sheet4_9. Shared Tax - Rate Rider" xfId="27" xr:uid="{00000000-0005-0000-0000-00000E000000}"/>
    <cellStyle name="$M" xfId="28" xr:uid="{00000000-0005-0000-0000-00000F000000}"/>
    <cellStyle name="$M.00" xfId="29" xr:uid="{00000000-0005-0000-0000-000010000000}"/>
    <cellStyle name="$M_9. Rev2Cost_GDPIPI" xfId="30" xr:uid="{00000000-0005-0000-0000-000011000000}"/>
    <cellStyle name="20% - Accent1 2" xfId="31" xr:uid="{00000000-0005-0000-0000-000012000000}"/>
    <cellStyle name="20% - Accent1 2 2" xfId="32" xr:uid="{00000000-0005-0000-0000-000013000000}"/>
    <cellStyle name="20% - Accent1 2_6.2 CBR B" xfId="33" xr:uid="{00000000-0005-0000-0000-000014000000}"/>
    <cellStyle name="20% - Accent1 3" xfId="34" xr:uid="{00000000-0005-0000-0000-000015000000}"/>
    <cellStyle name="20% - Accent2 2" xfId="35" xr:uid="{00000000-0005-0000-0000-000016000000}"/>
    <cellStyle name="20% - Accent2 2 2" xfId="36" xr:uid="{00000000-0005-0000-0000-000017000000}"/>
    <cellStyle name="20% - Accent2 2_6.2 CBR B" xfId="37" xr:uid="{00000000-0005-0000-0000-000018000000}"/>
    <cellStyle name="20% - Accent2 3" xfId="38" xr:uid="{00000000-0005-0000-0000-000019000000}"/>
    <cellStyle name="20% - Accent3 2" xfId="39" xr:uid="{00000000-0005-0000-0000-00001A000000}"/>
    <cellStyle name="20% - Accent3 2 2" xfId="40" xr:uid="{00000000-0005-0000-0000-00001B000000}"/>
    <cellStyle name="20% - Accent3 2_6.2 CBR B" xfId="41" xr:uid="{00000000-0005-0000-0000-00001C000000}"/>
    <cellStyle name="20% - Accent3 3" xfId="42" xr:uid="{00000000-0005-0000-0000-00001D000000}"/>
    <cellStyle name="20% - Accent4 2" xfId="43" xr:uid="{00000000-0005-0000-0000-00001E000000}"/>
    <cellStyle name="20% - Accent4 2 2" xfId="44" xr:uid="{00000000-0005-0000-0000-00001F000000}"/>
    <cellStyle name="20% - Accent4 2_6.2 CBR B" xfId="45" xr:uid="{00000000-0005-0000-0000-000020000000}"/>
    <cellStyle name="20% - Accent4 3" xfId="46" xr:uid="{00000000-0005-0000-0000-000021000000}"/>
    <cellStyle name="20% - Accent5 2" xfId="47" xr:uid="{00000000-0005-0000-0000-000022000000}"/>
    <cellStyle name="20% - Accent5 2 2" xfId="48" xr:uid="{00000000-0005-0000-0000-000023000000}"/>
    <cellStyle name="20% - Accent5 2_6.2 CBR B" xfId="49" xr:uid="{00000000-0005-0000-0000-000024000000}"/>
    <cellStyle name="20% - Accent5 3" xfId="50" xr:uid="{00000000-0005-0000-0000-000025000000}"/>
    <cellStyle name="20% - Accent6 2" xfId="51" xr:uid="{00000000-0005-0000-0000-000026000000}"/>
    <cellStyle name="20% - Accent6 2 2" xfId="52" xr:uid="{00000000-0005-0000-0000-000027000000}"/>
    <cellStyle name="20% - Accent6 2_6.2 CBR B" xfId="53" xr:uid="{00000000-0005-0000-0000-000028000000}"/>
    <cellStyle name="20% - Accent6 3" xfId="54" xr:uid="{00000000-0005-0000-0000-000029000000}"/>
    <cellStyle name="40% - Accent1 2" xfId="55" xr:uid="{00000000-0005-0000-0000-00002A000000}"/>
    <cellStyle name="40% - Accent1 2 2" xfId="56" xr:uid="{00000000-0005-0000-0000-00002B000000}"/>
    <cellStyle name="40% - Accent1 2_6.2 CBR B" xfId="57" xr:uid="{00000000-0005-0000-0000-00002C000000}"/>
    <cellStyle name="40% - Accent1 3" xfId="58" xr:uid="{00000000-0005-0000-0000-00002D000000}"/>
    <cellStyle name="40% - Accent2 2" xfId="59" xr:uid="{00000000-0005-0000-0000-00002E000000}"/>
    <cellStyle name="40% - Accent2 2 2" xfId="60" xr:uid="{00000000-0005-0000-0000-00002F000000}"/>
    <cellStyle name="40% - Accent2 2_6.2 CBR B" xfId="61" xr:uid="{00000000-0005-0000-0000-000030000000}"/>
    <cellStyle name="40% - Accent2 3" xfId="62" xr:uid="{00000000-0005-0000-0000-000031000000}"/>
    <cellStyle name="40% - Accent3 2" xfId="63" xr:uid="{00000000-0005-0000-0000-000032000000}"/>
    <cellStyle name="40% - Accent3 2 2" xfId="64" xr:uid="{00000000-0005-0000-0000-000033000000}"/>
    <cellStyle name="40% - Accent3 2_6.2 CBR B" xfId="65" xr:uid="{00000000-0005-0000-0000-000034000000}"/>
    <cellStyle name="40% - Accent3 3" xfId="66" xr:uid="{00000000-0005-0000-0000-000035000000}"/>
    <cellStyle name="40% - Accent4 2" xfId="67" xr:uid="{00000000-0005-0000-0000-000036000000}"/>
    <cellStyle name="40% - Accent4 2 2" xfId="68" xr:uid="{00000000-0005-0000-0000-000037000000}"/>
    <cellStyle name="40% - Accent4 2_6.2 CBR B" xfId="69" xr:uid="{00000000-0005-0000-0000-000038000000}"/>
    <cellStyle name="40% - Accent4 3" xfId="70" xr:uid="{00000000-0005-0000-0000-000039000000}"/>
    <cellStyle name="40% - Accent5 2" xfId="71" xr:uid="{00000000-0005-0000-0000-00003A000000}"/>
    <cellStyle name="40% - Accent5 2 2" xfId="72" xr:uid="{00000000-0005-0000-0000-00003B000000}"/>
    <cellStyle name="40% - Accent5 2_6.2 CBR B" xfId="73" xr:uid="{00000000-0005-0000-0000-00003C000000}"/>
    <cellStyle name="40% - Accent5 3" xfId="74" xr:uid="{00000000-0005-0000-0000-00003D000000}"/>
    <cellStyle name="40% - Accent6 2" xfId="75" xr:uid="{00000000-0005-0000-0000-00003E000000}"/>
    <cellStyle name="40% - Accent6 2 2" xfId="76" xr:uid="{00000000-0005-0000-0000-00003F000000}"/>
    <cellStyle name="40% - Accent6 2_6.2 CBR B" xfId="77" xr:uid="{00000000-0005-0000-0000-000040000000}"/>
    <cellStyle name="40% - Accent6 3" xfId="78" xr:uid="{00000000-0005-0000-0000-000041000000}"/>
    <cellStyle name="60% - Accent1 2" xfId="79" xr:uid="{00000000-0005-0000-0000-000042000000}"/>
    <cellStyle name="60% - Accent2 2" xfId="80" xr:uid="{00000000-0005-0000-0000-000043000000}"/>
    <cellStyle name="60% - Accent3 2" xfId="81" xr:uid="{00000000-0005-0000-0000-000044000000}"/>
    <cellStyle name="60% - Accent4 2" xfId="82" xr:uid="{00000000-0005-0000-0000-000045000000}"/>
    <cellStyle name="60% - Accent5 2" xfId="83" xr:uid="{00000000-0005-0000-0000-000046000000}"/>
    <cellStyle name="60% - Accent6 2" xfId="84" xr:uid="{00000000-0005-0000-0000-000047000000}"/>
    <cellStyle name="Accent1 2" xfId="85" xr:uid="{00000000-0005-0000-0000-000048000000}"/>
    <cellStyle name="Accent2 2" xfId="86" xr:uid="{00000000-0005-0000-0000-000049000000}"/>
    <cellStyle name="Accent3 2" xfId="87" xr:uid="{00000000-0005-0000-0000-00004A000000}"/>
    <cellStyle name="Accent4 2" xfId="88" xr:uid="{00000000-0005-0000-0000-00004B000000}"/>
    <cellStyle name="Accent5 2" xfId="89" xr:uid="{00000000-0005-0000-0000-00004C000000}"/>
    <cellStyle name="Accent6 2" xfId="90" xr:uid="{00000000-0005-0000-0000-00004D000000}"/>
    <cellStyle name="Bad 2" xfId="91" xr:uid="{00000000-0005-0000-0000-00004E000000}"/>
    <cellStyle name="Calculation 2" xfId="92" xr:uid="{00000000-0005-0000-0000-00004F000000}"/>
    <cellStyle name="Check Cell 2" xfId="93" xr:uid="{00000000-0005-0000-0000-000050000000}"/>
    <cellStyle name="Comma" xfId="1" builtinId="3"/>
    <cellStyle name="Comma 2" xfId="12" xr:uid="{00000000-0005-0000-0000-000052000000}"/>
    <cellStyle name="Comma 2 2" xfId="94" xr:uid="{00000000-0005-0000-0000-000053000000}"/>
    <cellStyle name="Comma 2 2 2" xfId="95" xr:uid="{00000000-0005-0000-0000-000054000000}"/>
    <cellStyle name="Comma 2 2 2 2" xfId="96" xr:uid="{00000000-0005-0000-0000-000055000000}"/>
    <cellStyle name="Comma 2 2 3" xfId="97" xr:uid="{00000000-0005-0000-0000-000056000000}"/>
    <cellStyle name="Comma 2 2 3 2" xfId="98" xr:uid="{00000000-0005-0000-0000-000057000000}"/>
    <cellStyle name="Comma 2 2 4" xfId="99" xr:uid="{00000000-0005-0000-0000-000058000000}"/>
    <cellStyle name="Comma 2 2 5" xfId="100" xr:uid="{00000000-0005-0000-0000-000059000000}"/>
    <cellStyle name="Comma 2 2 6" xfId="101" xr:uid="{00000000-0005-0000-0000-00005A000000}"/>
    <cellStyle name="Comma 2 2_Database" xfId="102" xr:uid="{00000000-0005-0000-0000-00005B000000}"/>
    <cellStyle name="Comma 2 3" xfId="291" xr:uid="{77A7F8B8-0C66-4690-B7D6-5885061729DA}"/>
    <cellStyle name="Comma 3" xfId="11" xr:uid="{00000000-0005-0000-0000-00005C000000}"/>
    <cellStyle name="Comma 3 2" xfId="103" xr:uid="{00000000-0005-0000-0000-00005D000000}"/>
    <cellStyle name="Comma 3 2 2" xfId="104" xr:uid="{00000000-0005-0000-0000-00005E000000}"/>
    <cellStyle name="Comma 3 3" xfId="105" xr:uid="{00000000-0005-0000-0000-00005F000000}"/>
    <cellStyle name="Comma 3 4" xfId="106" xr:uid="{00000000-0005-0000-0000-000060000000}"/>
    <cellStyle name="Comma 4" xfId="107" xr:uid="{00000000-0005-0000-0000-000061000000}"/>
    <cellStyle name="Comma 4 2" xfId="108" xr:uid="{00000000-0005-0000-0000-000062000000}"/>
    <cellStyle name="Comma 4 3" xfId="109" xr:uid="{00000000-0005-0000-0000-000063000000}"/>
    <cellStyle name="Comma 4 6" xfId="110" xr:uid="{00000000-0005-0000-0000-000064000000}"/>
    <cellStyle name="Comma 4 6 2" xfId="111" xr:uid="{00000000-0005-0000-0000-000065000000}"/>
    <cellStyle name="Comma 4 6 3" xfId="112" xr:uid="{00000000-0005-0000-0000-000066000000}"/>
    <cellStyle name="Comma 4 6 4" xfId="113" xr:uid="{00000000-0005-0000-0000-000067000000}"/>
    <cellStyle name="Comma 4 6 5" xfId="114" xr:uid="{00000000-0005-0000-0000-000068000000}"/>
    <cellStyle name="Comma 4 6 6" xfId="115" xr:uid="{00000000-0005-0000-0000-000069000000}"/>
    <cellStyle name="Comma 44" xfId="292" xr:uid="{1D32C292-B117-44A2-ABF0-33E04226B18E}"/>
    <cellStyle name="Comma 5" xfId="116" xr:uid="{00000000-0005-0000-0000-00006A000000}"/>
    <cellStyle name="Comma 5 14" xfId="8" xr:uid="{00000000-0005-0000-0000-00006B000000}"/>
    <cellStyle name="Comma 5 2" xfId="117" xr:uid="{00000000-0005-0000-0000-00006C000000}"/>
    <cellStyle name="Comma 6" xfId="118" xr:uid="{00000000-0005-0000-0000-00006D000000}"/>
    <cellStyle name="Comma 7" xfId="119" xr:uid="{00000000-0005-0000-0000-00006E000000}"/>
    <cellStyle name="Comma 8" xfId="289" xr:uid="{873523B7-D68D-4898-AB0D-FE55FBFE6AA1}"/>
    <cellStyle name="Comma 8 2" xfId="298" xr:uid="{1DFB5490-2AAD-422C-BC5E-D725C03B0F33}"/>
    <cellStyle name="Comma 8 8" xfId="296" xr:uid="{B083BF34-41B3-475B-AAB9-CE0D5F44F3E0}"/>
    <cellStyle name="Comma0" xfId="120" xr:uid="{00000000-0005-0000-0000-00006F000000}"/>
    <cellStyle name="Currency 11" xfId="121" xr:uid="{00000000-0005-0000-0000-000070000000}"/>
    <cellStyle name="Currency 2" xfId="122" xr:uid="{00000000-0005-0000-0000-000071000000}"/>
    <cellStyle name="Currency 2 2" xfId="123" xr:uid="{00000000-0005-0000-0000-000072000000}"/>
    <cellStyle name="Currency 2 3" xfId="124" xr:uid="{00000000-0005-0000-0000-000073000000}"/>
    <cellStyle name="Currency 3" xfId="125" xr:uid="{00000000-0005-0000-0000-000074000000}"/>
    <cellStyle name="Currency 3 2" xfId="126" xr:uid="{00000000-0005-0000-0000-000075000000}"/>
    <cellStyle name="Currency 3 3" xfId="127" xr:uid="{00000000-0005-0000-0000-000076000000}"/>
    <cellStyle name="Currency 3 4" xfId="128" xr:uid="{00000000-0005-0000-0000-000077000000}"/>
    <cellStyle name="Currency 3 5" xfId="129" xr:uid="{00000000-0005-0000-0000-000078000000}"/>
    <cellStyle name="Currency 4" xfId="130" xr:uid="{00000000-0005-0000-0000-000079000000}"/>
    <cellStyle name="Currency 4 2" xfId="131" xr:uid="{00000000-0005-0000-0000-00007A000000}"/>
    <cellStyle name="Currency 4 2 2" xfId="132" xr:uid="{00000000-0005-0000-0000-00007B000000}"/>
    <cellStyle name="Currency 4 3" xfId="133" xr:uid="{00000000-0005-0000-0000-00007C000000}"/>
    <cellStyle name="Currency 4 3 2" xfId="134" xr:uid="{00000000-0005-0000-0000-00007D000000}"/>
    <cellStyle name="Currency 4 4" xfId="135" xr:uid="{00000000-0005-0000-0000-00007E000000}"/>
    <cellStyle name="Currency 4 5" xfId="136" xr:uid="{00000000-0005-0000-0000-00007F000000}"/>
    <cellStyle name="Currency 4 6" xfId="137" xr:uid="{00000000-0005-0000-0000-000080000000}"/>
    <cellStyle name="Currency 5" xfId="138" xr:uid="{00000000-0005-0000-0000-000081000000}"/>
    <cellStyle name="Currency 5 2" xfId="139" xr:uid="{00000000-0005-0000-0000-000082000000}"/>
    <cellStyle name="Currency 6" xfId="140" xr:uid="{00000000-0005-0000-0000-000083000000}"/>
    <cellStyle name="Currency 6 2" xfId="141" xr:uid="{00000000-0005-0000-0000-000084000000}"/>
    <cellStyle name="Currency 7" xfId="142" xr:uid="{00000000-0005-0000-0000-000085000000}"/>
    <cellStyle name="Currency 8" xfId="143" xr:uid="{00000000-0005-0000-0000-000086000000}"/>
    <cellStyle name="Currency 9" xfId="144" xr:uid="{00000000-0005-0000-0000-000087000000}"/>
    <cellStyle name="Currency0" xfId="145" xr:uid="{00000000-0005-0000-0000-000088000000}"/>
    <cellStyle name="Date" xfId="146" xr:uid="{00000000-0005-0000-0000-000089000000}"/>
    <cellStyle name="Explanatory Text 2" xfId="147" xr:uid="{00000000-0005-0000-0000-00008A000000}"/>
    <cellStyle name="Fixed" xfId="148" xr:uid="{00000000-0005-0000-0000-00008B000000}"/>
    <cellStyle name="Good 2" xfId="149" xr:uid="{00000000-0005-0000-0000-00008C000000}"/>
    <cellStyle name="Grey" xfId="150" xr:uid="{00000000-0005-0000-0000-00008D000000}"/>
    <cellStyle name="Heading 1 2" xfId="151" xr:uid="{00000000-0005-0000-0000-00008E000000}"/>
    <cellStyle name="Heading 2 2" xfId="152" xr:uid="{00000000-0005-0000-0000-00008F000000}"/>
    <cellStyle name="Heading 3 2" xfId="153" xr:uid="{00000000-0005-0000-0000-000090000000}"/>
    <cellStyle name="Heading 4 2" xfId="154" xr:uid="{00000000-0005-0000-0000-000091000000}"/>
    <cellStyle name="Hyperlink" xfId="287" builtinId="8"/>
    <cellStyle name="Hyperlink 2" xfId="155" xr:uid="{00000000-0005-0000-0000-000092000000}"/>
    <cellStyle name="Input [yellow]" xfId="156" xr:uid="{00000000-0005-0000-0000-000093000000}"/>
    <cellStyle name="Input 2" xfId="157" xr:uid="{00000000-0005-0000-0000-000094000000}"/>
    <cellStyle name="Linked Cell 2" xfId="158" xr:uid="{00000000-0005-0000-0000-000095000000}"/>
    <cellStyle name="M" xfId="159" xr:uid="{00000000-0005-0000-0000-000096000000}"/>
    <cellStyle name="M.00" xfId="160" xr:uid="{00000000-0005-0000-0000-000097000000}"/>
    <cellStyle name="M_9. Rev2Cost_GDPIPI" xfId="161" xr:uid="{00000000-0005-0000-0000-000098000000}"/>
    <cellStyle name="M_9. Rev2Cost_GDPIPI 2" xfId="162" xr:uid="{00000000-0005-0000-0000-000099000000}"/>
    <cellStyle name="M_9. Rev2Cost_GDPIPI_6.2 CBR B" xfId="163" xr:uid="{00000000-0005-0000-0000-00009A000000}"/>
    <cellStyle name="M_9. Rev2Cost_GDPIPI_9. Shared Tax - Rate Rider" xfId="164" xr:uid="{00000000-0005-0000-0000-00009B000000}"/>
    <cellStyle name="M_lists" xfId="165" xr:uid="{00000000-0005-0000-0000-00009C000000}"/>
    <cellStyle name="M_lists 2" xfId="166" xr:uid="{00000000-0005-0000-0000-00009D000000}"/>
    <cellStyle name="M_lists_4. Current Monthly Fixed Charge" xfId="167" xr:uid="{00000000-0005-0000-0000-00009E000000}"/>
    <cellStyle name="M_lists_6.2 CBR B" xfId="168" xr:uid="{00000000-0005-0000-0000-00009F000000}"/>
    <cellStyle name="M_lists_9. Shared Tax - Rate Rider" xfId="169" xr:uid="{00000000-0005-0000-0000-0000A0000000}"/>
    <cellStyle name="M_Sheet4" xfId="170" xr:uid="{00000000-0005-0000-0000-0000A1000000}"/>
    <cellStyle name="M_Sheet4 2" xfId="171" xr:uid="{00000000-0005-0000-0000-0000A2000000}"/>
    <cellStyle name="M_Sheet4_6.2 CBR B" xfId="172" xr:uid="{00000000-0005-0000-0000-0000A3000000}"/>
    <cellStyle name="M_Sheet4_9. Shared Tax - Rate Rider" xfId="173" xr:uid="{00000000-0005-0000-0000-0000A4000000}"/>
    <cellStyle name="Neutral 2" xfId="174" xr:uid="{00000000-0005-0000-0000-0000A5000000}"/>
    <cellStyle name="Normal" xfId="0" builtinId="0"/>
    <cellStyle name="Normal - Style1" xfId="175" xr:uid="{00000000-0005-0000-0000-0000A7000000}"/>
    <cellStyle name="Normal 10" xfId="176" xr:uid="{00000000-0005-0000-0000-0000A8000000}"/>
    <cellStyle name="Normal 10 12" xfId="177" xr:uid="{00000000-0005-0000-0000-0000A9000000}"/>
    <cellStyle name="Normal 11" xfId="178" xr:uid="{00000000-0005-0000-0000-0000AA000000}"/>
    <cellStyle name="Normal 12" xfId="179" xr:uid="{00000000-0005-0000-0000-0000AB000000}"/>
    <cellStyle name="Normal 13" xfId="10" xr:uid="{00000000-0005-0000-0000-0000AC000000}"/>
    <cellStyle name="Normal 13 6" xfId="180" xr:uid="{00000000-0005-0000-0000-0000AD000000}"/>
    <cellStyle name="Normal 14" xfId="288" xr:uid="{50BAB62D-044A-4AFC-ABCD-E8EF18B09627}"/>
    <cellStyle name="Normal 14 2" xfId="294" xr:uid="{929D0C60-974A-42FE-8F70-7C2B04608D06}"/>
    <cellStyle name="Normal 14 2 2" xfId="297" xr:uid="{EF54DBBC-CF4F-4499-96A9-59D788AC3491}"/>
    <cellStyle name="Normal 15" xfId="181" xr:uid="{00000000-0005-0000-0000-0000AE000000}"/>
    <cellStyle name="Normal 167" xfId="182" xr:uid="{00000000-0005-0000-0000-0000AF000000}"/>
    <cellStyle name="Normal 167 2" xfId="183" xr:uid="{00000000-0005-0000-0000-0000B0000000}"/>
    <cellStyle name="Normal 167_6.2 CBR B" xfId="184" xr:uid="{00000000-0005-0000-0000-0000B1000000}"/>
    <cellStyle name="Normal 168" xfId="185" xr:uid="{00000000-0005-0000-0000-0000B2000000}"/>
    <cellStyle name="Normal 168 2" xfId="186" xr:uid="{00000000-0005-0000-0000-0000B3000000}"/>
    <cellStyle name="Normal 168_6.2 CBR B" xfId="187" xr:uid="{00000000-0005-0000-0000-0000B4000000}"/>
    <cellStyle name="Normal 169" xfId="188" xr:uid="{00000000-0005-0000-0000-0000B5000000}"/>
    <cellStyle name="Normal 169 2" xfId="189" xr:uid="{00000000-0005-0000-0000-0000B6000000}"/>
    <cellStyle name="Normal 169_6.2 CBR B" xfId="190" xr:uid="{00000000-0005-0000-0000-0000B7000000}"/>
    <cellStyle name="Normal 170" xfId="191" xr:uid="{00000000-0005-0000-0000-0000B8000000}"/>
    <cellStyle name="Normal 170 2" xfId="192" xr:uid="{00000000-0005-0000-0000-0000B9000000}"/>
    <cellStyle name="Normal 170_6.2 CBR B" xfId="193" xr:uid="{00000000-0005-0000-0000-0000BA000000}"/>
    <cellStyle name="Normal 171" xfId="194" xr:uid="{00000000-0005-0000-0000-0000BB000000}"/>
    <cellStyle name="Normal 171 2" xfId="195" xr:uid="{00000000-0005-0000-0000-0000BC000000}"/>
    <cellStyle name="Normal 171_6.2 CBR B" xfId="196" xr:uid="{00000000-0005-0000-0000-0000BD000000}"/>
    <cellStyle name="Normal 19" xfId="197" xr:uid="{00000000-0005-0000-0000-0000BE000000}"/>
    <cellStyle name="Normal 2" xfId="198" xr:uid="{00000000-0005-0000-0000-0000BF000000}"/>
    <cellStyle name="Normal 2 2 2 2 2" xfId="4" xr:uid="{00000000-0005-0000-0000-0000C0000000}"/>
    <cellStyle name="Normal 25" xfId="199" xr:uid="{00000000-0005-0000-0000-0000C1000000}"/>
    <cellStyle name="Normal 3" xfId="5" xr:uid="{00000000-0005-0000-0000-0000C2000000}"/>
    <cellStyle name="Normal 3 2" xfId="201" xr:uid="{00000000-0005-0000-0000-0000C3000000}"/>
    <cellStyle name="Normal 3 3" xfId="200" xr:uid="{00000000-0005-0000-0000-0000C4000000}"/>
    <cellStyle name="Normal 3_6.2 CBR B" xfId="202" xr:uid="{00000000-0005-0000-0000-0000C5000000}"/>
    <cellStyle name="Normal 30" xfId="203" xr:uid="{00000000-0005-0000-0000-0000C6000000}"/>
    <cellStyle name="Normal 31" xfId="204" xr:uid="{00000000-0005-0000-0000-0000C7000000}"/>
    <cellStyle name="Normal 4" xfId="205" xr:uid="{00000000-0005-0000-0000-0000C8000000}"/>
    <cellStyle name="Normal 4 2" xfId="206" xr:uid="{00000000-0005-0000-0000-0000C9000000}"/>
    <cellStyle name="Normal 4_6.2 CBR B" xfId="207" xr:uid="{00000000-0005-0000-0000-0000CA000000}"/>
    <cellStyle name="Normal 41" xfId="208" xr:uid="{00000000-0005-0000-0000-0000CB000000}"/>
    <cellStyle name="Normal 42" xfId="209" xr:uid="{00000000-0005-0000-0000-0000CC000000}"/>
    <cellStyle name="Normal 5" xfId="210" xr:uid="{00000000-0005-0000-0000-0000CD000000}"/>
    <cellStyle name="Normal 5 2" xfId="211" xr:uid="{00000000-0005-0000-0000-0000CE000000}"/>
    <cellStyle name="Normal 5 2 2" xfId="212" xr:uid="{00000000-0005-0000-0000-0000CF000000}"/>
    <cellStyle name="Normal 5 2_6.2 CBR B" xfId="213" xr:uid="{00000000-0005-0000-0000-0000D0000000}"/>
    <cellStyle name="Normal 5 3" xfId="214" xr:uid="{00000000-0005-0000-0000-0000D1000000}"/>
    <cellStyle name="Normal 5_6.2 CBR B" xfId="215" xr:uid="{00000000-0005-0000-0000-0000D2000000}"/>
    <cellStyle name="Normal 50" xfId="216" xr:uid="{00000000-0005-0000-0000-0000D3000000}"/>
    <cellStyle name="Normal 51" xfId="217" xr:uid="{00000000-0005-0000-0000-0000D4000000}"/>
    <cellStyle name="Normal 52" xfId="218" xr:uid="{00000000-0005-0000-0000-0000D5000000}"/>
    <cellStyle name="Normal 6" xfId="219" xr:uid="{00000000-0005-0000-0000-0000D6000000}"/>
    <cellStyle name="Normal 6 2" xfId="220" xr:uid="{00000000-0005-0000-0000-0000D7000000}"/>
    <cellStyle name="Normal 6 3" xfId="221" xr:uid="{00000000-0005-0000-0000-0000D8000000}"/>
    <cellStyle name="Normal 6 4" xfId="222" xr:uid="{00000000-0005-0000-0000-0000D9000000}"/>
    <cellStyle name="Normal 6 5" xfId="223" xr:uid="{00000000-0005-0000-0000-0000DA000000}"/>
    <cellStyle name="Normal 6_6.2 CBR B" xfId="224" xr:uid="{00000000-0005-0000-0000-0000DB000000}"/>
    <cellStyle name="Normal 60" xfId="225" xr:uid="{00000000-0005-0000-0000-0000DC000000}"/>
    <cellStyle name="Normal 61" xfId="226" xr:uid="{00000000-0005-0000-0000-0000DD000000}"/>
    <cellStyle name="Normal 67" xfId="2" xr:uid="{00000000-0005-0000-0000-0000DE000000}"/>
    <cellStyle name="Normal 67 2" xfId="9" xr:uid="{00000000-0005-0000-0000-0000DF000000}"/>
    <cellStyle name="Normal 67 3" xfId="286" xr:uid="{00000000-0005-0000-0000-0000E0000000}"/>
    <cellStyle name="Normal 7" xfId="227" xr:uid="{00000000-0005-0000-0000-0000E1000000}"/>
    <cellStyle name="Normal 8" xfId="228" xr:uid="{00000000-0005-0000-0000-0000E2000000}"/>
    <cellStyle name="Normal 9" xfId="229" xr:uid="{00000000-0005-0000-0000-0000E3000000}"/>
    <cellStyle name="Note 2" xfId="230" xr:uid="{00000000-0005-0000-0000-0000E4000000}"/>
    <cellStyle name="Note 2 2" xfId="231" xr:uid="{00000000-0005-0000-0000-0000E5000000}"/>
    <cellStyle name="Note 3" xfId="232" xr:uid="{00000000-0005-0000-0000-0000E6000000}"/>
    <cellStyle name="Output 2" xfId="233" xr:uid="{00000000-0005-0000-0000-0000E7000000}"/>
    <cellStyle name="Percent" xfId="3" builtinId="5"/>
    <cellStyle name="Percent [2]" xfId="234" xr:uid="{00000000-0005-0000-0000-0000E9000000}"/>
    <cellStyle name="Percent 10" xfId="235" xr:uid="{00000000-0005-0000-0000-0000EA000000}"/>
    <cellStyle name="Percent 10 2" xfId="293" xr:uid="{C662090B-13B3-42B0-B4EF-0B771FEFAA10}"/>
    <cellStyle name="Percent 11" xfId="236" xr:uid="{00000000-0005-0000-0000-0000EB000000}"/>
    <cellStyle name="Percent 12" xfId="237" xr:uid="{00000000-0005-0000-0000-0000EC000000}"/>
    <cellStyle name="Percent 13" xfId="238" xr:uid="{00000000-0005-0000-0000-0000ED000000}"/>
    <cellStyle name="Percent 13 6" xfId="239" xr:uid="{00000000-0005-0000-0000-0000EE000000}"/>
    <cellStyle name="Percent 14" xfId="240" xr:uid="{00000000-0005-0000-0000-0000EF000000}"/>
    <cellStyle name="Percent 15" xfId="241" xr:uid="{00000000-0005-0000-0000-0000F0000000}"/>
    <cellStyle name="Percent 16" xfId="242" xr:uid="{00000000-0005-0000-0000-0000F1000000}"/>
    <cellStyle name="Percent 17" xfId="243" xr:uid="{00000000-0005-0000-0000-0000F2000000}"/>
    <cellStyle name="Percent 18" xfId="244" xr:uid="{00000000-0005-0000-0000-0000F3000000}"/>
    <cellStyle name="Percent 19" xfId="245" xr:uid="{00000000-0005-0000-0000-0000F4000000}"/>
    <cellStyle name="Percent 2" xfId="246" xr:uid="{00000000-0005-0000-0000-0000F5000000}"/>
    <cellStyle name="Percent 20" xfId="247" xr:uid="{00000000-0005-0000-0000-0000F6000000}"/>
    <cellStyle name="Percent 21" xfId="248" xr:uid="{00000000-0005-0000-0000-0000F7000000}"/>
    <cellStyle name="Percent 22" xfId="249" xr:uid="{00000000-0005-0000-0000-0000F8000000}"/>
    <cellStyle name="Percent 23" xfId="250" xr:uid="{00000000-0005-0000-0000-0000F9000000}"/>
    <cellStyle name="Percent 24" xfId="251" xr:uid="{00000000-0005-0000-0000-0000FA000000}"/>
    <cellStyle name="Percent 25" xfId="252" xr:uid="{00000000-0005-0000-0000-0000FB000000}"/>
    <cellStyle name="Percent 26" xfId="253" xr:uid="{00000000-0005-0000-0000-0000FC000000}"/>
    <cellStyle name="Percent 27" xfId="254" xr:uid="{00000000-0005-0000-0000-0000FD000000}"/>
    <cellStyle name="Percent 28" xfId="255" xr:uid="{00000000-0005-0000-0000-0000FE000000}"/>
    <cellStyle name="Percent 29" xfId="256" xr:uid="{00000000-0005-0000-0000-0000FF000000}"/>
    <cellStyle name="Percent 3" xfId="6" xr:uid="{00000000-0005-0000-0000-000000010000}"/>
    <cellStyle name="Percent 3 2" xfId="258" xr:uid="{00000000-0005-0000-0000-000001010000}"/>
    <cellStyle name="Percent 3 2 2" xfId="259" xr:uid="{00000000-0005-0000-0000-000002010000}"/>
    <cellStyle name="Percent 3 3" xfId="260" xr:uid="{00000000-0005-0000-0000-000003010000}"/>
    <cellStyle name="Percent 3 4" xfId="257" xr:uid="{00000000-0005-0000-0000-000004010000}"/>
    <cellStyle name="Percent 30" xfId="261" xr:uid="{00000000-0005-0000-0000-000005010000}"/>
    <cellStyle name="Percent 31" xfId="262" xr:uid="{00000000-0005-0000-0000-000006010000}"/>
    <cellStyle name="Percent 32" xfId="263" xr:uid="{00000000-0005-0000-0000-000007010000}"/>
    <cellStyle name="Percent 33" xfId="264" xr:uid="{00000000-0005-0000-0000-000008010000}"/>
    <cellStyle name="Percent 34" xfId="265" xr:uid="{00000000-0005-0000-0000-000009010000}"/>
    <cellStyle name="Percent 35" xfId="266" xr:uid="{00000000-0005-0000-0000-00000A010000}"/>
    <cellStyle name="Percent 36" xfId="267" xr:uid="{00000000-0005-0000-0000-00000B010000}"/>
    <cellStyle name="Percent 37" xfId="268" xr:uid="{00000000-0005-0000-0000-00000C010000}"/>
    <cellStyle name="Percent 38" xfId="269" xr:uid="{00000000-0005-0000-0000-00000D010000}"/>
    <cellStyle name="Percent 39" xfId="270" xr:uid="{00000000-0005-0000-0000-00000E010000}"/>
    <cellStyle name="Percent 4" xfId="271" xr:uid="{00000000-0005-0000-0000-00000F010000}"/>
    <cellStyle name="Percent 4 2" xfId="272" xr:uid="{00000000-0005-0000-0000-000010010000}"/>
    <cellStyle name="Percent 4 3" xfId="273" xr:uid="{00000000-0005-0000-0000-000011010000}"/>
    <cellStyle name="Percent 40" xfId="274" xr:uid="{00000000-0005-0000-0000-000012010000}"/>
    <cellStyle name="Percent 41" xfId="275" xr:uid="{00000000-0005-0000-0000-000013010000}"/>
    <cellStyle name="Percent 42" xfId="276" xr:uid="{00000000-0005-0000-0000-000014010000}"/>
    <cellStyle name="Percent 43" xfId="290" xr:uid="{8E4F17D3-A1E6-4A32-A7C6-17988F23C969}"/>
    <cellStyle name="Percent 43 2" xfId="295" xr:uid="{AC600A2A-9639-40B3-870C-940994E45C5C}"/>
    <cellStyle name="Percent 43 2 2" xfId="300" xr:uid="{04EAE74C-2640-48EF-BFA0-5AF0B63A4623}"/>
    <cellStyle name="Percent 43 3" xfId="299" xr:uid="{62E90909-891E-4525-A615-EF3C128484F0}"/>
    <cellStyle name="Percent 5" xfId="277" xr:uid="{00000000-0005-0000-0000-000015010000}"/>
    <cellStyle name="Percent 5 3" xfId="7" xr:uid="{00000000-0005-0000-0000-000016010000}"/>
    <cellStyle name="Percent 54" xfId="278" xr:uid="{00000000-0005-0000-0000-000017010000}"/>
    <cellStyle name="Percent 6" xfId="279" xr:uid="{00000000-0005-0000-0000-000018010000}"/>
    <cellStyle name="Percent 7" xfId="280" xr:uid="{00000000-0005-0000-0000-000019010000}"/>
    <cellStyle name="Percent 8" xfId="281" xr:uid="{00000000-0005-0000-0000-00001A010000}"/>
    <cellStyle name="Percent 9" xfId="282" xr:uid="{00000000-0005-0000-0000-00001B010000}"/>
    <cellStyle name="Title 2" xfId="283" xr:uid="{00000000-0005-0000-0000-00001C010000}"/>
    <cellStyle name="Total 2" xfId="284" xr:uid="{00000000-0005-0000-0000-00001D010000}"/>
    <cellStyle name="Warning Text 2" xfId="285" xr:uid="{00000000-0005-0000-0000-00001E010000}"/>
  </cellStyles>
  <dxfs count="0"/>
  <tableStyles count="0" defaultTableStyle="TableStyleMedium2" defaultPivotStyle="PivotStyleLight16"/>
  <colors>
    <mruColors>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4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47.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CA"/>
              <a:t>Residential</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Weather!$D$1</c:f>
              <c:strCache>
                <c:ptCount val="1"/>
                <c:pt idx="0">
                  <c:v>MeanTemp</c:v>
                </c:pt>
              </c:strCache>
            </c:strRef>
          </c:tx>
          <c:spPr>
            <a:ln w="25400" cap="rnd">
              <a:noFill/>
              <a:round/>
            </a:ln>
            <a:effectLst/>
          </c:spPr>
          <c:marker>
            <c:symbol val="circle"/>
            <c:size val="5"/>
            <c:spPr>
              <a:solidFill>
                <a:schemeClr val="accent1"/>
              </a:solidFill>
              <a:ln w="9525">
                <a:solidFill>
                  <a:schemeClr val="accent1"/>
                </a:solidFill>
              </a:ln>
              <a:effectLst/>
            </c:spPr>
          </c:marker>
          <c:xVal>
            <c:numRef>
              <c:f>Weather!$D$50:$D$121</c:f>
              <c:numCache>
                <c:formatCode>0.00</c:formatCode>
                <c:ptCount val="72"/>
                <c:pt idx="0">
                  <c:v>-7.4672043010752693</c:v>
                </c:pt>
                <c:pt idx="1">
                  <c:v>-7.7364942528735607</c:v>
                </c:pt>
                <c:pt idx="2">
                  <c:v>-1.2733870967741934</c:v>
                </c:pt>
                <c:pt idx="3">
                  <c:v>3.5943055555555548</c:v>
                </c:pt>
                <c:pt idx="4">
                  <c:v>11.401881720430106</c:v>
                </c:pt>
                <c:pt idx="5">
                  <c:v>17.740833333333331</c:v>
                </c:pt>
                <c:pt idx="6">
                  <c:v>22.358870967741932</c:v>
                </c:pt>
                <c:pt idx="7">
                  <c:v>17.764784946236556</c:v>
                </c:pt>
                <c:pt idx="8">
                  <c:v>13.116250000000001</c:v>
                </c:pt>
                <c:pt idx="9">
                  <c:v>6.0559139784946225</c:v>
                </c:pt>
                <c:pt idx="10">
                  <c:v>2.8723611111111098</c:v>
                </c:pt>
                <c:pt idx="11">
                  <c:v>-5.029569892473118</c:v>
                </c:pt>
                <c:pt idx="12">
                  <c:v>-7.5153225806451642</c:v>
                </c:pt>
                <c:pt idx="13">
                  <c:v>-9.2827380952380967</c:v>
                </c:pt>
                <c:pt idx="14">
                  <c:v>-1.0211021505376345</c:v>
                </c:pt>
                <c:pt idx="15">
                  <c:v>7.2934722222222224</c:v>
                </c:pt>
                <c:pt idx="16">
                  <c:v>12.099731182795697</c:v>
                </c:pt>
                <c:pt idx="17">
                  <c:v>19.186944444444446</c:v>
                </c:pt>
                <c:pt idx="18">
                  <c:v>18.637903225806447</c:v>
                </c:pt>
                <c:pt idx="19">
                  <c:v>21.164650537634408</c:v>
                </c:pt>
                <c:pt idx="20">
                  <c:v>14.518333333333336</c:v>
                </c:pt>
                <c:pt idx="21">
                  <c:v>10.492607526881724</c:v>
                </c:pt>
                <c:pt idx="22">
                  <c:v>0.52263888888888899</c:v>
                </c:pt>
                <c:pt idx="23">
                  <c:v>-4.6518145161290319</c:v>
                </c:pt>
                <c:pt idx="24">
                  <c:v>-16.084946236559141</c:v>
                </c:pt>
                <c:pt idx="25">
                  <c:v>-10.063095238095238</c:v>
                </c:pt>
                <c:pt idx="26">
                  <c:v>-2.7309139784946237</c:v>
                </c:pt>
                <c:pt idx="27">
                  <c:v>4.6259722222222219</c:v>
                </c:pt>
                <c:pt idx="28">
                  <c:v>14.666129032258066</c:v>
                </c:pt>
                <c:pt idx="29">
                  <c:v>17.072916666666668</c:v>
                </c:pt>
                <c:pt idx="30">
                  <c:v>20.028024193548383</c:v>
                </c:pt>
                <c:pt idx="31">
                  <c:v>19.217473118279578</c:v>
                </c:pt>
                <c:pt idx="32">
                  <c:v>13.805694444444445</c:v>
                </c:pt>
                <c:pt idx="33">
                  <c:v>7.5287634408602147</c:v>
                </c:pt>
                <c:pt idx="34">
                  <c:v>2.9962500000000007</c:v>
                </c:pt>
                <c:pt idx="35">
                  <c:v>-3.3372311827956986</c:v>
                </c:pt>
                <c:pt idx="36">
                  <c:v>-6.5091397849462362</c:v>
                </c:pt>
                <c:pt idx="37">
                  <c:v>-8.3235119047619044</c:v>
                </c:pt>
                <c:pt idx="38">
                  <c:v>-2.2612903225806451</c:v>
                </c:pt>
                <c:pt idx="39">
                  <c:v>5.9763888888888896</c:v>
                </c:pt>
                <c:pt idx="40">
                  <c:v>12.488239247311826</c:v>
                </c:pt>
                <c:pt idx="41">
                  <c:v>17.87416666666666</c:v>
                </c:pt>
                <c:pt idx="42">
                  <c:v>20.245833333333334</c:v>
                </c:pt>
                <c:pt idx="43">
                  <c:v>17.51075268817204</c:v>
                </c:pt>
                <c:pt idx="44">
                  <c:v>15.133472222222224</c:v>
                </c:pt>
                <c:pt idx="45">
                  <c:v>10.033870967741938</c:v>
                </c:pt>
                <c:pt idx="46">
                  <c:v>-0.54243055555555542</c:v>
                </c:pt>
                <c:pt idx="47">
                  <c:v>-3.0052419354838706</c:v>
                </c:pt>
                <c:pt idx="48">
                  <c:v>-6.7444892473118268</c:v>
                </c:pt>
                <c:pt idx="49">
                  <c:v>-4.5475574712643674</c:v>
                </c:pt>
                <c:pt idx="50">
                  <c:v>0.75551075268817203</c:v>
                </c:pt>
                <c:pt idx="51">
                  <c:v>6.0962499999999977</c:v>
                </c:pt>
                <c:pt idx="52">
                  <c:v>14.800806451612901</c:v>
                </c:pt>
                <c:pt idx="53">
                  <c:v>18.156111111111112</c:v>
                </c:pt>
                <c:pt idx="54">
                  <c:v>20.843279569892474</c:v>
                </c:pt>
                <c:pt idx="55">
                  <c:v>18.859677419354838</c:v>
                </c:pt>
                <c:pt idx="56">
                  <c:v>15.967222222222224</c:v>
                </c:pt>
                <c:pt idx="57">
                  <c:v>8.3852150537634422</c:v>
                </c:pt>
                <c:pt idx="58">
                  <c:v>3.1184722222222234</c:v>
                </c:pt>
                <c:pt idx="59">
                  <c:v>-5.6983198924731173</c:v>
                </c:pt>
                <c:pt idx="60">
                  <c:v>-10.018481182795702</c:v>
                </c:pt>
                <c:pt idx="61">
                  <c:v>-10.394642857142859</c:v>
                </c:pt>
                <c:pt idx="62">
                  <c:v>-2.0059139784946241</c:v>
                </c:pt>
                <c:pt idx="63">
                  <c:v>4.0188194444444445</c:v>
                </c:pt>
                <c:pt idx="64">
                  <c:v>12.344220430107528</c:v>
                </c:pt>
                <c:pt idx="65">
                  <c:v>18.235833333333332</c:v>
                </c:pt>
                <c:pt idx="66">
                  <c:v>21.22076612903226</c:v>
                </c:pt>
                <c:pt idx="67">
                  <c:v>19.0567876344086</c:v>
                </c:pt>
                <c:pt idx="68">
                  <c:v>14.043194444444445</c:v>
                </c:pt>
                <c:pt idx="69">
                  <c:v>8.8896505376344077</c:v>
                </c:pt>
                <c:pt idx="70">
                  <c:v>-0.24097222222222214</c:v>
                </c:pt>
                <c:pt idx="71">
                  <c:v>-9.5466397849462368</c:v>
                </c:pt>
              </c:numCache>
            </c:numRef>
          </c:xVal>
          <c:yVal>
            <c:numRef>
              <c:f>Weather!$DP$50:$DP$121</c:f>
              <c:numCache>
                <c:formatCode>_(* #,##0_);_(* \(#,##0\);_(* "-"??_);_(@_)</c:formatCode>
                <c:ptCount val="72"/>
                <c:pt idx="0">
                  <c:v>8414654.1696568504</c:v>
                </c:pt>
                <c:pt idx="1">
                  <c:v>7815438.1888876194</c:v>
                </c:pt>
                <c:pt idx="2">
                  <c:v>7552050.2081183884</c:v>
                </c:pt>
                <c:pt idx="3">
                  <c:v>6718611.2273491574</c:v>
                </c:pt>
                <c:pt idx="4">
                  <c:v>6484978.2465799265</c:v>
                </c:pt>
                <c:pt idx="5">
                  <c:v>6791535.2658106964</c:v>
                </c:pt>
                <c:pt idx="6">
                  <c:v>8887832.2850414645</c:v>
                </c:pt>
                <c:pt idx="7">
                  <c:v>6981508.3042722344</c:v>
                </c:pt>
                <c:pt idx="8">
                  <c:v>5593018.3235030035</c:v>
                </c:pt>
                <c:pt idx="9">
                  <c:v>6282108.3427337734</c:v>
                </c:pt>
                <c:pt idx="10">
                  <c:v>6779288.3619645424</c:v>
                </c:pt>
                <c:pt idx="11">
                  <c:v>8783121.3811953124</c:v>
                </c:pt>
                <c:pt idx="12">
                  <c:v>8947694.596042579</c:v>
                </c:pt>
                <c:pt idx="13">
                  <c:v>8282825.1054581115</c:v>
                </c:pt>
                <c:pt idx="14">
                  <c:v>7841494.614873644</c:v>
                </c:pt>
                <c:pt idx="15">
                  <c:v>6176221.1242891774</c:v>
                </c:pt>
                <c:pt idx="16">
                  <c:v>6246538.6337047098</c:v>
                </c:pt>
                <c:pt idx="17">
                  <c:v>7011045.1431202432</c:v>
                </c:pt>
                <c:pt idx="18">
                  <c:v>7147666.6525357757</c:v>
                </c:pt>
                <c:pt idx="19">
                  <c:v>8365336.1619513091</c:v>
                </c:pt>
                <c:pt idx="20">
                  <c:v>5638411.6713668425</c:v>
                </c:pt>
                <c:pt idx="21">
                  <c:v>5991389.1807823749</c:v>
                </c:pt>
                <c:pt idx="22">
                  <c:v>7003129.6901979083</c:v>
                </c:pt>
                <c:pt idx="23">
                  <c:v>8633204.8396134414</c:v>
                </c:pt>
                <c:pt idx="24">
                  <c:v>10532825.528697059</c:v>
                </c:pt>
                <c:pt idx="25">
                  <c:v>8586318.012812933</c:v>
                </c:pt>
                <c:pt idx="26">
                  <c:v>8070371.4969288055</c:v>
                </c:pt>
                <c:pt idx="27">
                  <c:v>6548410.9810446789</c:v>
                </c:pt>
                <c:pt idx="28">
                  <c:v>6080494.4651605524</c:v>
                </c:pt>
                <c:pt idx="29">
                  <c:v>6310089.9492764249</c:v>
                </c:pt>
                <c:pt idx="30">
                  <c:v>7465233.4333922984</c:v>
                </c:pt>
                <c:pt idx="31">
                  <c:v>7425747.9175081719</c:v>
                </c:pt>
                <c:pt idx="32">
                  <c:v>5812994.4016240453</c:v>
                </c:pt>
                <c:pt idx="33">
                  <c:v>6059998.8857399179</c:v>
                </c:pt>
                <c:pt idx="34">
                  <c:v>6806096.3698557913</c:v>
                </c:pt>
                <c:pt idx="35">
                  <c:v>8382575.8539716648</c:v>
                </c:pt>
                <c:pt idx="36">
                  <c:v>8740554.5448313784</c:v>
                </c:pt>
                <c:pt idx="37">
                  <c:v>8231333.1919643153</c:v>
                </c:pt>
                <c:pt idx="38">
                  <c:v>7931351.8390972503</c:v>
                </c:pt>
                <c:pt idx="39">
                  <c:v>6481760.4862301862</c:v>
                </c:pt>
                <c:pt idx="40">
                  <c:v>5935915.1333631221</c:v>
                </c:pt>
                <c:pt idx="41">
                  <c:v>6617170.7804960571</c:v>
                </c:pt>
                <c:pt idx="42">
                  <c:v>8069819.4276289931</c:v>
                </c:pt>
                <c:pt idx="43">
                  <c:v>6590759.074761929</c:v>
                </c:pt>
                <c:pt idx="44">
                  <c:v>6146868.721894864</c:v>
                </c:pt>
                <c:pt idx="45">
                  <c:v>6311574.3690277999</c:v>
                </c:pt>
                <c:pt idx="46">
                  <c:v>7441339.0161607359</c:v>
                </c:pt>
                <c:pt idx="47">
                  <c:v>8512565.6632936709</c:v>
                </c:pt>
                <c:pt idx="48">
                  <c:v>10058510.850234345</c:v>
                </c:pt>
                <c:pt idx="49">
                  <c:v>7527358.4163905876</c:v>
                </c:pt>
                <c:pt idx="50">
                  <c:v>8124056.9825468305</c:v>
                </c:pt>
                <c:pt idx="51">
                  <c:v>5757851.5487030726</c:v>
                </c:pt>
                <c:pt idx="52">
                  <c:v>6393480.1148593156</c:v>
                </c:pt>
                <c:pt idx="53">
                  <c:v>6950866.6810155576</c:v>
                </c:pt>
                <c:pt idx="54">
                  <c:v>8232160.2471718006</c:v>
                </c:pt>
                <c:pt idx="55">
                  <c:v>7428027.8133280436</c:v>
                </c:pt>
              </c:numCache>
            </c:numRef>
          </c:yVal>
          <c:smooth val="0"/>
          <c:extLst>
            <c:ext xmlns:c16="http://schemas.microsoft.com/office/drawing/2014/chart" uri="{C3380CC4-5D6E-409C-BE32-E72D297353CC}">
              <c16:uniqueId val="{00000000-6B6D-46F6-995E-D43350FB1AC5}"/>
            </c:ext>
          </c:extLst>
        </c:ser>
        <c:dLbls>
          <c:showLegendKey val="0"/>
          <c:showVal val="0"/>
          <c:showCatName val="0"/>
          <c:showSerName val="0"/>
          <c:showPercent val="0"/>
          <c:showBubbleSize val="0"/>
        </c:dLbls>
        <c:axId val="1096257311"/>
        <c:axId val="1096240031"/>
      </c:scatterChart>
      <c:valAx>
        <c:axId val="1096257311"/>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CA"/>
                  <a:t>Average Tempurature (°C)</a:t>
                </a:r>
              </a:p>
            </c:rich>
          </c:tx>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096240031"/>
        <c:crosses val="autoZero"/>
        <c:crossBetween val="midCat"/>
      </c:valAx>
      <c:valAx>
        <c:axId val="109624003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CA"/>
                  <a:t>Monthly Consumption (kWh)</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1"/>
        <c:majorTickMark val="none"/>
        <c:minorTickMark val="none"/>
        <c:tickLblPos val="low"/>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096257311"/>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CA"/>
              <a:t>GS &lt; 50 kW</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20973040367518006"/>
          <c:y val="0.15406616862326575"/>
          <c:w val="0.76454487038084917"/>
          <c:h val="0.65210968159396299"/>
        </c:manualLayout>
      </c:layout>
      <c:scatterChart>
        <c:scatterStyle val="lineMarker"/>
        <c:varyColors val="0"/>
        <c:ser>
          <c:idx val="0"/>
          <c:order val="0"/>
          <c:tx>
            <c:strRef>
              <c:f>Weather!$D$1</c:f>
              <c:strCache>
                <c:ptCount val="1"/>
                <c:pt idx="0">
                  <c:v>MeanTemp</c:v>
                </c:pt>
              </c:strCache>
            </c:strRef>
          </c:tx>
          <c:spPr>
            <a:ln w="25400" cap="rnd">
              <a:noFill/>
              <a:round/>
            </a:ln>
            <a:effectLst/>
          </c:spPr>
          <c:marker>
            <c:symbol val="circle"/>
            <c:size val="5"/>
            <c:spPr>
              <a:solidFill>
                <a:schemeClr val="accent1"/>
              </a:solidFill>
              <a:ln w="9525">
                <a:solidFill>
                  <a:schemeClr val="accent1"/>
                </a:solidFill>
              </a:ln>
              <a:effectLst/>
            </c:spPr>
          </c:marker>
          <c:xVal>
            <c:numRef>
              <c:f>Weather!$D$50:$D$121</c:f>
              <c:numCache>
                <c:formatCode>0.00</c:formatCode>
                <c:ptCount val="72"/>
                <c:pt idx="0">
                  <c:v>-7.4672043010752693</c:v>
                </c:pt>
                <c:pt idx="1">
                  <c:v>-7.7364942528735607</c:v>
                </c:pt>
                <c:pt idx="2">
                  <c:v>-1.2733870967741934</c:v>
                </c:pt>
                <c:pt idx="3">
                  <c:v>3.5943055555555548</c:v>
                </c:pt>
                <c:pt idx="4">
                  <c:v>11.401881720430106</c:v>
                </c:pt>
                <c:pt idx="5">
                  <c:v>17.740833333333331</c:v>
                </c:pt>
                <c:pt idx="6">
                  <c:v>22.358870967741932</c:v>
                </c:pt>
                <c:pt idx="7">
                  <c:v>17.764784946236556</c:v>
                </c:pt>
                <c:pt idx="8">
                  <c:v>13.116250000000001</c:v>
                </c:pt>
                <c:pt idx="9">
                  <c:v>6.0559139784946225</c:v>
                </c:pt>
                <c:pt idx="10">
                  <c:v>2.8723611111111098</c:v>
                </c:pt>
                <c:pt idx="11">
                  <c:v>-5.029569892473118</c:v>
                </c:pt>
                <c:pt idx="12">
                  <c:v>-7.5153225806451642</c:v>
                </c:pt>
                <c:pt idx="13">
                  <c:v>-9.2827380952380967</c:v>
                </c:pt>
                <c:pt idx="14">
                  <c:v>-1.0211021505376345</c:v>
                </c:pt>
                <c:pt idx="15">
                  <c:v>7.2934722222222224</c:v>
                </c:pt>
                <c:pt idx="16">
                  <c:v>12.099731182795697</c:v>
                </c:pt>
                <c:pt idx="17">
                  <c:v>19.186944444444446</c:v>
                </c:pt>
                <c:pt idx="18">
                  <c:v>18.637903225806447</c:v>
                </c:pt>
                <c:pt idx="19">
                  <c:v>21.164650537634408</c:v>
                </c:pt>
                <c:pt idx="20">
                  <c:v>14.518333333333336</c:v>
                </c:pt>
                <c:pt idx="21">
                  <c:v>10.492607526881724</c:v>
                </c:pt>
                <c:pt idx="22">
                  <c:v>0.52263888888888899</c:v>
                </c:pt>
                <c:pt idx="23">
                  <c:v>-4.6518145161290319</c:v>
                </c:pt>
                <c:pt idx="24">
                  <c:v>-16.084946236559141</c:v>
                </c:pt>
                <c:pt idx="25">
                  <c:v>-10.063095238095238</c:v>
                </c:pt>
                <c:pt idx="26">
                  <c:v>-2.7309139784946237</c:v>
                </c:pt>
                <c:pt idx="27">
                  <c:v>4.6259722222222219</c:v>
                </c:pt>
                <c:pt idx="28">
                  <c:v>14.666129032258066</c:v>
                </c:pt>
                <c:pt idx="29">
                  <c:v>17.072916666666668</c:v>
                </c:pt>
                <c:pt idx="30">
                  <c:v>20.028024193548383</c:v>
                </c:pt>
                <c:pt idx="31">
                  <c:v>19.217473118279578</c:v>
                </c:pt>
                <c:pt idx="32">
                  <c:v>13.805694444444445</c:v>
                </c:pt>
                <c:pt idx="33">
                  <c:v>7.5287634408602147</c:v>
                </c:pt>
                <c:pt idx="34">
                  <c:v>2.9962500000000007</c:v>
                </c:pt>
                <c:pt idx="35">
                  <c:v>-3.3372311827956986</c:v>
                </c:pt>
                <c:pt idx="36">
                  <c:v>-6.5091397849462362</c:v>
                </c:pt>
                <c:pt idx="37">
                  <c:v>-8.3235119047619044</c:v>
                </c:pt>
                <c:pt idx="38">
                  <c:v>-2.2612903225806451</c:v>
                </c:pt>
                <c:pt idx="39">
                  <c:v>5.9763888888888896</c:v>
                </c:pt>
                <c:pt idx="40">
                  <c:v>12.488239247311826</c:v>
                </c:pt>
                <c:pt idx="41">
                  <c:v>17.87416666666666</c:v>
                </c:pt>
                <c:pt idx="42">
                  <c:v>20.245833333333334</c:v>
                </c:pt>
                <c:pt idx="43">
                  <c:v>17.51075268817204</c:v>
                </c:pt>
                <c:pt idx="44">
                  <c:v>15.133472222222224</c:v>
                </c:pt>
                <c:pt idx="45">
                  <c:v>10.033870967741938</c:v>
                </c:pt>
                <c:pt idx="46">
                  <c:v>-0.54243055555555542</c:v>
                </c:pt>
                <c:pt idx="47">
                  <c:v>-3.0052419354838706</c:v>
                </c:pt>
                <c:pt idx="48">
                  <c:v>-6.7444892473118268</c:v>
                </c:pt>
                <c:pt idx="49">
                  <c:v>-4.5475574712643674</c:v>
                </c:pt>
                <c:pt idx="50">
                  <c:v>0.75551075268817203</c:v>
                </c:pt>
                <c:pt idx="51">
                  <c:v>6.0962499999999977</c:v>
                </c:pt>
                <c:pt idx="52">
                  <c:v>14.800806451612901</c:v>
                </c:pt>
                <c:pt idx="53">
                  <c:v>18.156111111111112</c:v>
                </c:pt>
                <c:pt idx="54">
                  <c:v>20.843279569892474</c:v>
                </c:pt>
                <c:pt idx="55">
                  <c:v>18.859677419354838</c:v>
                </c:pt>
                <c:pt idx="56">
                  <c:v>15.967222222222224</c:v>
                </c:pt>
                <c:pt idx="57">
                  <c:v>8.3852150537634422</c:v>
                </c:pt>
                <c:pt idx="58">
                  <c:v>3.1184722222222234</c:v>
                </c:pt>
                <c:pt idx="59">
                  <c:v>-5.6983198924731173</c:v>
                </c:pt>
                <c:pt idx="60">
                  <c:v>-10.018481182795702</c:v>
                </c:pt>
                <c:pt idx="61">
                  <c:v>-10.394642857142859</c:v>
                </c:pt>
                <c:pt idx="62">
                  <c:v>-2.0059139784946241</c:v>
                </c:pt>
                <c:pt idx="63">
                  <c:v>4.0188194444444445</c:v>
                </c:pt>
                <c:pt idx="64">
                  <c:v>12.344220430107528</c:v>
                </c:pt>
                <c:pt idx="65">
                  <c:v>18.235833333333332</c:v>
                </c:pt>
                <c:pt idx="66">
                  <c:v>21.22076612903226</c:v>
                </c:pt>
                <c:pt idx="67">
                  <c:v>19.0567876344086</c:v>
                </c:pt>
                <c:pt idx="68">
                  <c:v>14.043194444444445</c:v>
                </c:pt>
                <c:pt idx="69">
                  <c:v>8.8896505376344077</c:v>
                </c:pt>
                <c:pt idx="70">
                  <c:v>-0.24097222222222214</c:v>
                </c:pt>
                <c:pt idx="71">
                  <c:v>-9.5466397849462368</c:v>
                </c:pt>
              </c:numCache>
            </c:numRef>
          </c:xVal>
          <c:yVal>
            <c:numRef>
              <c:f>Weather!$DQ$50:$DQ$121</c:f>
              <c:numCache>
                <c:formatCode>_(* #,##0_);_(* \(#,##0\);_(* "-"??_);_(@_)</c:formatCode>
                <c:ptCount val="72"/>
                <c:pt idx="0">
                  <c:v>3010167.2574951407</c:v>
                </c:pt>
                <c:pt idx="1">
                  <c:v>2813125.8986844411</c:v>
                </c:pt>
                <c:pt idx="2">
                  <c:v>2549801.539873742</c:v>
                </c:pt>
                <c:pt idx="3">
                  <c:v>2013068.1810630427</c:v>
                </c:pt>
                <c:pt idx="4">
                  <c:v>1942219.8222523434</c:v>
                </c:pt>
                <c:pt idx="5">
                  <c:v>2049006.4634416441</c:v>
                </c:pt>
                <c:pt idx="6">
                  <c:v>2479208.1046309448</c:v>
                </c:pt>
                <c:pt idx="7">
                  <c:v>2169068.7458202457</c:v>
                </c:pt>
                <c:pt idx="8">
                  <c:v>1937707.3870095464</c:v>
                </c:pt>
                <c:pt idx="9">
                  <c:v>2079800.0281988471</c:v>
                </c:pt>
                <c:pt idx="10">
                  <c:v>2308536.669388148</c:v>
                </c:pt>
                <c:pt idx="11">
                  <c:v>2757605.3105774485</c:v>
                </c:pt>
                <c:pt idx="12">
                  <c:v>2771093.6241201404</c:v>
                </c:pt>
                <c:pt idx="13">
                  <c:v>2684641.5361313201</c:v>
                </c:pt>
                <c:pt idx="14">
                  <c:v>2687386.4481424992</c:v>
                </c:pt>
                <c:pt idx="15">
                  <c:v>2030798.3601536788</c:v>
                </c:pt>
                <c:pt idx="16">
                  <c:v>2061848.2721648582</c:v>
                </c:pt>
                <c:pt idx="17">
                  <c:v>2202367.1841760376</c:v>
                </c:pt>
                <c:pt idx="18">
                  <c:v>2304019.0961872172</c:v>
                </c:pt>
                <c:pt idx="19">
                  <c:v>2586724.0081983968</c:v>
                </c:pt>
                <c:pt idx="20">
                  <c:v>2084247.9202095759</c:v>
                </c:pt>
                <c:pt idx="21">
                  <c:v>2150223.8322207555</c:v>
                </c:pt>
                <c:pt idx="22">
                  <c:v>2496393.7442319351</c:v>
                </c:pt>
                <c:pt idx="23">
                  <c:v>2949612.3062431142</c:v>
                </c:pt>
                <c:pt idx="24">
                  <c:v>3512426.4695312781</c:v>
                </c:pt>
                <c:pt idx="25">
                  <c:v>3065402.7801112318</c:v>
                </c:pt>
                <c:pt idx="26">
                  <c:v>2990160.0906911851</c:v>
                </c:pt>
                <c:pt idx="27">
                  <c:v>2398890.4012711388</c:v>
                </c:pt>
                <c:pt idx="28">
                  <c:v>2192493.7118510921</c:v>
                </c:pt>
                <c:pt idx="29">
                  <c:v>2254321.0224310458</c:v>
                </c:pt>
                <c:pt idx="30">
                  <c:v>2434782.333010999</c:v>
                </c:pt>
                <c:pt idx="31">
                  <c:v>2456843.6435909523</c:v>
                </c:pt>
                <c:pt idx="32">
                  <c:v>2148681.954170906</c:v>
                </c:pt>
                <c:pt idx="33">
                  <c:v>2255916.2647508592</c:v>
                </c:pt>
                <c:pt idx="34">
                  <c:v>2549219.5753308129</c:v>
                </c:pt>
                <c:pt idx="35">
                  <c:v>2940389.8859107662</c:v>
                </c:pt>
                <c:pt idx="36">
                  <c:v>3128498.5438320525</c:v>
                </c:pt>
                <c:pt idx="37">
                  <c:v>2958044.9926468567</c:v>
                </c:pt>
                <c:pt idx="38">
                  <c:v>2961710.4414616609</c:v>
                </c:pt>
                <c:pt idx="39">
                  <c:v>2410896.8902764646</c:v>
                </c:pt>
                <c:pt idx="40">
                  <c:v>2314837.3390912688</c:v>
                </c:pt>
                <c:pt idx="41">
                  <c:v>2409548.787906073</c:v>
                </c:pt>
                <c:pt idx="42">
                  <c:v>2678974.2367208768</c:v>
                </c:pt>
                <c:pt idx="43">
                  <c:v>2408674.685535681</c:v>
                </c:pt>
                <c:pt idx="44">
                  <c:v>2316057.1343504852</c:v>
                </c:pt>
                <c:pt idx="45">
                  <c:v>2359883.5831652894</c:v>
                </c:pt>
                <c:pt idx="46">
                  <c:v>2726100.0319800931</c:v>
                </c:pt>
                <c:pt idx="47">
                  <c:v>3054970.4807948973</c:v>
                </c:pt>
                <c:pt idx="48">
                  <c:v>3455439.2672890546</c:v>
                </c:pt>
                <c:pt idx="49">
                  <c:v>2840878.0346191321</c:v>
                </c:pt>
                <c:pt idx="50">
                  <c:v>2906094.8019492091</c:v>
                </c:pt>
                <c:pt idx="51">
                  <c:v>2316820.5692792865</c:v>
                </c:pt>
                <c:pt idx="52">
                  <c:v>2431046.3366093636</c:v>
                </c:pt>
                <c:pt idx="53">
                  <c:v>2461796.103939441</c:v>
                </c:pt>
                <c:pt idx="54">
                  <c:v>2743681.8712695185</c:v>
                </c:pt>
                <c:pt idx="55">
                  <c:v>2609738.6385995955</c:v>
                </c:pt>
                <c:pt idx="56">
                  <c:v>2334104.405929673</c:v>
                </c:pt>
                <c:pt idx="57">
                  <c:v>2395002.17325975</c:v>
                </c:pt>
                <c:pt idx="58">
                  <c:v>2598939.9405898275</c:v>
                </c:pt>
                <c:pt idx="59">
                  <c:v>3229266.7079199045</c:v>
                </c:pt>
                <c:pt idx="60">
                  <c:v>3521304.201942143</c:v>
                </c:pt>
                <c:pt idx="61">
                  <c:v>3248937.8305204986</c:v>
                </c:pt>
                <c:pt idx="62">
                  <c:v>3122756.4590988536</c:v>
                </c:pt>
                <c:pt idx="63">
                  <c:v>2652049.0876772087</c:v>
                </c:pt>
                <c:pt idx="64">
                  <c:v>2377775.7162555638</c:v>
                </c:pt>
                <c:pt idx="65">
                  <c:v>2523449.3448339188</c:v>
                </c:pt>
                <c:pt idx="66">
                  <c:v>2937793.9734122739</c:v>
                </c:pt>
                <c:pt idx="67">
                  <c:v>2631549.601990629</c:v>
                </c:pt>
                <c:pt idx="68">
                  <c:v>2310858.2305689845</c:v>
                </c:pt>
                <c:pt idx="69">
                  <c:v>2422413.8591473396</c:v>
                </c:pt>
                <c:pt idx="70">
                  <c:v>2843005.4877256947</c:v>
                </c:pt>
                <c:pt idx="71">
                  <c:v>3449857.1163040497</c:v>
                </c:pt>
              </c:numCache>
            </c:numRef>
          </c:yVal>
          <c:smooth val="0"/>
          <c:extLst>
            <c:ext xmlns:c16="http://schemas.microsoft.com/office/drawing/2014/chart" uri="{C3380CC4-5D6E-409C-BE32-E72D297353CC}">
              <c16:uniqueId val="{00000000-79D4-412B-8564-BA8B585782C2}"/>
            </c:ext>
          </c:extLst>
        </c:ser>
        <c:dLbls>
          <c:showLegendKey val="0"/>
          <c:showVal val="0"/>
          <c:showCatName val="0"/>
          <c:showSerName val="0"/>
          <c:showPercent val="0"/>
          <c:showBubbleSize val="0"/>
        </c:dLbls>
        <c:axId val="1096257311"/>
        <c:axId val="1096240031"/>
      </c:scatterChart>
      <c:valAx>
        <c:axId val="1096257311"/>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CA"/>
                  <a:t>Average Tempurature (°C)</a:t>
                </a:r>
              </a:p>
            </c:rich>
          </c:tx>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096240031"/>
        <c:crosses val="autoZero"/>
        <c:crossBetween val="midCat"/>
      </c:valAx>
      <c:valAx>
        <c:axId val="109624003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CA"/>
                  <a:t>Monthly Consumption (kWh)</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1"/>
        <c:majorTickMark val="none"/>
        <c:minorTickMark val="none"/>
        <c:tickLblPos val="low"/>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096257311"/>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CA"/>
              <a:t>GS &gt; 50</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Weather!$D$1</c:f>
              <c:strCache>
                <c:ptCount val="1"/>
                <c:pt idx="0">
                  <c:v>MeanTemp</c:v>
                </c:pt>
              </c:strCache>
            </c:strRef>
          </c:tx>
          <c:spPr>
            <a:ln w="25400" cap="rnd">
              <a:noFill/>
              <a:round/>
            </a:ln>
            <a:effectLst/>
          </c:spPr>
          <c:marker>
            <c:symbol val="circle"/>
            <c:size val="5"/>
            <c:spPr>
              <a:solidFill>
                <a:schemeClr val="accent1"/>
              </a:solidFill>
              <a:ln w="9525">
                <a:solidFill>
                  <a:schemeClr val="accent1"/>
                </a:solidFill>
              </a:ln>
              <a:effectLst/>
            </c:spPr>
          </c:marker>
          <c:xVal>
            <c:numRef>
              <c:f>Weather!$D$50:$D$121</c:f>
              <c:numCache>
                <c:formatCode>0.00</c:formatCode>
                <c:ptCount val="72"/>
                <c:pt idx="0">
                  <c:v>-7.4672043010752693</c:v>
                </c:pt>
                <c:pt idx="1">
                  <c:v>-7.7364942528735607</c:v>
                </c:pt>
                <c:pt idx="2">
                  <c:v>-1.2733870967741934</c:v>
                </c:pt>
                <c:pt idx="3">
                  <c:v>3.5943055555555548</c:v>
                </c:pt>
                <c:pt idx="4">
                  <c:v>11.401881720430106</c:v>
                </c:pt>
                <c:pt idx="5">
                  <c:v>17.740833333333331</c:v>
                </c:pt>
                <c:pt idx="6">
                  <c:v>22.358870967741932</c:v>
                </c:pt>
                <c:pt idx="7">
                  <c:v>17.764784946236556</c:v>
                </c:pt>
                <c:pt idx="8">
                  <c:v>13.116250000000001</c:v>
                </c:pt>
                <c:pt idx="9">
                  <c:v>6.0559139784946225</c:v>
                </c:pt>
                <c:pt idx="10">
                  <c:v>2.8723611111111098</c:v>
                </c:pt>
                <c:pt idx="11">
                  <c:v>-5.029569892473118</c:v>
                </c:pt>
                <c:pt idx="12">
                  <c:v>-7.5153225806451642</c:v>
                </c:pt>
                <c:pt idx="13">
                  <c:v>-9.2827380952380967</c:v>
                </c:pt>
                <c:pt idx="14">
                  <c:v>-1.0211021505376345</c:v>
                </c:pt>
                <c:pt idx="15">
                  <c:v>7.2934722222222224</c:v>
                </c:pt>
                <c:pt idx="16">
                  <c:v>12.099731182795697</c:v>
                </c:pt>
                <c:pt idx="17">
                  <c:v>19.186944444444446</c:v>
                </c:pt>
                <c:pt idx="18">
                  <c:v>18.637903225806447</c:v>
                </c:pt>
                <c:pt idx="19">
                  <c:v>21.164650537634408</c:v>
                </c:pt>
                <c:pt idx="20">
                  <c:v>14.518333333333336</c:v>
                </c:pt>
                <c:pt idx="21">
                  <c:v>10.492607526881724</c:v>
                </c:pt>
                <c:pt idx="22">
                  <c:v>0.52263888888888899</c:v>
                </c:pt>
                <c:pt idx="23">
                  <c:v>-4.6518145161290319</c:v>
                </c:pt>
                <c:pt idx="24">
                  <c:v>-16.084946236559141</c:v>
                </c:pt>
                <c:pt idx="25">
                  <c:v>-10.063095238095238</c:v>
                </c:pt>
                <c:pt idx="26">
                  <c:v>-2.7309139784946237</c:v>
                </c:pt>
                <c:pt idx="27">
                  <c:v>4.6259722222222219</c:v>
                </c:pt>
                <c:pt idx="28">
                  <c:v>14.666129032258066</c:v>
                </c:pt>
                <c:pt idx="29">
                  <c:v>17.072916666666668</c:v>
                </c:pt>
                <c:pt idx="30">
                  <c:v>20.028024193548383</c:v>
                </c:pt>
                <c:pt idx="31">
                  <c:v>19.217473118279578</c:v>
                </c:pt>
                <c:pt idx="32">
                  <c:v>13.805694444444445</c:v>
                </c:pt>
                <c:pt idx="33">
                  <c:v>7.5287634408602147</c:v>
                </c:pt>
                <c:pt idx="34">
                  <c:v>2.9962500000000007</c:v>
                </c:pt>
                <c:pt idx="35">
                  <c:v>-3.3372311827956986</c:v>
                </c:pt>
                <c:pt idx="36">
                  <c:v>-6.5091397849462362</c:v>
                </c:pt>
                <c:pt idx="37">
                  <c:v>-8.3235119047619044</c:v>
                </c:pt>
                <c:pt idx="38">
                  <c:v>-2.2612903225806451</c:v>
                </c:pt>
                <c:pt idx="39">
                  <c:v>5.9763888888888896</c:v>
                </c:pt>
                <c:pt idx="40">
                  <c:v>12.488239247311826</c:v>
                </c:pt>
                <c:pt idx="41">
                  <c:v>17.87416666666666</c:v>
                </c:pt>
                <c:pt idx="42">
                  <c:v>20.245833333333334</c:v>
                </c:pt>
                <c:pt idx="43">
                  <c:v>17.51075268817204</c:v>
                </c:pt>
                <c:pt idx="44">
                  <c:v>15.133472222222224</c:v>
                </c:pt>
                <c:pt idx="45">
                  <c:v>10.033870967741938</c:v>
                </c:pt>
                <c:pt idx="46">
                  <c:v>-0.54243055555555542</c:v>
                </c:pt>
                <c:pt idx="47">
                  <c:v>-3.0052419354838706</c:v>
                </c:pt>
                <c:pt idx="48">
                  <c:v>-6.7444892473118268</c:v>
                </c:pt>
                <c:pt idx="49">
                  <c:v>-4.5475574712643674</c:v>
                </c:pt>
                <c:pt idx="50">
                  <c:v>0.75551075268817203</c:v>
                </c:pt>
                <c:pt idx="51">
                  <c:v>6.0962499999999977</c:v>
                </c:pt>
                <c:pt idx="52">
                  <c:v>14.800806451612901</c:v>
                </c:pt>
                <c:pt idx="53">
                  <c:v>18.156111111111112</c:v>
                </c:pt>
                <c:pt idx="54">
                  <c:v>20.843279569892474</c:v>
                </c:pt>
                <c:pt idx="55">
                  <c:v>18.859677419354838</c:v>
                </c:pt>
                <c:pt idx="56">
                  <c:v>15.967222222222224</c:v>
                </c:pt>
                <c:pt idx="57">
                  <c:v>8.3852150537634422</c:v>
                </c:pt>
                <c:pt idx="58">
                  <c:v>3.1184722222222234</c:v>
                </c:pt>
                <c:pt idx="59">
                  <c:v>-5.6983198924731173</c:v>
                </c:pt>
                <c:pt idx="60">
                  <c:v>-10.018481182795702</c:v>
                </c:pt>
                <c:pt idx="61">
                  <c:v>-10.394642857142859</c:v>
                </c:pt>
                <c:pt idx="62">
                  <c:v>-2.0059139784946241</c:v>
                </c:pt>
                <c:pt idx="63">
                  <c:v>4.0188194444444445</c:v>
                </c:pt>
                <c:pt idx="64">
                  <c:v>12.344220430107528</c:v>
                </c:pt>
                <c:pt idx="65">
                  <c:v>18.235833333333332</c:v>
                </c:pt>
                <c:pt idx="66">
                  <c:v>21.22076612903226</c:v>
                </c:pt>
                <c:pt idx="67">
                  <c:v>19.0567876344086</c:v>
                </c:pt>
                <c:pt idx="68">
                  <c:v>14.043194444444445</c:v>
                </c:pt>
                <c:pt idx="69">
                  <c:v>8.8896505376344077</c:v>
                </c:pt>
                <c:pt idx="70">
                  <c:v>-0.24097222222222214</c:v>
                </c:pt>
                <c:pt idx="71">
                  <c:v>-9.5466397849462368</c:v>
                </c:pt>
              </c:numCache>
            </c:numRef>
          </c:xVal>
          <c:yVal>
            <c:numRef>
              <c:f>Weather!$DR$50:$DR$121</c:f>
              <c:numCache>
                <c:formatCode>_(* #,##0_);_(* \(#,##0\);_(* "-"??_);_(@_)</c:formatCode>
                <c:ptCount val="72"/>
                <c:pt idx="0">
                  <c:v>6576915.9627391547</c:v>
                </c:pt>
                <c:pt idx="1">
                  <c:v>6044045.580237926</c:v>
                </c:pt>
                <c:pt idx="2">
                  <c:v>5746554.1977366973</c:v>
                </c:pt>
                <c:pt idx="3">
                  <c:v>5135085.8152354676</c:v>
                </c:pt>
                <c:pt idx="4">
                  <c:v>4880397.4327342389</c:v>
                </c:pt>
                <c:pt idx="5">
                  <c:v>5172414.0502330102</c:v>
                </c:pt>
                <c:pt idx="6">
                  <c:v>5878605.6677317806</c:v>
                </c:pt>
                <c:pt idx="7">
                  <c:v>5677799.2852305518</c:v>
                </c:pt>
                <c:pt idx="8">
                  <c:v>4853861.9027293231</c:v>
                </c:pt>
                <c:pt idx="9">
                  <c:v>5147410.5202280935</c:v>
                </c:pt>
                <c:pt idx="10">
                  <c:v>5346134.1377268648</c:v>
                </c:pt>
                <c:pt idx="11">
                  <c:v>6328103.7552256361</c:v>
                </c:pt>
                <c:pt idx="12">
                  <c:v>5892807.3511189306</c:v>
                </c:pt>
                <c:pt idx="13">
                  <c:v>5662759.9500704687</c:v>
                </c:pt>
                <c:pt idx="14">
                  <c:v>5830922.5490220068</c:v>
                </c:pt>
                <c:pt idx="15">
                  <c:v>4671495.1705421582</c:v>
                </c:pt>
                <c:pt idx="16">
                  <c:v>4967977.1562202908</c:v>
                </c:pt>
                <c:pt idx="17">
                  <c:v>5386931.1568166604</c:v>
                </c:pt>
                <c:pt idx="18">
                  <c:v>5505749.9418636365</c:v>
                </c:pt>
                <c:pt idx="19">
                  <c:v>7520564.8088652845</c:v>
                </c:pt>
                <c:pt idx="20">
                  <c:v>7138503.3877345817</c:v>
                </c:pt>
                <c:pt idx="21">
                  <c:v>5536607.3747515306</c:v>
                </c:pt>
                <c:pt idx="22">
                  <c:v>5589896.3406343106</c:v>
                </c:pt>
                <c:pt idx="23">
                  <c:v>6040034.3795858482</c:v>
                </c:pt>
                <c:pt idx="24">
                  <c:v>7168571.6108332537</c:v>
                </c:pt>
                <c:pt idx="25">
                  <c:v>6519634.1395640364</c:v>
                </c:pt>
                <c:pt idx="26">
                  <c:v>6029488.6682948181</c:v>
                </c:pt>
                <c:pt idx="27">
                  <c:v>5243870.1970255999</c:v>
                </c:pt>
                <c:pt idx="28">
                  <c:v>5283935.7257563816</c:v>
                </c:pt>
                <c:pt idx="29">
                  <c:v>5270216.2544871643</c:v>
                </c:pt>
                <c:pt idx="30">
                  <c:v>5765089.7832179461</c:v>
                </c:pt>
                <c:pt idx="31">
                  <c:v>5800196.3119487278</c:v>
                </c:pt>
                <c:pt idx="32">
                  <c:v>5197018.8406795096</c:v>
                </c:pt>
                <c:pt idx="33">
                  <c:v>5276473.3694102913</c:v>
                </c:pt>
                <c:pt idx="34">
                  <c:v>6491309.6581410738</c:v>
                </c:pt>
                <c:pt idx="35">
                  <c:v>6383842.9468718553</c:v>
                </c:pt>
                <c:pt idx="36">
                  <c:v>6116806.1173214633</c:v>
                </c:pt>
                <c:pt idx="37">
                  <c:v>5696520.6104506506</c:v>
                </c:pt>
                <c:pt idx="38">
                  <c:v>5718312.5835798392</c:v>
                </c:pt>
                <c:pt idx="39">
                  <c:v>5301267.4367090268</c:v>
                </c:pt>
                <c:pt idx="40">
                  <c:v>5199018.4498382146</c:v>
                </c:pt>
                <c:pt idx="41">
                  <c:v>5434895.9029674027</c:v>
                </c:pt>
                <c:pt idx="42">
                  <c:v>5911244.9160965905</c:v>
                </c:pt>
                <c:pt idx="43">
                  <c:v>5504128.6492257779</c:v>
                </c:pt>
                <c:pt idx="44">
                  <c:v>5342063.3823549664</c:v>
                </c:pt>
                <c:pt idx="45">
                  <c:v>5340766.1154841539</c:v>
                </c:pt>
                <c:pt idx="46">
                  <c:v>5612278.8486133423</c:v>
                </c:pt>
                <c:pt idx="47">
                  <c:v>6027285.5817425298</c:v>
                </c:pt>
                <c:pt idx="48">
                  <c:v>6253607.9586970024</c:v>
                </c:pt>
                <c:pt idx="49">
                  <c:v>5644985.0132523365</c:v>
                </c:pt>
                <c:pt idx="50">
                  <c:v>5687000.0678076707</c:v>
                </c:pt>
                <c:pt idx="51">
                  <c:v>5089288.1223630048</c:v>
                </c:pt>
                <c:pt idx="52">
                  <c:v>5269158.176918339</c:v>
                </c:pt>
                <c:pt idx="53">
                  <c:v>5374172.2314736731</c:v>
                </c:pt>
                <c:pt idx="54">
                  <c:v>5847813.2860290073</c:v>
                </c:pt>
                <c:pt idx="55">
                  <c:v>5588978.3405843414</c:v>
                </c:pt>
                <c:pt idx="56">
                  <c:v>5358949.3951396765</c:v>
                </c:pt>
                <c:pt idx="57">
                  <c:v>5365372.4496950107</c:v>
                </c:pt>
                <c:pt idx="58">
                  <c:v>5333654.5042503448</c:v>
                </c:pt>
                <c:pt idx="59">
                  <c:v>6275377.558805679</c:v>
                </c:pt>
                <c:pt idx="60">
                  <c:v>6397150.1120626032</c:v>
                </c:pt>
                <c:pt idx="61">
                  <c:v>6043124.5591707714</c:v>
                </c:pt>
                <c:pt idx="62">
                  <c:v>5823009.0062789395</c:v>
                </c:pt>
                <c:pt idx="63">
                  <c:v>5161102.4533871077</c:v>
                </c:pt>
                <c:pt idx="64">
                  <c:v>5020546.9004952768</c:v>
                </c:pt>
                <c:pt idx="65">
                  <c:v>5552991.3476034449</c:v>
                </c:pt>
                <c:pt idx="66">
                  <c:v>6041461.7947116131</c:v>
                </c:pt>
                <c:pt idx="67">
                  <c:v>5593918.2418197813</c:v>
                </c:pt>
                <c:pt idx="68">
                  <c:v>5145149.6889279494</c:v>
                </c:pt>
                <c:pt idx="69">
                  <c:v>5977730.1360361176</c:v>
                </c:pt>
                <c:pt idx="70">
                  <c:v>8021249.5831442866</c:v>
                </c:pt>
                <c:pt idx="71">
                  <c:v>10556903.030252455</c:v>
                </c:pt>
              </c:numCache>
            </c:numRef>
          </c:yVal>
          <c:smooth val="0"/>
          <c:extLst>
            <c:ext xmlns:c16="http://schemas.microsoft.com/office/drawing/2014/chart" uri="{C3380CC4-5D6E-409C-BE32-E72D297353CC}">
              <c16:uniqueId val="{00000000-3945-407B-857D-581065138549}"/>
            </c:ext>
          </c:extLst>
        </c:ser>
        <c:dLbls>
          <c:showLegendKey val="0"/>
          <c:showVal val="0"/>
          <c:showCatName val="0"/>
          <c:showSerName val="0"/>
          <c:showPercent val="0"/>
          <c:showBubbleSize val="0"/>
        </c:dLbls>
        <c:axId val="1096257311"/>
        <c:axId val="1096240031"/>
      </c:scatterChart>
      <c:valAx>
        <c:axId val="1096257311"/>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CA"/>
                  <a:t>Average Tempurature (°C)</a:t>
                </a:r>
              </a:p>
            </c:rich>
          </c:tx>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096240031"/>
        <c:crosses val="autoZero"/>
        <c:crossBetween val="midCat"/>
      </c:valAx>
      <c:valAx>
        <c:axId val="109624003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CA"/>
                  <a:t>Monthly Consumption (kWh)</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_(* #,##0_);_(* \(#,##0\);_(* &quot;-&quot;??_);_(@_)" sourceLinked="1"/>
        <c:majorTickMark val="none"/>
        <c:minorTickMark val="none"/>
        <c:tickLblPos val="low"/>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096257311"/>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Residential</a:t>
            </a:r>
            <a:r>
              <a:rPr lang="en-US" baseline="0"/>
              <a:t> Predicted Monthly</a:t>
            </a:r>
            <a:endParaRPr lang="en-US"/>
          </a:p>
        </c:rich>
      </c:tx>
      <c:overlay val="0"/>
      <c:spPr>
        <a:noFill/>
        <a:ln>
          <a:noFill/>
        </a:ln>
        <a:effectLst/>
      </c:spPr>
    </c:title>
    <c:autoTitleDeleted val="0"/>
    <c:plotArea>
      <c:layout/>
      <c:lineChart>
        <c:grouping val="standard"/>
        <c:varyColors val="0"/>
        <c:ser>
          <c:idx val="0"/>
          <c:order val="0"/>
          <c:tx>
            <c:strRef>
              <c:f>'Res Predicted Monthly'!$D$1</c:f>
              <c:strCache>
                <c:ptCount val="1"/>
                <c:pt idx="0">
                  <c:v> Res_NoCDM </c:v>
                </c:pt>
              </c:strCache>
            </c:strRef>
          </c:tx>
          <c:marker>
            <c:symbol val="none"/>
          </c:marker>
          <c:cat>
            <c:numRef>
              <c:f>'Res Predicted Monthly'!$A$2:$A$122</c:f>
              <c:numCache>
                <c:formatCode>mmm\-yy</c:formatCode>
                <c:ptCount val="121"/>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43770</c:v>
                </c:pt>
                <c:pt idx="47">
                  <c:v>43800</c:v>
                </c:pt>
                <c:pt idx="48">
                  <c:v>43831</c:v>
                </c:pt>
                <c:pt idx="49">
                  <c:v>43862</c:v>
                </c:pt>
                <c:pt idx="50">
                  <c:v>43891</c:v>
                </c:pt>
                <c:pt idx="51">
                  <c:v>43922</c:v>
                </c:pt>
                <c:pt idx="52">
                  <c:v>43952</c:v>
                </c:pt>
                <c:pt idx="53">
                  <c:v>43983</c:v>
                </c:pt>
                <c:pt idx="54">
                  <c:v>44013</c:v>
                </c:pt>
                <c:pt idx="55">
                  <c:v>44044</c:v>
                </c:pt>
                <c:pt idx="56">
                  <c:v>44075</c:v>
                </c:pt>
                <c:pt idx="57">
                  <c:v>44105</c:v>
                </c:pt>
                <c:pt idx="58">
                  <c:v>44136</c:v>
                </c:pt>
                <c:pt idx="59">
                  <c:v>44166</c:v>
                </c:pt>
                <c:pt idx="60">
                  <c:v>44197</c:v>
                </c:pt>
                <c:pt idx="61">
                  <c:v>44228</c:v>
                </c:pt>
                <c:pt idx="62">
                  <c:v>44256</c:v>
                </c:pt>
                <c:pt idx="63">
                  <c:v>44287</c:v>
                </c:pt>
                <c:pt idx="64">
                  <c:v>44317</c:v>
                </c:pt>
                <c:pt idx="65">
                  <c:v>44348</c:v>
                </c:pt>
                <c:pt idx="66">
                  <c:v>44378</c:v>
                </c:pt>
                <c:pt idx="67">
                  <c:v>44409</c:v>
                </c:pt>
                <c:pt idx="68">
                  <c:v>44440</c:v>
                </c:pt>
                <c:pt idx="69">
                  <c:v>44470</c:v>
                </c:pt>
                <c:pt idx="70">
                  <c:v>44501</c:v>
                </c:pt>
                <c:pt idx="71">
                  <c:v>44531</c:v>
                </c:pt>
                <c:pt idx="72">
                  <c:v>44562</c:v>
                </c:pt>
                <c:pt idx="73">
                  <c:v>44593</c:v>
                </c:pt>
                <c:pt idx="74">
                  <c:v>44621</c:v>
                </c:pt>
                <c:pt idx="75">
                  <c:v>44652</c:v>
                </c:pt>
                <c:pt idx="76">
                  <c:v>44682</c:v>
                </c:pt>
                <c:pt idx="77">
                  <c:v>44713</c:v>
                </c:pt>
                <c:pt idx="78">
                  <c:v>44743</c:v>
                </c:pt>
                <c:pt idx="79">
                  <c:v>44774</c:v>
                </c:pt>
                <c:pt idx="80">
                  <c:v>44805</c:v>
                </c:pt>
                <c:pt idx="81">
                  <c:v>44835</c:v>
                </c:pt>
                <c:pt idx="82">
                  <c:v>44866</c:v>
                </c:pt>
                <c:pt idx="83">
                  <c:v>44896</c:v>
                </c:pt>
                <c:pt idx="84">
                  <c:v>44927</c:v>
                </c:pt>
                <c:pt idx="85">
                  <c:v>44958</c:v>
                </c:pt>
                <c:pt idx="86">
                  <c:v>44986</c:v>
                </c:pt>
                <c:pt idx="87">
                  <c:v>45017</c:v>
                </c:pt>
                <c:pt idx="88">
                  <c:v>45047</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numCache>
            </c:numRef>
          </c:cat>
          <c:val>
            <c:numRef>
              <c:f>('Res Predicted Monthly'!$K$2:$K$49,'Res Predicted Monthly'!$D$50:$D$122)</c:f>
              <c:numCache>
                <c:formatCode>General</c:formatCode>
                <c:ptCount val="121"/>
                <c:pt idx="48" formatCode="_(* #,##0_);_(* \(#,##0\);_(* &quot;-&quot;??_);_(@_)">
                  <c:v>8414654.1696568504</c:v>
                </c:pt>
                <c:pt idx="49" formatCode="_(* #,##0_);_(* \(#,##0\);_(* &quot;-&quot;??_);_(@_)">
                  <c:v>7815438.1888876194</c:v>
                </c:pt>
                <c:pt idx="50" formatCode="_(* #,##0_);_(* \(#,##0\);_(* &quot;-&quot;??_);_(@_)">
                  <c:v>7552050.2081183884</c:v>
                </c:pt>
                <c:pt idx="51" formatCode="_(* #,##0_);_(* \(#,##0\);_(* &quot;-&quot;??_);_(@_)">
                  <c:v>6718611.2273491574</c:v>
                </c:pt>
                <c:pt idx="52" formatCode="_(* #,##0_);_(* \(#,##0\);_(* &quot;-&quot;??_);_(@_)">
                  <c:v>6484978.2465799265</c:v>
                </c:pt>
                <c:pt idx="53" formatCode="_(* #,##0_);_(* \(#,##0\);_(* &quot;-&quot;??_);_(@_)">
                  <c:v>6791535.2658106964</c:v>
                </c:pt>
                <c:pt idx="54" formatCode="_(* #,##0_);_(* \(#,##0\);_(* &quot;-&quot;??_);_(@_)">
                  <c:v>8887832.2850414645</c:v>
                </c:pt>
                <c:pt idx="55" formatCode="_(* #,##0_);_(* \(#,##0\);_(* &quot;-&quot;??_);_(@_)">
                  <c:v>6981508.3042722344</c:v>
                </c:pt>
                <c:pt idx="56" formatCode="_(* #,##0_);_(* \(#,##0\);_(* &quot;-&quot;??_);_(@_)">
                  <c:v>5593018.3235030035</c:v>
                </c:pt>
                <c:pt idx="57" formatCode="_(* #,##0_);_(* \(#,##0\);_(* &quot;-&quot;??_);_(@_)">
                  <c:v>6282108.3427337734</c:v>
                </c:pt>
                <c:pt idx="58" formatCode="_(* #,##0_);_(* \(#,##0\);_(* &quot;-&quot;??_);_(@_)">
                  <c:v>6779288.3619645424</c:v>
                </c:pt>
                <c:pt idx="59" formatCode="_(* #,##0_);_(* \(#,##0\);_(* &quot;-&quot;??_);_(@_)">
                  <c:v>8783121.3811953124</c:v>
                </c:pt>
                <c:pt idx="60" formatCode="_(* #,##0_);_(* \(#,##0\);_(* &quot;-&quot;??_);_(@_)">
                  <c:v>8947694.596042579</c:v>
                </c:pt>
                <c:pt idx="61" formatCode="_(* #,##0_);_(* \(#,##0\);_(* &quot;-&quot;??_);_(@_)">
                  <c:v>8282825.1054581115</c:v>
                </c:pt>
                <c:pt idx="62" formatCode="_(* #,##0_);_(* \(#,##0\);_(* &quot;-&quot;??_);_(@_)">
                  <c:v>7841494.614873644</c:v>
                </c:pt>
                <c:pt idx="63" formatCode="_(* #,##0_);_(* \(#,##0\);_(* &quot;-&quot;??_);_(@_)">
                  <c:v>6176221.1242891774</c:v>
                </c:pt>
                <c:pt idx="64" formatCode="_(* #,##0_);_(* \(#,##0\);_(* &quot;-&quot;??_);_(@_)">
                  <c:v>6246538.6337047098</c:v>
                </c:pt>
                <c:pt idx="65" formatCode="_(* #,##0_);_(* \(#,##0\);_(* &quot;-&quot;??_);_(@_)">
                  <c:v>7011045.1431202432</c:v>
                </c:pt>
                <c:pt idx="66" formatCode="_(* #,##0_);_(* \(#,##0\);_(* &quot;-&quot;??_);_(@_)">
                  <c:v>7147666.6525357757</c:v>
                </c:pt>
                <c:pt idx="67" formatCode="_(* #,##0_);_(* \(#,##0\);_(* &quot;-&quot;??_);_(@_)">
                  <c:v>8365336.1619513091</c:v>
                </c:pt>
                <c:pt idx="68" formatCode="_(* #,##0_);_(* \(#,##0\);_(* &quot;-&quot;??_);_(@_)">
                  <c:v>5638411.6713668425</c:v>
                </c:pt>
                <c:pt idx="69" formatCode="_(* #,##0_);_(* \(#,##0\);_(* &quot;-&quot;??_);_(@_)">
                  <c:v>5991389.1807823749</c:v>
                </c:pt>
                <c:pt idx="70" formatCode="_(* #,##0_);_(* \(#,##0\);_(* &quot;-&quot;??_);_(@_)">
                  <c:v>7003129.6901979083</c:v>
                </c:pt>
                <c:pt idx="71" formatCode="_(* #,##0_);_(* \(#,##0\);_(* &quot;-&quot;??_);_(@_)">
                  <c:v>8633204.8396134414</c:v>
                </c:pt>
                <c:pt idx="72" formatCode="_(* #,##0_);_(* \(#,##0\);_(* &quot;-&quot;??_);_(@_)">
                  <c:v>10532825.528697059</c:v>
                </c:pt>
                <c:pt idx="73" formatCode="_(* #,##0_);_(* \(#,##0\);_(* &quot;-&quot;??_);_(@_)">
                  <c:v>8586318.012812933</c:v>
                </c:pt>
                <c:pt idx="74" formatCode="_(* #,##0_);_(* \(#,##0\);_(* &quot;-&quot;??_);_(@_)">
                  <c:v>8070371.4969288055</c:v>
                </c:pt>
                <c:pt idx="75" formatCode="_(* #,##0_);_(* \(#,##0\);_(* &quot;-&quot;??_);_(@_)">
                  <c:v>6548410.9810446789</c:v>
                </c:pt>
                <c:pt idx="76" formatCode="_(* #,##0_);_(* \(#,##0\);_(* &quot;-&quot;??_);_(@_)">
                  <c:v>6080494.4651605524</c:v>
                </c:pt>
                <c:pt idx="77" formatCode="_(* #,##0_);_(* \(#,##0\);_(* &quot;-&quot;??_);_(@_)">
                  <c:v>6310089.9492764249</c:v>
                </c:pt>
                <c:pt idx="78" formatCode="_(* #,##0_);_(* \(#,##0\);_(* &quot;-&quot;??_);_(@_)">
                  <c:v>7465233.4333922984</c:v>
                </c:pt>
                <c:pt idx="79" formatCode="_(* #,##0_);_(* \(#,##0\);_(* &quot;-&quot;??_);_(@_)">
                  <c:v>7425747.9175081719</c:v>
                </c:pt>
                <c:pt idx="80" formatCode="_(* #,##0_);_(* \(#,##0\);_(* &quot;-&quot;??_);_(@_)">
                  <c:v>5812994.4016240453</c:v>
                </c:pt>
                <c:pt idx="81" formatCode="_(* #,##0_);_(* \(#,##0\);_(* &quot;-&quot;??_);_(@_)">
                  <c:v>6059998.8857399179</c:v>
                </c:pt>
                <c:pt idx="82" formatCode="_(* #,##0_);_(* \(#,##0\);_(* &quot;-&quot;??_);_(@_)">
                  <c:v>6806096.3698557913</c:v>
                </c:pt>
                <c:pt idx="83" formatCode="_(* #,##0_);_(* \(#,##0\);_(* &quot;-&quot;??_);_(@_)">
                  <c:v>8382575.8539716648</c:v>
                </c:pt>
                <c:pt idx="84" formatCode="_(* #,##0_);_(* \(#,##0\);_(* &quot;-&quot;??_);_(@_)">
                  <c:v>8740554.5448313784</c:v>
                </c:pt>
                <c:pt idx="85" formatCode="_(* #,##0_);_(* \(#,##0\);_(* &quot;-&quot;??_);_(@_)">
                  <c:v>8231333.1919643153</c:v>
                </c:pt>
                <c:pt idx="86" formatCode="_(* #,##0_);_(* \(#,##0\);_(* &quot;-&quot;??_);_(@_)">
                  <c:v>7931351.8390972503</c:v>
                </c:pt>
                <c:pt idx="87" formatCode="_(* #,##0_);_(* \(#,##0\);_(* &quot;-&quot;??_);_(@_)">
                  <c:v>6481760.4862301862</c:v>
                </c:pt>
                <c:pt idx="88" formatCode="_(* #,##0_);_(* \(#,##0\);_(* &quot;-&quot;??_);_(@_)">
                  <c:v>5935915.1333631221</c:v>
                </c:pt>
                <c:pt idx="89" formatCode="_(* #,##0_);_(* \(#,##0\);_(* &quot;-&quot;??_);_(@_)">
                  <c:v>6617170.7804960571</c:v>
                </c:pt>
                <c:pt idx="90" formatCode="_(* #,##0_);_(* \(#,##0\);_(* &quot;-&quot;??_);_(@_)">
                  <c:v>8069819.4276289931</c:v>
                </c:pt>
                <c:pt idx="91" formatCode="_(* #,##0_);_(* \(#,##0\);_(* &quot;-&quot;??_);_(@_)">
                  <c:v>6590759.074761929</c:v>
                </c:pt>
                <c:pt idx="92" formatCode="_(* #,##0_);_(* \(#,##0\);_(* &quot;-&quot;??_);_(@_)">
                  <c:v>6146868.721894864</c:v>
                </c:pt>
                <c:pt idx="93" formatCode="_(* #,##0_);_(* \(#,##0\);_(* &quot;-&quot;??_);_(@_)">
                  <c:v>6311574.3690277999</c:v>
                </c:pt>
                <c:pt idx="94" formatCode="_(* #,##0_);_(* \(#,##0\);_(* &quot;-&quot;??_);_(@_)">
                  <c:v>7441339.0161607359</c:v>
                </c:pt>
                <c:pt idx="95" formatCode="_(* #,##0_);_(* \(#,##0\);_(* &quot;-&quot;??_);_(@_)">
                  <c:v>8512565.6632936709</c:v>
                </c:pt>
                <c:pt idx="96" formatCode="_(* #,##0_);_(* \(#,##0\);_(* &quot;-&quot;??_);_(@_)">
                  <c:v>10058510.850234345</c:v>
                </c:pt>
                <c:pt idx="97" formatCode="_(* #,##0_);_(* \(#,##0\);_(* &quot;-&quot;??_);_(@_)">
                  <c:v>7527358.4163905876</c:v>
                </c:pt>
                <c:pt idx="98" formatCode="_(* #,##0_);_(* \(#,##0\);_(* &quot;-&quot;??_);_(@_)">
                  <c:v>8124056.9825468305</c:v>
                </c:pt>
                <c:pt idx="99" formatCode="_(* #,##0_);_(* \(#,##0\);_(* &quot;-&quot;??_);_(@_)">
                  <c:v>5757851.5487030726</c:v>
                </c:pt>
                <c:pt idx="100" formatCode="_(* #,##0_);_(* \(#,##0\);_(* &quot;-&quot;??_);_(@_)">
                  <c:v>6393480.1148593156</c:v>
                </c:pt>
                <c:pt idx="101" formatCode="_(* #,##0_);_(* \(#,##0\);_(* &quot;-&quot;??_);_(@_)">
                  <c:v>6950866.6810155576</c:v>
                </c:pt>
                <c:pt idx="102" formatCode="_(* #,##0_);_(* \(#,##0\);_(* &quot;-&quot;??_);_(@_)">
                  <c:v>8232160.2471718006</c:v>
                </c:pt>
                <c:pt idx="103" formatCode="_(* #,##0_);_(* \(#,##0\);_(* &quot;-&quot;??_);_(@_)">
                  <c:v>7428027.8133280436</c:v>
                </c:pt>
                <c:pt idx="104" formatCode="_(* #,##0_);_(* \(#,##0\);_(* &quot;-&quot;??_);_(@_)">
                  <c:v>6258910.3794842856</c:v>
                </c:pt>
                <c:pt idx="105" formatCode="_(* #,##0_);_(* \(#,##0\);_(* &quot;-&quot;??_);_(@_)">
                  <c:v>6160614.9456405286</c:v>
                </c:pt>
                <c:pt idx="106" formatCode="_(* #,##0_);_(* \(#,##0\);_(* &quot;-&quot;??_);_(@_)">
                  <c:v>6834550.5117967715</c:v>
                </c:pt>
                <c:pt idx="107" formatCode="_(* #,##0_);_(* \(#,##0\);_(* &quot;-&quot;??_);_(@_)">
                  <c:v>9082027.0779530145</c:v>
                </c:pt>
                <c:pt idx="108" formatCode="_(* #,##0_);_(* \(#,##0\);_(* &quot;-&quot;??_);_(@_)">
                  <c:v>9808318.0739879906</c:v>
                </c:pt>
                <c:pt idx="109" formatCode="_(* #,##0_);_(* \(#,##0\);_(* &quot;-&quot;??_);_(@_)">
                  <c:v>8864275.7553072311</c:v>
                </c:pt>
                <c:pt idx="110" formatCode="_(* #,##0_);_(* \(#,##0\);_(* &quot;-&quot;??_);_(@_)">
                  <c:v>8273577.4366264734</c:v>
                </c:pt>
                <c:pt idx="111" formatCode="_(* #,##0_);_(* \(#,##0\);_(* &quot;-&quot;??_);_(@_)">
                  <c:v>6923951.1179457149</c:v>
                </c:pt>
                <c:pt idx="112" formatCode="_(* #,##0_);_(* \(#,##0\);_(* &quot;-&quot;??_);_(@_)">
                  <c:v>6113839.7992649563</c:v>
                </c:pt>
                <c:pt idx="113" formatCode="_(* #,##0_);_(* \(#,##0\);_(* &quot;-&quot;??_);_(@_)">
                  <c:v>7082189.4805841977</c:v>
                </c:pt>
                <c:pt idx="114" formatCode="_(* #,##0_);_(* \(#,##0\);_(* &quot;-&quot;??_);_(@_)">
                  <c:v>8777773.1619034391</c:v>
                </c:pt>
                <c:pt idx="115" formatCode="_(* #,##0_);_(* \(#,##0\);_(* &quot;-&quot;??_);_(@_)">
                  <c:v>7696904.8432226805</c:v>
                </c:pt>
                <c:pt idx="116" formatCode="_(* #,##0_);_(* \(#,##0\);_(* &quot;-&quot;??_);_(@_)">
                  <c:v>5759107.5245419219</c:v>
                </c:pt>
                <c:pt idx="117" formatCode="_(* #,##0_);_(* \(#,##0\);_(* &quot;-&quot;??_);_(@_)">
                  <c:v>6185821.2058611633</c:v>
                </c:pt>
                <c:pt idx="118" formatCode="_(* #,##0_);_(* \(#,##0\);_(* &quot;-&quot;??_);_(@_)">
                  <c:v>7688916.8871804047</c:v>
                </c:pt>
                <c:pt idx="119" formatCode="_(* #,##0_);_(* \(#,##0\);_(* &quot;-&quot;??_);_(@_)">
                  <c:v>9982601.5684996471</c:v>
                </c:pt>
              </c:numCache>
            </c:numRef>
          </c:val>
          <c:smooth val="0"/>
          <c:extLst>
            <c:ext xmlns:c16="http://schemas.microsoft.com/office/drawing/2014/chart" uri="{C3380CC4-5D6E-409C-BE32-E72D297353CC}">
              <c16:uniqueId val="{00000000-250E-45FF-B359-C8A24C015BBE}"/>
            </c:ext>
          </c:extLst>
        </c:ser>
        <c:ser>
          <c:idx val="1"/>
          <c:order val="1"/>
          <c:tx>
            <c:strRef>
              <c:f>'Res Predicted Monthly'!$S$1</c:f>
              <c:strCache>
                <c:ptCount val="1"/>
                <c:pt idx="0">
                  <c:v>Predicted</c:v>
                </c:pt>
              </c:strCache>
            </c:strRef>
          </c:tx>
          <c:marker>
            <c:symbol val="none"/>
          </c:marker>
          <c:cat>
            <c:numRef>
              <c:f>'Res Predicted Monthly'!$A$2:$A$122</c:f>
              <c:numCache>
                <c:formatCode>mmm\-yy</c:formatCode>
                <c:ptCount val="121"/>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43770</c:v>
                </c:pt>
                <c:pt idx="47">
                  <c:v>43800</c:v>
                </c:pt>
                <c:pt idx="48">
                  <c:v>43831</c:v>
                </c:pt>
                <c:pt idx="49">
                  <c:v>43862</c:v>
                </c:pt>
                <c:pt idx="50">
                  <c:v>43891</c:v>
                </c:pt>
                <c:pt idx="51">
                  <c:v>43922</c:v>
                </c:pt>
                <c:pt idx="52">
                  <c:v>43952</c:v>
                </c:pt>
                <c:pt idx="53">
                  <c:v>43983</c:v>
                </c:pt>
                <c:pt idx="54">
                  <c:v>44013</c:v>
                </c:pt>
                <c:pt idx="55">
                  <c:v>44044</c:v>
                </c:pt>
                <c:pt idx="56">
                  <c:v>44075</c:v>
                </c:pt>
                <c:pt idx="57">
                  <c:v>44105</c:v>
                </c:pt>
                <c:pt idx="58">
                  <c:v>44136</c:v>
                </c:pt>
                <c:pt idx="59">
                  <c:v>44166</c:v>
                </c:pt>
                <c:pt idx="60">
                  <c:v>44197</c:v>
                </c:pt>
                <c:pt idx="61">
                  <c:v>44228</c:v>
                </c:pt>
                <c:pt idx="62">
                  <c:v>44256</c:v>
                </c:pt>
                <c:pt idx="63">
                  <c:v>44287</c:v>
                </c:pt>
                <c:pt idx="64">
                  <c:v>44317</c:v>
                </c:pt>
                <c:pt idx="65">
                  <c:v>44348</c:v>
                </c:pt>
                <c:pt idx="66">
                  <c:v>44378</c:v>
                </c:pt>
                <c:pt idx="67">
                  <c:v>44409</c:v>
                </c:pt>
                <c:pt idx="68">
                  <c:v>44440</c:v>
                </c:pt>
                <c:pt idx="69">
                  <c:v>44470</c:v>
                </c:pt>
                <c:pt idx="70">
                  <c:v>44501</c:v>
                </c:pt>
                <c:pt idx="71">
                  <c:v>44531</c:v>
                </c:pt>
                <c:pt idx="72">
                  <c:v>44562</c:v>
                </c:pt>
                <c:pt idx="73">
                  <c:v>44593</c:v>
                </c:pt>
                <c:pt idx="74">
                  <c:v>44621</c:v>
                </c:pt>
                <c:pt idx="75">
                  <c:v>44652</c:v>
                </c:pt>
                <c:pt idx="76">
                  <c:v>44682</c:v>
                </c:pt>
                <c:pt idx="77">
                  <c:v>44713</c:v>
                </c:pt>
                <c:pt idx="78">
                  <c:v>44743</c:v>
                </c:pt>
                <c:pt idx="79">
                  <c:v>44774</c:v>
                </c:pt>
                <c:pt idx="80">
                  <c:v>44805</c:v>
                </c:pt>
                <c:pt idx="81">
                  <c:v>44835</c:v>
                </c:pt>
                <c:pt idx="82">
                  <c:v>44866</c:v>
                </c:pt>
                <c:pt idx="83">
                  <c:v>44896</c:v>
                </c:pt>
                <c:pt idx="84">
                  <c:v>44927</c:v>
                </c:pt>
                <c:pt idx="85">
                  <c:v>44958</c:v>
                </c:pt>
                <c:pt idx="86">
                  <c:v>44986</c:v>
                </c:pt>
                <c:pt idx="87">
                  <c:v>45017</c:v>
                </c:pt>
                <c:pt idx="88">
                  <c:v>45047</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numCache>
            </c:numRef>
          </c:cat>
          <c:val>
            <c:numRef>
              <c:f>'Res Predicted Monthly'!$S$2:$S$139</c:f>
              <c:numCache>
                <c:formatCode>_(* #,##0_);_(* \(#,##0\);_(* "-"??_);_(@_)</c:formatCode>
                <c:ptCount val="138"/>
                <c:pt idx="0">
                  <c:v>8235286.9801703319</c:v>
                </c:pt>
                <c:pt idx="1">
                  <c:v>7480614.6965423329</c:v>
                </c:pt>
                <c:pt idx="2">
                  <c:v>6970007.6828371789</c:v>
                </c:pt>
                <c:pt idx="3">
                  <c:v>5856874.317687084</c:v>
                </c:pt>
                <c:pt idx="4">
                  <c:v>5311731.3909160979</c:v>
                </c:pt>
                <c:pt idx="5">
                  <c:v>5488853.1995324986</c:v>
                </c:pt>
                <c:pt idx="6">
                  <c:v>6776565.3170304485</c:v>
                </c:pt>
                <c:pt idx="7">
                  <c:v>6985138.8230796382</c:v>
                </c:pt>
                <c:pt idx="8">
                  <c:v>4977966.0908054216</c:v>
                </c:pt>
                <c:pt idx="9">
                  <c:v>5279844.6778824776</c:v>
                </c:pt>
                <c:pt idx="10">
                  <c:v>5859886.6150252065</c:v>
                </c:pt>
                <c:pt idx="11">
                  <c:v>7890437.6542983018</c:v>
                </c:pt>
                <c:pt idx="12">
                  <c:v>8051564.8626692984</c:v>
                </c:pt>
                <c:pt idx="13">
                  <c:v>6829257.9079956571</c:v>
                </c:pt>
                <c:pt idx="14">
                  <c:v>7945128.5308396984</c:v>
                </c:pt>
                <c:pt idx="15">
                  <c:v>5285742.720455925</c:v>
                </c:pt>
                <c:pt idx="16">
                  <c:v>5248416.4657112993</c:v>
                </c:pt>
                <c:pt idx="17">
                  <c:v>5387961.8914890988</c:v>
                </c:pt>
                <c:pt idx="18">
                  <c:v>6383805.9474587832</c:v>
                </c:pt>
                <c:pt idx="19">
                  <c:v>5716729.5483630132</c:v>
                </c:pt>
                <c:pt idx="20">
                  <c:v>5312798.4011652162</c:v>
                </c:pt>
                <c:pt idx="21">
                  <c:v>5141824.6496783998</c:v>
                </c:pt>
                <c:pt idx="22">
                  <c:v>6638666.794112171</c:v>
                </c:pt>
                <c:pt idx="23">
                  <c:v>8990110.1341436505</c:v>
                </c:pt>
                <c:pt idx="24">
                  <c:v>9067040.7098141704</c:v>
                </c:pt>
                <c:pt idx="25">
                  <c:v>7327932.0681676259</c:v>
                </c:pt>
                <c:pt idx="26">
                  <c:v>7444396.6360019725</c:v>
                </c:pt>
                <c:pt idx="27">
                  <c:v>6274838.9166796906</c:v>
                </c:pt>
                <c:pt idx="28">
                  <c:v>5418171.5755075831</c:v>
                </c:pt>
                <c:pt idx="29">
                  <c:v>5522931.9967317851</c:v>
                </c:pt>
                <c:pt idx="30">
                  <c:v>7532567.0931479167</c:v>
                </c:pt>
                <c:pt idx="31">
                  <c:v>7047748.7741430961</c:v>
                </c:pt>
                <c:pt idx="32">
                  <c:v>5609449.6698292578</c:v>
                </c:pt>
                <c:pt idx="33">
                  <c:v>5931356.9059842136</c:v>
                </c:pt>
                <c:pt idx="34">
                  <c:v>7172007.3580465494</c:v>
                </c:pt>
                <c:pt idx="35">
                  <c:v>8519509.9687685017</c:v>
                </c:pt>
                <c:pt idx="36">
                  <c:v>9834674.6855353583</c:v>
                </c:pt>
                <c:pt idx="37">
                  <c:v>7960714.7697767494</c:v>
                </c:pt>
                <c:pt idx="38">
                  <c:v>8014478.912406439</c:v>
                </c:pt>
                <c:pt idx="39">
                  <c:v>6052706.5960317133</c:v>
                </c:pt>
                <c:pt idx="40">
                  <c:v>5231105.3163275179</c:v>
                </c:pt>
                <c:pt idx="41">
                  <c:v>5592601.0991762849</c:v>
                </c:pt>
                <c:pt idx="42">
                  <c:v>7641189.0707404967</c:v>
                </c:pt>
                <c:pt idx="43">
                  <c:v>6451628.0057697352</c:v>
                </c:pt>
                <c:pt idx="44">
                  <c:v>5043272.7736348351</c:v>
                </c:pt>
                <c:pt idx="45">
                  <c:v>5618811.4170825519</c:v>
                </c:pt>
                <c:pt idx="46">
                  <c:v>7293475.7696592519</c:v>
                </c:pt>
                <c:pt idx="47">
                  <c:v>8339565.8100170176</c:v>
                </c:pt>
                <c:pt idx="48">
                  <c:v>8632594.0348813403</c:v>
                </c:pt>
                <c:pt idx="49">
                  <c:v>7725129.5024311496</c:v>
                </c:pt>
                <c:pt idx="50">
                  <c:v>7557747.9051117785</c:v>
                </c:pt>
                <c:pt idx="51">
                  <c:v>6357004.517968093</c:v>
                </c:pt>
                <c:pt idx="52">
                  <c:v>6526574.3067037119</c:v>
                </c:pt>
                <c:pt idx="53">
                  <c:v>6704769.9641691232</c:v>
                </c:pt>
                <c:pt idx="54">
                  <c:v>8906257.2151399329</c:v>
                </c:pt>
                <c:pt idx="55">
                  <c:v>6814065.4900505552</c:v>
                </c:pt>
                <c:pt idx="56">
                  <c:v>5576199.5576073648</c:v>
                </c:pt>
                <c:pt idx="57">
                  <c:v>6269083.5062138177</c:v>
                </c:pt>
                <c:pt idx="58">
                  <c:v>6673895.7263416993</c:v>
                </c:pt>
                <c:pt idx="59">
                  <c:v>8667747.3819089327</c:v>
                </c:pt>
                <c:pt idx="60">
                  <c:v>9110027.7749227565</c:v>
                </c:pt>
                <c:pt idx="61">
                  <c:v>8306279.6206561401</c:v>
                </c:pt>
                <c:pt idx="62">
                  <c:v>7752498.2085438659</c:v>
                </c:pt>
                <c:pt idx="63">
                  <c:v>5830244.3130003298</c:v>
                </c:pt>
                <c:pt idx="64">
                  <c:v>6353632.558212759</c:v>
                </c:pt>
                <c:pt idx="65">
                  <c:v>7137179.4707348887</c:v>
                </c:pt>
                <c:pt idx="66">
                  <c:v>7197618.6567101972</c:v>
                </c:pt>
                <c:pt idx="67">
                  <c:v>8376395.9575844966</c:v>
                </c:pt>
                <c:pt idx="68">
                  <c:v>5602971.1325220875</c:v>
                </c:pt>
                <c:pt idx="69">
                  <c:v>5967686.3121509962</c:v>
                </c:pt>
                <c:pt idx="70">
                  <c:v>7170023.6349460771</c:v>
                </c:pt>
                <c:pt idx="71">
                  <c:v>8635229.0969594121</c:v>
                </c:pt>
                <c:pt idx="72">
                  <c:v>10985135.941017604</c:v>
                </c:pt>
                <c:pt idx="73">
                  <c:v>8717068.2923536245</c:v>
                </c:pt>
                <c:pt idx="74">
                  <c:v>8162337.0695832185</c:v>
                </c:pt>
                <c:pt idx="75">
                  <c:v>6299752.5179262515</c:v>
                </c:pt>
                <c:pt idx="76">
                  <c:v>6289658.0398161644</c:v>
                </c:pt>
                <c:pt idx="77">
                  <c:v>6323827.5076404512</c:v>
                </c:pt>
                <c:pt idx="78">
                  <c:v>7705894.3395095151</c:v>
                </c:pt>
                <c:pt idx="79">
                  <c:v>7398903.341880111</c:v>
                </c:pt>
                <c:pt idx="80">
                  <c:v>5697531.3306065481</c:v>
                </c:pt>
                <c:pt idx="81">
                  <c:v>6186783.2956676604</c:v>
                </c:pt>
                <c:pt idx="82">
                  <c:v>6975649.6007665833</c:v>
                </c:pt>
                <c:pt idx="83">
                  <c:v>8391590.1994909998</c:v>
                </c:pt>
                <c:pt idx="84">
                  <c:v>8962360.429005878</c:v>
                </c:pt>
                <c:pt idx="85">
                  <c:v>8220499.0302294772</c:v>
                </c:pt>
                <c:pt idx="86">
                  <c:v>8139740.9173185155</c:v>
                </c:pt>
                <c:pt idx="87">
                  <c:v>6253631.361939176</c:v>
                </c:pt>
                <c:pt idx="88">
                  <c:v>6112397.990509687</c:v>
                </c:pt>
                <c:pt idx="89">
                  <c:v>6668407.9295634981</c:v>
                </c:pt>
                <c:pt idx="90">
                  <c:v>7864829.639583122</c:v>
                </c:pt>
                <c:pt idx="91">
                  <c:v>6762152.1034561116</c:v>
                </c:pt>
                <c:pt idx="92">
                  <c:v>6079459.9338215729</c:v>
                </c:pt>
                <c:pt idx="93">
                  <c:v>6373543.0241559008</c:v>
                </c:pt>
                <c:pt idx="94">
                  <c:v>7524775.6168416468</c:v>
                </c:pt>
                <c:pt idx="95">
                  <c:v>8372083.5584738413</c:v>
                </c:pt>
                <c:pt idx="96">
                  <c:v>9162014.1504234076</c:v>
                </c:pt>
                <c:pt idx="97">
                  <c:v>7786875.5153172025</c:v>
                </c:pt>
                <c:pt idx="98">
                  <c:v>7611370.9473751625</c:v>
                </c:pt>
                <c:pt idx="99">
                  <c:v>6232412.5613997523</c:v>
                </c:pt>
                <c:pt idx="100">
                  <c:v>6217174.2466597985</c:v>
                </c:pt>
                <c:pt idx="101">
                  <c:v>6959294.9149625264</c:v>
                </c:pt>
                <c:pt idx="102">
                  <c:v>8218030.5353245353</c:v>
                </c:pt>
                <c:pt idx="103">
                  <c:v>7480256.6396455206</c:v>
                </c:pt>
                <c:pt idx="104">
                  <c:v>6248534.5030260431</c:v>
                </c:pt>
                <c:pt idx="105">
                  <c:v>6368462.8864071518</c:v>
                </c:pt>
                <c:pt idx="106">
                  <c:v>6884178.4021938154</c:v>
                </c:pt>
                <c:pt idx="107">
                  <c:v>8985563.4351837598</c:v>
                </c:pt>
                <c:pt idx="108">
                  <c:v>9879747.9951663911</c:v>
                </c:pt>
                <c:pt idx="109">
                  <c:v>8764534.507937422</c:v>
                </c:pt>
                <c:pt idx="110">
                  <c:v>8251141.8202301674</c:v>
                </c:pt>
                <c:pt idx="111">
                  <c:v>6769611.416021972</c:v>
                </c:pt>
                <c:pt idx="112">
                  <c:v>6229404.7161016818</c:v>
                </c:pt>
                <c:pt idx="113">
                  <c:v>7101419.0577111123</c:v>
                </c:pt>
                <c:pt idx="114">
                  <c:v>8487677.9498472102</c:v>
                </c:pt>
                <c:pt idx="115">
                  <c:v>7639181.3075321633</c:v>
                </c:pt>
                <c:pt idx="116">
                  <c:v>5805268.9447401967</c:v>
                </c:pt>
                <c:pt idx="117">
                  <c:v>6623220.6728598243</c:v>
                </c:pt>
                <c:pt idx="118">
                  <c:v>7576105.5859791012</c:v>
                </c:pt>
                <c:pt idx="119">
                  <c:v>9842555.948946666</c:v>
                </c:pt>
              </c:numCache>
            </c:numRef>
          </c:val>
          <c:smooth val="0"/>
          <c:extLst>
            <c:ext xmlns:c16="http://schemas.microsoft.com/office/drawing/2014/chart" uri="{C3380CC4-5D6E-409C-BE32-E72D297353CC}">
              <c16:uniqueId val="{00000001-250E-45FF-B359-C8A24C015BBE}"/>
            </c:ext>
          </c:extLst>
        </c:ser>
        <c:dLbls>
          <c:showLegendKey val="0"/>
          <c:showVal val="0"/>
          <c:showCatName val="0"/>
          <c:showSerName val="0"/>
          <c:showPercent val="0"/>
          <c:showBubbleSize val="0"/>
        </c:dLbls>
        <c:smooth val="0"/>
        <c:axId val="175769856"/>
        <c:axId val="175784320"/>
      </c:lineChart>
      <c:dateAx>
        <c:axId val="175769856"/>
        <c:scaling>
          <c:orientation val="minMax"/>
        </c:scaling>
        <c:delete val="0"/>
        <c:axPos val="b"/>
        <c:title>
          <c:tx>
            <c:rich>
              <a:bodyPr/>
              <a:lstStyle/>
              <a:p>
                <a:pPr>
                  <a:defRPr/>
                </a:pPr>
                <a:r>
                  <a:rPr lang="en-US"/>
                  <a:t>Month</a:t>
                </a:r>
              </a:p>
            </c:rich>
          </c:tx>
          <c:overlay val="0"/>
        </c:title>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5784320"/>
        <c:crosses val="autoZero"/>
        <c:auto val="1"/>
        <c:lblOffset val="100"/>
        <c:baseTimeUnit val="months"/>
      </c:dateAx>
      <c:valAx>
        <c:axId val="175784320"/>
        <c:scaling>
          <c:orientation val="minMax"/>
        </c:scaling>
        <c:delete val="0"/>
        <c:axPos val="l"/>
        <c:majorGridlines>
          <c:spPr>
            <a:ln w="9525" cap="flat" cmpd="sng" algn="ctr">
              <a:solidFill>
                <a:schemeClr val="tx1">
                  <a:lumMod val="15000"/>
                  <a:lumOff val="85000"/>
                </a:schemeClr>
              </a:solidFill>
              <a:round/>
            </a:ln>
            <a:effectLst/>
          </c:spPr>
        </c:majorGridlines>
        <c:title>
          <c:tx>
            <c:rich>
              <a:bodyPr/>
              <a:lstStyle/>
              <a:p>
                <a:pPr>
                  <a:defRPr/>
                </a:pPr>
                <a:r>
                  <a:rPr lang="en-US"/>
                  <a:t>Monthly Consumption (kWh)</a:t>
                </a:r>
              </a:p>
            </c:rich>
          </c:tx>
          <c:overlay val="0"/>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57698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Residential</a:t>
            </a:r>
            <a:r>
              <a:rPr lang="en-US" baseline="0"/>
              <a:t> Predicted Monthly</a:t>
            </a:r>
            <a:endParaRPr lang="en-US"/>
          </a:p>
        </c:rich>
      </c:tx>
      <c:overlay val="0"/>
      <c:spPr>
        <a:noFill/>
        <a:ln>
          <a:noFill/>
        </a:ln>
        <a:effectLst/>
      </c:spPr>
    </c:title>
    <c:autoTitleDeleted val="0"/>
    <c:plotArea>
      <c:layout/>
      <c:lineChart>
        <c:grouping val="standard"/>
        <c:varyColors val="0"/>
        <c:ser>
          <c:idx val="0"/>
          <c:order val="0"/>
          <c:tx>
            <c:strRef>
              <c:f>'Res Predicted Monthly'!$D$1</c:f>
              <c:strCache>
                <c:ptCount val="1"/>
                <c:pt idx="0">
                  <c:v> Res_NoCDM </c:v>
                </c:pt>
              </c:strCache>
            </c:strRef>
          </c:tx>
          <c:marker>
            <c:symbol val="none"/>
          </c:marker>
          <c:cat>
            <c:numRef>
              <c:f>'Res Predicted Monthly'!$A$50:$A$122</c:f>
              <c:numCache>
                <c:formatCode>mmm\-yy</c:formatCode>
                <c:ptCount val="73"/>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numCache>
            </c:numRef>
          </c:cat>
          <c:val>
            <c:numRef>
              <c:f>'Res Predicted Monthly'!$D$50:$D$122</c:f>
              <c:numCache>
                <c:formatCode>_(* #,##0_);_(* \(#,##0\);_(* "-"??_);_(@_)</c:formatCode>
                <c:ptCount val="73"/>
                <c:pt idx="0">
                  <c:v>8414654.1696568504</c:v>
                </c:pt>
                <c:pt idx="1">
                  <c:v>7815438.1888876194</c:v>
                </c:pt>
                <c:pt idx="2">
                  <c:v>7552050.2081183884</c:v>
                </c:pt>
                <c:pt idx="3">
                  <c:v>6718611.2273491574</c:v>
                </c:pt>
                <c:pt idx="4">
                  <c:v>6484978.2465799265</c:v>
                </c:pt>
                <c:pt idx="5">
                  <c:v>6791535.2658106964</c:v>
                </c:pt>
                <c:pt idx="6">
                  <c:v>8887832.2850414645</c:v>
                </c:pt>
                <c:pt idx="7">
                  <c:v>6981508.3042722344</c:v>
                </c:pt>
                <c:pt idx="8">
                  <c:v>5593018.3235030035</c:v>
                </c:pt>
                <c:pt idx="9">
                  <c:v>6282108.3427337734</c:v>
                </c:pt>
                <c:pt idx="10">
                  <c:v>6779288.3619645424</c:v>
                </c:pt>
                <c:pt idx="11">
                  <c:v>8783121.3811953124</c:v>
                </c:pt>
                <c:pt idx="12">
                  <c:v>8947694.596042579</c:v>
                </c:pt>
                <c:pt idx="13">
                  <c:v>8282825.1054581115</c:v>
                </c:pt>
                <c:pt idx="14">
                  <c:v>7841494.614873644</c:v>
                </c:pt>
                <c:pt idx="15">
                  <c:v>6176221.1242891774</c:v>
                </c:pt>
                <c:pt idx="16">
                  <c:v>6246538.6337047098</c:v>
                </c:pt>
                <c:pt idx="17">
                  <c:v>7011045.1431202432</c:v>
                </c:pt>
                <c:pt idx="18">
                  <c:v>7147666.6525357757</c:v>
                </c:pt>
                <c:pt idx="19">
                  <c:v>8365336.1619513091</c:v>
                </c:pt>
                <c:pt idx="20">
                  <c:v>5638411.6713668425</c:v>
                </c:pt>
                <c:pt idx="21">
                  <c:v>5991389.1807823749</c:v>
                </c:pt>
                <c:pt idx="22">
                  <c:v>7003129.6901979083</c:v>
                </c:pt>
                <c:pt idx="23">
                  <c:v>8633204.8396134414</c:v>
                </c:pt>
                <c:pt idx="24">
                  <c:v>10532825.528697059</c:v>
                </c:pt>
                <c:pt idx="25">
                  <c:v>8586318.012812933</c:v>
                </c:pt>
                <c:pt idx="26">
                  <c:v>8070371.4969288055</c:v>
                </c:pt>
                <c:pt idx="27">
                  <c:v>6548410.9810446789</c:v>
                </c:pt>
                <c:pt idx="28">
                  <c:v>6080494.4651605524</c:v>
                </c:pt>
                <c:pt idx="29">
                  <c:v>6310089.9492764249</c:v>
                </c:pt>
                <c:pt idx="30">
                  <c:v>7465233.4333922984</c:v>
                </c:pt>
                <c:pt idx="31">
                  <c:v>7425747.9175081719</c:v>
                </c:pt>
                <c:pt idx="32">
                  <c:v>5812994.4016240453</c:v>
                </c:pt>
                <c:pt idx="33">
                  <c:v>6059998.8857399179</c:v>
                </c:pt>
                <c:pt idx="34">
                  <c:v>6806096.3698557913</c:v>
                </c:pt>
                <c:pt idx="35">
                  <c:v>8382575.8539716648</c:v>
                </c:pt>
                <c:pt idx="36">
                  <c:v>8740554.5448313784</c:v>
                </c:pt>
                <c:pt idx="37">
                  <c:v>8231333.1919643153</c:v>
                </c:pt>
                <c:pt idx="38">
                  <c:v>7931351.8390972503</c:v>
                </c:pt>
                <c:pt idx="39">
                  <c:v>6481760.4862301862</c:v>
                </c:pt>
                <c:pt idx="40">
                  <c:v>5935915.1333631221</c:v>
                </c:pt>
                <c:pt idx="41">
                  <c:v>6617170.7804960571</c:v>
                </c:pt>
                <c:pt idx="42">
                  <c:v>8069819.4276289931</c:v>
                </c:pt>
                <c:pt idx="43">
                  <c:v>6590759.074761929</c:v>
                </c:pt>
                <c:pt idx="44">
                  <c:v>6146868.721894864</c:v>
                </c:pt>
                <c:pt idx="45">
                  <c:v>6311574.3690277999</c:v>
                </c:pt>
                <c:pt idx="46">
                  <c:v>7441339.0161607359</c:v>
                </c:pt>
                <c:pt idx="47">
                  <c:v>8512565.6632936709</c:v>
                </c:pt>
                <c:pt idx="48">
                  <c:v>10058510.850234345</c:v>
                </c:pt>
                <c:pt idx="49">
                  <c:v>7527358.4163905876</c:v>
                </c:pt>
                <c:pt idx="50">
                  <c:v>8124056.9825468305</c:v>
                </c:pt>
                <c:pt idx="51">
                  <c:v>5757851.5487030726</c:v>
                </c:pt>
                <c:pt idx="52">
                  <c:v>6393480.1148593156</c:v>
                </c:pt>
                <c:pt idx="53">
                  <c:v>6950866.6810155576</c:v>
                </c:pt>
                <c:pt idx="54">
                  <c:v>8232160.2471718006</c:v>
                </c:pt>
                <c:pt idx="55">
                  <c:v>7428027.8133280436</c:v>
                </c:pt>
                <c:pt idx="56">
                  <c:v>6258910.3794842856</c:v>
                </c:pt>
                <c:pt idx="57">
                  <c:v>6160614.9456405286</c:v>
                </c:pt>
                <c:pt idx="58">
                  <c:v>6834550.5117967715</c:v>
                </c:pt>
                <c:pt idx="59">
                  <c:v>9082027.0779530145</c:v>
                </c:pt>
                <c:pt idx="60">
                  <c:v>9808318.0739879906</c:v>
                </c:pt>
                <c:pt idx="61">
                  <c:v>8864275.7553072311</c:v>
                </c:pt>
                <c:pt idx="62">
                  <c:v>8273577.4366264734</c:v>
                </c:pt>
                <c:pt idx="63">
                  <c:v>6923951.1179457149</c:v>
                </c:pt>
                <c:pt idx="64">
                  <c:v>6113839.7992649563</c:v>
                </c:pt>
                <c:pt idx="65">
                  <c:v>7082189.4805841977</c:v>
                </c:pt>
                <c:pt idx="66">
                  <c:v>8777773.1619034391</c:v>
                </c:pt>
                <c:pt idx="67">
                  <c:v>7696904.8432226805</c:v>
                </c:pt>
                <c:pt idx="68">
                  <c:v>5759107.5245419219</c:v>
                </c:pt>
                <c:pt idx="69">
                  <c:v>6185821.2058611633</c:v>
                </c:pt>
                <c:pt idx="70">
                  <c:v>7688916.8871804047</c:v>
                </c:pt>
                <c:pt idx="71">
                  <c:v>9982601.5684996471</c:v>
                </c:pt>
              </c:numCache>
            </c:numRef>
          </c:val>
          <c:smooth val="0"/>
          <c:extLst>
            <c:ext xmlns:c16="http://schemas.microsoft.com/office/drawing/2014/chart" uri="{C3380CC4-5D6E-409C-BE32-E72D297353CC}">
              <c16:uniqueId val="{00000000-B0E7-47F1-9B8E-039D98D296BE}"/>
            </c:ext>
          </c:extLst>
        </c:ser>
        <c:ser>
          <c:idx val="1"/>
          <c:order val="1"/>
          <c:tx>
            <c:strRef>
              <c:f>'Res Predicted Monthly'!$S$1</c:f>
              <c:strCache>
                <c:ptCount val="1"/>
                <c:pt idx="0">
                  <c:v>Predicted</c:v>
                </c:pt>
              </c:strCache>
            </c:strRef>
          </c:tx>
          <c:marker>
            <c:symbol val="none"/>
          </c:marker>
          <c:cat>
            <c:numRef>
              <c:f>'Res Predicted Monthly'!$A$50:$A$122</c:f>
              <c:numCache>
                <c:formatCode>mmm\-yy</c:formatCode>
                <c:ptCount val="73"/>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numCache>
            </c:numRef>
          </c:cat>
          <c:val>
            <c:numRef>
              <c:f>'Res Predicted Monthly'!$S$50:$S$122</c:f>
              <c:numCache>
                <c:formatCode>_(* #,##0_);_(* \(#,##0\);_(* "-"??_);_(@_)</c:formatCode>
                <c:ptCount val="73"/>
                <c:pt idx="0">
                  <c:v>8632594.0348813403</c:v>
                </c:pt>
                <c:pt idx="1">
                  <c:v>7725129.5024311496</c:v>
                </c:pt>
                <c:pt idx="2">
                  <c:v>7557747.9051117785</c:v>
                </c:pt>
                <c:pt idx="3">
                  <c:v>6357004.517968093</c:v>
                </c:pt>
                <c:pt idx="4">
                  <c:v>6526574.3067037119</c:v>
                </c:pt>
                <c:pt idx="5">
                  <c:v>6704769.9641691232</c:v>
                </c:pt>
                <c:pt idx="6">
                  <c:v>8906257.2151399329</c:v>
                </c:pt>
                <c:pt idx="7">
                  <c:v>6814065.4900505552</c:v>
                </c:pt>
                <c:pt idx="8">
                  <c:v>5576199.5576073648</c:v>
                </c:pt>
                <c:pt idx="9">
                  <c:v>6269083.5062138177</c:v>
                </c:pt>
                <c:pt idx="10">
                  <c:v>6673895.7263416993</c:v>
                </c:pt>
                <c:pt idx="11">
                  <c:v>8667747.3819089327</c:v>
                </c:pt>
                <c:pt idx="12">
                  <c:v>9110027.7749227565</c:v>
                </c:pt>
                <c:pt idx="13">
                  <c:v>8306279.6206561401</c:v>
                </c:pt>
                <c:pt idx="14">
                  <c:v>7752498.2085438659</c:v>
                </c:pt>
                <c:pt idx="15">
                  <c:v>5830244.3130003298</c:v>
                </c:pt>
                <c:pt idx="16">
                  <c:v>6353632.558212759</c:v>
                </c:pt>
                <c:pt idx="17">
                  <c:v>7137179.4707348887</c:v>
                </c:pt>
                <c:pt idx="18">
                  <c:v>7197618.6567101972</c:v>
                </c:pt>
                <c:pt idx="19">
                  <c:v>8376395.9575844966</c:v>
                </c:pt>
                <c:pt idx="20">
                  <c:v>5602971.1325220875</c:v>
                </c:pt>
                <c:pt idx="21">
                  <c:v>5967686.3121509962</c:v>
                </c:pt>
                <c:pt idx="22">
                  <c:v>7170023.6349460771</c:v>
                </c:pt>
                <c:pt idx="23">
                  <c:v>8635229.0969594121</c:v>
                </c:pt>
                <c:pt idx="24">
                  <c:v>10985135.941017604</c:v>
                </c:pt>
                <c:pt idx="25">
                  <c:v>8717068.2923536245</c:v>
                </c:pt>
                <c:pt idx="26">
                  <c:v>8162337.0695832185</c:v>
                </c:pt>
                <c:pt idx="27">
                  <c:v>6299752.5179262515</c:v>
                </c:pt>
                <c:pt idx="28">
                  <c:v>6289658.0398161644</c:v>
                </c:pt>
                <c:pt idx="29">
                  <c:v>6323827.5076404512</c:v>
                </c:pt>
                <c:pt idx="30">
                  <c:v>7705894.3395095151</c:v>
                </c:pt>
                <c:pt idx="31">
                  <c:v>7398903.341880111</c:v>
                </c:pt>
                <c:pt idx="32">
                  <c:v>5697531.3306065481</c:v>
                </c:pt>
                <c:pt idx="33">
                  <c:v>6186783.2956676604</c:v>
                </c:pt>
                <c:pt idx="34">
                  <c:v>6975649.6007665833</c:v>
                </c:pt>
                <c:pt idx="35">
                  <c:v>8391590.1994909998</c:v>
                </c:pt>
                <c:pt idx="36">
                  <c:v>8962360.429005878</c:v>
                </c:pt>
                <c:pt idx="37">
                  <c:v>8220499.0302294772</c:v>
                </c:pt>
                <c:pt idx="38">
                  <c:v>8139740.9173185155</c:v>
                </c:pt>
                <c:pt idx="39">
                  <c:v>6253631.361939176</c:v>
                </c:pt>
                <c:pt idx="40">
                  <c:v>6112397.990509687</c:v>
                </c:pt>
                <c:pt idx="41">
                  <c:v>6668407.9295634981</c:v>
                </c:pt>
                <c:pt idx="42">
                  <c:v>7864829.639583122</c:v>
                </c:pt>
                <c:pt idx="43">
                  <c:v>6762152.1034561116</c:v>
                </c:pt>
                <c:pt idx="44">
                  <c:v>6079459.9338215729</c:v>
                </c:pt>
                <c:pt idx="45">
                  <c:v>6373543.0241559008</c:v>
                </c:pt>
                <c:pt idx="46">
                  <c:v>7524775.6168416468</c:v>
                </c:pt>
                <c:pt idx="47">
                  <c:v>8372083.5584738413</c:v>
                </c:pt>
                <c:pt idx="48">
                  <c:v>9162014.1504234076</c:v>
                </c:pt>
                <c:pt idx="49">
                  <c:v>7786875.5153172025</c:v>
                </c:pt>
                <c:pt idx="50">
                  <c:v>7611370.9473751625</c:v>
                </c:pt>
                <c:pt idx="51">
                  <c:v>6232412.5613997523</c:v>
                </c:pt>
                <c:pt idx="52">
                  <c:v>6217174.2466597985</c:v>
                </c:pt>
                <c:pt idx="53">
                  <c:v>6959294.9149625264</c:v>
                </c:pt>
                <c:pt idx="54">
                  <c:v>8218030.5353245353</c:v>
                </c:pt>
                <c:pt idx="55">
                  <c:v>7480256.6396455206</c:v>
                </c:pt>
                <c:pt idx="56">
                  <c:v>6248534.5030260431</c:v>
                </c:pt>
                <c:pt idx="57">
                  <c:v>6368462.8864071518</c:v>
                </c:pt>
                <c:pt idx="58">
                  <c:v>6884178.4021938154</c:v>
                </c:pt>
                <c:pt idx="59">
                  <c:v>8985563.4351837598</c:v>
                </c:pt>
                <c:pt idx="60">
                  <c:v>9879747.9951663911</c:v>
                </c:pt>
                <c:pt idx="61">
                  <c:v>8764534.507937422</c:v>
                </c:pt>
                <c:pt idx="62">
                  <c:v>8251141.8202301674</c:v>
                </c:pt>
                <c:pt idx="63">
                  <c:v>6769611.416021972</c:v>
                </c:pt>
                <c:pt idx="64">
                  <c:v>6229404.7161016818</c:v>
                </c:pt>
                <c:pt idx="65">
                  <c:v>7101419.0577111123</c:v>
                </c:pt>
                <c:pt idx="66">
                  <c:v>8487677.9498472102</c:v>
                </c:pt>
                <c:pt idx="67">
                  <c:v>7639181.3075321633</c:v>
                </c:pt>
                <c:pt idx="68">
                  <c:v>5805268.9447401967</c:v>
                </c:pt>
                <c:pt idx="69">
                  <c:v>6623220.6728598243</c:v>
                </c:pt>
                <c:pt idx="70">
                  <c:v>7576105.5859791012</c:v>
                </c:pt>
                <c:pt idx="71">
                  <c:v>9842555.948946666</c:v>
                </c:pt>
              </c:numCache>
            </c:numRef>
          </c:val>
          <c:smooth val="0"/>
          <c:extLst>
            <c:ext xmlns:c16="http://schemas.microsoft.com/office/drawing/2014/chart" uri="{C3380CC4-5D6E-409C-BE32-E72D297353CC}">
              <c16:uniqueId val="{00000001-B0E7-47F1-9B8E-039D98D296BE}"/>
            </c:ext>
          </c:extLst>
        </c:ser>
        <c:dLbls>
          <c:showLegendKey val="0"/>
          <c:showVal val="0"/>
          <c:showCatName val="0"/>
          <c:showSerName val="0"/>
          <c:showPercent val="0"/>
          <c:showBubbleSize val="0"/>
        </c:dLbls>
        <c:smooth val="0"/>
        <c:axId val="175769856"/>
        <c:axId val="175784320"/>
      </c:lineChart>
      <c:dateAx>
        <c:axId val="175769856"/>
        <c:scaling>
          <c:orientation val="minMax"/>
        </c:scaling>
        <c:delete val="0"/>
        <c:axPos val="b"/>
        <c:title>
          <c:tx>
            <c:rich>
              <a:bodyPr/>
              <a:lstStyle/>
              <a:p>
                <a:pPr>
                  <a:defRPr/>
                </a:pPr>
                <a:r>
                  <a:rPr lang="en-US"/>
                  <a:t>Month</a:t>
                </a:r>
              </a:p>
            </c:rich>
          </c:tx>
          <c:overlay val="0"/>
        </c:title>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5784320"/>
        <c:crosses val="autoZero"/>
        <c:auto val="1"/>
        <c:lblOffset val="100"/>
        <c:baseTimeUnit val="months"/>
      </c:dateAx>
      <c:valAx>
        <c:axId val="175784320"/>
        <c:scaling>
          <c:orientation val="minMax"/>
        </c:scaling>
        <c:delete val="0"/>
        <c:axPos val="l"/>
        <c:majorGridlines>
          <c:spPr>
            <a:ln w="9525" cap="flat" cmpd="sng" algn="ctr">
              <a:solidFill>
                <a:schemeClr val="tx1">
                  <a:lumMod val="15000"/>
                  <a:lumOff val="85000"/>
                </a:schemeClr>
              </a:solidFill>
              <a:round/>
            </a:ln>
            <a:effectLst/>
          </c:spPr>
        </c:majorGridlines>
        <c:title>
          <c:tx>
            <c:rich>
              <a:bodyPr/>
              <a:lstStyle/>
              <a:p>
                <a:pPr>
                  <a:defRPr/>
                </a:pPr>
                <a:r>
                  <a:rPr lang="en-US"/>
                  <a:t>Monthly Consumption (kWh)</a:t>
                </a:r>
              </a:p>
            </c:rich>
          </c:tx>
          <c:overlay val="0"/>
        </c:title>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57698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GS &lt; 50 kW Predicted Monthly</a:t>
            </a:r>
          </a:p>
        </c:rich>
      </c:tx>
      <c:overlay val="0"/>
      <c:spPr>
        <a:noFill/>
        <a:ln>
          <a:noFill/>
        </a:ln>
        <a:effectLst/>
      </c:spPr>
    </c:title>
    <c:autoTitleDeleted val="0"/>
    <c:plotArea>
      <c:layout/>
      <c:lineChart>
        <c:grouping val="standard"/>
        <c:varyColors val="0"/>
        <c:ser>
          <c:idx val="0"/>
          <c:order val="0"/>
          <c:tx>
            <c:strRef>
              <c:f>'GS&lt;50 Predicted Monthly'!$D$1</c:f>
              <c:strCache>
                <c:ptCount val="1"/>
                <c:pt idx="0">
                  <c:v> GS_lt_50_NoCDM </c:v>
                </c:pt>
              </c:strCache>
            </c:strRef>
          </c:tx>
          <c:marker>
            <c:symbol val="none"/>
          </c:marker>
          <c:cat>
            <c:numRef>
              <c:f>'GS&lt;50 Predicted Monthly'!$A$2:$A$141</c:f>
              <c:numCache>
                <c:formatCode>mmm\-yy</c:formatCode>
                <c:ptCount val="140"/>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43770</c:v>
                </c:pt>
                <c:pt idx="47">
                  <c:v>43800</c:v>
                </c:pt>
                <c:pt idx="48">
                  <c:v>43831</c:v>
                </c:pt>
                <c:pt idx="49">
                  <c:v>43862</c:v>
                </c:pt>
                <c:pt idx="50">
                  <c:v>43891</c:v>
                </c:pt>
                <c:pt idx="51">
                  <c:v>43922</c:v>
                </c:pt>
                <c:pt idx="52">
                  <c:v>43952</c:v>
                </c:pt>
                <c:pt idx="53">
                  <c:v>43983</c:v>
                </c:pt>
                <c:pt idx="54">
                  <c:v>44013</c:v>
                </c:pt>
                <c:pt idx="55">
                  <c:v>44044</c:v>
                </c:pt>
                <c:pt idx="56">
                  <c:v>44075</c:v>
                </c:pt>
                <c:pt idx="57">
                  <c:v>44105</c:v>
                </c:pt>
                <c:pt idx="58">
                  <c:v>44136</c:v>
                </c:pt>
                <c:pt idx="59">
                  <c:v>44166</c:v>
                </c:pt>
                <c:pt idx="60">
                  <c:v>44197</c:v>
                </c:pt>
                <c:pt idx="61">
                  <c:v>44228</c:v>
                </c:pt>
                <c:pt idx="62">
                  <c:v>44256</c:v>
                </c:pt>
                <c:pt idx="63">
                  <c:v>44287</c:v>
                </c:pt>
                <c:pt idx="64">
                  <c:v>44317</c:v>
                </c:pt>
                <c:pt idx="65">
                  <c:v>44348</c:v>
                </c:pt>
                <c:pt idx="66">
                  <c:v>44378</c:v>
                </c:pt>
                <c:pt idx="67">
                  <c:v>44409</c:v>
                </c:pt>
                <c:pt idx="68">
                  <c:v>44440</c:v>
                </c:pt>
                <c:pt idx="69">
                  <c:v>44470</c:v>
                </c:pt>
                <c:pt idx="70">
                  <c:v>44501</c:v>
                </c:pt>
                <c:pt idx="71">
                  <c:v>44531</c:v>
                </c:pt>
                <c:pt idx="72">
                  <c:v>44562</c:v>
                </c:pt>
                <c:pt idx="73">
                  <c:v>44593</c:v>
                </c:pt>
                <c:pt idx="74">
                  <c:v>44621</c:v>
                </c:pt>
                <c:pt idx="75">
                  <c:v>44652</c:v>
                </c:pt>
                <c:pt idx="76">
                  <c:v>44682</c:v>
                </c:pt>
                <c:pt idx="77">
                  <c:v>44713</c:v>
                </c:pt>
                <c:pt idx="78">
                  <c:v>44743</c:v>
                </c:pt>
                <c:pt idx="79">
                  <c:v>44774</c:v>
                </c:pt>
                <c:pt idx="80">
                  <c:v>44805</c:v>
                </c:pt>
                <c:pt idx="81">
                  <c:v>44835</c:v>
                </c:pt>
                <c:pt idx="82">
                  <c:v>44866</c:v>
                </c:pt>
                <c:pt idx="83">
                  <c:v>44896</c:v>
                </c:pt>
                <c:pt idx="84">
                  <c:v>44927</c:v>
                </c:pt>
                <c:pt idx="85">
                  <c:v>44958</c:v>
                </c:pt>
                <c:pt idx="86">
                  <c:v>44986</c:v>
                </c:pt>
                <c:pt idx="87">
                  <c:v>45017</c:v>
                </c:pt>
                <c:pt idx="88">
                  <c:v>45047</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numCache>
            </c:numRef>
          </c:cat>
          <c:val>
            <c:numRef>
              <c:f>('GS&lt;50 Predicted Monthly'!$J$2:$J$49,'GS&lt;50 Predicted Monthly'!$D$50:$D$141)</c:f>
              <c:numCache>
                <c:formatCode>General</c:formatCode>
                <c:ptCount val="140"/>
                <c:pt idx="48" formatCode="_(* #,##0_);_(* \(#,##0\);_(* &quot;-&quot;??_);_(@_)">
                  <c:v>3010167.2574951407</c:v>
                </c:pt>
                <c:pt idx="49" formatCode="_(* #,##0_);_(* \(#,##0\);_(* &quot;-&quot;??_);_(@_)">
                  <c:v>2813125.8986844411</c:v>
                </c:pt>
                <c:pt idx="50" formatCode="_(* #,##0_);_(* \(#,##0\);_(* &quot;-&quot;??_);_(@_)">
                  <c:v>2549801.539873742</c:v>
                </c:pt>
                <c:pt idx="51" formatCode="_(* #,##0_);_(* \(#,##0\);_(* &quot;-&quot;??_);_(@_)">
                  <c:v>2013068.1810630427</c:v>
                </c:pt>
                <c:pt idx="52" formatCode="_(* #,##0_);_(* \(#,##0\);_(* &quot;-&quot;??_);_(@_)">
                  <c:v>1942219.8222523434</c:v>
                </c:pt>
                <c:pt idx="53" formatCode="_(* #,##0_);_(* \(#,##0\);_(* &quot;-&quot;??_);_(@_)">
                  <c:v>2049006.4634416441</c:v>
                </c:pt>
                <c:pt idx="54" formatCode="_(* #,##0_);_(* \(#,##0\);_(* &quot;-&quot;??_);_(@_)">
                  <c:v>2479208.1046309448</c:v>
                </c:pt>
                <c:pt idx="55" formatCode="_(* #,##0_);_(* \(#,##0\);_(* &quot;-&quot;??_);_(@_)">
                  <c:v>2169068.7458202457</c:v>
                </c:pt>
                <c:pt idx="56" formatCode="_(* #,##0_);_(* \(#,##0\);_(* &quot;-&quot;??_);_(@_)">
                  <c:v>1937707.3870095464</c:v>
                </c:pt>
                <c:pt idx="57" formatCode="_(* #,##0_);_(* \(#,##0\);_(* &quot;-&quot;??_);_(@_)">
                  <c:v>2079800.0281988471</c:v>
                </c:pt>
                <c:pt idx="58" formatCode="_(* #,##0_);_(* \(#,##0\);_(* &quot;-&quot;??_);_(@_)">
                  <c:v>2308536.669388148</c:v>
                </c:pt>
                <c:pt idx="59" formatCode="_(* #,##0_);_(* \(#,##0\);_(* &quot;-&quot;??_);_(@_)">
                  <c:v>2757605.3105774485</c:v>
                </c:pt>
                <c:pt idx="60" formatCode="_(* #,##0_);_(* \(#,##0\);_(* &quot;-&quot;??_);_(@_)">
                  <c:v>2771093.6241201404</c:v>
                </c:pt>
                <c:pt idx="61" formatCode="_(* #,##0_);_(* \(#,##0\);_(* &quot;-&quot;??_);_(@_)">
                  <c:v>2684641.5361313201</c:v>
                </c:pt>
                <c:pt idx="62" formatCode="_(* #,##0_);_(* \(#,##0\);_(* &quot;-&quot;??_);_(@_)">
                  <c:v>2687386.4481424992</c:v>
                </c:pt>
                <c:pt idx="63" formatCode="_(* #,##0_);_(* \(#,##0\);_(* &quot;-&quot;??_);_(@_)">
                  <c:v>2030798.3601536788</c:v>
                </c:pt>
                <c:pt idx="64" formatCode="_(* #,##0_);_(* \(#,##0\);_(* &quot;-&quot;??_);_(@_)">
                  <c:v>2061848.2721648582</c:v>
                </c:pt>
                <c:pt idx="65" formatCode="_(* #,##0_);_(* \(#,##0\);_(* &quot;-&quot;??_);_(@_)">
                  <c:v>2202367.1841760376</c:v>
                </c:pt>
                <c:pt idx="66" formatCode="_(* #,##0_);_(* \(#,##0\);_(* &quot;-&quot;??_);_(@_)">
                  <c:v>2304019.0961872172</c:v>
                </c:pt>
                <c:pt idx="67" formatCode="_(* #,##0_);_(* \(#,##0\);_(* &quot;-&quot;??_);_(@_)">
                  <c:v>2586724.0081983968</c:v>
                </c:pt>
                <c:pt idx="68" formatCode="_(* #,##0_);_(* \(#,##0\);_(* &quot;-&quot;??_);_(@_)">
                  <c:v>2084247.9202095759</c:v>
                </c:pt>
                <c:pt idx="69" formatCode="_(* #,##0_);_(* \(#,##0\);_(* &quot;-&quot;??_);_(@_)">
                  <c:v>2150223.8322207555</c:v>
                </c:pt>
                <c:pt idx="70" formatCode="_(* #,##0_);_(* \(#,##0\);_(* &quot;-&quot;??_);_(@_)">
                  <c:v>2496393.7442319351</c:v>
                </c:pt>
                <c:pt idx="71" formatCode="_(* #,##0_);_(* \(#,##0\);_(* &quot;-&quot;??_);_(@_)">
                  <c:v>2949612.3062431142</c:v>
                </c:pt>
                <c:pt idx="72" formatCode="_(* #,##0_);_(* \(#,##0\);_(* &quot;-&quot;??_);_(@_)">
                  <c:v>3512426.4695312781</c:v>
                </c:pt>
                <c:pt idx="73" formatCode="_(* #,##0_);_(* \(#,##0\);_(* &quot;-&quot;??_);_(@_)">
                  <c:v>3065402.7801112318</c:v>
                </c:pt>
                <c:pt idx="74" formatCode="_(* #,##0_);_(* \(#,##0\);_(* &quot;-&quot;??_);_(@_)">
                  <c:v>2990160.0906911851</c:v>
                </c:pt>
                <c:pt idx="75" formatCode="_(* #,##0_);_(* \(#,##0\);_(* &quot;-&quot;??_);_(@_)">
                  <c:v>2398890.4012711388</c:v>
                </c:pt>
                <c:pt idx="76" formatCode="_(* #,##0_);_(* \(#,##0\);_(* &quot;-&quot;??_);_(@_)">
                  <c:v>2192493.7118510921</c:v>
                </c:pt>
                <c:pt idx="77" formatCode="_(* #,##0_);_(* \(#,##0\);_(* &quot;-&quot;??_);_(@_)">
                  <c:v>2254321.0224310458</c:v>
                </c:pt>
                <c:pt idx="78" formatCode="_(* #,##0_);_(* \(#,##0\);_(* &quot;-&quot;??_);_(@_)">
                  <c:v>2434782.333010999</c:v>
                </c:pt>
                <c:pt idx="79" formatCode="_(* #,##0_);_(* \(#,##0\);_(* &quot;-&quot;??_);_(@_)">
                  <c:v>2456843.6435909523</c:v>
                </c:pt>
                <c:pt idx="80" formatCode="_(* #,##0_);_(* \(#,##0\);_(* &quot;-&quot;??_);_(@_)">
                  <c:v>2148681.954170906</c:v>
                </c:pt>
                <c:pt idx="81" formatCode="_(* #,##0_);_(* \(#,##0\);_(* &quot;-&quot;??_);_(@_)">
                  <c:v>2255916.2647508592</c:v>
                </c:pt>
                <c:pt idx="82" formatCode="_(* #,##0_);_(* \(#,##0\);_(* &quot;-&quot;??_);_(@_)">
                  <c:v>2549219.5753308129</c:v>
                </c:pt>
                <c:pt idx="83" formatCode="_(* #,##0_);_(* \(#,##0\);_(* &quot;-&quot;??_);_(@_)">
                  <c:v>2940389.8859107662</c:v>
                </c:pt>
                <c:pt idx="84" formatCode="_(* #,##0_);_(* \(#,##0\);_(* &quot;-&quot;??_);_(@_)">
                  <c:v>3128498.5438320525</c:v>
                </c:pt>
                <c:pt idx="85" formatCode="_(* #,##0_);_(* \(#,##0\);_(* &quot;-&quot;??_);_(@_)">
                  <c:v>2958044.9926468567</c:v>
                </c:pt>
                <c:pt idx="86" formatCode="_(* #,##0_);_(* \(#,##0\);_(* &quot;-&quot;??_);_(@_)">
                  <c:v>2961710.4414616609</c:v>
                </c:pt>
                <c:pt idx="87" formatCode="_(* #,##0_);_(* \(#,##0\);_(* &quot;-&quot;??_);_(@_)">
                  <c:v>2410896.8902764646</c:v>
                </c:pt>
                <c:pt idx="88" formatCode="_(* #,##0_);_(* \(#,##0\);_(* &quot;-&quot;??_);_(@_)">
                  <c:v>2314837.3390912688</c:v>
                </c:pt>
                <c:pt idx="89" formatCode="_(* #,##0_);_(* \(#,##0\);_(* &quot;-&quot;??_);_(@_)">
                  <c:v>2409548.787906073</c:v>
                </c:pt>
                <c:pt idx="90" formatCode="_(* #,##0_);_(* \(#,##0\);_(* &quot;-&quot;??_);_(@_)">
                  <c:v>2678974.2367208768</c:v>
                </c:pt>
                <c:pt idx="91" formatCode="_(* #,##0_);_(* \(#,##0\);_(* &quot;-&quot;??_);_(@_)">
                  <c:v>2408674.685535681</c:v>
                </c:pt>
                <c:pt idx="92" formatCode="_(* #,##0_);_(* \(#,##0\);_(* &quot;-&quot;??_);_(@_)">
                  <c:v>2316057.1343504852</c:v>
                </c:pt>
                <c:pt idx="93" formatCode="_(* #,##0_);_(* \(#,##0\);_(* &quot;-&quot;??_);_(@_)">
                  <c:v>2359883.5831652894</c:v>
                </c:pt>
                <c:pt idx="94" formatCode="_(* #,##0_);_(* \(#,##0\);_(* &quot;-&quot;??_);_(@_)">
                  <c:v>2726100.0319800931</c:v>
                </c:pt>
                <c:pt idx="95" formatCode="_(* #,##0_);_(* \(#,##0\);_(* &quot;-&quot;??_);_(@_)">
                  <c:v>3054970.4807948973</c:v>
                </c:pt>
                <c:pt idx="96" formatCode="_(* #,##0_);_(* \(#,##0\);_(* &quot;-&quot;??_);_(@_)">
                  <c:v>3455439.2672890546</c:v>
                </c:pt>
                <c:pt idx="97" formatCode="_(* #,##0_);_(* \(#,##0\);_(* &quot;-&quot;??_);_(@_)">
                  <c:v>2840878.0346191321</c:v>
                </c:pt>
                <c:pt idx="98" formatCode="_(* #,##0_);_(* \(#,##0\);_(* &quot;-&quot;??_);_(@_)">
                  <c:v>2906094.8019492091</c:v>
                </c:pt>
                <c:pt idx="99" formatCode="_(* #,##0_);_(* \(#,##0\);_(* &quot;-&quot;??_);_(@_)">
                  <c:v>2316820.5692792865</c:v>
                </c:pt>
                <c:pt idx="100" formatCode="_(* #,##0_);_(* \(#,##0\);_(* &quot;-&quot;??_);_(@_)">
                  <c:v>2431046.3366093636</c:v>
                </c:pt>
                <c:pt idx="101" formatCode="_(* #,##0_);_(* \(#,##0\);_(* &quot;-&quot;??_);_(@_)">
                  <c:v>2461796.103939441</c:v>
                </c:pt>
                <c:pt idx="102" formatCode="_(* #,##0_);_(* \(#,##0\);_(* &quot;-&quot;??_);_(@_)">
                  <c:v>2743681.8712695185</c:v>
                </c:pt>
                <c:pt idx="103" formatCode="_(* #,##0_);_(* \(#,##0\);_(* &quot;-&quot;??_);_(@_)">
                  <c:v>2609738.6385995955</c:v>
                </c:pt>
                <c:pt idx="104" formatCode="_(* #,##0_);_(* \(#,##0\);_(* &quot;-&quot;??_);_(@_)">
                  <c:v>2334104.405929673</c:v>
                </c:pt>
                <c:pt idx="105" formatCode="_(* #,##0_);_(* \(#,##0\);_(* &quot;-&quot;??_);_(@_)">
                  <c:v>2395002.17325975</c:v>
                </c:pt>
                <c:pt idx="106" formatCode="_(* #,##0_);_(* \(#,##0\);_(* &quot;-&quot;??_);_(@_)">
                  <c:v>2598939.9405898275</c:v>
                </c:pt>
                <c:pt idx="107" formatCode="_(* #,##0_);_(* \(#,##0\);_(* &quot;-&quot;??_);_(@_)">
                  <c:v>3229266.7079199045</c:v>
                </c:pt>
                <c:pt idx="108" formatCode="_(* #,##0_);_(* \(#,##0\);_(* &quot;-&quot;??_);_(@_)">
                  <c:v>3521304.201942143</c:v>
                </c:pt>
                <c:pt idx="109" formatCode="_(* #,##0_);_(* \(#,##0\);_(* &quot;-&quot;??_);_(@_)">
                  <c:v>3248937.8305204986</c:v>
                </c:pt>
                <c:pt idx="110" formatCode="_(* #,##0_);_(* \(#,##0\);_(* &quot;-&quot;??_);_(@_)">
                  <c:v>3122756.4590988536</c:v>
                </c:pt>
                <c:pt idx="111" formatCode="_(* #,##0_);_(* \(#,##0\);_(* &quot;-&quot;??_);_(@_)">
                  <c:v>2652049.0876772087</c:v>
                </c:pt>
                <c:pt idx="112" formatCode="_(* #,##0_);_(* \(#,##0\);_(* &quot;-&quot;??_);_(@_)">
                  <c:v>2377775.7162555638</c:v>
                </c:pt>
                <c:pt idx="113" formatCode="_(* #,##0_);_(* \(#,##0\);_(* &quot;-&quot;??_);_(@_)">
                  <c:v>2523449.3448339188</c:v>
                </c:pt>
                <c:pt idx="114" formatCode="_(* #,##0_);_(* \(#,##0\);_(* &quot;-&quot;??_);_(@_)">
                  <c:v>2937793.9734122739</c:v>
                </c:pt>
                <c:pt idx="115" formatCode="_(* #,##0_);_(* \(#,##0\);_(* &quot;-&quot;??_);_(@_)">
                  <c:v>2631549.601990629</c:v>
                </c:pt>
                <c:pt idx="116" formatCode="_(* #,##0_);_(* \(#,##0\);_(* &quot;-&quot;??_);_(@_)">
                  <c:v>2310858.2305689845</c:v>
                </c:pt>
                <c:pt idx="117" formatCode="_(* #,##0_);_(* \(#,##0\);_(* &quot;-&quot;??_);_(@_)">
                  <c:v>2422413.8591473396</c:v>
                </c:pt>
                <c:pt idx="118" formatCode="_(* #,##0_);_(* \(#,##0\);_(* &quot;-&quot;??_);_(@_)">
                  <c:v>2843005.4877256947</c:v>
                </c:pt>
                <c:pt idx="119" formatCode="_(* #,##0_);_(* \(#,##0\);_(* &quot;-&quot;??_);_(@_)">
                  <c:v>3449857.1163040497</c:v>
                </c:pt>
              </c:numCache>
            </c:numRef>
          </c:val>
          <c:smooth val="0"/>
          <c:extLst>
            <c:ext xmlns:c16="http://schemas.microsoft.com/office/drawing/2014/chart" uri="{C3380CC4-5D6E-409C-BE32-E72D297353CC}">
              <c16:uniqueId val="{00000000-72B5-4C03-A1C2-4F4A0569D7D6}"/>
            </c:ext>
          </c:extLst>
        </c:ser>
        <c:ser>
          <c:idx val="1"/>
          <c:order val="1"/>
          <c:tx>
            <c:strRef>
              <c:f>'GS&lt;50 Predicted Monthly'!$Q$1</c:f>
              <c:strCache>
                <c:ptCount val="1"/>
                <c:pt idx="0">
                  <c:v>Predicted</c:v>
                </c:pt>
              </c:strCache>
            </c:strRef>
          </c:tx>
          <c:marker>
            <c:symbol val="none"/>
          </c:marker>
          <c:cat>
            <c:numRef>
              <c:f>'GS&lt;50 Predicted Monthly'!$A$2:$A$141</c:f>
              <c:numCache>
                <c:formatCode>mmm\-yy</c:formatCode>
                <c:ptCount val="140"/>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43770</c:v>
                </c:pt>
                <c:pt idx="47">
                  <c:v>43800</c:v>
                </c:pt>
                <c:pt idx="48">
                  <c:v>43831</c:v>
                </c:pt>
                <c:pt idx="49">
                  <c:v>43862</c:v>
                </c:pt>
                <c:pt idx="50">
                  <c:v>43891</c:v>
                </c:pt>
                <c:pt idx="51">
                  <c:v>43922</c:v>
                </c:pt>
                <c:pt idx="52">
                  <c:v>43952</c:v>
                </c:pt>
                <c:pt idx="53">
                  <c:v>43983</c:v>
                </c:pt>
                <c:pt idx="54">
                  <c:v>44013</c:v>
                </c:pt>
                <c:pt idx="55">
                  <c:v>44044</c:v>
                </c:pt>
                <c:pt idx="56">
                  <c:v>44075</c:v>
                </c:pt>
                <c:pt idx="57">
                  <c:v>44105</c:v>
                </c:pt>
                <c:pt idx="58">
                  <c:v>44136</c:v>
                </c:pt>
                <c:pt idx="59">
                  <c:v>44166</c:v>
                </c:pt>
                <c:pt idx="60">
                  <c:v>44197</c:v>
                </c:pt>
                <c:pt idx="61">
                  <c:v>44228</c:v>
                </c:pt>
                <c:pt idx="62">
                  <c:v>44256</c:v>
                </c:pt>
                <c:pt idx="63">
                  <c:v>44287</c:v>
                </c:pt>
                <c:pt idx="64">
                  <c:v>44317</c:v>
                </c:pt>
                <c:pt idx="65">
                  <c:v>44348</c:v>
                </c:pt>
                <c:pt idx="66">
                  <c:v>44378</c:v>
                </c:pt>
                <c:pt idx="67">
                  <c:v>44409</c:v>
                </c:pt>
                <c:pt idx="68">
                  <c:v>44440</c:v>
                </c:pt>
                <c:pt idx="69">
                  <c:v>44470</c:v>
                </c:pt>
                <c:pt idx="70">
                  <c:v>44501</c:v>
                </c:pt>
                <c:pt idx="71">
                  <c:v>44531</c:v>
                </c:pt>
                <c:pt idx="72">
                  <c:v>44562</c:v>
                </c:pt>
                <c:pt idx="73">
                  <c:v>44593</c:v>
                </c:pt>
                <c:pt idx="74">
                  <c:v>44621</c:v>
                </c:pt>
                <c:pt idx="75">
                  <c:v>44652</c:v>
                </c:pt>
                <c:pt idx="76">
                  <c:v>44682</c:v>
                </c:pt>
                <c:pt idx="77">
                  <c:v>44713</c:v>
                </c:pt>
                <c:pt idx="78">
                  <c:v>44743</c:v>
                </c:pt>
                <c:pt idx="79">
                  <c:v>44774</c:v>
                </c:pt>
                <c:pt idx="80">
                  <c:v>44805</c:v>
                </c:pt>
                <c:pt idx="81">
                  <c:v>44835</c:v>
                </c:pt>
                <c:pt idx="82">
                  <c:v>44866</c:v>
                </c:pt>
                <c:pt idx="83">
                  <c:v>44896</c:v>
                </c:pt>
                <c:pt idx="84">
                  <c:v>44927</c:v>
                </c:pt>
                <c:pt idx="85">
                  <c:v>44958</c:v>
                </c:pt>
                <c:pt idx="86">
                  <c:v>44986</c:v>
                </c:pt>
                <c:pt idx="87">
                  <c:v>45017</c:v>
                </c:pt>
                <c:pt idx="88">
                  <c:v>45047</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numCache>
            </c:numRef>
          </c:cat>
          <c:val>
            <c:numRef>
              <c:f>'GS&lt;50 Predicted Monthly'!$Q$2:$Q$141</c:f>
              <c:numCache>
                <c:formatCode>_(* #,##0_);_(* \(#,##0\);_(* "-"??_);_(@_)</c:formatCode>
                <c:ptCount val="140"/>
                <c:pt idx="0">
                  <c:v>3053205.0739725754</c:v>
                </c:pt>
                <c:pt idx="1">
                  <c:v>2843140.1653000126</c:v>
                </c:pt>
                <c:pt idx="2">
                  <c:v>2688996.6964964764</c:v>
                </c:pt>
                <c:pt idx="3">
                  <c:v>2351103.1381976362</c:v>
                </c:pt>
                <c:pt idx="4">
                  <c:v>2129448.5545134814</c:v>
                </c:pt>
                <c:pt idx="5">
                  <c:v>2126595.2952930992</c:v>
                </c:pt>
                <c:pt idx="6">
                  <c:v>2398909.6603179555</c:v>
                </c:pt>
                <c:pt idx="7">
                  <c:v>2435294.5462674405</c:v>
                </c:pt>
                <c:pt idx="8">
                  <c:v>2007076.0022262719</c:v>
                </c:pt>
                <c:pt idx="9">
                  <c:v>2151669.8831700655</c:v>
                </c:pt>
                <c:pt idx="10">
                  <c:v>2329093.4798306338</c:v>
                </c:pt>
                <c:pt idx="11">
                  <c:v>2912452.4836480734</c:v>
                </c:pt>
                <c:pt idx="12">
                  <c:v>3004322.8342894269</c:v>
                </c:pt>
                <c:pt idx="13">
                  <c:v>2655878.3866407522</c:v>
                </c:pt>
                <c:pt idx="14">
                  <c:v>2973685.3269802732</c:v>
                </c:pt>
                <c:pt idx="15">
                  <c:v>2203853.9073321</c:v>
                </c:pt>
                <c:pt idx="16">
                  <c:v>2160616.8819290549</c:v>
                </c:pt>
                <c:pt idx="17">
                  <c:v>2132859.8342323191</c:v>
                </c:pt>
                <c:pt idx="18">
                  <c:v>2336728.9432457821</c:v>
                </c:pt>
                <c:pt idx="19">
                  <c:v>2204452.369975728</c:v>
                </c:pt>
                <c:pt idx="20">
                  <c:v>2107785.9538569697</c:v>
                </c:pt>
                <c:pt idx="21">
                  <c:v>2106467.6608771491</c:v>
                </c:pt>
                <c:pt idx="22">
                  <c:v>2553776.1281224946</c:v>
                </c:pt>
                <c:pt idx="23">
                  <c:v>3229503.4054508628</c:v>
                </c:pt>
                <c:pt idx="24">
                  <c:v>3307393.6645311411</c:v>
                </c:pt>
                <c:pt idx="25">
                  <c:v>2801020.4124077773</c:v>
                </c:pt>
                <c:pt idx="26">
                  <c:v>2831400.4245313108</c:v>
                </c:pt>
                <c:pt idx="27">
                  <c:v>2492387.1317386115</c:v>
                </c:pt>
                <c:pt idx="28">
                  <c:v>2186207.0336042447</c:v>
                </c:pt>
                <c:pt idx="29">
                  <c:v>2179766.5421489864</c:v>
                </c:pt>
                <c:pt idx="30">
                  <c:v>2613292.3013005485</c:v>
                </c:pt>
                <c:pt idx="31">
                  <c:v>2492088.930082283</c:v>
                </c:pt>
                <c:pt idx="32">
                  <c:v>2195039.8551328988</c:v>
                </c:pt>
                <c:pt idx="33">
                  <c:v>2367099.5021732477</c:v>
                </c:pt>
                <c:pt idx="34">
                  <c:v>2718840.6642193808</c:v>
                </c:pt>
                <c:pt idx="35">
                  <c:v>3102871.2125581554</c:v>
                </c:pt>
                <c:pt idx="36">
                  <c:v>3521476.6103519597</c:v>
                </c:pt>
                <c:pt idx="37">
                  <c:v>2985455.0260706916</c:v>
                </c:pt>
                <c:pt idx="38">
                  <c:v>2991720.3990750751</c:v>
                </c:pt>
                <c:pt idx="39">
                  <c:v>2421955.3649023734</c:v>
                </c:pt>
                <c:pt idx="40">
                  <c:v>2171875.5105141206</c:v>
                </c:pt>
                <c:pt idx="41">
                  <c:v>2193647.3292842861</c:v>
                </c:pt>
                <c:pt idx="42">
                  <c:v>2637313.2631717869</c:v>
                </c:pt>
                <c:pt idx="43">
                  <c:v>2384472.7791884243</c:v>
                </c:pt>
                <c:pt idx="44">
                  <c:v>2081871.654533695</c:v>
                </c:pt>
                <c:pt idx="45">
                  <c:v>2282457.530197137</c:v>
                </c:pt>
                <c:pt idx="46">
                  <c:v>2763211.1497008516</c:v>
                </c:pt>
                <c:pt idx="47">
                  <c:v>3063194.8198198983</c:v>
                </c:pt>
                <c:pt idx="48">
                  <c:v>3048283.4610793837</c:v>
                </c:pt>
                <c:pt idx="49">
                  <c:v>2792686.6118828678</c:v>
                </c:pt>
                <c:pt idx="50">
                  <c:v>2530516.2165106223</c:v>
                </c:pt>
                <c:pt idx="51">
                  <c:v>2003762.6878653674</c:v>
                </c:pt>
                <c:pt idx="52">
                  <c:v>1968216.9820816477</c:v>
                </c:pt>
                <c:pt idx="53">
                  <c:v>2072003.8320887156</c:v>
                </c:pt>
                <c:pt idx="54">
                  <c:v>2486390.4124001605</c:v>
                </c:pt>
                <c:pt idx="55">
                  <c:v>2100611.1963847224</c:v>
                </c:pt>
                <c:pt idx="56">
                  <c:v>1874717.425738347</c:v>
                </c:pt>
                <c:pt idx="57">
                  <c:v>2117439.579199458</c:v>
                </c:pt>
                <c:pt idx="58">
                  <c:v>2219115.0506867352</c:v>
                </c:pt>
                <c:pt idx="59">
                  <c:v>2750109.9018816482</c:v>
                </c:pt>
                <c:pt idx="60">
                  <c:v>3009458.4721893058</c:v>
                </c:pt>
                <c:pt idx="61">
                  <c:v>2780389.5082648355</c:v>
                </c:pt>
                <c:pt idx="62">
                  <c:v>2629793.8298049993</c:v>
                </c:pt>
                <c:pt idx="63">
                  <c:v>2097910.595460407</c:v>
                </c:pt>
                <c:pt idx="64">
                  <c:v>2168957.4556138907</c:v>
                </c:pt>
                <c:pt idx="65">
                  <c:v>2251611.472641963</c:v>
                </c:pt>
                <c:pt idx="66">
                  <c:v>2275765.5017464152</c:v>
                </c:pt>
                <c:pt idx="67">
                  <c:v>2506817.6865605111</c:v>
                </c:pt>
                <c:pt idx="68">
                  <c:v>1966337.9782775913</c:v>
                </c:pt>
                <c:pt idx="69">
                  <c:v>2098264.4515452273</c:v>
                </c:pt>
                <c:pt idx="70">
                  <c:v>2447236.9125015461</c:v>
                </c:pt>
                <c:pt idx="71">
                  <c:v>2842052.2720180107</c:v>
                </c:pt>
                <c:pt idx="72">
                  <c:v>3668274.7836468634</c:v>
                </c:pt>
                <c:pt idx="73">
                  <c:v>3034990.4311002754</c:v>
                </c:pt>
                <c:pt idx="74">
                  <c:v>2887572.321170914</c:v>
                </c:pt>
                <c:pt idx="75">
                  <c:v>2372906.0818819753</c:v>
                </c:pt>
                <c:pt idx="76">
                  <c:v>2276798.4738763305</c:v>
                </c:pt>
                <c:pt idx="77">
                  <c:v>2258889.3042671056</c:v>
                </c:pt>
                <c:pt idx="78">
                  <c:v>2529404.3867145362</c:v>
                </c:pt>
                <c:pt idx="79">
                  <c:v>2471203.5527006797</c:v>
                </c:pt>
                <c:pt idx="80">
                  <c:v>2130022.2578554936</c:v>
                </c:pt>
                <c:pt idx="81">
                  <c:v>2314612.7944644121</c:v>
                </c:pt>
                <c:pt idx="82">
                  <c:v>2521111.8649803721</c:v>
                </c:pt>
                <c:pt idx="83">
                  <c:v>2923018.7934642183</c:v>
                </c:pt>
                <c:pt idx="84">
                  <c:v>3223388.0475756964</c:v>
                </c:pt>
                <c:pt idx="85">
                  <c:v>3002491.1810099129</c:v>
                </c:pt>
                <c:pt idx="86">
                  <c:v>2975050.5813026736</c:v>
                </c:pt>
                <c:pt idx="87">
                  <c:v>2437923.3646485228</c:v>
                </c:pt>
                <c:pt idx="88">
                  <c:v>2356823.8277292056</c:v>
                </c:pt>
                <c:pt idx="89">
                  <c:v>2421935.3789202422</c:v>
                </c:pt>
                <c:pt idx="90">
                  <c:v>2673650.5930091226</c:v>
                </c:pt>
                <c:pt idx="91">
                  <c:v>2455150.2740636822</c:v>
                </c:pt>
                <c:pt idx="92">
                  <c:v>2307558.438096398</c:v>
                </c:pt>
                <c:pt idx="93">
                  <c:v>2429766.7560419617</c:v>
                </c:pt>
                <c:pt idx="94">
                  <c:v>2780247.3046400733</c:v>
                </c:pt>
                <c:pt idx="95">
                  <c:v>3018543.4263799163</c:v>
                </c:pt>
                <c:pt idx="96">
                  <c:v>3263073.6517955274</c:v>
                </c:pt>
                <c:pt idx="97">
                  <c:v>2875324.5589659363</c:v>
                </c:pt>
                <c:pt idx="98">
                  <c:v>2824609.1973582827</c:v>
                </c:pt>
                <c:pt idx="99">
                  <c:v>2433306.3199303206</c:v>
                </c:pt>
                <c:pt idx="100">
                  <c:v>2362910.4170109592</c:v>
                </c:pt>
                <c:pt idx="101">
                  <c:v>2494420.6535300883</c:v>
                </c:pt>
                <c:pt idx="102">
                  <c:v>2749766.9372057617</c:v>
                </c:pt>
                <c:pt idx="103">
                  <c:v>2609211.8517647907</c:v>
                </c:pt>
                <c:pt idx="104">
                  <c:v>2344385.0029683476</c:v>
                </c:pt>
                <c:pt idx="105">
                  <c:v>2453360.9295476424</c:v>
                </c:pt>
                <c:pt idx="106">
                  <c:v>2608847.1818766082</c:v>
                </c:pt>
                <c:pt idx="107">
                  <c:v>3201912.5750730848</c:v>
                </c:pt>
                <c:pt idx="108">
                  <c:v>3481408.4398763468</c:v>
                </c:pt>
                <c:pt idx="109">
                  <c:v>3164713.3762447629</c:v>
                </c:pt>
                <c:pt idx="110">
                  <c:v>3012978.3188262638</c:v>
                </c:pt>
                <c:pt idx="111">
                  <c:v>2592451.386983959</c:v>
                </c:pt>
                <c:pt idx="112">
                  <c:v>2404317.3729008287</c:v>
                </c:pt>
                <c:pt idx="113">
                  <c:v>2543091.1509235641</c:v>
                </c:pt>
                <c:pt idx="114">
                  <c:v>2832498.652706062</c:v>
                </c:pt>
                <c:pt idx="115">
                  <c:v>2666180.9301752392</c:v>
                </c:pt>
                <c:pt idx="116">
                  <c:v>2279024.8472243613</c:v>
                </c:pt>
                <c:pt idx="117">
                  <c:v>2520843.9173336755</c:v>
                </c:pt>
                <c:pt idx="118">
                  <c:v>2816049.5110718114</c:v>
                </c:pt>
                <c:pt idx="119">
                  <c:v>3453823.6823978168</c:v>
                </c:pt>
              </c:numCache>
            </c:numRef>
          </c:val>
          <c:smooth val="0"/>
          <c:extLst>
            <c:ext xmlns:c16="http://schemas.microsoft.com/office/drawing/2014/chart" uri="{C3380CC4-5D6E-409C-BE32-E72D297353CC}">
              <c16:uniqueId val="{00000001-72B5-4C03-A1C2-4F4A0569D7D6}"/>
            </c:ext>
          </c:extLst>
        </c:ser>
        <c:dLbls>
          <c:showLegendKey val="0"/>
          <c:showVal val="0"/>
          <c:showCatName val="0"/>
          <c:showSerName val="0"/>
          <c:showPercent val="0"/>
          <c:showBubbleSize val="0"/>
        </c:dLbls>
        <c:smooth val="0"/>
        <c:axId val="175301760"/>
        <c:axId val="175303680"/>
      </c:lineChart>
      <c:dateAx>
        <c:axId val="175301760"/>
        <c:scaling>
          <c:orientation val="minMax"/>
        </c:scaling>
        <c:delete val="0"/>
        <c:axPos val="b"/>
        <c:title>
          <c:tx>
            <c:rich>
              <a:bodyPr/>
              <a:lstStyle/>
              <a:p>
                <a:pPr>
                  <a:defRPr/>
                </a:pPr>
                <a:r>
                  <a:rPr lang="en-US"/>
                  <a:t>Month</a:t>
                </a:r>
              </a:p>
            </c:rich>
          </c:tx>
          <c:overlay val="0"/>
        </c:title>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5303680"/>
        <c:crosses val="autoZero"/>
        <c:auto val="1"/>
        <c:lblOffset val="100"/>
        <c:baseTimeUnit val="months"/>
      </c:dateAx>
      <c:valAx>
        <c:axId val="175303680"/>
        <c:scaling>
          <c:orientation val="minMax"/>
        </c:scaling>
        <c:delete val="0"/>
        <c:axPos val="l"/>
        <c:majorGridlines>
          <c:spPr>
            <a:ln w="9525" cap="flat" cmpd="sng" algn="ctr">
              <a:solidFill>
                <a:schemeClr val="tx1">
                  <a:lumMod val="15000"/>
                  <a:lumOff val="85000"/>
                </a:schemeClr>
              </a:solidFill>
              <a:round/>
            </a:ln>
            <a:effectLst/>
          </c:spPr>
        </c:majorGridlines>
        <c:title>
          <c:tx>
            <c:rich>
              <a:bodyPr/>
              <a:lstStyle/>
              <a:p>
                <a:pPr>
                  <a:defRPr/>
                </a:pPr>
                <a:r>
                  <a:rPr lang="en-US"/>
                  <a:t>Monthly Consumption (kWh)</a:t>
                </a:r>
              </a:p>
            </c:rich>
          </c:tx>
          <c:overlay val="0"/>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53017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GS &lt; 50 kW Predicted Monthly</a:t>
            </a:r>
          </a:p>
        </c:rich>
      </c:tx>
      <c:overlay val="0"/>
      <c:spPr>
        <a:noFill/>
        <a:ln>
          <a:noFill/>
        </a:ln>
        <a:effectLst/>
      </c:spPr>
    </c:title>
    <c:autoTitleDeleted val="0"/>
    <c:plotArea>
      <c:layout/>
      <c:lineChart>
        <c:grouping val="standard"/>
        <c:varyColors val="0"/>
        <c:ser>
          <c:idx val="0"/>
          <c:order val="0"/>
          <c:tx>
            <c:strRef>
              <c:f>'GS&lt;50 Predicted Monthly'!$D$1</c:f>
              <c:strCache>
                <c:ptCount val="1"/>
                <c:pt idx="0">
                  <c:v> GS_lt_50_NoCDM </c:v>
                </c:pt>
              </c:strCache>
            </c:strRef>
          </c:tx>
          <c:marker>
            <c:symbol val="none"/>
          </c:marker>
          <c:cat>
            <c:numRef>
              <c:f>'GS&lt;50 Predicted Monthly'!$A$50:$A$141</c:f>
              <c:numCache>
                <c:formatCode>mmm\-yy</c:formatCode>
                <c:ptCount val="92"/>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numCache>
            </c:numRef>
          </c:cat>
          <c:val>
            <c:numRef>
              <c:f>'GS&lt;50 Predicted Monthly'!$D$50:$D$141</c:f>
              <c:numCache>
                <c:formatCode>_(* #,##0_);_(* \(#,##0\);_(* "-"??_);_(@_)</c:formatCode>
                <c:ptCount val="92"/>
                <c:pt idx="0">
                  <c:v>3010167.2574951407</c:v>
                </c:pt>
                <c:pt idx="1">
                  <c:v>2813125.8986844411</c:v>
                </c:pt>
                <c:pt idx="2">
                  <c:v>2549801.539873742</c:v>
                </c:pt>
                <c:pt idx="3">
                  <c:v>2013068.1810630427</c:v>
                </c:pt>
                <c:pt idx="4">
                  <c:v>1942219.8222523434</c:v>
                </c:pt>
                <c:pt idx="5">
                  <c:v>2049006.4634416441</c:v>
                </c:pt>
                <c:pt idx="6">
                  <c:v>2479208.1046309448</c:v>
                </c:pt>
                <c:pt idx="7">
                  <c:v>2169068.7458202457</c:v>
                </c:pt>
                <c:pt idx="8">
                  <c:v>1937707.3870095464</c:v>
                </c:pt>
                <c:pt idx="9">
                  <c:v>2079800.0281988471</c:v>
                </c:pt>
                <c:pt idx="10">
                  <c:v>2308536.669388148</c:v>
                </c:pt>
                <c:pt idx="11">
                  <c:v>2757605.3105774485</c:v>
                </c:pt>
                <c:pt idx="12">
                  <c:v>2771093.6241201404</c:v>
                </c:pt>
                <c:pt idx="13">
                  <c:v>2684641.5361313201</c:v>
                </c:pt>
                <c:pt idx="14">
                  <c:v>2687386.4481424992</c:v>
                </c:pt>
                <c:pt idx="15">
                  <c:v>2030798.3601536788</c:v>
                </c:pt>
                <c:pt idx="16">
                  <c:v>2061848.2721648582</c:v>
                </c:pt>
                <c:pt idx="17">
                  <c:v>2202367.1841760376</c:v>
                </c:pt>
                <c:pt idx="18">
                  <c:v>2304019.0961872172</c:v>
                </c:pt>
                <c:pt idx="19">
                  <c:v>2586724.0081983968</c:v>
                </c:pt>
                <c:pt idx="20">
                  <c:v>2084247.9202095759</c:v>
                </c:pt>
                <c:pt idx="21">
                  <c:v>2150223.8322207555</c:v>
                </c:pt>
                <c:pt idx="22">
                  <c:v>2496393.7442319351</c:v>
                </c:pt>
                <c:pt idx="23">
                  <c:v>2949612.3062431142</c:v>
                </c:pt>
                <c:pt idx="24">
                  <c:v>3512426.4695312781</c:v>
                </c:pt>
                <c:pt idx="25">
                  <c:v>3065402.7801112318</c:v>
                </c:pt>
                <c:pt idx="26">
                  <c:v>2990160.0906911851</c:v>
                </c:pt>
                <c:pt idx="27">
                  <c:v>2398890.4012711388</c:v>
                </c:pt>
                <c:pt idx="28">
                  <c:v>2192493.7118510921</c:v>
                </c:pt>
                <c:pt idx="29">
                  <c:v>2254321.0224310458</c:v>
                </c:pt>
                <c:pt idx="30">
                  <c:v>2434782.333010999</c:v>
                </c:pt>
                <c:pt idx="31">
                  <c:v>2456843.6435909523</c:v>
                </c:pt>
                <c:pt idx="32">
                  <c:v>2148681.954170906</c:v>
                </c:pt>
                <c:pt idx="33">
                  <c:v>2255916.2647508592</c:v>
                </c:pt>
                <c:pt idx="34">
                  <c:v>2549219.5753308129</c:v>
                </c:pt>
                <c:pt idx="35">
                  <c:v>2940389.8859107662</c:v>
                </c:pt>
                <c:pt idx="36">
                  <c:v>3128498.5438320525</c:v>
                </c:pt>
                <c:pt idx="37">
                  <c:v>2958044.9926468567</c:v>
                </c:pt>
                <c:pt idx="38">
                  <c:v>2961710.4414616609</c:v>
                </c:pt>
                <c:pt idx="39">
                  <c:v>2410896.8902764646</c:v>
                </c:pt>
                <c:pt idx="40">
                  <c:v>2314837.3390912688</c:v>
                </c:pt>
                <c:pt idx="41">
                  <c:v>2409548.787906073</c:v>
                </c:pt>
                <c:pt idx="42">
                  <c:v>2678974.2367208768</c:v>
                </c:pt>
                <c:pt idx="43">
                  <c:v>2408674.685535681</c:v>
                </c:pt>
                <c:pt idx="44">
                  <c:v>2316057.1343504852</c:v>
                </c:pt>
                <c:pt idx="45">
                  <c:v>2359883.5831652894</c:v>
                </c:pt>
                <c:pt idx="46">
                  <c:v>2726100.0319800931</c:v>
                </c:pt>
                <c:pt idx="47">
                  <c:v>3054970.4807948973</c:v>
                </c:pt>
                <c:pt idx="48">
                  <c:v>3455439.2672890546</c:v>
                </c:pt>
                <c:pt idx="49">
                  <c:v>2840878.0346191321</c:v>
                </c:pt>
                <c:pt idx="50">
                  <c:v>2906094.8019492091</c:v>
                </c:pt>
                <c:pt idx="51">
                  <c:v>2316820.5692792865</c:v>
                </c:pt>
                <c:pt idx="52">
                  <c:v>2431046.3366093636</c:v>
                </c:pt>
                <c:pt idx="53">
                  <c:v>2461796.103939441</c:v>
                </c:pt>
                <c:pt idx="54">
                  <c:v>2743681.8712695185</c:v>
                </c:pt>
                <c:pt idx="55">
                  <c:v>2609738.6385995955</c:v>
                </c:pt>
                <c:pt idx="56">
                  <c:v>2334104.405929673</c:v>
                </c:pt>
                <c:pt idx="57">
                  <c:v>2395002.17325975</c:v>
                </c:pt>
                <c:pt idx="58">
                  <c:v>2598939.9405898275</c:v>
                </c:pt>
                <c:pt idx="59">
                  <c:v>3229266.7079199045</c:v>
                </c:pt>
                <c:pt idx="60">
                  <c:v>3521304.201942143</c:v>
                </c:pt>
                <c:pt idx="61">
                  <c:v>3248937.8305204986</c:v>
                </c:pt>
                <c:pt idx="62">
                  <c:v>3122756.4590988536</c:v>
                </c:pt>
                <c:pt idx="63">
                  <c:v>2652049.0876772087</c:v>
                </c:pt>
                <c:pt idx="64">
                  <c:v>2377775.7162555638</c:v>
                </c:pt>
                <c:pt idx="65">
                  <c:v>2523449.3448339188</c:v>
                </c:pt>
                <c:pt idx="66">
                  <c:v>2937793.9734122739</c:v>
                </c:pt>
                <c:pt idx="67">
                  <c:v>2631549.601990629</c:v>
                </c:pt>
                <c:pt idx="68">
                  <c:v>2310858.2305689845</c:v>
                </c:pt>
                <c:pt idx="69">
                  <c:v>2422413.8591473396</c:v>
                </c:pt>
                <c:pt idx="70">
                  <c:v>2843005.4877256947</c:v>
                </c:pt>
                <c:pt idx="71">
                  <c:v>3449857.1163040497</c:v>
                </c:pt>
              </c:numCache>
            </c:numRef>
          </c:val>
          <c:smooth val="0"/>
          <c:extLst>
            <c:ext xmlns:c16="http://schemas.microsoft.com/office/drawing/2014/chart" uri="{C3380CC4-5D6E-409C-BE32-E72D297353CC}">
              <c16:uniqueId val="{00000000-EAC0-4276-9F5D-28DD8B0A0622}"/>
            </c:ext>
          </c:extLst>
        </c:ser>
        <c:ser>
          <c:idx val="1"/>
          <c:order val="1"/>
          <c:tx>
            <c:strRef>
              <c:f>'GS&lt;50 Predicted Monthly'!$Q$1</c:f>
              <c:strCache>
                <c:ptCount val="1"/>
                <c:pt idx="0">
                  <c:v>Predicted</c:v>
                </c:pt>
              </c:strCache>
            </c:strRef>
          </c:tx>
          <c:marker>
            <c:symbol val="none"/>
          </c:marker>
          <c:cat>
            <c:numRef>
              <c:f>'GS&lt;50 Predicted Monthly'!$A$50:$A$141</c:f>
              <c:numCache>
                <c:formatCode>mmm\-yy</c:formatCode>
                <c:ptCount val="92"/>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numCache>
            </c:numRef>
          </c:cat>
          <c:val>
            <c:numRef>
              <c:f>'GS&lt;50 Predicted Monthly'!$Q$50:$Q$141</c:f>
              <c:numCache>
                <c:formatCode>_(* #,##0_);_(* \(#,##0\);_(* "-"??_);_(@_)</c:formatCode>
                <c:ptCount val="92"/>
                <c:pt idx="0">
                  <c:v>3048283.4610793837</c:v>
                </c:pt>
                <c:pt idx="1">
                  <c:v>2792686.6118828678</c:v>
                </c:pt>
                <c:pt idx="2">
                  <c:v>2530516.2165106223</c:v>
                </c:pt>
                <c:pt idx="3">
                  <c:v>2003762.6878653674</c:v>
                </c:pt>
                <c:pt idx="4">
                  <c:v>1968216.9820816477</c:v>
                </c:pt>
                <c:pt idx="5">
                  <c:v>2072003.8320887156</c:v>
                </c:pt>
                <c:pt idx="6">
                  <c:v>2486390.4124001605</c:v>
                </c:pt>
                <c:pt idx="7">
                  <c:v>2100611.1963847224</c:v>
                </c:pt>
                <c:pt idx="8">
                  <c:v>1874717.425738347</c:v>
                </c:pt>
                <c:pt idx="9">
                  <c:v>2117439.579199458</c:v>
                </c:pt>
                <c:pt idx="10">
                  <c:v>2219115.0506867352</c:v>
                </c:pt>
                <c:pt idx="11">
                  <c:v>2750109.9018816482</c:v>
                </c:pt>
                <c:pt idx="12">
                  <c:v>3009458.4721893058</c:v>
                </c:pt>
                <c:pt idx="13">
                  <c:v>2780389.5082648355</c:v>
                </c:pt>
                <c:pt idx="14">
                  <c:v>2629793.8298049993</c:v>
                </c:pt>
                <c:pt idx="15">
                  <c:v>2097910.595460407</c:v>
                </c:pt>
                <c:pt idx="16">
                  <c:v>2168957.4556138907</c:v>
                </c:pt>
                <c:pt idx="17">
                  <c:v>2251611.472641963</c:v>
                </c:pt>
                <c:pt idx="18">
                  <c:v>2275765.5017464152</c:v>
                </c:pt>
                <c:pt idx="19">
                  <c:v>2506817.6865605111</c:v>
                </c:pt>
                <c:pt idx="20">
                  <c:v>1966337.9782775913</c:v>
                </c:pt>
                <c:pt idx="21">
                  <c:v>2098264.4515452273</c:v>
                </c:pt>
                <c:pt idx="22">
                  <c:v>2447236.9125015461</c:v>
                </c:pt>
                <c:pt idx="23">
                  <c:v>2842052.2720180107</c:v>
                </c:pt>
                <c:pt idx="24">
                  <c:v>3668274.7836468634</c:v>
                </c:pt>
                <c:pt idx="25">
                  <c:v>3034990.4311002754</c:v>
                </c:pt>
                <c:pt idx="26">
                  <c:v>2887572.321170914</c:v>
                </c:pt>
                <c:pt idx="27">
                  <c:v>2372906.0818819753</c:v>
                </c:pt>
                <c:pt idx="28">
                  <c:v>2276798.4738763305</c:v>
                </c:pt>
                <c:pt idx="29">
                  <c:v>2258889.3042671056</c:v>
                </c:pt>
                <c:pt idx="30">
                  <c:v>2529404.3867145362</c:v>
                </c:pt>
                <c:pt idx="31">
                  <c:v>2471203.5527006797</c:v>
                </c:pt>
                <c:pt idx="32">
                  <c:v>2130022.2578554936</c:v>
                </c:pt>
                <c:pt idx="33">
                  <c:v>2314612.7944644121</c:v>
                </c:pt>
                <c:pt idx="34">
                  <c:v>2521111.8649803721</c:v>
                </c:pt>
                <c:pt idx="35">
                  <c:v>2923018.7934642183</c:v>
                </c:pt>
                <c:pt idx="36">
                  <c:v>3223388.0475756964</c:v>
                </c:pt>
                <c:pt idx="37">
                  <c:v>3002491.1810099129</c:v>
                </c:pt>
                <c:pt idx="38">
                  <c:v>2975050.5813026736</c:v>
                </c:pt>
                <c:pt idx="39">
                  <c:v>2437923.3646485228</c:v>
                </c:pt>
                <c:pt idx="40">
                  <c:v>2356823.8277292056</c:v>
                </c:pt>
                <c:pt idx="41">
                  <c:v>2421935.3789202422</c:v>
                </c:pt>
                <c:pt idx="42">
                  <c:v>2673650.5930091226</c:v>
                </c:pt>
                <c:pt idx="43">
                  <c:v>2455150.2740636822</c:v>
                </c:pt>
                <c:pt idx="44">
                  <c:v>2307558.438096398</c:v>
                </c:pt>
                <c:pt idx="45">
                  <c:v>2429766.7560419617</c:v>
                </c:pt>
                <c:pt idx="46">
                  <c:v>2780247.3046400733</c:v>
                </c:pt>
                <c:pt idx="47">
                  <c:v>3018543.4263799163</c:v>
                </c:pt>
                <c:pt idx="48">
                  <c:v>3263073.6517955274</c:v>
                </c:pt>
                <c:pt idx="49">
                  <c:v>2875324.5589659363</c:v>
                </c:pt>
                <c:pt idx="50">
                  <c:v>2824609.1973582827</c:v>
                </c:pt>
                <c:pt idx="51">
                  <c:v>2433306.3199303206</c:v>
                </c:pt>
                <c:pt idx="52">
                  <c:v>2362910.4170109592</c:v>
                </c:pt>
                <c:pt idx="53">
                  <c:v>2494420.6535300883</c:v>
                </c:pt>
                <c:pt idx="54">
                  <c:v>2749766.9372057617</c:v>
                </c:pt>
                <c:pt idx="55">
                  <c:v>2609211.8517647907</c:v>
                </c:pt>
                <c:pt idx="56">
                  <c:v>2344385.0029683476</c:v>
                </c:pt>
                <c:pt idx="57">
                  <c:v>2453360.9295476424</c:v>
                </c:pt>
                <c:pt idx="58">
                  <c:v>2608847.1818766082</c:v>
                </c:pt>
                <c:pt idx="59">
                  <c:v>3201912.5750730848</c:v>
                </c:pt>
                <c:pt idx="60">
                  <c:v>3481408.4398763468</c:v>
                </c:pt>
                <c:pt idx="61">
                  <c:v>3164713.3762447629</c:v>
                </c:pt>
                <c:pt idx="62">
                  <c:v>3012978.3188262638</c:v>
                </c:pt>
                <c:pt idx="63">
                  <c:v>2592451.386983959</c:v>
                </c:pt>
                <c:pt idx="64">
                  <c:v>2404317.3729008287</c:v>
                </c:pt>
                <c:pt idx="65">
                  <c:v>2543091.1509235641</c:v>
                </c:pt>
                <c:pt idx="66">
                  <c:v>2832498.652706062</c:v>
                </c:pt>
                <c:pt idx="67">
                  <c:v>2666180.9301752392</c:v>
                </c:pt>
                <c:pt idx="68">
                  <c:v>2279024.8472243613</c:v>
                </c:pt>
                <c:pt idx="69">
                  <c:v>2520843.9173336755</c:v>
                </c:pt>
                <c:pt idx="70">
                  <c:v>2816049.5110718114</c:v>
                </c:pt>
                <c:pt idx="71">
                  <c:v>3453823.6823978168</c:v>
                </c:pt>
              </c:numCache>
            </c:numRef>
          </c:val>
          <c:smooth val="0"/>
          <c:extLst>
            <c:ext xmlns:c16="http://schemas.microsoft.com/office/drawing/2014/chart" uri="{C3380CC4-5D6E-409C-BE32-E72D297353CC}">
              <c16:uniqueId val="{00000001-EAC0-4276-9F5D-28DD8B0A0622}"/>
            </c:ext>
          </c:extLst>
        </c:ser>
        <c:dLbls>
          <c:showLegendKey val="0"/>
          <c:showVal val="0"/>
          <c:showCatName val="0"/>
          <c:showSerName val="0"/>
          <c:showPercent val="0"/>
          <c:showBubbleSize val="0"/>
        </c:dLbls>
        <c:smooth val="0"/>
        <c:axId val="175301760"/>
        <c:axId val="175303680"/>
      </c:lineChart>
      <c:dateAx>
        <c:axId val="175301760"/>
        <c:scaling>
          <c:orientation val="minMax"/>
        </c:scaling>
        <c:delete val="0"/>
        <c:axPos val="b"/>
        <c:title>
          <c:tx>
            <c:rich>
              <a:bodyPr/>
              <a:lstStyle/>
              <a:p>
                <a:pPr>
                  <a:defRPr/>
                </a:pPr>
                <a:r>
                  <a:rPr lang="en-US"/>
                  <a:t>Month</a:t>
                </a:r>
              </a:p>
            </c:rich>
          </c:tx>
          <c:overlay val="0"/>
        </c:title>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5303680"/>
        <c:crosses val="autoZero"/>
        <c:auto val="1"/>
        <c:lblOffset val="100"/>
        <c:baseTimeUnit val="months"/>
      </c:dateAx>
      <c:valAx>
        <c:axId val="175303680"/>
        <c:scaling>
          <c:orientation val="minMax"/>
        </c:scaling>
        <c:delete val="0"/>
        <c:axPos val="l"/>
        <c:majorGridlines>
          <c:spPr>
            <a:ln w="9525" cap="flat" cmpd="sng" algn="ctr">
              <a:solidFill>
                <a:schemeClr val="tx1">
                  <a:lumMod val="15000"/>
                  <a:lumOff val="85000"/>
                </a:schemeClr>
              </a:solidFill>
              <a:round/>
            </a:ln>
            <a:effectLst/>
          </c:spPr>
        </c:majorGridlines>
        <c:title>
          <c:tx>
            <c:rich>
              <a:bodyPr/>
              <a:lstStyle/>
              <a:p>
                <a:pPr>
                  <a:defRPr/>
                </a:pPr>
                <a:r>
                  <a:rPr lang="en-US"/>
                  <a:t>Monthly Consumption (kWh)</a:t>
                </a:r>
              </a:p>
            </c:rich>
          </c:tx>
          <c:overlay val="0"/>
        </c:title>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53017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GS &gt; 50 kW Predicted Monthly</a:t>
            </a:r>
          </a:p>
        </c:rich>
      </c:tx>
      <c:overlay val="0"/>
      <c:spPr>
        <a:noFill/>
        <a:ln>
          <a:noFill/>
        </a:ln>
        <a:effectLst/>
      </c:spPr>
    </c:title>
    <c:autoTitleDeleted val="0"/>
    <c:plotArea>
      <c:layout/>
      <c:lineChart>
        <c:grouping val="standard"/>
        <c:varyColors val="0"/>
        <c:ser>
          <c:idx val="0"/>
          <c:order val="0"/>
          <c:tx>
            <c:strRef>
              <c:f>'GS&gt;50 Predicted Monthly'!$D$1</c:f>
              <c:strCache>
                <c:ptCount val="1"/>
                <c:pt idx="0">
                  <c:v> GS_gt_50_NoCDM </c:v>
                </c:pt>
              </c:strCache>
            </c:strRef>
          </c:tx>
          <c:marker>
            <c:symbol val="none"/>
          </c:marker>
          <c:cat>
            <c:numRef>
              <c:f>'GS&gt;50 Predicted Monthly'!$A$2:$A$121</c:f>
              <c:numCache>
                <c:formatCode>mmm\-yy</c:formatCode>
                <c:ptCount val="120"/>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43770</c:v>
                </c:pt>
                <c:pt idx="47">
                  <c:v>43800</c:v>
                </c:pt>
                <c:pt idx="48">
                  <c:v>43831</c:v>
                </c:pt>
                <c:pt idx="49">
                  <c:v>43862</c:v>
                </c:pt>
                <c:pt idx="50">
                  <c:v>43891</c:v>
                </c:pt>
                <c:pt idx="51">
                  <c:v>43922</c:v>
                </c:pt>
                <c:pt idx="52">
                  <c:v>43952</c:v>
                </c:pt>
                <c:pt idx="53">
                  <c:v>43983</c:v>
                </c:pt>
                <c:pt idx="54">
                  <c:v>44013</c:v>
                </c:pt>
                <c:pt idx="55">
                  <c:v>44044</c:v>
                </c:pt>
                <c:pt idx="56">
                  <c:v>44075</c:v>
                </c:pt>
                <c:pt idx="57">
                  <c:v>44105</c:v>
                </c:pt>
                <c:pt idx="58">
                  <c:v>44136</c:v>
                </c:pt>
                <c:pt idx="59">
                  <c:v>44166</c:v>
                </c:pt>
                <c:pt idx="60">
                  <c:v>44197</c:v>
                </c:pt>
                <c:pt idx="61">
                  <c:v>44228</c:v>
                </c:pt>
                <c:pt idx="62">
                  <c:v>44256</c:v>
                </c:pt>
                <c:pt idx="63">
                  <c:v>44287</c:v>
                </c:pt>
                <c:pt idx="64">
                  <c:v>44317</c:v>
                </c:pt>
                <c:pt idx="65">
                  <c:v>44348</c:v>
                </c:pt>
                <c:pt idx="66">
                  <c:v>44378</c:v>
                </c:pt>
                <c:pt idx="67">
                  <c:v>44409</c:v>
                </c:pt>
                <c:pt idx="68">
                  <c:v>44440</c:v>
                </c:pt>
                <c:pt idx="69">
                  <c:v>44470</c:v>
                </c:pt>
                <c:pt idx="70">
                  <c:v>44501</c:v>
                </c:pt>
                <c:pt idx="71">
                  <c:v>44531</c:v>
                </c:pt>
                <c:pt idx="72">
                  <c:v>44562</c:v>
                </c:pt>
                <c:pt idx="73">
                  <c:v>44593</c:v>
                </c:pt>
                <c:pt idx="74">
                  <c:v>44621</c:v>
                </c:pt>
                <c:pt idx="75">
                  <c:v>44652</c:v>
                </c:pt>
                <c:pt idx="76">
                  <c:v>44682</c:v>
                </c:pt>
                <c:pt idx="77">
                  <c:v>44713</c:v>
                </c:pt>
                <c:pt idx="78">
                  <c:v>44743</c:v>
                </c:pt>
                <c:pt idx="79">
                  <c:v>44774</c:v>
                </c:pt>
                <c:pt idx="80">
                  <c:v>44805</c:v>
                </c:pt>
                <c:pt idx="81">
                  <c:v>44835</c:v>
                </c:pt>
                <c:pt idx="82">
                  <c:v>44866</c:v>
                </c:pt>
                <c:pt idx="83">
                  <c:v>44896</c:v>
                </c:pt>
                <c:pt idx="84">
                  <c:v>44927</c:v>
                </c:pt>
                <c:pt idx="85">
                  <c:v>44958</c:v>
                </c:pt>
                <c:pt idx="86">
                  <c:v>44986</c:v>
                </c:pt>
                <c:pt idx="87">
                  <c:v>45017</c:v>
                </c:pt>
                <c:pt idx="88">
                  <c:v>45047</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numCache>
            </c:numRef>
          </c:cat>
          <c:val>
            <c:numRef>
              <c:f>('GS&gt;50 Predicted Monthly'!$N$2:$N$49,'GS&gt;50 Predicted Monthly'!$D$50:$D$141)</c:f>
              <c:numCache>
                <c:formatCode>General</c:formatCode>
                <c:ptCount val="140"/>
                <c:pt idx="48" formatCode="_(* #,##0_);_(* \(#,##0\);_(* &quot;-&quot;??_);_(@_)">
                  <c:v>6576915.9627391547</c:v>
                </c:pt>
                <c:pt idx="49" formatCode="_(* #,##0_);_(* \(#,##0\);_(* &quot;-&quot;??_);_(@_)">
                  <c:v>6044045.580237926</c:v>
                </c:pt>
                <c:pt idx="50" formatCode="_(* #,##0_);_(* \(#,##0\);_(* &quot;-&quot;??_);_(@_)">
                  <c:v>5746554.1977366973</c:v>
                </c:pt>
                <c:pt idx="51" formatCode="_(* #,##0_);_(* \(#,##0\);_(* &quot;-&quot;??_);_(@_)">
                  <c:v>5135085.8152354676</c:v>
                </c:pt>
                <c:pt idx="52" formatCode="_(* #,##0_);_(* \(#,##0\);_(* &quot;-&quot;??_);_(@_)">
                  <c:v>4880397.4327342389</c:v>
                </c:pt>
                <c:pt idx="53" formatCode="_(* #,##0_);_(* \(#,##0\);_(* &quot;-&quot;??_);_(@_)">
                  <c:v>5172414.0502330102</c:v>
                </c:pt>
                <c:pt idx="54" formatCode="_(* #,##0_);_(* \(#,##0\);_(* &quot;-&quot;??_);_(@_)">
                  <c:v>5878605.6677317806</c:v>
                </c:pt>
                <c:pt idx="55" formatCode="_(* #,##0_);_(* \(#,##0\);_(* &quot;-&quot;??_);_(@_)">
                  <c:v>5677799.2852305518</c:v>
                </c:pt>
                <c:pt idx="56" formatCode="_(* #,##0_);_(* \(#,##0\);_(* &quot;-&quot;??_);_(@_)">
                  <c:v>4853861.9027293231</c:v>
                </c:pt>
                <c:pt idx="57" formatCode="_(* #,##0_);_(* \(#,##0\);_(* &quot;-&quot;??_);_(@_)">
                  <c:v>5147410.5202280935</c:v>
                </c:pt>
                <c:pt idx="58" formatCode="_(* #,##0_);_(* \(#,##0\);_(* &quot;-&quot;??_);_(@_)">
                  <c:v>5346134.1377268648</c:v>
                </c:pt>
                <c:pt idx="59" formatCode="_(* #,##0_);_(* \(#,##0\);_(* &quot;-&quot;??_);_(@_)">
                  <c:v>6328103.7552256361</c:v>
                </c:pt>
                <c:pt idx="60" formatCode="_(* #,##0_);_(* \(#,##0\);_(* &quot;-&quot;??_);_(@_)">
                  <c:v>5892807.3511189306</c:v>
                </c:pt>
                <c:pt idx="61" formatCode="_(* #,##0_);_(* \(#,##0\);_(* &quot;-&quot;??_);_(@_)">
                  <c:v>5662759.9500704687</c:v>
                </c:pt>
                <c:pt idx="62" formatCode="_(* #,##0_);_(* \(#,##0\);_(* &quot;-&quot;??_);_(@_)">
                  <c:v>5830922.5490220068</c:v>
                </c:pt>
                <c:pt idx="63" formatCode="_(* #,##0_);_(* \(#,##0\);_(* &quot;-&quot;??_);_(@_)">
                  <c:v>4671495.1705421582</c:v>
                </c:pt>
                <c:pt idx="64" formatCode="_(* #,##0_);_(* \(#,##0\);_(* &quot;-&quot;??_);_(@_)">
                  <c:v>4967977.1562202908</c:v>
                </c:pt>
                <c:pt idx="65" formatCode="_(* #,##0_);_(* \(#,##0\);_(* &quot;-&quot;??_);_(@_)">
                  <c:v>5386931.1568166604</c:v>
                </c:pt>
                <c:pt idx="66" formatCode="_(* #,##0_);_(* \(#,##0\);_(* &quot;-&quot;??_);_(@_)">
                  <c:v>5505749.9418636365</c:v>
                </c:pt>
                <c:pt idx="67" formatCode="_(* #,##0_);_(* \(#,##0\);_(* &quot;-&quot;??_);_(@_)">
                  <c:v>7520564.8088652845</c:v>
                </c:pt>
                <c:pt idx="68" formatCode="_(* #,##0_);_(* \(#,##0\);_(* &quot;-&quot;??_);_(@_)">
                  <c:v>7138503.3877345817</c:v>
                </c:pt>
                <c:pt idx="69" formatCode="_(* #,##0_);_(* \(#,##0\);_(* &quot;-&quot;??_);_(@_)">
                  <c:v>5536607.3747515306</c:v>
                </c:pt>
                <c:pt idx="70" formatCode="_(* #,##0_);_(* \(#,##0\);_(* &quot;-&quot;??_);_(@_)">
                  <c:v>5589896.3406343106</c:v>
                </c:pt>
                <c:pt idx="71" formatCode="_(* #,##0_);_(* \(#,##0\);_(* &quot;-&quot;??_);_(@_)">
                  <c:v>6040034.3795858482</c:v>
                </c:pt>
                <c:pt idx="72" formatCode="_(* #,##0_);_(* \(#,##0\);_(* &quot;-&quot;??_);_(@_)">
                  <c:v>7168571.6108332537</c:v>
                </c:pt>
                <c:pt idx="73" formatCode="_(* #,##0_);_(* \(#,##0\);_(* &quot;-&quot;??_);_(@_)">
                  <c:v>6519634.1395640364</c:v>
                </c:pt>
                <c:pt idx="74" formatCode="_(* #,##0_);_(* \(#,##0\);_(* &quot;-&quot;??_);_(@_)">
                  <c:v>6029488.6682948181</c:v>
                </c:pt>
                <c:pt idx="75" formatCode="_(* #,##0_);_(* \(#,##0\);_(* &quot;-&quot;??_);_(@_)">
                  <c:v>5243870.1970255999</c:v>
                </c:pt>
                <c:pt idx="76" formatCode="_(* #,##0_);_(* \(#,##0\);_(* &quot;-&quot;??_);_(@_)">
                  <c:v>5283935.7257563816</c:v>
                </c:pt>
                <c:pt idx="77" formatCode="_(* #,##0_);_(* \(#,##0\);_(* &quot;-&quot;??_);_(@_)">
                  <c:v>5270216.2544871643</c:v>
                </c:pt>
                <c:pt idx="78" formatCode="_(* #,##0_);_(* \(#,##0\);_(* &quot;-&quot;??_);_(@_)">
                  <c:v>5765089.7832179461</c:v>
                </c:pt>
                <c:pt idx="79" formatCode="_(* #,##0_);_(* \(#,##0\);_(* &quot;-&quot;??_);_(@_)">
                  <c:v>5800196.3119487278</c:v>
                </c:pt>
                <c:pt idx="80" formatCode="_(* #,##0_);_(* \(#,##0\);_(* &quot;-&quot;??_);_(@_)">
                  <c:v>5197018.8406795096</c:v>
                </c:pt>
                <c:pt idx="81" formatCode="_(* #,##0_);_(* \(#,##0\);_(* &quot;-&quot;??_);_(@_)">
                  <c:v>5276473.3694102913</c:v>
                </c:pt>
                <c:pt idx="82" formatCode="_(* #,##0_);_(* \(#,##0\);_(* &quot;-&quot;??_);_(@_)">
                  <c:v>6491309.6581410738</c:v>
                </c:pt>
                <c:pt idx="83" formatCode="_(* #,##0_);_(* \(#,##0\);_(* &quot;-&quot;??_);_(@_)">
                  <c:v>6383842.9468718553</c:v>
                </c:pt>
                <c:pt idx="84" formatCode="_(* #,##0_);_(* \(#,##0\);_(* &quot;-&quot;??_);_(@_)">
                  <c:v>6116806.1173214633</c:v>
                </c:pt>
                <c:pt idx="85" formatCode="_(* #,##0_);_(* \(#,##0\);_(* &quot;-&quot;??_);_(@_)">
                  <c:v>5696520.6104506506</c:v>
                </c:pt>
                <c:pt idx="86" formatCode="_(* #,##0_);_(* \(#,##0\);_(* &quot;-&quot;??_);_(@_)">
                  <c:v>5718312.5835798392</c:v>
                </c:pt>
                <c:pt idx="87" formatCode="_(* #,##0_);_(* \(#,##0\);_(* &quot;-&quot;??_);_(@_)">
                  <c:v>5301267.4367090268</c:v>
                </c:pt>
                <c:pt idx="88" formatCode="_(* #,##0_);_(* \(#,##0\);_(* &quot;-&quot;??_);_(@_)">
                  <c:v>5199018.4498382146</c:v>
                </c:pt>
                <c:pt idx="89" formatCode="_(* #,##0_);_(* \(#,##0\);_(* &quot;-&quot;??_);_(@_)">
                  <c:v>5434895.9029674027</c:v>
                </c:pt>
                <c:pt idx="90" formatCode="_(* #,##0_);_(* \(#,##0\);_(* &quot;-&quot;??_);_(@_)">
                  <c:v>5911244.9160965905</c:v>
                </c:pt>
                <c:pt idx="91" formatCode="_(* #,##0_);_(* \(#,##0\);_(* &quot;-&quot;??_);_(@_)">
                  <c:v>5504128.6492257779</c:v>
                </c:pt>
                <c:pt idx="92" formatCode="_(* #,##0_);_(* \(#,##0\);_(* &quot;-&quot;??_);_(@_)">
                  <c:v>5342063.3823549664</c:v>
                </c:pt>
                <c:pt idx="93" formatCode="_(* #,##0_);_(* \(#,##0\);_(* &quot;-&quot;??_);_(@_)">
                  <c:v>5340766.1154841539</c:v>
                </c:pt>
                <c:pt idx="94" formatCode="_(* #,##0_);_(* \(#,##0\);_(* &quot;-&quot;??_);_(@_)">
                  <c:v>5612278.8486133423</c:v>
                </c:pt>
                <c:pt idx="95" formatCode="_(* #,##0_);_(* \(#,##0\);_(* &quot;-&quot;??_);_(@_)">
                  <c:v>6027285.5817425298</c:v>
                </c:pt>
                <c:pt idx="96" formatCode="_(* #,##0_);_(* \(#,##0\);_(* &quot;-&quot;??_);_(@_)">
                  <c:v>6253607.9586970024</c:v>
                </c:pt>
                <c:pt idx="97" formatCode="_(* #,##0_);_(* \(#,##0\);_(* &quot;-&quot;??_);_(@_)">
                  <c:v>5644985.0132523365</c:v>
                </c:pt>
                <c:pt idx="98" formatCode="_(* #,##0_);_(* \(#,##0\);_(* &quot;-&quot;??_);_(@_)">
                  <c:v>5687000.0678076707</c:v>
                </c:pt>
                <c:pt idx="99" formatCode="_(* #,##0_);_(* \(#,##0\);_(* &quot;-&quot;??_);_(@_)">
                  <c:v>5089288.1223630048</c:v>
                </c:pt>
                <c:pt idx="100" formatCode="_(* #,##0_);_(* \(#,##0\);_(* &quot;-&quot;??_);_(@_)">
                  <c:v>5269158.176918339</c:v>
                </c:pt>
                <c:pt idx="101" formatCode="_(* #,##0_);_(* \(#,##0\);_(* &quot;-&quot;??_);_(@_)">
                  <c:v>5374172.2314736731</c:v>
                </c:pt>
                <c:pt idx="102" formatCode="_(* #,##0_);_(* \(#,##0\);_(* &quot;-&quot;??_);_(@_)">
                  <c:v>5847813.2860290073</c:v>
                </c:pt>
                <c:pt idx="103" formatCode="_(* #,##0_);_(* \(#,##0\);_(* &quot;-&quot;??_);_(@_)">
                  <c:v>5588978.3405843414</c:v>
                </c:pt>
                <c:pt idx="104" formatCode="_(* #,##0_);_(* \(#,##0\);_(* &quot;-&quot;??_);_(@_)">
                  <c:v>5358949.3951396765</c:v>
                </c:pt>
                <c:pt idx="105" formatCode="_(* #,##0_);_(* \(#,##0\);_(* &quot;-&quot;??_);_(@_)">
                  <c:v>5365372.4496950107</c:v>
                </c:pt>
                <c:pt idx="106" formatCode="_(* #,##0_);_(* \(#,##0\);_(* &quot;-&quot;??_);_(@_)">
                  <c:v>5333654.5042503448</c:v>
                </c:pt>
                <c:pt idx="107" formatCode="_(* #,##0_);_(* \(#,##0\);_(* &quot;-&quot;??_);_(@_)">
                  <c:v>6275377.558805679</c:v>
                </c:pt>
                <c:pt idx="108" formatCode="_(* #,##0_);_(* \(#,##0\);_(* &quot;-&quot;??_);_(@_)">
                  <c:v>6397150.1120626032</c:v>
                </c:pt>
                <c:pt idx="109" formatCode="_(* #,##0_);_(* \(#,##0\);_(* &quot;-&quot;??_);_(@_)">
                  <c:v>6043124.5591707714</c:v>
                </c:pt>
                <c:pt idx="110" formatCode="_(* #,##0_);_(* \(#,##0\);_(* &quot;-&quot;??_);_(@_)">
                  <c:v>5823009.0062789395</c:v>
                </c:pt>
                <c:pt idx="111" formatCode="_(* #,##0_);_(* \(#,##0\);_(* &quot;-&quot;??_);_(@_)">
                  <c:v>5161102.4533871077</c:v>
                </c:pt>
                <c:pt idx="112" formatCode="_(* #,##0_);_(* \(#,##0\);_(* &quot;-&quot;??_);_(@_)">
                  <c:v>5020546.9004952768</c:v>
                </c:pt>
                <c:pt idx="113" formatCode="_(* #,##0_);_(* \(#,##0\);_(* &quot;-&quot;??_);_(@_)">
                  <c:v>5552991.3476034449</c:v>
                </c:pt>
                <c:pt idx="114" formatCode="_(* #,##0_);_(* \(#,##0\);_(* &quot;-&quot;??_);_(@_)">
                  <c:v>6041461.7947116131</c:v>
                </c:pt>
                <c:pt idx="115" formatCode="_(* #,##0_);_(* \(#,##0\);_(* &quot;-&quot;??_);_(@_)">
                  <c:v>5593918.2418197813</c:v>
                </c:pt>
                <c:pt idx="116" formatCode="_(* #,##0_);_(* \(#,##0\);_(* &quot;-&quot;??_);_(@_)">
                  <c:v>5145149.6889279494</c:v>
                </c:pt>
                <c:pt idx="117" formatCode="_(* #,##0_);_(* \(#,##0\);_(* &quot;-&quot;??_);_(@_)">
                  <c:v>5977730.1360361176</c:v>
                </c:pt>
                <c:pt idx="118" formatCode="_(* #,##0_);_(* \(#,##0\);_(* &quot;-&quot;??_);_(@_)">
                  <c:v>8021249.5831442866</c:v>
                </c:pt>
                <c:pt idx="119" formatCode="_(* #,##0_);_(* \(#,##0\);_(* &quot;-&quot;??_);_(@_)">
                  <c:v>10556903.030252455</c:v>
                </c:pt>
              </c:numCache>
            </c:numRef>
          </c:val>
          <c:smooth val="0"/>
          <c:extLst>
            <c:ext xmlns:c16="http://schemas.microsoft.com/office/drawing/2014/chart" uri="{C3380CC4-5D6E-409C-BE32-E72D297353CC}">
              <c16:uniqueId val="{00000000-750E-40F3-A504-D9A134A283C8}"/>
            </c:ext>
          </c:extLst>
        </c:ser>
        <c:ser>
          <c:idx val="1"/>
          <c:order val="1"/>
          <c:tx>
            <c:strRef>
              <c:f>'GS&gt;50 Predicted Monthly'!$K$1</c:f>
              <c:strCache>
                <c:ptCount val="1"/>
                <c:pt idx="0">
                  <c:v>Predicted</c:v>
                </c:pt>
              </c:strCache>
            </c:strRef>
          </c:tx>
          <c:marker>
            <c:symbol val="none"/>
          </c:marker>
          <c:cat>
            <c:numRef>
              <c:f>'GS&gt;50 Predicted Monthly'!$A$2:$A$121</c:f>
              <c:numCache>
                <c:formatCode>mmm\-yy</c:formatCode>
                <c:ptCount val="120"/>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43770</c:v>
                </c:pt>
                <c:pt idx="47">
                  <c:v>43800</c:v>
                </c:pt>
                <c:pt idx="48">
                  <c:v>43831</c:v>
                </c:pt>
                <c:pt idx="49">
                  <c:v>43862</c:v>
                </c:pt>
                <c:pt idx="50">
                  <c:v>43891</c:v>
                </c:pt>
                <c:pt idx="51">
                  <c:v>43922</c:v>
                </c:pt>
                <c:pt idx="52">
                  <c:v>43952</c:v>
                </c:pt>
                <c:pt idx="53">
                  <c:v>43983</c:v>
                </c:pt>
                <c:pt idx="54">
                  <c:v>44013</c:v>
                </c:pt>
                <c:pt idx="55">
                  <c:v>44044</c:v>
                </c:pt>
                <c:pt idx="56">
                  <c:v>44075</c:v>
                </c:pt>
                <c:pt idx="57">
                  <c:v>44105</c:v>
                </c:pt>
                <c:pt idx="58">
                  <c:v>44136</c:v>
                </c:pt>
                <c:pt idx="59">
                  <c:v>44166</c:v>
                </c:pt>
                <c:pt idx="60">
                  <c:v>44197</c:v>
                </c:pt>
                <c:pt idx="61">
                  <c:v>44228</c:v>
                </c:pt>
                <c:pt idx="62">
                  <c:v>44256</c:v>
                </c:pt>
                <c:pt idx="63">
                  <c:v>44287</c:v>
                </c:pt>
                <c:pt idx="64">
                  <c:v>44317</c:v>
                </c:pt>
                <c:pt idx="65">
                  <c:v>44348</c:v>
                </c:pt>
                <c:pt idx="66">
                  <c:v>44378</c:v>
                </c:pt>
                <c:pt idx="67">
                  <c:v>44409</c:v>
                </c:pt>
                <c:pt idx="68">
                  <c:v>44440</c:v>
                </c:pt>
                <c:pt idx="69">
                  <c:v>44470</c:v>
                </c:pt>
                <c:pt idx="70">
                  <c:v>44501</c:v>
                </c:pt>
                <c:pt idx="71">
                  <c:v>44531</c:v>
                </c:pt>
                <c:pt idx="72">
                  <c:v>44562</c:v>
                </c:pt>
                <c:pt idx="73">
                  <c:v>44593</c:v>
                </c:pt>
                <c:pt idx="74">
                  <c:v>44621</c:v>
                </c:pt>
                <c:pt idx="75">
                  <c:v>44652</c:v>
                </c:pt>
                <c:pt idx="76">
                  <c:v>44682</c:v>
                </c:pt>
                <c:pt idx="77">
                  <c:v>44713</c:v>
                </c:pt>
                <c:pt idx="78">
                  <c:v>44743</c:v>
                </c:pt>
                <c:pt idx="79">
                  <c:v>44774</c:v>
                </c:pt>
                <c:pt idx="80">
                  <c:v>44805</c:v>
                </c:pt>
                <c:pt idx="81">
                  <c:v>44835</c:v>
                </c:pt>
                <c:pt idx="82">
                  <c:v>44866</c:v>
                </c:pt>
                <c:pt idx="83">
                  <c:v>44896</c:v>
                </c:pt>
                <c:pt idx="84">
                  <c:v>44927</c:v>
                </c:pt>
                <c:pt idx="85">
                  <c:v>44958</c:v>
                </c:pt>
                <c:pt idx="86">
                  <c:v>44986</c:v>
                </c:pt>
                <c:pt idx="87">
                  <c:v>45017</c:v>
                </c:pt>
                <c:pt idx="88">
                  <c:v>45047</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numCache>
            </c:numRef>
          </c:cat>
          <c:val>
            <c:numRef>
              <c:f>'GS&gt;50 Predicted Monthly'!$K$2:$K$141</c:f>
              <c:numCache>
                <c:formatCode>_(* #,##0_);_(* \(#,##0\);_(* "-"??_);_(@_)</c:formatCode>
                <c:ptCount val="140"/>
                <c:pt idx="0">
                  <c:v>7280029.339552993</c:v>
                </c:pt>
                <c:pt idx="1">
                  <c:v>7200193.8349296814</c:v>
                </c:pt>
                <c:pt idx="2">
                  <c:v>6609124.500591795</c:v>
                </c:pt>
                <c:pt idx="3">
                  <c:v>6089068.3084317651</c:v>
                </c:pt>
                <c:pt idx="4">
                  <c:v>5812390.6870423034</c:v>
                </c:pt>
                <c:pt idx="5">
                  <c:v>6000544.8956315573</c:v>
                </c:pt>
                <c:pt idx="6">
                  <c:v>6421703.2148093116</c:v>
                </c:pt>
                <c:pt idx="7">
                  <c:v>6484886.2263968252</c:v>
                </c:pt>
                <c:pt idx="8">
                  <c:v>5769841.1027357345</c:v>
                </c:pt>
                <c:pt idx="9">
                  <c:v>5759016.9388204953</c:v>
                </c:pt>
                <c:pt idx="10">
                  <c:v>6048524.5230179504</c:v>
                </c:pt>
                <c:pt idx="11">
                  <c:v>7020750.3119824966</c:v>
                </c:pt>
                <c:pt idx="12">
                  <c:v>7099044.2553253481</c:v>
                </c:pt>
                <c:pt idx="13">
                  <c:v>6764301.0987812988</c:v>
                </c:pt>
                <c:pt idx="14">
                  <c:v>7042607.1902312879</c:v>
                </c:pt>
                <c:pt idx="15">
                  <c:v>5773058.5513395518</c:v>
                </c:pt>
                <c:pt idx="16">
                  <c:v>5738948.8546039686</c:v>
                </c:pt>
                <c:pt idx="17">
                  <c:v>5942501.76389453</c:v>
                </c:pt>
                <c:pt idx="18">
                  <c:v>6224287.6460031243</c:v>
                </c:pt>
                <c:pt idx="19">
                  <c:v>5990991.613406226</c:v>
                </c:pt>
                <c:pt idx="20">
                  <c:v>5838945.26767339</c:v>
                </c:pt>
                <c:pt idx="21">
                  <c:v>5641534.7505884077</c:v>
                </c:pt>
                <c:pt idx="22">
                  <c:v>6371470.7552091759</c:v>
                </c:pt>
                <c:pt idx="23">
                  <c:v>7513847.2751767188</c:v>
                </c:pt>
                <c:pt idx="24">
                  <c:v>7546068.0771514252</c:v>
                </c:pt>
                <c:pt idx="25">
                  <c:v>6818031.384913424</c:v>
                </c:pt>
                <c:pt idx="26">
                  <c:v>6669245.3905297741</c:v>
                </c:pt>
                <c:pt idx="27">
                  <c:v>6147126.545952227</c:v>
                </c:pt>
                <c:pt idx="28">
                  <c:v>5769101.4244684195</c:v>
                </c:pt>
                <c:pt idx="29">
                  <c:v>5926785.8318014536</c:v>
                </c:pt>
                <c:pt idx="30">
                  <c:v>6605636.3682057615</c:v>
                </c:pt>
                <c:pt idx="31">
                  <c:v>6391472.0553244371</c:v>
                </c:pt>
                <c:pt idx="32">
                  <c:v>5836104.9031410459</c:v>
                </c:pt>
                <c:pt idx="33">
                  <c:v>5871113.826093738</c:v>
                </c:pt>
                <c:pt idx="34">
                  <c:v>6564274.4759203549</c:v>
                </c:pt>
                <c:pt idx="35">
                  <c:v>7169319.1850590408</c:v>
                </c:pt>
                <c:pt idx="36">
                  <c:v>7861675.6091624284</c:v>
                </c:pt>
                <c:pt idx="37">
                  <c:v>7181398.3671111036</c:v>
                </c:pt>
                <c:pt idx="38">
                  <c:v>6885816.6569922864</c:v>
                </c:pt>
                <c:pt idx="39">
                  <c:v>5938632.1921141008</c:v>
                </c:pt>
                <c:pt idx="40">
                  <c:v>5531028.0146372207</c:v>
                </c:pt>
                <c:pt idx="41">
                  <c:v>5843530.0707042674</c:v>
                </c:pt>
                <c:pt idx="42">
                  <c:v>6572201.3517230079</c:v>
                </c:pt>
                <c:pt idx="43">
                  <c:v>6128256.4404293001</c:v>
                </c:pt>
                <c:pt idx="44">
                  <c:v>5625670.4764459794</c:v>
                </c:pt>
                <c:pt idx="45">
                  <c:v>5619592.995804253</c:v>
                </c:pt>
                <c:pt idx="46">
                  <c:v>6567256.2752046268</c:v>
                </c:pt>
                <c:pt idx="47">
                  <c:v>7017479.0176220825</c:v>
                </c:pt>
                <c:pt idx="48">
                  <c:v>7155712.9164803233</c:v>
                </c:pt>
                <c:pt idx="49">
                  <c:v>6992003.4509215066</c:v>
                </c:pt>
                <c:pt idx="50">
                  <c:v>6488687.3115394404</c:v>
                </c:pt>
                <c:pt idx="51">
                  <c:v>5912569.1041489178</c:v>
                </c:pt>
                <c:pt idx="52">
                  <c:v>5922049.6757872365</c:v>
                </c:pt>
                <c:pt idx="53">
                  <c:v>6059742.7631738288</c:v>
                </c:pt>
                <c:pt idx="54">
                  <c:v>6739253.6423936142</c:v>
                </c:pt>
                <c:pt idx="55">
                  <c:v>6062884.7767924313</c:v>
                </c:pt>
                <c:pt idx="56">
                  <c:v>5641060.9865316851</c:v>
                </c:pt>
                <c:pt idx="57">
                  <c:v>5765587.0405143099</c:v>
                </c:pt>
                <c:pt idx="58">
                  <c:v>6071201.3279351974</c:v>
                </c:pt>
                <c:pt idx="59">
                  <c:v>6893198.7814339306</c:v>
                </c:pt>
                <c:pt idx="60">
                  <c:v>7160894.8783432804</c:v>
                </c:pt>
                <c:pt idx="61">
                  <c:v>7046052.1816373877</c:v>
                </c:pt>
                <c:pt idx="62">
                  <c:v>6468776.8889576858</c:v>
                </c:pt>
                <c:pt idx="63">
                  <c:v>5700899.6432836493</c:v>
                </c:pt>
                <c:pt idx="64">
                  <c:v>5798103.198664654</c:v>
                </c:pt>
                <c:pt idx="65">
                  <c:v>6207984.8231267901</c:v>
                </c:pt>
                <c:pt idx="66">
                  <c:v>6168974.0340118445</c:v>
                </c:pt>
                <c:pt idx="67">
                  <c:v>6575743.8212618772</c:v>
                </c:pt>
                <c:pt idx="68">
                  <c:v>5668719.8741875645</c:v>
                </c:pt>
                <c:pt idx="69">
                  <c:v>5684680.7810574509</c:v>
                </c:pt>
                <c:pt idx="70">
                  <c:v>6227606.1771199554</c:v>
                </c:pt>
                <c:pt idx="71">
                  <c:v>6852517.485858948</c:v>
                </c:pt>
                <c:pt idx="72">
                  <c:v>8083776.2315792684</c:v>
                </c:pt>
                <c:pt idx="73">
                  <c:v>7121957.7906020591</c:v>
                </c:pt>
                <c:pt idx="74">
                  <c:v>6645651.5418241266</c:v>
                </c:pt>
                <c:pt idx="75">
                  <c:v>5803950.8313066736</c:v>
                </c:pt>
                <c:pt idx="76">
                  <c:v>5774213.3609497277</c:v>
                </c:pt>
                <c:pt idx="77">
                  <c:v>5949240.6912246933</c:v>
                </c:pt>
                <c:pt idx="78">
                  <c:v>6335111.6864877846</c:v>
                </c:pt>
                <c:pt idx="79">
                  <c:v>6233947.1038839743</c:v>
                </c:pt>
                <c:pt idx="80">
                  <c:v>5643235.1350869872</c:v>
                </c:pt>
                <c:pt idx="81">
                  <c:v>5685883.4504240742</c:v>
                </c:pt>
                <c:pt idx="82">
                  <c:v>6140555.0044341274</c:v>
                </c:pt>
                <c:pt idx="83">
                  <c:v>6710947.1562481597</c:v>
                </c:pt>
                <c:pt idx="84">
                  <c:v>7052536.8713429896</c:v>
                </c:pt>
                <c:pt idx="85">
                  <c:v>6952747.9185965275</c:v>
                </c:pt>
                <c:pt idx="86">
                  <c:v>6595076.7520219609</c:v>
                </c:pt>
                <c:pt idx="87">
                  <c:v>5781358.9829199435</c:v>
                </c:pt>
                <c:pt idx="88">
                  <c:v>5687534.4921962004</c:v>
                </c:pt>
                <c:pt idx="89">
                  <c:v>6032084.2354342239</c:v>
                </c:pt>
                <c:pt idx="90">
                  <c:v>6387483.7643552031</c:v>
                </c:pt>
                <c:pt idx="91">
                  <c:v>6005389.7969974047</c:v>
                </c:pt>
                <c:pt idx="92">
                  <c:v>5780508.3815510627</c:v>
                </c:pt>
                <c:pt idx="93">
                  <c:v>5728061.7022450939</c:v>
                </c:pt>
                <c:pt idx="94">
                  <c:v>6338605.8266900517</c:v>
                </c:pt>
                <c:pt idx="95">
                  <c:v>6675194.5143445116</c:v>
                </c:pt>
                <c:pt idx="96">
                  <c:v>7077882.1652593017</c:v>
                </c:pt>
                <c:pt idx="97">
                  <c:v>6670736.2901719101</c:v>
                </c:pt>
                <c:pt idx="98">
                  <c:v>6270190.9028205778</c:v>
                </c:pt>
                <c:pt idx="99">
                  <c:v>5698534.960445486</c:v>
                </c:pt>
                <c:pt idx="100">
                  <c:v>5743613.0179889947</c:v>
                </c:pt>
                <c:pt idx="101">
                  <c:v>6101990.7780355625</c:v>
                </c:pt>
                <c:pt idx="102">
                  <c:v>6475480.8950174917</c:v>
                </c:pt>
                <c:pt idx="103">
                  <c:v>6231363.1589531479</c:v>
                </c:pt>
                <c:pt idx="104">
                  <c:v>5815353.0403949926</c:v>
                </c:pt>
                <c:pt idx="105">
                  <c:v>5710779.185599531</c:v>
                </c:pt>
                <c:pt idx="106">
                  <c:v>6000872.6257015644</c:v>
                </c:pt>
                <c:pt idx="107">
                  <c:v>6965217.9190013837</c:v>
                </c:pt>
                <c:pt idx="108">
                  <c:v>7430465.4558706563</c:v>
                </c:pt>
                <c:pt idx="109">
                  <c:v>7154207.5420843801</c:v>
                </c:pt>
                <c:pt idx="110">
                  <c:v>6567574.7197883846</c:v>
                </c:pt>
                <c:pt idx="111">
                  <c:v>5921364.9495017705</c:v>
                </c:pt>
                <c:pt idx="112">
                  <c:v>5643950.4430782897</c:v>
                </c:pt>
                <c:pt idx="113">
                  <c:v>6135205.0232179984</c:v>
                </c:pt>
                <c:pt idx="114">
                  <c:v>6575455.0252280384</c:v>
                </c:pt>
                <c:pt idx="115">
                  <c:v>6285225.7659346443</c:v>
                </c:pt>
                <c:pt idx="116">
                  <c:v>5644496.3121783445</c:v>
                </c:pt>
                <c:pt idx="117">
                  <c:v>5779173.9195453795</c:v>
                </c:pt>
                <c:pt idx="118">
                  <c:v>6307188.3735516407</c:v>
                </c:pt>
                <c:pt idx="119">
                  <c:v>7379651.8326306716</c:v>
                </c:pt>
              </c:numCache>
            </c:numRef>
          </c:val>
          <c:smooth val="0"/>
          <c:extLst>
            <c:ext xmlns:c16="http://schemas.microsoft.com/office/drawing/2014/chart" uri="{C3380CC4-5D6E-409C-BE32-E72D297353CC}">
              <c16:uniqueId val="{00000001-750E-40F3-A504-D9A134A283C8}"/>
            </c:ext>
          </c:extLst>
        </c:ser>
        <c:dLbls>
          <c:showLegendKey val="0"/>
          <c:showVal val="0"/>
          <c:showCatName val="0"/>
          <c:showSerName val="0"/>
          <c:showPercent val="0"/>
          <c:showBubbleSize val="0"/>
        </c:dLbls>
        <c:smooth val="0"/>
        <c:axId val="175950464"/>
        <c:axId val="176296704"/>
      </c:lineChart>
      <c:dateAx>
        <c:axId val="175950464"/>
        <c:scaling>
          <c:orientation val="minMax"/>
        </c:scaling>
        <c:delete val="0"/>
        <c:axPos val="b"/>
        <c:title>
          <c:tx>
            <c:rich>
              <a:bodyPr/>
              <a:lstStyle/>
              <a:p>
                <a:pPr>
                  <a:defRPr/>
                </a:pPr>
                <a:r>
                  <a:rPr lang="en-US"/>
                  <a:t>Month</a:t>
                </a:r>
              </a:p>
            </c:rich>
          </c:tx>
          <c:overlay val="0"/>
        </c:title>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6296704"/>
        <c:crosses val="autoZero"/>
        <c:auto val="1"/>
        <c:lblOffset val="100"/>
        <c:baseTimeUnit val="months"/>
      </c:dateAx>
      <c:valAx>
        <c:axId val="176296704"/>
        <c:scaling>
          <c:orientation val="minMax"/>
        </c:scaling>
        <c:delete val="0"/>
        <c:axPos val="l"/>
        <c:majorGridlines>
          <c:spPr>
            <a:ln w="9525" cap="flat" cmpd="sng" algn="ctr">
              <a:solidFill>
                <a:schemeClr val="tx1">
                  <a:lumMod val="15000"/>
                  <a:lumOff val="85000"/>
                </a:schemeClr>
              </a:solidFill>
              <a:round/>
            </a:ln>
            <a:effectLst/>
          </c:spPr>
        </c:majorGridlines>
        <c:title>
          <c:tx>
            <c:rich>
              <a:bodyPr/>
              <a:lstStyle/>
              <a:p>
                <a:pPr>
                  <a:defRPr/>
                </a:pPr>
                <a:r>
                  <a:rPr lang="en-US"/>
                  <a:t>Monthly Consumption</a:t>
                </a:r>
                <a:r>
                  <a:rPr lang="en-US" baseline="0"/>
                  <a:t> (kWh)</a:t>
                </a:r>
                <a:endParaRPr lang="en-US"/>
              </a:p>
            </c:rich>
          </c:tx>
          <c:overlay val="0"/>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59504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GS &gt; 50 kW Predicted Monthly</a:t>
            </a:r>
          </a:p>
        </c:rich>
      </c:tx>
      <c:overlay val="0"/>
      <c:spPr>
        <a:noFill/>
        <a:ln>
          <a:noFill/>
        </a:ln>
        <a:effectLst/>
      </c:spPr>
    </c:title>
    <c:autoTitleDeleted val="0"/>
    <c:plotArea>
      <c:layout/>
      <c:lineChart>
        <c:grouping val="standard"/>
        <c:varyColors val="0"/>
        <c:ser>
          <c:idx val="0"/>
          <c:order val="0"/>
          <c:tx>
            <c:strRef>
              <c:f>'GS&gt;50 Predicted Monthly (no LC)'!$D$1</c:f>
              <c:strCache>
                <c:ptCount val="1"/>
                <c:pt idx="0">
                  <c:v> GSgtxLCkWh_NoCDM </c:v>
                </c:pt>
              </c:strCache>
            </c:strRef>
          </c:tx>
          <c:marker>
            <c:symbol val="none"/>
          </c:marker>
          <c:cat>
            <c:numRef>
              <c:f>'GS&gt;50 Predicted Monthly (no LC)'!$A$2:$A$121</c:f>
              <c:numCache>
                <c:formatCode>mmm\-yy</c:formatCode>
                <c:ptCount val="120"/>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43770</c:v>
                </c:pt>
                <c:pt idx="47">
                  <c:v>43800</c:v>
                </c:pt>
                <c:pt idx="48">
                  <c:v>43831</c:v>
                </c:pt>
                <c:pt idx="49">
                  <c:v>43862</c:v>
                </c:pt>
                <c:pt idx="50">
                  <c:v>43891</c:v>
                </c:pt>
                <c:pt idx="51">
                  <c:v>43922</c:v>
                </c:pt>
                <c:pt idx="52">
                  <c:v>43952</c:v>
                </c:pt>
                <c:pt idx="53">
                  <c:v>43983</c:v>
                </c:pt>
                <c:pt idx="54">
                  <c:v>44013</c:v>
                </c:pt>
                <c:pt idx="55">
                  <c:v>44044</c:v>
                </c:pt>
                <c:pt idx="56">
                  <c:v>44075</c:v>
                </c:pt>
                <c:pt idx="57">
                  <c:v>44105</c:v>
                </c:pt>
                <c:pt idx="58">
                  <c:v>44136</c:v>
                </c:pt>
                <c:pt idx="59">
                  <c:v>44166</c:v>
                </c:pt>
                <c:pt idx="60">
                  <c:v>44197</c:v>
                </c:pt>
                <c:pt idx="61">
                  <c:v>44228</c:v>
                </c:pt>
                <c:pt idx="62">
                  <c:v>44256</c:v>
                </c:pt>
                <c:pt idx="63">
                  <c:v>44287</c:v>
                </c:pt>
                <c:pt idx="64">
                  <c:v>44317</c:v>
                </c:pt>
                <c:pt idx="65">
                  <c:v>44348</c:v>
                </c:pt>
                <c:pt idx="66">
                  <c:v>44378</c:v>
                </c:pt>
                <c:pt idx="67">
                  <c:v>44409</c:v>
                </c:pt>
                <c:pt idx="68">
                  <c:v>44440</c:v>
                </c:pt>
                <c:pt idx="69">
                  <c:v>44470</c:v>
                </c:pt>
                <c:pt idx="70">
                  <c:v>44501</c:v>
                </c:pt>
                <c:pt idx="71">
                  <c:v>44531</c:v>
                </c:pt>
                <c:pt idx="72">
                  <c:v>44562</c:v>
                </c:pt>
                <c:pt idx="73">
                  <c:v>44593</c:v>
                </c:pt>
                <c:pt idx="74">
                  <c:v>44621</c:v>
                </c:pt>
                <c:pt idx="75">
                  <c:v>44652</c:v>
                </c:pt>
                <c:pt idx="76">
                  <c:v>44682</c:v>
                </c:pt>
                <c:pt idx="77">
                  <c:v>44713</c:v>
                </c:pt>
                <c:pt idx="78">
                  <c:v>44743</c:v>
                </c:pt>
                <c:pt idx="79">
                  <c:v>44774</c:v>
                </c:pt>
                <c:pt idx="80">
                  <c:v>44805</c:v>
                </c:pt>
                <c:pt idx="81">
                  <c:v>44835</c:v>
                </c:pt>
                <c:pt idx="82">
                  <c:v>44866</c:v>
                </c:pt>
                <c:pt idx="83">
                  <c:v>44896</c:v>
                </c:pt>
                <c:pt idx="84">
                  <c:v>44927</c:v>
                </c:pt>
                <c:pt idx="85">
                  <c:v>44958</c:v>
                </c:pt>
                <c:pt idx="86">
                  <c:v>44986</c:v>
                </c:pt>
                <c:pt idx="87">
                  <c:v>45017</c:v>
                </c:pt>
                <c:pt idx="88">
                  <c:v>45047</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numCache>
            </c:numRef>
          </c:cat>
          <c:val>
            <c:numRef>
              <c:f>('GS&gt;50 Predicted Monthly (no LC)'!$N$2:$N$49,'GS&gt;50 Predicted Monthly (no LC)'!$D$50:$D$141)</c:f>
              <c:numCache>
                <c:formatCode>General</c:formatCode>
                <c:ptCount val="140"/>
                <c:pt idx="48" formatCode="_(* #,##0_);_(* \(#,##0\);_(* &quot;-&quot;??_);_(@_)">
                  <c:v>6499104.5027391547</c:v>
                </c:pt>
                <c:pt idx="49" formatCode="_(* #,##0_);_(* \(#,##0\);_(* &quot;-&quot;??_);_(@_)">
                  <c:v>5826037.580237926</c:v>
                </c:pt>
                <c:pt idx="50" formatCode="_(* #,##0_);_(* \(#,##0\);_(* &quot;-&quot;??_);_(@_)">
                  <c:v>5729872.4377366975</c:v>
                </c:pt>
                <c:pt idx="51" formatCode="_(* #,##0_);_(* \(#,##0\);_(* &quot;-&quot;??_);_(@_)">
                  <c:v>5131116.3752354672</c:v>
                </c:pt>
                <c:pt idx="52" formatCode="_(* #,##0_);_(* \(#,##0\);_(* &quot;-&quot;??_);_(@_)">
                  <c:v>4879869.4327342389</c:v>
                </c:pt>
                <c:pt idx="53" formatCode="_(* #,##0_);_(* \(#,##0\);_(* &quot;-&quot;??_);_(@_)">
                  <c:v>5169273.0902330102</c:v>
                </c:pt>
                <c:pt idx="54" formatCode="_(* #,##0_);_(* \(#,##0\);_(* &quot;-&quot;??_);_(@_)">
                  <c:v>5834268.8677317807</c:v>
                </c:pt>
                <c:pt idx="55" formatCode="_(* #,##0_);_(* \(#,##0\);_(* &quot;-&quot;??_);_(@_)">
                  <c:v>5670245.6852305522</c:v>
                </c:pt>
                <c:pt idx="56" formatCode="_(* #,##0_);_(* \(#,##0\);_(* &quot;-&quot;??_);_(@_)">
                  <c:v>4852010.7027293229</c:v>
                </c:pt>
                <c:pt idx="57" formatCode="_(* #,##0_);_(* \(#,##0\);_(* &quot;-&quot;??_);_(@_)">
                  <c:v>5145419.3202280933</c:v>
                </c:pt>
                <c:pt idx="58" formatCode="_(* #,##0_);_(* \(#,##0\);_(* &quot;-&quot;??_);_(@_)">
                  <c:v>5342094.1377268648</c:v>
                </c:pt>
                <c:pt idx="59" formatCode="_(* #,##0_);_(* \(#,##0\);_(* &quot;-&quot;??_);_(@_)">
                  <c:v>6319796.5552256359</c:v>
                </c:pt>
                <c:pt idx="60" formatCode="_(* #,##0_);_(* \(#,##0\);_(* &quot;-&quot;??_);_(@_)">
                  <c:v>5884963.3511189306</c:v>
                </c:pt>
                <c:pt idx="61" formatCode="_(* #,##0_);_(* \(#,##0\);_(* &quot;-&quot;??_);_(@_)">
                  <c:v>5632137.5500704683</c:v>
                </c:pt>
                <c:pt idx="62" formatCode="_(* #,##0_);_(* \(#,##0\);_(* &quot;-&quot;??_);_(@_)">
                  <c:v>5796811.3490220066</c:v>
                </c:pt>
                <c:pt idx="63" formatCode="_(* #,##0_);_(* \(#,##0\);_(* &quot;-&quot;??_);_(@_)">
                  <c:v>4671495.1705421582</c:v>
                </c:pt>
                <c:pt idx="64" formatCode="_(* #,##0_);_(* \(#,##0\);_(* &quot;-&quot;??_);_(@_)">
                  <c:v>4966693.1562202908</c:v>
                </c:pt>
                <c:pt idx="65" formatCode="_(* #,##0_);_(* \(#,##0\);_(* &quot;-&quot;??_);_(@_)">
                  <c:v>5384669.5568166608</c:v>
                </c:pt>
                <c:pt idx="66" formatCode="_(* #,##0_);_(* \(#,##0\);_(* &quot;-&quot;??_);_(@_)">
                  <c:v>5489211.7018636363</c:v>
                </c:pt>
                <c:pt idx="67" formatCode="_(* #,##0_);_(* \(#,##0\);_(* &quot;-&quot;??_);_(@_)">
                  <c:v>7520564.3288652841</c:v>
                </c:pt>
                <c:pt idx="68" formatCode="_(* #,##0_);_(* \(#,##0\);_(* &quot;-&quot;??_);_(@_)">
                  <c:v>7128334.4277345818</c:v>
                </c:pt>
                <c:pt idx="69" formatCode="_(* #,##0_);_(* \(#,##0\);_(* &quot;-&quot;??_);_(@_)">
                  <c:v>5534871.3747515306</c:v>
                </c:pt>
                <c:pt idx="70" formatCode="_(* #,##0_);_(* \(#,##0\);_(* &quot;-&quot;??_);_(@_)">
                  <c:v>5539307.5406343108</c:v>
                </c:pt>
                <c:pt idx="71" formatCode="_(* #,##0_);_(* \(#,##0\);_(* &quot;-&quot;??_);_(@_)">
                  <c:v>6020987.6595858485</c:v>
                </c:pt>
                <c:pt idx="72" formatCode="_(* #,##0_);_(* \(#,##0\);_(* &quot;-&quot;??_);_(@_)">
                  <c:v>6617393.2108332533</c:v>
                </c:pt>
                <c:pt idx="73" formatCode="_(* #,##0_);_(* \(#,##0\);_(* &quot;-&quot;??_);_(@_)">
                  <c:v>5876978.9395640362</c:v>
                </c:pt>
                <c:pt idx="74" formatCode="_(* #,##0_);_(* \(#,##0\);_(* &quot;-&quot;??_);_(@_)">
                  <c:v>6015307.8682948183</c:v>
                </c:pt>
                <c:pt idx="75" formatCode="_(* #,##0_);_(* \(#,##0\);_(* &quot;-&quot;??_);_(@_)">
                  <c:v>5243000.5970256003</c:v>
                </c:pt>
                <c:pt idx="76" formatCode="_(* #,##0_);_(* \(#,##0\);_(* &quot;-&quot;??_);_(@_)">
                  <c:v>5279093.3257563813</c:v>
                </c:pt>
                <c:pt idx="77" formatCode="_(* #,##0_);_(* \(#,##0\);_(* &quot;-&quot;??_);_(@_)">
                  <c:v>5269658.6544871647</c:v>
                </c:pt>
                <c:pt idx="78" formatCode="_(* #,##0_);_(* \(#,##0\);_(* &quot;-&quot;??_);_(@_)">
                  <c:v>5762288.9832179463</c:v>
                </c:pt>
                <c:pt idx="79" formatCode="_(* #,##0_);_(* \(#,##0\);_(* &quot;-&quot;??_);_(@_)">
                  <c:v>5786992.3119487278</c:v>
                </c:pt>
                <c:pt idx="80" formatCode="_(* #,##0_);_(* \(#,##0\);_(* &quot;-&quot;??_);_(@_)">
                  <c:v>5197002.8406795096</c:v>
                </c:pt>
                <c:pt idx="81" formatCode="_(* #,##0_);_(* \(#,##0\);_(* &quot;-&quot;??_);_(@_)">
                  <c:v>5264967.7694102917</c:v>
                </c:pt>
                <c:pt idx="82" formatCode="_(* #,##0_);_(* \(#,##0\);_(* &quot;-&quot;??_);_(@_)">
                  <c:v>5411251.898141074</c:v>
                </c:pt>
                <c:pt idx="83" formatCode="_(* #,##0_);_(* \(#,##0\);_(* &quot;-&quot;??_);_(@_)">
                  <c:v>5865795.4268718548</c:v>
                </c:pt>
                <c:pt idx="84" formatCode="_(* #,##0_);_(* \(#,##0\);_(* &quot;-&quot;??_);_(@_)">
                  <c:v>6111484.5173214637</c:v>
                </c:pt>
                <c:pt idx="85" formatCode="_(* #,##0_);_(* \(#,##0\);_(* &quot;-&quot;??_);_(@_)">
                  <c:v>5612165.2504506502</c:v>
                </c:pt>
                <c:pt idx="86" formatCode="_(* #,##0_);_(* \(#,##0\);_(* &quot;-&quot;??_);_(@_)">
                  <c:v>5717034.9835798396</c:v>
                </c:pt>
                <c:pt idx="87" formatCode="_(* #,##0_);_(* \(#,##0\);_(* &quot;-&quot;??_);_(@_)">
                  <c:v>5295320.7167090271</c:v>
                </c:pt>
                <c:pt idx="88" formatCode="_(* #,##0_);_(* \(#,##0\);_(* &quot;-&quot;??_);_(@_)">
                  <c:v>5193932.0498382142</c:v>
                </c:pt>
                <c:pt idx="89" formatCode="_(* #,##0_);_(* \(#,##0\);_(* &quot;-&quot;??_);_(@_)">
                  <c:v>5415159.1029674029</c:v>
                </c:pt>
                <c:pt idx="90" formatCode="_(* #,##0_);_(* \(#,##0\);_(* &quot;-&quot;??_);_(@_)">
                  <c:v>5909359.3160965908</c:v>
                </c:pt>
                <c:pt idx="91" formatCode="_(* #,##0_);_(* \(#,##0\);_(* &quot;-&quot;??_);_(@_)">
                  <c:v>5453866.5692257779</c:v>
                </c:pt>
                <c:pt idx="92" formatCode="_(* #,##0_);_(* \(#,##0\);_(* &quot;-&quot;??_);_(@_)">
                  <c:v>5341587.0623549661</c:v>
                </c:pt>
                <c:pt idx="93" formatCode="_(* #,##0_);_(* \(#,##0\);_(* &quot;-&quot;??_);_(@_)">
                  <c:v>5332068.0354841538</c:v>
                </c:pt>
                <c:pt idx="94" formatCode="_(* #,##0_);_(* \(#,##0\);_(* &quot;-&quot;??_);_(@_)">
                  <c:v>5500255.8086133422</c:v>
                </c:pt>
                <c:pt idx="95" formatCode="_(* #,##0_);_(* \(#,##0\);_(* &quot;-&quot;??_);_(@_)">
                  <c:v>5870549.5817425298</c:v>
                </c:pt>
                <c:pt idx="96" formatCode="_(* #,##0_);_(* \(#,##0\);_(* &quot;-&quot;??_);_(@_)">
                  <c:v>6249528.2786970027</c:v>
                </c:pt>
                <c:pt idx="97" formatCode="_(* #,##0_);_(* \(#,##0\);_(* &quot;-&quot;??_);_(@_)">
                  <c:v>5606591.5732523361</c:v>
                </c:pt>
                <c:pt idx="98" formatCode="_(* #,##0_);_(* \(#,##0\);_(* &quot;-&quot;??_);_(@_)">
                  <c:v>5626603.7478076704</c:v>
                </c:pt>
                <c:pt idx="99" formatCode="_(* #,##0_);_(* \(#,##0\);_(* &quot;-&quot;??_);_(@_)">
                  <c:v>5088750.3623630051</c:v>
                </c:pt>
                <c:pt idx="100" formatCode="_(* #,##0_);_(* \(#,##0\);_(* &quot;-&quot;??_);_(@_)">
                  <c:v>5269132.5769183394</c:v>
                </c:pt>
                <c:pt idx="101" formatCode="_(* #,##0_);_(* \(#,##0\);_(* &quot;-&quot;??_);_(@_)">
                  <c:v>5374140.2314736731</c:v>
                </c:pt>
                <c:pt idx="102" formatCode="_(* #,##0_);_(* \(#,##0\);_(* &quot;-&quot;??_);_(@_)">
                  <c:v>5841560.4860290075</c:v>
                </c:pt>
                <c:pt idx="103" formatCode="_(* #,##0_);_(* \(#,##0\);_(* &quot;-&quot;??_);_(@_)">
                  <c:v>5588607.1405843413</c:v>
                </c:pt>
                <c:pt idx="104" formatCode="_(* #,##0_);_(* \(#,##0\);_(* &quot;-&quot;??_);_(@_)">
                  <c:v>5358645.3951396765</c:v>
                </c:pt>
                <c:pt idx="105" formatCode="_(* #,##0_);_(* \(#,##0\);_(* &quot;-&quot;??_);_(@_)">
                  <c:v>5216942.0496950103</c:v>
                </c:pt>
                <c:pt idx="106" formatCode="_(* #,##0_);_(* \(#,##0\);_(* &quot;-&quot;??_);_(@_)">
                  <c:v>5269712.9042503452</c:v>
                </c:pt>
                <c:pt idx="107" formatCode="_(* #,##0_);_(* \(#,##0\);_(* &quot;-&quot;??_);_(@_)">
                  <c:v>5848692.7588056792</c:v>
                </c:pt>
                <c:pt idx="108" formatCode="_(* #,##0_);_(* \(#,##0\);_(* &quot;-&quot;??_);_(@_)">
                  <c:v>6253700.5120626036</c:v>
                </c:pt>
                <c:pt idx="109" formatCode="_(* #,##0_);_(* \(#,##0\);_(* &quot;-&quot;??_);_(@_)">
                  <c:v>5650064.5591707714</c:v>
                </c:pt>
                <c:pt idx="110" formatCode="_(* #,##0_);_(* \(#,##0\);_(* &quot;-&quot;??_);_(@_)">
                  <c:v>5728253.8062789394</c:v>
                </c:pt>
                <c:pt idx="111" formatCode="_(* #,##0_);_(* \(#,##0\);_(* &quot;-&quot;??_);_(@_)">
                  <c:v>5156675.2533871075</c:v>
                </c:pt>
                <c:pt idx="112" formatCode="_(* #,##0_);_(* \(#,##0\);_(* &quot;-&quot;??_);_(@_)">
                  <c:v>5014022.9004952768</c:v>
                </c:pt>
                <c:pt idx="113" formatCode="_(* #,##0_);_(* \(#,##0\);_(* &quot;-&quot;??_);_(@_)">
                  <c:v>5552694.7476034453</c:v>
                </c:pt>
                <c:pt idx="114" formatCode="_(* #,##0_);_(* \(#,##0\);_(* &quot;-&quot;??_);_(@_)">
                  <c:v>6038806.5947116129</c:v>
                </c:pt>
                <c:pt idx="115" formatCode="_(* #,##0_);_(* \(#,##0\);_(* &quot;-&quot;??_);_(@_)">
                  <c:v>5593679.8418197809</c:v>
                </c:pt>
                <c:pt idx="116" formatCode="_(* #,##0_);_(* \(#,##0\);_(* &quot;-&quot;??_);_(@_)">
                  <c:v>5118840.8889279496</c:v>
                </c:pt>
                <c:pt idx="117" formatCode="_(* #,##0_);_(* \(#,##0\);_(* &quot;-&quot;??_);_(@_)">
                  <c:v>5192044.5360361179</c:v>
                </c:pt>
                <c:pt idx="118" formatCode="_(* #,##0_);_(* \(#,##0\);_(* &quot;-&quot;??_);_(@_)">
                  <c:v>5479491.1831442863</c:v>
                </c:pt>
                <c:pt idx="119" formatCode="_(* #,##0_);_(* \(#,##0\);_(* &quot;-&quot;??_);_(@_)">
                  <c:v>6114849.4302524552</c:v>
                </c:pt>
              </c:numCache>
            </c:numRef>
          </c:val>
          <c:smooth val="0"/>
          <c:extLst>
            <c:ext xmlns:c16="http://schemas.microsoft.com/office/drawing/2014/chart" uri="{C3380CC4-5D6E-409C-BE32-E72D297353CC}">
              <c16:uniqueId val="{00000000-D484-46EB-8DBB-BF19A3F4E9A3}"/>
            </c:ext>
          </c:extLst>
        </c:ser>
        <c:ser>
          <c:idx val="1"/>
          <c:order val="1"/>
          <c:tx>
            <c:strRef>
              <c:f>'GS&gt;50 Predicted Monthly (no LC)'!$K$1</c:f>
              <c:strCache>
                <c:ptCount val="1"/>
                <c:pt idx="0">
                  <c:v>Predicted</c:v>
                </c:pt>
              </c:strCache>
            </c:strRef>
          </c:tx>
          <c:marker>
            <c:symbol val="none"/>
          </c:marker>
          <c:cat>
            <c:numRef>
              <c:f>'GS&gt;50 Predicted Monthly (no LC)'!$A$2:$A$121</c:f>
              <c:numCache>
                <c:formatCode>mmm\-yy</c:formatCode>
                <c:ptCount val="120"/>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43770</c:v>
                </c:pt>
                <c:pt idx="47">
                  <c:v>43800</c:v>
                </c:pt>
                <c:pt idx="48">
                  <c:v>43831</c:v>
                </c:pt>
                <c:pt idx="49">
                  <c:v>43862</c:v>
                </c:pt>
                <c:pt idx="50">
                  <c:v>43891</c:v>
                </c:pt>
                <c:pt idx="51">
                  <c:v>43922</c:v>
                </c:pt>
                <c:pt idx="52">
                  <c:v>43952</c:v>
                </c:pt>
                <c:pt idx="53">
                  <c:v>43983</c:v>
                </c:pt>
                <c:pt idx="54">
                  <c:v>44013</c:v>
                </c:pt>
                <c:pt idx="55">
                  <c:v>44044</c:v>
                </c:pt>
                <c:pt idx="56">
                  <c:v>44075</c:v>
                </c:pt>
                <c:pt idx="57">
                  <c:v>44105</c:v>
                </c:pt>
                <c:pt idx="58">
                  <c:v>44136</c:v>
                </c:pt>
                <c:pt idx="59">
                  <c:v>44166</c:v>
                </c:pt>
                <c:pt idx="60">
                  <c:v>44197</c:v>
                </c:pt>
                <c:pt idx="61">
                  <c:v>44228</c:v>
                </c:pt>
                <c:pt idx="62">
                  <c:v>44256</c:v>
                </c:pt>
                <c:pt idx="63">
                  <c:v>44287</c:v>
                </c:pt>
                <c:pt idx="64">
                  <c:v>44317</c:v>
                </c:pt>
                <c:pt idx="65">
                  <c:v>44348</c:v>
                </c:pt>
                <c:pt idx="66">
                  <c:v>44378</c:v>
                </c:pt>
                <c:pt idx="67">
                  <c:v>44409</c:v>
                </c:pt>
                <c:pt idx="68">
                  <c:v>44440</c:v>
                </c:pt>
                <c:pt idx="69">
                  <c:v>44470</c:v>
                </c:pt>
                <c:pt idx="70">
                  <c:v>44501</c:v>
                </c:pt>
                <c:pt idx="71">
                  <c:v>44531</c:v>
                </c:pt>
                <c:pt idx="72">
                  <c:v>44562</c:v>
                </c:pt>
                <c:pt idx="73">
                  <c:v>44593</c:v>
                </c:pt>
                <c:pt idx="74">
                  <c:v>44621</c:v>
                </c:pt>
                <c:pt idx="75">
                  <c:v>44652</c:v>
                </c:pt>
                <c:pt idx="76">
                  <c:v>44682</c:v>
                </c:pt>
                <c:pt idx="77">
                  <c:v>44713</c:v>
                </c:pt>
                <c:pt idx="78">
                  <c:v>44743</c:v>
                </c:pt>
                <c:pt idx="79">
                  <c:v>44774</c:v>
                </c:pt>
                <c:pt idx="80">
                  <c:v>44805</c:v>
                </c:pt>
                <c:pt idx="81">
                  <c:v>44835</c:v>
                </c:pt>
                <c:pt idx="82">
                  <c:v>44866</c:v>
                </c:pt>
                <c:pt idx="83">
                  <c:v>44896</c:v>
                </c:pt>
                <c:pt idx="84">
                  <c:v>44927</c:v>
                </c:pt>
                <c:pt idx="85">
                  <c:v>44958</c:v>
                </c:pt>
                <c:pt idx="86">
                  <c:v>44986</c:v>
                </c:pt>
                <c:pt idx="87">
                  <c:v>45017</c:v>
                </c:pt>
                <c:pt idx="88">
                  <c:v>45047</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numCache>
            </c:numRef>
          </c:cat>
          <c:val>
            <c:numRef>
              <c:f>'GS&gt;50 Predicted Monthly (no LC)'!$K$2:$K$141</c:f>
              <c:numCache>
                <c:formatCode>_(* #,##0_);_(* \(#,##0\);_(* "-"??_);_(@_)</c:formatCode>
                <c:ptCount val="140"/>
                <c:pt idx="0">
                  <c:v>6175506.4250078266</c:v>
                </c:pt>
                <c:pt idx="1">
                  <c:v>6122293.438607228</c:v>
                </c:pt>
                <c:pt idx="2">
                  <c:v>5728326.3108445145</c:v>
                </c:pt>
                <c:pt idx="3">
                  <c:v>5381691.7751008999</c:v>
                </c:pt>
                <c:pt idx="4">
                  <c:v>5328842.1561883409</c:v>
                </c:pt>
                <c:pt idx="5">
                  <c:v>5544428.3156607291</c:v>
                </c:pt>
                <c:pt idx="6">
                  <c:v>5925048.8202890102</c:v>
                </c:pt>
                <c:pt idx="7">
                  <c:v>5983187.1056813588</c:v>
                </c:pt>
                <c:pt idx="8">
                  <c:v>5328812.3177509159</c:v>
                </c:pt>
                <c:pt idx="9">
                  <c:v>5202949.382063902</c:v>
                </c:pt>
                <c:pt idx="10">
                  <c:v>5354668.0102730375</c:v>
                </c:pt>
                <c:pt idx="11">
                  <c:v>6002688.4359042589</c:v>
                </c:pt>
                <c:pt idx="12">
                  <c:v>6054873.9210716672</c:v>
                </c:pt>
                <c:pt idx="13">
                  <c:v>5831756.6110362681</c:v>
                </c:pt>
                <c:pt idx="14">
                  <c:v>6017256.7632480916</c:v>
                </c:pt>
                <c:pt idx="15">
                  <c:v>5184810.120147313</c:v>
                </c:pt>
                <c:pt idx="16">
                  <c:v>5235631.3794144075</c:v>
                </c:pt>
                <c:pt idx="17">
                  <c:v>5492376.2605256233</c:v>
                </c:pt>
                <c:pt idx="18">
                  <c:v>5759813.3384159766</c:v>
                </c:pt>
                <c:pt idx="19">
                  <c:v>5543222.4515988231</c:v>
                </c:pt>
                <c:pt idx="20">
                  <c:v>5390311.6387975253</c:v>
                </c:pt>
                <c:pt idx="21">
                  <c:v>5145867.7355498746</c:v>
                </c:pt>
                <c:pt idx="22">
                  <c:v>5569922.2827023286</c:v>
                </c:pt>
                <c:pt idx="23">
                  <c:v>6331353.7599406652</c:v>
                </c:pt>
                <c:pt idx="24">
                  <c:v>6352829.982899189</c:v>
                </c:pt>
                <c:pt idx="25">
                  <c:v>5867569.611764946</c:v>
                </c:pt>
                <c:pt idx="26">
                  <c:v>5768398.8589389548</c:v>
                </c:pt>
                <c:pt idx="27">
                  <c:v>5420389.4976016339</c:v>
                </c:pt>
                <c:pt idx="28">
                  <c:v>5307551.1440107273</c:v>
                </c:pt>
                <c:pt idx="29">
                  <c:v>5478851.733291707</c:v>
                </c:pt>
                <c:pt idx="30">
                  <c:v>6084271.8792287922</c:v>
                </c:pt>
                <c:pt idx="31">
                  <c:v>5903547.6791064767</c:v>
                </c:pt>
                <c:pt idx="32">
                  <c:v>5374815.6154607125</c:v>
                </c:pt>
                <c:pt idx="33">
                  <c:v>5258587.3820052696</c:v>
                </c:pt>
                <c:pt idx="34">
                  <c:v>5698432.2960929498</c:v>
                </c:pt>
                <c:pt idx="35">
                  <c:v>6101714.4702467034</c:v>
                </c:pt>
                <c:pt idx="36">
                  <c:v>6563192.7705845581</c:v>
                </c:pt>
                <c:pt idx="37">
                  <c:v>6109765.6418814231</c:v>
                </c:pt>
                <c:pt idx="38">
                  <c:v>5912750.7223286312</c:v>
                </c:pt>
                <c:pt idx="39">
                  <c:v>5281421.1617999431</c:v>
                </c:pt>
                <c:pt idx="40">
                  <c:v>5050104.6804837892</c:v>
                </c:pt>
                <c:pt idx="41">
                  <c:v>5407698.2142385188</c:v>
                </c:pt>
                <c:pt idx="42">
                  <c:v>6057527.3591245525</c:v>
                </c:pt>
                <c:pt idx="43">
                  <c:v>5670636.8088983307</c:v>
                </c:pt>
                <c:pt idx="44">
                  <c:v>5189805.3738496061</c:v>
                </c:pt>
                <c:pt idx="45">
                  <c:v>5075518.0928208921</c:v>
                </c:pt>
                <c:pt idx="46">
                  <c:v>5700419.7632670086</c:v>
                </c:pt>
                <c:pt idx="47">
                  <c:v>6000508.0107521368</c:v>
                </c:pt>
                <c:pt idx="48">
                  <c:v>6092645.4452776946</c:v>
                </c:pt>
                <c:pt idx="49">
                  <c:v>5983527.7086825054</c:v>
                </c:pt>
                <c:pt idx="50">
                  <c:v>5648050.9680204401</c:v>
                </c:pt>
                <c:pt idx="51">
                  <c:v>5264823.0960709639</c:v>
                </c:pt>
                <c:pt idx="52">
                  <c:v>5385661.9500604132</c:v>
                </c:pt>
                <c:pt idx="53">
                  <c:v>5596593.3230916187</c:v>
                </c:pt>
                <c:pt idx="54">
                  <c:v>6199680.3391125239</c:v>
                </c:pt>
                <c:pt idx="55">
                  <c:v>5605886.3684775708</c:v>
                </c:pt>
                <c:pt idx="56">
                  <c:v>5193433.7402165411</c:v>
                </c:pt>
                <c:pt idx="57">
                  <c:v>5176153.333841824</c:v>
                </c:pt>
                <c:pt idx="58">
                  <c:v>5383243.4537674868</c:v>
                </c:pt>
                <c:pt idx="59">
                  <c:v>5917671.1507692635</c:v>
                </c:pt>
                <c:pt idx="60">
                  <c:v>6096099.3930850402</c:v>
                </c:pt>
                <c:pt idx="61">
                  <c:v>6019552.9631870529</c:v>
                </c:pt>
                <c:pt idx="62">
                  <c:v>5635884.3058636021</c:v>
                </c:pt>
                <c:pt idx="63">
                  <c:v>5150186.9943577172</c:v>
                </c:pt>
                <c:pt idx="64">
                  <c:v>5298216.2890763879</c:v>
                </c:pt>
                <c:pt idx="65">
                  <c:v>5737636.3796678074</c:v>
                </c:pt>
                <c:pt idx="66">
                  <c:v>5703770.5342630744</c:v>
                </c:pt>
                <c:pt idx="67">
                  <c:v>6053530.5064878939</c:v>
                </c:pt>
                <c:pt idx="68">
                  <c:v>5238393.1370482147</c:v>
                </c:pt>
                <c:pt idx="69">
                  <c:v>5182606.9766706815</c:v>
                </c:pt>
                <c:pt idx="70">
                  <c:v>5474031.815503425</c:v>
                </c:pt>
                <c:pt idx="71">
                  <c:v>5890555.7309018197</c:v>
                </c:pt>
                <c:pt idx="72">
                  <c:v>6711230.1313552558</c:v>
                </c:pt>
                <c:pt idx="73">
                  <c:v>6070146.545035433</c:v>
                </c:pt>
                <c:pt idx="74">
                  <c:v>5752672.7837267388</c:v>
                </c:pt>
                <c:pt idx="75">
                  <c:v>5192258.1327021671</c:v>
                </c:pt>
                <c:pt idx="76">
                  <c:v>5319943.3107584873</c:v>
                </c:pt>
                <c:pt idx="77">
                  <c:v>5501506.8254318144</c:v>
                </c:pt>
                <c:pt idx="78">
                  <c:v>5857768.4958081245</c:v>
                </c:pt>
                <c:pt idx="79">
                  <c:v>5765113.932569732</c:v>
                </c:pt>
                <c:pt idx="80">
                  <c:v>5206113.9980956847</c:v>
                </c:pt>
                <c:pt idx="81">
                  <c:v>5135033.2278212495</c:v>
                </c:pt>
                <c:pt idx="82">
                  <c:v>5441985.227569798</c:v>
                </c:pt>
                <c:pt idx="83">
                  <c:v>5796194.4556790739</c:v>
                </c:pt>
                <c:pt idx="84">
                  <c:v>6023875.2218956873</c:v>
                </c:pt>
                <c:pt idx="85">
                  <c:v>5957362.6068570269</c:v>
                </c:pt>
                <c:pt idx="86">
                  <c:v>5718963.0249589598</c:v>
                </c:pt>
                <c:pt idx="87">
                  <c:v>5195173.8928442234</c:v>
                </c:pt>
                <c:pt idx="88">
                  <c:v>5216535.5281344317</c:v>
                </c:pt>
                <c:pt idx="89">
                  <c:v>5580855.9834739175</c:v>
                </c:pt>
                <c:pt idx="90">
                  <c:v>5899454.6136358501</c:v>
                </c:pt>
                <c:pt idx="91">
                  <c:v>5559658.373673656</c:v>
                </c:pt>
                <c:pt idx="92">
                  <c:v>5331095.3300267374</c:v>
                </c:pt>
                <c:pt idx="93">
                  <c:v>5210605.7281481419</c:v>
                </c:pt>
                <c:pt idx="94">
                  <c:v>5548016.7282426134</c:v>
                </c:pt>
                <c:pt idx="95">
                  <c:v>5772364.1453881711</c:v>
                </c:pt>
                <c:pt idx="96">
                  <c:v>6040768.6928751897</c:v>
                </c:pt>
                <c:pt idx="97">
                  <c:v>5769392.5925259851</c:v>
                </c:pt>
                <c:pt idx="98">
                  <c:v>5502415.9340766389</c:v>
                </c:pt>
                <c:pt idx="99">
                  <c:v>5129269.0743935341</c:v>
                </c:pt>
                <c:pt idx="100">
                  <c:v>5300839.6965107191</c:v>
                </c:pt>
                <c:pt idx="101">
                  <c:v>5636544.6393714314</c:v>
                </c:pt>
                <c:pt idx="102">
                  <c:v>5976700.631975119</c:v>
                </c:pt>
                <c:pt idx="103">
                  <c:v>5752256.7389011597</c:v>
                </c:pt>
                <c:pt idx="104">
                  <c:v>5381408.9724110998</c:v>
                </c:pt>
                <c:pt idx="105">
                  <c:v>5169446.2546457872</c:v>
                </c:pt>
                <c:pt idx="106">
                  <c:v>5329569.8328304868</c:v>
                </c:pt>
                <c:pt idx="107">
                  <c:v>5965674.2717621336</c:v>
                </c:pt>
                <c:pt idx="108">
                  <c:v>6275777.0383087825</c:v>
                </c:pt>
                <c:pt idx="109">
                  <c:v>6091642.0637917621</c:v>
                </c:pt>
                <c:pt idx="110">
                  <c:v>5700632.0170428799</c:v>
                </c:pt>
                <c:pt idx="111">
                  <c:v>5278754.6515541589</c:v>
                </c:pt>
                <c:pt idx="112">
                  <c:v>5179598.448696346</c:v>
                </c:pt>
                <c:pt idx="113">
                  <c:v>5661862.0373387951</c:v>
                </c:pt>
                <c:pt idx="114">
                  <c:v>6055084.3798510525</c:v>
                </c:pt>
                <c:pt idx="115">
                  <c:v>5794292.1750291632</c:v>
                </c:pt>
                <c:pt idx="116">
                  <c:v>5211028.7695197649</c:v>
                </c:pt>
                <c:pt idx="117">
                  <c:v>5232304.8317169975</c:v>
                </c:pt>
                <c:pt idx="118">
                  <c:v>5527075.9636732172</c:v>
                </c:pt>
                <c:pt idx="119">
                  <c:v>6241908.0892090993</c:v>
                </c:pt>
              </c:numCache>
            </c:numRef>
          </c:val>
          <c:smooth val="0"/>
          <c:extLst>
            <c:ext xmlns:c16="http://schemas.microsoft.com/office/drawing/2014/chart" uri="{C3380CC4-5D6E-409C-BE32-E72D297353CC}">
              <c16:uniqueId val="{00000001-D484-46EB-8DBB-BF19A3F4E9A3}"/>
            </c:ext>
          </c:extLst>
        </c:ser>
        <c:dLbls>
          <c:showLegendKey val="0"/>
          <c:showVal val="0"/>
          <c:showCatName val="0"/>
          <c:showSerName val="0"/>
          <c:showPercent val="0"/>
          <c:showBubbleSize val="0"/>
        </c:dLbls>
        <c:smooth val="0"/>
        <c:axId val="175950464"/>
        <c:axId val="176296704"/>
      </c:lineChart>
      <c:dateAx>
        <c:axId val="175950464"/>
        <c:scaling>
          <c:orientation val="minMax"/>
        </c:scaling>
        <c:delete val="0"/>
        <c:axPos val="b"/>
        <c:title>
          <c:tx>
            <c:rich>
              <a:bodyPr/>
              <a:lstStyle/>
              <a:p>
                <a:pPr>
                  <a:defRPr/>
                </a:pPr>
                <a:r>
                  <a:rPr lang="en-US"/>
                  <a:t>Month</a:t>
                </a:r>
              </a:p>
            </c:rich>
          </c:tx>
          <c:overlay val="0"/>
        </c:title>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6296704"/>
        <c:crosses val="autoZero"/>
        <c:auto val="1"/>
        <c:lblOffset val="100"/>
        <c:baseTimeUnit val="months"/>
      </c:dateAx>
      <c:valAx>
        <c:axId val="176296704"/>
        <c:scaling>
          <c:orientation val="minMax"/>
        </c:scaling>
        <c:delete val="0"/>
        <c:axPos val="l"/>
        <c:majorGridlines>
          <c:spPr>
            <a:ln w="9525" cap="flat" cmpd="sng" algn="ctr">
              <a:solidFill>
                <a:schemeClr val="tx1">
                  <a:lumMod val="15000"/>
                  <a:lumOff val="85000"/>
                </a:schemeClr>
              </a:solidFill>
              <a:round/>
            </a:ln>
            <a:effectLst/>
          </c:spPr>
        </c:majorGridlines>
        <c:title>
          <c:tx>
            <c:rich>
              <a:bodyPr/>
              <a:lstStyle/>
              <a:p>
                <a:pPr>
                  <a:defRPr/>
                </a:pPr>
                <a:r>
                  <a:rPr lang="en-US"/>
                  <a:t>Mnthly Consumption</a:t>
                </a:r>
                <a:r>
                  <a:rPr lang="en-US" baseline="0"/>
                  <a:t> (kWh)</a:t>
                </a:r>
                <a:endParaRPr lang="en-US"/>
              </a:p>
            </c:rich>
          </c:tx>
          <c:overlay val="0"/>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59504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GS &gt; 50 kW Predicted Monthly</a:t>
            </a:r>
          </a:p>
        </c:rich>
      </c:tx>
      <c:overlay val="0"/>
      <c:spPr>
        <a:noFill/>
        <a:ln>
          <a:noFill/>
        </a:ln>
        <a:effectLst/>
      </c:spPr>
    </c:title>
    <c:autoTitleDeleted val="0"/>
    <c:plotArea>
      <c:layout/>
      <c:lineChart>
        <c:grouping val="standard"/>
        <c:varyColors val="0"/>
        <c:ser>
          <c:idx val="0"/>
          <c:order val="0"/>
          <c:tx>
            <c:strRef>
              <c:f>'GS&gt;50 Predicted Monthly (no LC)'!$D$1</c:f>
              <c:strCache>
                <c:ptCount val="1"/>
                <c:pt idx="0">
                  <c:v> GSgtxLCkWh_NoCDM </c:v>
                </c:pt>
              </c:strCache>
            </c:strRef>
          </c:tx>
          <c:marker>
            <c:symbol val="none"/>
          </c:marker>
          <c:cat>
            <c:numRef>
              <c:f>'GS&gt;50 Predicted Monthly (no LC)'!$A$50:$A$121</c:f>
              <c:numCache>
                <c:formatCode>mmm\-yy</c:formatCode>
                <c:ptCount val="72"/>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numCache>
            </c:numRef>
          </c:cat>
          <c:val>
            <c:numRef>
              <c:f>'GS&gt;50 Predicted Monthly (no LC)'!$D$50:$D$141</c:f>
              <c:numCache>
                <c:formatCode>_(* #,##0_);_(* \(#,##0\);_(* "-"??_);_(@_)</c:formatCode>
                <c:ptCount val="92"/>
                <c:pt idx="0">
                  <c:v>6499104.5027391547</c:v>
                </c:pt>
                <c:pt idx="1">
                  <c:v>5826037.580237926</c:v>
                </c:pt>
                <c:pt idx="2">
                  <c:v>5729872.4377366975</c:v>
                </c:pt>
                <c:pt idx="3">
                  <c:v>5131116.3752354672</c:v>
                </c:pt>
                <c:pt idx="4">
                  <c:v>4879869.4327342389</c:v>
                </c:pt>
                <c:pt idx="5">
                  <c:v>5169273.0902330102</c:v>
                </c:pt>
                <c:pt idx="6">
                  <c:v>5834268.8677317807</c:v>
                </c:pt>
                <c:pt idx="7">
                  <c:v>5670245.6852305522</c:v>
                </c:pt>
                <c:pt idx="8">
                  <c:v>4852010.7027293229</c:v>
                </c:pt>
                <c:pt idx="9">
                  <c:v>5145419.3202280933</c:v>
                </c:pt>
                <c:pt idx="10">
                  <c:v>5342094.1377268648</c:v>
                </c:pt>
                <c:pt idx="11">
                  <c:v>6319796.5552256359</c:v>
                </c:pt>
                <c:pt idx="12">
                  <c:v>5884963.3511189306</c:v>
                </c:pt>
                <c:pt idx="13">
                  <c:v>5632137.5500704683</c:v>
                </c:pt>
                <c:pt idx="14">
                  <c:v>5796811.3490220066</c:v>
                </c:pt>
                <c:pt idx="15">
                  <c:v>4671495.1705421582</c:v>
                </c:pt>
                <c:pt idx="16">
                  <c:v>4966693.1562202908</c:v>
                </c:pt>
                <c:pt idx="17">
                  <c:v>5384669.5568166608</c:v>
                </c:pt>
                <c:pt idx="18">
                  <c:v>5489211.7018636363</c:v>
                </c:pt>
                <c:pt idx="19">
                  <c:v>7520564.3288652841</c:v>
                </c:pt>
                <c:pt idx="20">
                  <c:v>7128334.4277345818</c:v>
                </c:pt>
                <c:pt idx="21">
                  <c:v>5534871.3747515306</c:v>
                </c:pt>
                <c:pt idx="22">
                  <c:v>5539307.5406343108</c:v>
                </c:pt>
                <c:pt idx="23">
                  <c:v>6020987.6595858485</c:v>
                </c:pt>
                <c:pt idx="24">
                  <c:v>6617393.2108332533</c:v>
                </c:pt>
                <c:pt idx="25">
                  <c:v>5876978.9395640362</c:v>
                </c:pt>
                <c:pt idx="26">
                  <c:v>6015307.8682948183</c:v>
                </c:pt>
                <c:pt idx="27">
                  <c:v>5243000.5970256003</c:v>
                </c:pt>
                <c:pt idx="28">
                  <c:v>5279093.3257563813</c:v>
                </c:pt>
                <c:pt idx="29">
                  <c:v>5269658.6544871647</c:v>
                </c:pt>
                <c:pt idx="30">
                  <c:v>5762288.9832179463</c:v>
                </c:pt>
                <c:pt idx="31">
                  <c:v>5786992.3119487278</c:v>
                </c:pt>
                <c:pt idx="32">
                  <c:v>5197002.8406795096</c:v>
                </c:pt>
                <c:pt idx="33">
                  <c:v>5264967.7694102917</c:v>
                </c:pt>
                <c:pt idx="34">
                  <c:v>5411251.898141074</c:v>
                </c:pt>
                <c:pt idx="35">
                  <c:v>5865795.4268718548</c:v>
                </c:pt>
                <c:pt idx="36">
                  <c:v>6111484.5173214637</c:v>
                </c:pt>
                <c:pt idx="37">
                  <c:v>5612165.2504506502</c:v>
                </c:pt>
                <c:pt idx="38">
                  <c:v>5717034.9835798396</c:v>
                </c:pt>
                <c:pt idx="39">
                  <c:v>5295320.7167090271</c:v>
                </c:pt>
                <c:pt idx="40">
                  <c:v>5193932.0498382142</c:v>
                </c:pt>
                <c:pt idx="41">
                  <c:v>5415159.1029674029</c:v>
                </c:pt>
                <c:pt idx="42">
                  <c:v>5909359.3160965908</c:v>
                </c:pt>
                <c:pt idx="43">
                  <c:v>5453866.5692257779</c:v>
                </c:pt>
                <c:pt idx="44">
                  <c:v>5341587.0623549661</c:v>
                </c:pt>
                <c:pt idx="45">
                  <c:v>5332068.0354841538</c:v>
                </c:pt>
                <c:pt idx="46">
                  <c:v>5500255.8086133422</c:v>
                </c:pt>
                <c:pt idx="47">
                  <c:v>5870549.5817425298</c:v>
                </c:pt>
                <c:pt idx="48">
                  <c:v>6249528.2786970027</c:v>
                </c:pt>
                <c:pt idx="49">
                  <c:v>5606591.5732523361</c:v>
                </c:pt>
                <c:pt idx="50">
                  <c:v>5626603.7478076704</c:v>
                </c:pt>
                <c:pt idx="51">
                  <c:v>5088750.3623630051</c:v>
                </c:pt>
                <c:pt idx="52">
                  <c:v>5269132.5769183394</c:v>
                </c:pt>
                <c:pt idx="53">
                  <c:v>5374140.2314736731</c:v>
                </c:pt>
                <c:pt idx="54">
                  <c:v>5841560.4860290075</c:v>
                </c:pt>
                <c:pt idx="55">
                  <c:v>5588607.1405843413</c:v>
                </c:pt>
                <c:pt idx="56">
                  <c:v>5358645.3951396765</c:v>
                </c:pt>
                <c:pt idx="57">
                  <c:v>5216942.0496950103</c:v>
                </c:pt>
                <c:pt idx="58">
                  <c:v>5269712.9042503452</c:v>
                </c:pt>
                <c:pt idx="59">
                  <c:v>5848692.7588056792</c:v>
                </c:pt>
                <c:pt idx="60">
                  <c:v>6253700.5120626036</c:v>
                </c:pt>
                <c:pt idx="61">
                  <c:v>5650064.5591707714</c:v>
                </c:pt>
                <c:pt idx="62">
                  <c:v>5728253.8062789394</c:v>
                </c:pt>
                <c:pt idx="63">
                  <c:v>5156675.2533871075</c:v>
                </c:pt>
                <c:pt idx="64">
                  <c:v>5014022.9004952768</c:v>
                </c:pt>
                <c:pt idx="65">
                  <c:v>5552694.7476034453</c:v>
                </c:pt>
                <c:pt idx="66">
                  <c:v>6038806.5947116129</c:v>
                </c:pt>
                <c:pt idx="67">
                  <c:v>5593679.8418197809</c:v>
                </c:pt>
                <c:pt idx="68">
                  <c:v>5118840.8889279496</c:v>
                </c:pt>
                <c:pt idx="69">
                  <c:v>5192044.5360361179</c:v>
                </c:pt>
                <c:pt idx="70">
                  <c:v>5479491.1831442863</c:v>
                </c:pt>
                <c:pt idx="71">
                  <c:v>6114849.4302524552</c:v>
                </c:pt>
              </c:numCache>
            </c:numRef>
          </c:val>
          <c:smooth val="0"/>
          <c:extLst>
            <c:ext xmlns:c16="http://schemas.microsoft.com/office/drawing/2014/chart" uri="{C3380CC4-5D6E-409C-BE32-E72D297353CC}">
              <c16:uniqueId val="{00000000-D2C3-4EE7-A359-DC497163F216}"/>
            </c:ext>
          </c:extLst>
        </c:ser>
        <c:ser>
          <c:idx val="1"/>
          <c:order val="1"/>
          <c:tx>
            <c:strRef>
              <c:f>'GS&gt;50 Predicted Monthly (no LC)'!$K$1</c:f>
              <c:strCache>
                <c:ptCount val="1"/>
                <c:pt idx="0">
                  <c:v>Predicted</c:v>
                </c:pt>
              </c:strCache>
            </c:strRef>
          </c:tx>
          <c:marker>
            <c:symbol val="none"/>
          </c:marker>
          <c:cat>
            <c:numRef>
              <c:f>'GS&gt;50 Predicted Monthly (no LC)'!$A$50:$A$121</c:f>
              <c:numCache>
                <c:formatCode>mmm\-yy</c:formatCode>
                <c:ptCount val="72"/>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numCache>
            </c:numRef>
          </c:cat>
          <c:val>
            <c:numRef>
              <c:f>'GS&gt;50 Predicted Monthly (no LC)'!$K$50:$K$141</c:f>
              <c:numCache>
                <c:formatCode>_(* #,##0_);_(* \(#,##0\);_(* "-"??_);_(@_)</c:formatCode>
                <c:ptCount val="92"/>
                <c:pt idx="0">
                  <c:v>6092645.4452776946</c:v>
                </c:pt>
                <c:pt idx="1">
                  <c:v>5983527.7086825054</c:v>
                </c:pt>
                <c:pt idx="2">
                  <c:v>5648050.9680204401</c:v>
                </c:pt>
                <c:pt idx="3">
                  <c:v>5264823.0960709639</c:v>
                </c:pt>
                <c:pt idx="4">
                  <c:v>5385661.9500604132</c:v>
                </c:pt>
                <c:pt idx="5">
                  <c:v>5596593.3230916187</c:v>
                </c:pt>
                <c:pt idx="6">
                  <c:v>6199680.3391125239</c:v>
                </c:pt>
                <c:pt idx="7">
                  <c:v>5605886.3684775708</c:v>
                </c:pt>
                <c:pt idx="8">
                  <c:v>5193433.7402165411</c:v>
                </c:pt>
                <c:pt idx="9">
                  <c:v>5176153.333841824</c:v>
                </c:pt>
                <c:pt idx="10">
                  <c:v>5383243.4537674868</c:v>
                </c:pt>
                <c:pt idx="11">
                  <c:v>5917671.1507692635</c:v>
                </c:pt>
                <c:pt idx="12">
                  <c:v>6096099.3930850402</c:v>
                </c:pt>
                <c:pt idx="13">
                  <c:v>6019552.9631870529</c:v>
                </c:pt>
                <c:pt idx="14">
                  <c:v>5635884.3058636021</c:v>
                </c:pt>
                <c:pt idx="15">
                  <c:v>5150186.9943577172</c:v>
                </c:pt>
                <c:pt idx="16">
                  <c:v>5298216.2890763879</c:v>
                </c:pt>
                <c:pt idx="17">
                  <c:v>5737636.3796678074</c:v>
                </c:pt>
                <c:pt idx="18">
                  <c:v>5703770.5342630744</c:v>
                </c:pt>
                <c:pt idx="19">
                  <c:v>6053530.5064878939</c:v>
                </c:pt>
                <c:pt idx="20">
                  <c:v>5238393.1370482147</c:v>
                </c:pt>
                <c:pt idx="21">
                  <c:v>5182606.9766706815</c:v>
                </c:pt>
                <c:pt idx="22">
                  <c:v>5474031.815503425</c:v>
                </c:pt>
                <c:pt idx="23">
                  <c:v>5890555.7309018197</c:v>
                </c:pt>
                <c:pt idx="24">
                  <c:v>6711230.1313552558</c:v>
                </c:pt>
                <c:pt idx="25">
                  <c:v>6070146.545035433</c:v>
                </c:pt>
                <c:pt idx="26">
                  <c:v>5752672.7837267388</c:v>
                </c:pt>
                <c:pt idx="27">
                  <c:v>5192258.1327021671</c:v>
                </c:pt>
                <c:pt idx="28">
                  <c:v>5319943.3107584873</c:v>
                </c:pt>
                <c:pt idx="29">
                  <c:v>5501506.8254318144</c:v>
                </c:pt>
                <c:pt idx="30">
                  <c:v>5857768.4958081245</c:v>
                </c:pt>
                <c:pt idx="31">
                  <c:v>5765113.932569732</c:v>
                </c:pt>
                <c:pt idx="32">
                  <c:v>5206113.9980956847</c:v>
                </c:pt>
                <c:pt idx="33">
                  <c:v>5135033.2278212495</c:v>
                </c:pt>
                <c:pt idx="34">
                  <c:v>5441985.227569798</c:v>
                </c:pt>
                <c:pt idx="35">
                  <c:v>5796194.4556790739</c:v>
                </c:pt>
                <c:pt idx="36">
                  <c:v>6023875.2218956873</c:v>
                </c:pt>
                <c:pt idx="37">
                  <c:v>5957362.6068570269</c:v>
                </c:pt>
                <c:pt idx="38">
                  <c:v>5718963.0249589598</c:v>
                </c:pt>
                <c:pt idx="39">
                  <c:v>5195173.8928442234</c:v>
                </c:pt>
                <c:pt idx="40">
                  <c:v>5216535.5281344317</c:v>
                </c:pt>
                <c:pt idx="41">
                  <c:v>5580855.9834739175</c:v>
                </c:pt>
                <c:pt idx="42">
                  <c:v>5899454.6136358501</c:v>
                </c:pt>
                <c:pt idx="43">
                  <c:v>5559658.373673656</c:v>
                </c:pt>
                <c:pt idx="44">
                  <c:v>5331095.3300267374</c:v>
                </c:pt>
                <c:pt idx="45">
                  <c:v>5210605.7281481419</c:v>
                </c:pt>
                <c:pt idx="46">
                  <c:v>5548016.7282426134</c:v>
                </c:pt>
                <c:pt idx="47">
                  <c:v>5772364.1453881711</c:v>
                </c:pt>
                <c:pt idx="48">
                  <c:v>6040768.6928751897</c:v>
                </c:pt>
                <c:pt idx="49">
                  <c:v>5769392.5925259851</c:v>
                </c:pt>
                <c:pt idx="50">
                  <c:v>5502415.9340766389</c:v>
                </c:pt>
                <c:pt idx="51">
                  <c:v>5129269.0743935341</c:v>
                </c:pt>
                <c:pt idx="52">
                  <c:v>5300839.6965107191</c:v>
                </c:pt>
                <c:pt idx="53">
                  <c:v>5636544.6393714314</c:v>
                </c:pt>
                <c:pt idx="54">
                  <c:v>5976700.631975119</c:v>
                </c:pt>
                <c:pt idx="55">
                  <c:v>5752256.7389011597</c:v>
                </c:pt>
                <c:pt idx="56">
                  <c:v>5381408.9724110998</c:v>
                </c:pt>
                <c:pt idx="57">
                  <c:v>5169446.2546457872</c:v>
                </c:pt>
                <c:pt idx="58">
                  <c:v>5329569.8328304868</c:v>
                </c:pt>
                <c:pt idx="59">
                  <c:v>5965674.2717621336</c:v>
                </c:pt>
                <c:pt idx="60">
                  <c:v>6275777.0383087825</c:v>
                </c:pt>
                <c:pt idx="61">
                  <c:v>6091642.0637917621</c:v>
                </c:pt>
                <c:pt idx="62">
                  <c:v>5700632.0170428799</c:v>
                </c:pt>
                <c:pt idx="63">
                  <c:v>5278754.6515541589</c:v>
                </c:pt>
                <c:pt idx="64">
                  <c:v>5179598.448696346</c:v>
                </c:pt>
                <c:pt idx="65">
                  <c:v>5661862.0373387951</c:v>
                </c:pt>
                <c:pt idx="66">
                  <c:v>6055084.3798510525</c:v>
                </c:pt>
                <c:pt idx="67">
                  <c:v>5794292.1750291632</c:v>
                </c:pt>
                <c:pt idx="68">
                  <c:v>5211028.7695197649</c:v>
                </c:pt>
                <c:pt idx="69">
                  <c:v>5232304.8317169975</c:v>
                </c:pt>
                <c:pt idx="70">
                  <c:v>5527075.9636732172</c:v>
                </c:pt>
                <c:pt idx="71">
                  <c:v>6241908.0892090993</c:v>
                </c:pt>
              </c:numCache>
            </c:numRef>
          </c:val>
          <c:smooth val="0"/>
          <c:extLst>
            <c:ext xmlns:c16="http://schemas.microsoft.com/office/drawing/2014/chart" uri="{C3380CC4-5D6E-409C-BE32-E72D297353CC}">
              <c16:uniqueId val="{00000001-D2C3-4EE7-A359-DC497163F216}"/>
            </c:ext>
          </c:extLst>
        </c:ser>
        <c:dLbls>
          <c:showLegendKey val="0"/>
          <c:showVal val="0"/>
          <c:showCatName val="0"/>
          <c:showSerName val="0"/>
          <c:showPercent val="0"/>
          <c:showBubbleSize val="0"/>
        </c:dLbls>
        <c:smooth val="0"/>
        <c:axId val="175950464"/>
        <c:axId val="176296704"/>
      </c:lineChart>
      <c:dateAx>
        <c:axId val="175950464"/>
        <c:scaling>
          <c:orientation val="minMax"/>
        </c:scaling>
        <c:delete val="0"/>
        <c:axPos val="b"/>
        <c:title>
          <c:tx>
            <c:rich>
              <a:bodyPr/>
              <a:lstStyle/>
              <a:p>
                <a:pPr>
                  <a:defRPr/>
                </a:pPr>
                <a:r>
                  <a:rPr lang="en-US"/>
                  <a:t>Month</a:t>
                </a:r>
              </a:p>
            </c:rich>
          </c:tx>
          <c:overlay val="0"/>
        </c:title>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6296704"/>
        <c:crosses val="autoZero"/>
        <c:auto val="1"/>
        <c:lblOffset val="100"/>
        <c:baseTimeUnit val="months"/>
      </c:dateAx>
      <c:valAx>
        <c:axId val="176296704"/>
        <c:scaling>
          <c:orientation val="minMax"/>
        </c:scaling>
        <c:delete val="0"/>
        <c:axPos val="l"/>
        <c:majorGridlines>
          <c:spPr>
            <a:ln w="9525" cap="flat" cmpd="sng" algn="ctr">
              <a:solidFill>
                <a:schemeClr val="tx1">
                  <a:lumMod val="15000"/>
                  <a:lumOff val="85000"/>
                </a:schemeClr>
              </a:solidFill>
              <a:round/>
            </a:ln>
            <a:effectLst/>
          </c:spPr>
        </c:majorGridlines>
        <c:title>
          <c:tx>
            <c:rich>
              <a:bodyPr/>
              <a:lstStyle/>
              <a:p>
                <a:pPr>
                  <a:defRPr/>
                </a:pPr>
                <a:r>
                  <a:rPr lang="en-US"/>
                  <a:t>Mnthly Consumption</a:t>
                </a:r>
                <a:r>
                  <a:rPr lang="en-US" baseline="0"/>
                  <a:t> (kWh)</a:t>
                </a:r>
                <a:endParaRPr lang="en-US"/>
              </a:p>
            </c:rich>
          </c:tx>
          <c:overlay val="0"/>
        </c:title>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59504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Large</a:t>
            </a:r>
            <a:r>
              <a:rPr lang="en-US" baseline="0"/>
              <a:t> Customer </a:t>
            </a:r>
            <a:r>
              <a:rPr lang="en-US"/>
              <a:t>Predicted Monthly</a:t>
            </a:r>
          </a:p>
        </c:rich>
      </c:tx>
      <c:overlay val="0"/>
      <c:spPr>
        <a:noFill/>
        <a:ln>
          <a:noFill/>
        </a:ln>
        <a:effectLst/>
      </c:spPr>
    </c:title>
    <c:autoTitleDeleted val="0"/>
    <c:plotArea>
      <c:layout/>
      <c:lineChart>
        <c:grouping val="standard"/>
        <c:varyColors val="0"/>
        <c:ser>
          <c:idx val="0"/>
          <c:order val="0"/>
          <c:tx>
            <c:strRef>
              <c:f>'LC Predicted Monthly'!$D$1</c:f>
              <c:strCache>
                <c:ptCount val="1"/>
                <c:pt idx="0">
                  <c:v> LargekWh </c:v>
                </c:pt>
              </c:strCache>
            </c:strRef>
          </c:tx>
          <c:marker>
            <c:symbol val="none"/>
          </c:marker>
          <c:cat>
            <c:numRef>
              <c:f>'LC Predicted Monthly'!$A$2:$A$121</c:f>
              <c:numCache>
                <c:formatCode>mmm\-yy</c:formatCode>
                <c:ptCount val="120"/>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43770</c:v>
                </c:pt>
                <c:pt idx="47">
                  <c:v>43800</c:v>
                </c:pt>
                <c:pt idx="48">
                  <c:v>43831</c:v>
                </c:pt>
                <c:pt idx="49">
                  <c:v>43862</c:v>
                </c:pt>
                <c:pt idx="50">
                  <c:v>43891</c:v>
                </c:pt>
                <c:pt idx="51">
                  <c:v>43922</c:v>
                </c:pt>
                <c:pt idx="52">
                  <c:v>43952</c:v>
                </c:pt>
                <c:pt idx="53">
                  <c:v>43983</c:v>
                </c:pt>
                <c:pt idx="54">
                  <c:v>44013</c:v>
                </c:pt>
                <c:pt idx="55">
                  <c:v>44044</c:v>
                </c:pt>
                <c:pt idx="56">
                  <c:v>44075</c:v>
                </c:pt>
                <c:pt idx="57">
                  <c:v>44105</c:v>
                </c:pt>
                <c:pt idx="58">
                  <c:v>44136</c:v>
                </c:pt>
                <c:pt idx="59">
                  <c:v>44166</c:v>
                </c:pt>
                <c:pt idx="60">
                  <c:v>44197</c:v>
                </c:pt>
                <c:pt idx="61">
                  <c:v>44228</c:v>
                </c:pt>
                <c:pt idx="62">
                  <c:v>44256</c:v>
                </c:pt>
                <c:pt idx="63">
                  <c:v>44287</c:v>
                </c:pt>
                <c:pt idx="64">
                  <c:v>44317</c:v>
                </c:pt>
                <c:pt idx="65">
                  <c:v>44348</c:v>
                </c:pt>
                <c:pt idx="66">
                  <c:v>44378</c:v>
                </c:pt>
                <c:pt idx="67">
                  <c:v>44409</c:v>
                </c:pt>
                <c:pt idx="68">
                  <c:v>44440</c:v>
                </c:pt>
                <c:pt idx="69">
                  <c:v>44470</c:v>
                </c:pt>
                <c:pt idx="70">
                  <c:v>44501</c:v>
                </c:pt>
                <c:pt idx="71">
                  <c:v>44531</c:v>
                </c:pt>
                <c:pt idx="72">
                  <c:v>44562</c:v>
                </c:pt>
                <c:pt idx="73">
                  <c:v>44593</c:v>
                </c:pt>
                <c:pt idx="74">
                  <c:v>44621</c:v>
                </c:pt>
                <c:pt idx="75">
                  <c:v>44652</c:v>
                </c:pt>
                <c:pt idx="76">
                  <c:v>44682</c:v>
                </c:pt>
                <c:pt idx="77">
                  <c:v>44713</c:v>
                </c:pt>
                <c:pt idx="78">
                  <c:v>44743</c:v>
                </c:pt>
                <c:pt idx="79">
                  <c:v>44774</c:v>
                </c:pt>
                <c:pt idx="80">
                  <c:v>44805</c:v>
                </c:pt>
                <c:pt idx="81">
                  <c:v>44835</c:v>
                </c:pt>
                <c:pt idx="82">
                  <c:v>44866</c:v>
                </c:pt>
                <c:pt idx="83">
                  <c:v>44896</c:v>
                </c:pt>
                <c:pt idx="84">
                  <c:v>44927</c:v>
                </c:pt>
                <c:pt idx="85">
                  <c:v>44958</c:v>
                </c:pt>
                <c:pt idx="86">
                  <c:v>44986</c:v>
                </c:pt>
                <c:pt idx="87">
                  <c:v>45017</c:v>
                </c:pt>
                <c:pt idx="88">
                  <c:v>45047</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numCache>
            </c:numRef>
          </c:cat>
          <c:val>
            <c:numRef>
              <c:f>'LC Predicted Monthly'!$D$2:$D$141</c:f>
              <c:numCache>
                <c:formatCode>_(* #,##0_);_(* \(#,##0\);_(* "-"??_);_(@_)</c:formatCode>
                <c:ptCount val="140"/>
                <c:pt idx="0">
                  <c:v>30480</c:v>
                </c:pt>
                <c:pt idx="1">
                  <c:v>118530</c:v>
                </c:pt>
                <c:pt idx="2">
                  <c:v>558</c:v>
                </c:pt>
                <c:pt idx="3">
                  <c:v>6</c:v>
                </c:pt>
                <c:pt idx="4">
                  <c:v>22242</c:v>
                </c:pt>
                <c:pt idx="5">
                  <c:v>6738</c:v>
                </c:pt>
                <c:pt idx="6">
                  <c:v>21684</c:v>
                </c:pt>
                <c:pt idx="7">
                  <c:v>13710</c:v>
                </c:pt>
                <c:pt idx="8">
                  <c:v>210</c:v>
                </c:pt>
                <c:pt idx="9">
                  <c:v>542682</c:v>
                </c:pt>
                <c:pt idx="10">
                  <c:v>1170024.27</c:v>
                </c:pt>
                <c:pt idx="11">
                  <c:v>409794</c:v>
                </c:pt>
                <c:pt idx="12">
                  <c:v>109206</c:v>
                </c:pt>
                <c:pt idx="13">
                  <c:v>18972</c:v>
                </c:pt>
                <c:pt idx="14">
                  <c:v>240</c:v>
                </c:pt>
                <c:pt idx="15">
                  <c:v>1896</c:v>
                </c:pt>
                <c:pt idx="16">
                  <c:v>1884</c:v>
                </c:pt>
                <c:pt idx="17">
                  <c:v>36</c:v>
                </c:pt>
                <c:pt idx="18">
                  <c:v>43326</c:v>
                </c:pt>
                <c:pt idx="19">
                  <c:v>12138</c:v>
                </c:pt>
                <c:pt idx="20">
                  <c:v>136620</c:v>
                </c:pt>
                <c:pt idx="21">
                  <c:v>22812</c:v>
                </c:pt>
                <c:pt idx="22">
                  <c:v>6312</c:v>
                </c:pt>
                <c:pt idx="23">
                  <c:v>166884</c:v>
                </c:pt>
                <c:pt idx="24">
                  <c:v>291042</c:v>
                </c:pt>
                <c:pt idx="25">
                  <c:v>6504</c:v>
                </c:pt>
                <c:pt idx="26">
                  <c:v>3366</c:v>
                </c:pt>
                <c:pt idx="27">
                  <c:v>2016</c:v>
                </c:pt>
                <c:pt idx="28">
                  <c:v>1200</c:v>
                </c:pt>
                <c:pt idx="29">
                  <c:v>2730</c:v>
                </c:pt>
                <c:pt idx="30">
                  <c:v>106638</c:v>
                </c:pt>
                <c:pt idx="31">
                  <c:v>24426</c:v>
                </c:pt>
                <c:pt idx="32">
                  <c:v>3012</c:v>
                </c:pt>
                <c:pt idx="33">
                  <c:v>3146.4</c:v>
                </c:pt>
                <c:pt idx="34">
                  <c:v>168930</c:v>
                </c:pt>
                <c:pt idx="35">
                  <c:v>41917.199999999997</c:v>
                </c:pt>
                <c:pt idx="36">
                  <c:v>217986.8</c:v>
                </c:pt>
                <c:pt idx="37">
                  <c:v>73564.800000000003</c:v>
                </c:pt>
                <c:pt idx="38">
                  <c:v>5464.8</c:v>
                </c:pt>
                <c:pt idx="39">
                  <c:v>73895.199999999997</c:v>
                </c:pt>
                <c:pt idx="40">
                  <c:v>94198</c:v>
                </c:pt>
                <c:pt idx="41">
                  <c:v>14962.4</c:v>
                </c:pt>
                <c:pt idx="42">
                  <c:v>19603.599999999999</c:v>
                </c:pt>
                <c:pt idx="43">
                  <c:v>14506</c:v>
                </c:pt>
                <c:pt idx="44">
                  <c:v>7091.6</c:v>
                </c:pt>
                <c:pt idx="45">
                  <c:v>5152.3999999999996</c:v>
                </c:pt>
                <c:pt idx="46">
                  <c:v>133759.20000000001</c:v>
                </c:pt>
                <c:pt idx="47">
                  <c:v>51856.39</c:v>
                </c:pt>
                <c:pt idx="48">
                  <c:v>77811.460000000006</c:v>
                </c:pt>
                <c:pt idx="49">
                  <c:v>218008</c:v>
                </c:pt>
                <c:pt idx="50">
                  <c:v>16681.759999999998</c:v>
                </c:pt>
                <c:pt idx="51">
                  <c:v>3969.44</c:v>
                </c:pt>
                <c:pt idx="52">
                  <c:v>528</c:v>
                </c:pt>
                <c:pt idx="53">
                  <c:v>3140.96</c:v>
                </c:pt>
                <c:pt idx="54">
                  <c:v>44336.800000000003</c:v>
                </c:pt>
                <c:pt idx="55">
                  <c:v>7553.6</c:v>
                </c:pt>
                <c:pt idx="56">
                  <c:v>1851.2</c:v>
                </c:pt>
                <c:pt idx="57">
                  <c:v>1991.2</c:v>
                </c:pt>
                <c:pt idx="58">
                  <c:v>4040</c:v>
                </c:pt>
                <c:pt idx="59">
                  <c:v>8307.2000000000007</c:v>
                </c:pt>
                <c:pt idx="60">
                  <c:v>7844</c:v>
                </c:pt>
                <c:pt idx="61">
                  <c:v>30622.400000000001</c:v>
                </c:pt>
                <c:pt idx="62">
                  <c:v>34111.199999999997</c:v>
                </c:pt>
                <c:pt idx="63">
                  <c:v>0</c:v>
                </c:pt>
                <c:pt idx="64">
                  <c:v>1284</c:v>
                </c:pt>
                <c:pt idx="65">
                  <c:v>2261.6</c:v>
                </c:pt>
                <c:pt idx="66">
                  <c:v>16538.240000000002</c:v>
                </c:pt>
                <c:pt idx="67">
                  <c:v>0.48</c:v>
                </c:pt>
                <c:pt idx="68">
                  <c:v>10168.959999999999</c:v>
                </c:pt>
                <c:pt idx="69">
                  <c:v>1736</c:v>
                </c:pt>
                <c:pt idx="70">
                  <c:v>50588.800000000003</c:v>
                </c:pt>
                <c:pt idx="71">
                  <c:v>19046.72</c:v>
                </c:pt>
                <c:pt idx="72">
                  <c:v>551178.4</c:v>
                </c:pt>
                <c:pt idx="73">
                  <c:v>642655.19999999995</c:v>
                </c:pt>
                <c:pt idx="74">
                  <c:v>14180.8</c:v>
                </c:pt>
                <c:pt idx="75">
                  <c:v>869.6</c:v>
                </c:pt>
                <c:pt idx="76">
                  <c:v>4842.3999999999996</c:v>
                </c:pt>
                <c:pt idx="77">
                  <c:v>557.6</c:v>
                </c:pt>
                <c:pt idx="78">
                  <c:v>2800.8</c:v>
                </c:pt>
                <c:pt idx="79">
                  <c:v>13204</c:v>
                </c:pt>
                <c:pt idx="80">
                  <c:v>16</c:v>
                </c:pt>
                <c:pt idx="81">
                  <c:v>11505.6</c:v>
                </c:pt>
                <c:pt idx="82">
                  <c:v>1080057.76</c:v>
                </c:pt>
                <c:pt idx="83">
                  <c:v>518047.52</c:v>
                </c:pt>
                <c:pt idx="84">
                  <c:v>5321.6</c:v>
                </c:pt>
                <c:pt idx="85">
                  <c:v>84355.36</c:v>
                </c:pt>
                <c:pt idx="86">
                  <c:v>1277.5999999999999</c:v>
                </c:pt>
                <c:pt idx="87">
                  <c:v>5946.72</c:v>
                </c:pt>
                <c:pt idx="88">
                  <c:v>5086.3999999999996</c:v>
                </c:pt>
                <c:pt idx="89">
                  <c:v>19736.8</c:v>
                </c:pt>
                <c:pt idx="90">
                  <c:v>1885.6</c:v>
                </c:pt>
                <c:pt idx="91">
                  <c:v>50262.080000000002</c:v>
                </c:pt>
                <c:pt idx="92">
                  <c:v>476.32</c:v>
                </c:pt>
                <c:pt idx="93">
                  <c:v>8698.08</c:v>
                </c:pt>
                <c:pt idx="94">
                  <c:v>112023.03999999999</c:v>
                </c:pt>
                <c:pt idx="95">
                  <c:v>156736</c:v>
                </c:pt>
                <c:pt idx="96">
                  <c:v>4079.68</c:v>
                </c:pt>
                <c:pt idx="97">
                  <c:v>38393.440000000002</c:v>
                </c:pt>
                <c:pt idx="98">
                  <c:v>60396.32</c:v>
                </c:pt>
                <c:pt idx="99">
                  <c:v>537.76</c:v>
                </c:pt>
                <c:pt idx="100">
                  <c:v>25.6</c:v>
                </c:pt>
                <c:pt idx="101">
                  <c:v>32</c:v>
                </c:pt>
                <c:pt idx="102">
                  <c:v>6252.8</c:v>
                </c:pt>
                <c:pt idx="103">
                  <c:v>371.2</c:v>
                </c:pt>
                <c:pt idx="104">
                  <c:v>304</c:v>
                </c:pt>
                <c:pt idx="105">
                  <c:v>148430.39999999999</c:v>
                </c:pt>
                <c:pt idx="106">
                  <c:v>63941.599999999999</c:v>
                </c:pt>
                <c:pt idx="107">
                  <c:v>426684.8</c:v>
                </c:pt>
                <c:pt idx="108">
                  <c:v>143449.60000000001</c:v>
                </c:pt>
                <c:pt idx="109">
                  <c:v>393060</c:v>
                </c:pt>
                <c:pt idx="110">
                  <c:v>94755.199999999997</c:v>
                </c:pt>
                <c:pt idx="111">
                  <c:v>4427.2</c:v>
                </c:pt>
                <c:pt idx="112">
                  <c:v>6524</c:v>
                </c:pt>
                <c:pt idx="113">
                  <c:v>296.60000000000002</c:v>
                </c:pt>
                <c:pt idx="114">
                  <c:v>2655.2</c:v>
                </c:pt>
                <c:pt idx="115">
                  <c:v>238.4</c:v>
                </c:pt>
                <c:pt idx="116">
                  <c:v>26308.799999999999</c:v>
                </c:pt>
                <c:pt idx="117">
                  <c:v>785685.6</c:v>
                </c:pt>
                <c:pt idx="118">
                  <c:v>2541758.4</c:v>
                </c:pt>
                <c:pt idx="119">
                  <c:v>4442053.5999999996</c:v>
                </c:pt>
              </c:numCache>
            </c:numRef>
          </c:val>
          <c:smooth val="0"/>
          <c:extLst>
            <c:ext xmlns:c16="http://schemas.microsoft.com/office/drawing/2014/chart" uri="{C3380CC4-5D6E-409C-BE32-E72D297353CC}">
              <c16:uniqueId val="{00000000-7BD6-4C3D-B1FD-CFFB6B11F01C}"/>
            </c:ext>
          </c:extLst>
        </c:ser>
        <c:ser>
          <c:idx val="1"/>
          <c:order val="1"/>
          <c:tx>
            <c:strRef>
              <c:f>'LC Predicted Monthly'!$O$1</c:f>
              <c:strCache>
                <c:ptCount val="1"/>
                <c:pt idx="0">
                  <c:v>Predicted</c:v>
                </c:pt>
              </c:strCache>
            </c:strRef>
          </c:tx>
          <c:marker>
            <c:symbol val="none"/>
          </c:marker>
          <c:cat>
            <c:numRef>
              <c:f>'LC Predicted Monthly'!$A$2:$A$121</c:f>
              <c:numCache>
                <c:formatCode>mmm\-yy</c:formatCode>
                <c:ptCount val="120"/>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43770</c:v>
                </c:pt>
                <c:pt idx="47">
                  <c:v>43800</c:v>
                </c:pt>
                <c:pt idx="48">
                  <c:v>43831</c:v>
                </c:pt>
                <c:pt idx="49">
                  <c:v>43862</c:v>
                </c:pt>
                <c:pt idx="50">
                  <c:v>43891</c:v>
                </c:pt>
                <c:pt idx="51">
                  <c:v>43922</c:v>
                </c:pt>
                <c:pt idx="52">
                  <c:v>43952</c:v>
                </c:pt>
                <c:pt idx="53">
                  <c:v>43983</c:v>
                </c:pt>
                <c:pt idx="54">
                  <c:v>44013</c:v>
                </c:pt>
                <c:pt idx="55">
                  <c:v>44044</c:v>
                </c:pt>
                <c:pt idx="56">
                  <c:v>44075</c:v>
                </c:pt>
                <c:pt idx="57">
                  <c:v>44105</c:v>
                </c:pt>
                <c:pt idx="58">
                  <c:v>44136</c:v>
                </c:pt>
                <c:pt idx="59">
                  <c:v>44166</c:v>
                </c:pt>
                <c:pt idx="60">
                  <c:v>44197</c:v>
                </c:pt>
                <c:pt idx="61">
                  <c:v>44228</c:v>
                </c:pt>
                <c:pt idx="62">
                  <c:v>44256</c:v>
                </c:pt>
                <c:pt idx="63">
                  <c:v>44287</c:v>
                </c:pt>
                <c:pt idx="64">
                  <c:v>44317</c:v>
                </c:pt>
                <c:pt idx="65">
                  <c:v>44348</c:v>
                </c:pt>
                <c:pt idx="66">
                  <c:v>44378</c:v>
                </c:pt>
                <c:pt idx="67">
                  <c:v>44409</c:v>
                </c:pt>
                <c:pt idx="68">
                  <c:v>44440</c:v>
                </c:pt>
                <c:pt idx="69">
                  <c:v>44470</c:v>
                </c:pt>
                <c:pt idx="70">
                  <c:v>44501</c:v>
                </c:pt>
                <c:pt idx="71">
                  <c:v>44531</c:v>
                </c:pt>
                <c:pt idx="72">
                  <c:v>44562</c:v>
                </c:pt>
                <c:pt idx="73">
                  <c:v>44593</c:v>
                </c:pt>
                <c:pt idx="74">
                  <c:v>44621</c:v>
                </c:pt>
                <c:pt idx="75">
                  <c:v>44652</c:v>
                </c:pt>
                <c:pt idx="76">
                  <c:v>44682</c:v>
                </c:pt>
                <c:pt idx="77">
                  <c:v>44713</c:v>
                </c:pt>
                <c:pt idx="78">
                  <c:v>44743</c:v>
                </c:pt>
                <c:pt idx="79">
                  <c:v>44774</c:v>
                </c:pt>
                <c:pt idx="80">
                  <c:v>44805</c:v>
                </c:pt>
                <c:pt idx="81">
                  <c:v>44835</c:v>
                </c:pt>
                <c:pt idx="82">
                  <c:v>44866</c:v>
                </c:pt>
                <c:pt idx="83">
                  <c:v>44896</c:v>
                </c:pt>
                <c:pt idx="84">
                  <c:v>44927</c:v>
                </c:pt>
                <c:pt idx="85">
                  <c:v>44958</c:v>
                </c:pt>
                <c:pt idx="86">
                  <c:v>44986</c:v>
                </c:pt>
                <c:pt idx="87">
                  <c:v>45017</c:v>
                </c:pt>
                <c:pt idx="88">
                  <c:v>45047</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numCache>
            </c:numRef>
          </c:cat>
          <c:val>
            <c:numRef>
              <c:f>'LC Predicted Monthly'!$O$2:$O$141</c:f>
              <c:numCache>
                <c:formatCode>_(* #,##0_);_(* \(#,##0\);_(* "-"??_);_(@_)</c:formatCode>
                <c:ptCount val="140"/>
                <c:pt idx="0">
                  <c:v>158958.69549204389</c:v>
                </c:pt>
                <c:pt idx="1">
                  <c:v>154253.66786818099</c:v>
                </c:pt>
                <c:pt idx="2">
                  <c:v>119419.57295264667</c:v>
                </c:pt>
                <c:pt idx="3">
                  <c:v>88770.568332220952</c:v>
                </c:pt>
                <c:pt idx="4">
                  <c:v>21498.611407585257</c:v>
                </c:pt>
                <c:pt idx="5">
                  <c:v>-2345.1429419010747</c:v>
                </c:pt>
                <c:pt idx="6">
                  <c:v>-16226.062078062272</c:v>
                </c:pt>
                <c:pt idx="7">
                  <c:v>-18710.159701249428</c:v>
                </c:pt>
                <c:pt idx="8">
                  <c:v>105986.29725947297</c:v>
                </c:pt>
                <c:pt idx="9">
                  <c:v>151310.84221660893</c:v>
                </c:pt>
                <c:pt idx="10">
                  <c:v>184351.38793820408</c:v>
                </c:pt>
                <c:pt idx="11">
                  <c:v>143678.33880408367</c:v>
                </c:pt>
                <c:pt idx="12">
                  <c:v>148292.51601693378</c:v>
                </c:pt>
                <c:pt idx="13">
                  <c:v>128564.7544668561</c:v>
                </c:pt>
                <c:pt idx="14">
                  <c:v>144966.45261281062</c:v>
                </c:pt>
                <c:pt idx="15">
                  <c:v>64820.608572677316</c:v>
                </c:pt>
                <c:pt idx="16">
                  <c:v>34315.77033216873</c:v>
                </c:pt>
                <c:pt idx="17">
                  <c:v>-588.70166231922121</c:v>
                </c:pt>
                <c:pt idx="18">
                  <c:v>-14824.49188750716</c:v>
                </c:pt>
                <c:pt idx="19">
                  <c:v>-4907.7216713152993</c:v>
                </c:pt>
                <c:pt idx="20">
                  <c:v>104078.01210045179</c:v>
                </c:pt>
                <c:pt idx="21">
                  <c:v>136165.26829803878</c:v>
                </c:pt>
                <c:pt idx="22">
                  <c:v>203383.90925377022</c:v>
                </c:pt>
                <c:pt idx="23">
                  <c:v>172738.52755116258</c:v>
                </c:pt>
                <c:pt idx="24">
                  <c:v>174637.42909965667</c:v>
                </c:pt>
                <c:pt idx="25">
                  <c:v>131731.29649201775</c:v>
                </c:pt>
                <c:pt idx="26">
                  <c:v>122962.738982148</c:v>
                </c:pt>
                <c:pt idx="27">
                  <c:v>92192.173952620578</c:v>
                </c:pt>
                <c:pt idx="28">
                  <c:v>16017.729804227598</c:v>
                </c:pt>
                <c:pt idx="29">
                  <c:v>-333.6380670812614</c:v>
                </c:pt>
                <c:pt idx="30">
                  <c:v>-19574.304925249628</c:v>
                </c:pt>
                <c:pt idx="31">
                  <c:v>-17484.318944202743</c:v>
                </c:pt>
                <c:pt idx="32">
                  <c:v>109180.13706071361</c:v>
                </c:pt>
                <c:pt idx="33">
                  <c:v>165307.7769011058</c:v>
                </c:pt>
                <c:pt idx="34">
                  <c:v>214746.60854664553</c:v>
                </c:pt>
                <c:pt idx="35">
                  <c:v>152434.10048141654</c:v>
                </c:pt>
                <c:pt idx="36">
                  <c:v>193237.45127547151</c:v>
                </c:pt>
                <c:pt idx="37">
                  <c:v>153145.97529822614</c:v>
                </c:pt>
                <c:pt idx="38">
                  <c:v>135726.15541007594</c:v>
                </c:pt>
                <c:pt idx="39">
                  <c:v>79904.762495069794</c:v>
                </c:pt>
                <c:pt idx="40">
                  <c:v>40246.212185327051</c:v>
                </c:pt>
                <c:pt idx="41">
                  <c:v>826.51741627537922</c:v>
                </c:pt>
                <c:pt idx="42">
                  <c:v>-19817.425743453045</c:v>
                </c:pt>
                <c:pt idx="43">
                  <c:v>-10734.090753172533</c:v>
                </c:pt>
                <c:pt idx="44">
                  <c:v>114113.35703148674</c:v>
                </c:pt>
                <c:pt idx="45">
                  <c:v>156459.03217400401</c:v>
                </c:pt>
                <c:pt idx="46">
                  <c:v>214922.33798015394</c:v>
                </c:pt>
                <c:pt idx="47">
                  <c:v>143485.54826052595</c:v>
                </c:pt>
                <c:pt idx="48">
                  <c:v>151632.22830909645</c:v>
                </c:pt>
                <c:pt idx="49">
                  <c:v>141984.17057618205</c:v>
                </c:pt>
                <c:pt idx="50">
                  <c:v>112321.72464436071</c:v>
                </c:pt>
                <c:pt idx="51">
                  <c:v>78068.987053758436</c:v>
                </c:pt>
                <c:pt idx="52">
                  <c:v>34264.58700202062</c:v>
                </c:pt>
                <c:pt idx="53">
                  <c:v>-3779.1292415499847</c:v>
                </c:pt>
                <c:pt idx="54">
                  <c:v>-21906.558668997459</c:v>
                </c:pt>
                <c:pt idx="55">
                  <c:v>-6382.654635082672</c:v>
                </c:pt>
                <c:pt idx="56">
                  <c:v>117588.70514854182</c:v>
                </c:pt>
                <c:pt idx="57">
                  <c:v>163774.83616317061</c:v>
                </c:pt>
                <c:pt idx="58">
                  <c:v>180473.39762398397</c:v>
                </c:pt>
                <c:pt idx="59">
                  <c:v>136161.21371633472</c:v>
                </c:pt>
                <c:pt idx="60">
                  <c:v>151937.62217898003</c:v>
                </c:pt>
                <c:pt idx="61">
                  <c:v>145169.47982239799</c:v>
                </c:pt>
                <c:pt idx="62">
                  <c:v>110720.53946622813</c:v>
                </c:pt>
                <c:pt idx="63">
                  <c:v>55348.706801022607</c:v>
                </c:pt>
                <c:pt idx="64">
                  <c:v>28831.476506801173</c:v>
                </c:pt>
                <c:pt idx="65">
                  <c:v>-11403.73932261001</c:v>
                </c:pt>
                <c:pt idx="66">
                  <c:v>-10656.462702447943</c:v>
                </c:pt>
                <c:pt idx="67">
                  <c:v>-17145.6559097229</c:v>
                </c:pt>
                <c:pt idx="68">
                  <c:v>108943.84068652995</c:v>
                </c:pt>
                <c:pt idx="69">
                  <c:v>135616.32708220053</c:v>
                </c:pt>
                <c:pt idx="70">
                  <c:v>194905.39061473959</c:v>
                </c:pt>
                <c:pt idx="71">
                  <c:v>133763.70122664803</c:v>
                </c:pt>
                <c:pt idx="72">
                  <c:v>206326.73490534219</c:v>
                </c:pt>
                <c:pt idx="73">
                  <c:v>149642.90287734079</c:v>
                </c:pt>
                <c:pt idx="74">
                  <c:v>121572.25851312495</c:v>
                </c:pt>
                <c:pt idx="75">
                  <c:v>71732.49078142528</c:v>
                </c:pt>
                <c:pt idx="76">
                  <c:v>12838.39194652894</c:v>
                </c:pt>
                <c:pt idx="77">
                  <c:v>-1988.5657418694027</c:v>
                </c:pt>
                <c:pt idx="78">
                  <c:v>-17624.220046607516</c:v>
                </c:pt>
                <c:pt idx="79">
                  <c:v>-13814.474172584909</c:v>
                </c:pt>
                <c:pt idx="80">
                  <c:v>113366.08041132466</c:v>
                </c:pt>
                <c:pt idx="81">
                  <c:v>154427.05396712496</c:v>
                </c:pt>
                <c:pt idx="82">
                  <c:v>179712.47211578244</c:v>
                </c:pt>
                <c:pt idx="83">
                  <c:v>125420.3918847586</c:v>
                </c:pt>
                <c:pt idx="84">
                  <c:v>145551.64868750374</c:v>
                </c:pt>
                <c:pt idx="85">
                  <c:v>139670.68405348851</c:v>
                </c:pt>
                <c:pt idx="86">
                  <c:v>118591.68258750142</c:v>
                </c:pt>
                <c:pt idx="87">
                  <c:v>63438.232130927747</c:v>
                </c:pt>
                <c:pt idx="88">
                  <c:v>25407.738247645411</c:v>
                </c:pt>
                <c:pt idx="89">
                  <c:v>-6454.311297289998</c:v>
                </c:pt>
                <c:pt idx="90">
                  <c:v>-17163.570075274733</c:v>
                </c:pt>
                <c:pt idx="91">
                  <c:v>-6708.5218370254952</c:v>
                </c:pt>
                <c:pt idx="92">
                  <c:v>108484.89682620208</c:v>
                </c:pt>
                <c:pt idx="93">
                  <c:v>138527.80551212421</c:v>
                </c:pt>
                <c:pt idx="94">
                  <c:v>201447.04673541634</c:v>
                </c:pt>
                <c:pt idx="95">
                  <c:v>123313.34479366243</c:v>
                </c:pt>
                <c:pt idx="96">
                  <c:v>147045.34887232541</c:v>
                </c:pt>
                <c:pt idx="97">
                  <c:v>123050.60369890221</c:v>
                </c:pt>
                <c:pt idx="98">
                  <c:v>99444.851834604473</c:v>
                </c:pt>
                <c:pt idx="99">
                  <c:v>62702.045232297751</c:v>
                </c:pt>
                <c:pt idx="100">
                  <c:v>10534.289034362551</c:v>
                </c:pt>
                <c:pt idx="101">
                  <c:v>-5857.1724455623116</c:v>
                </c:pt>
                <c:pt idx="102">
                  <c:v>-19180.193283109362</c:v>
                </c:pt>
                <c:pt idx="103">
                  <c:v>-9653.2694315454319</c:v>
                </c:pt>
                <c:pt idx="104">
                  <c:v>100044.76568478254</c:v>
                </c:pt>
                <c:pt idx="105">
                  <c:v>148991.38430539813</c:v>
                </c:pt>
                <c:pt idx="106">
                  <c:v>178961.78327361049</c:v>
                </c:pt>
                <c:pt idx="107">
                  <c:v>140405.59136886479</c:v>
                </c:pt>
                <c:pt idx="108">
                  <c:v>167824.50132919502</c:v>
                </c:pt>
                <c:pt idx="109">
                  <c:v>151543.51053683978</c:v>
                </c:pt>
                <c:pt idx="110">
                  <c:v>116970.87713281199</c:v>
                </c:pt>
                <c:pt idx="111">
                  <c:v>75461.622910464605</c:v>
                </c:pt>
                <c:pt idx="112">
                  <c:v>25894.406411803455</c:v>
                </c:pt>
                <c:pt idx="113">
                  <c:v>-5131.2222129619477</c:v>
                </c:pt>
                <c:pt idx="114">
                  <c:v>-17839.190033229479</c:v>
                </c:pt>
                <c:pt idx="115">
                  <c:v>-8855.2360089865088</c:v>
                </c:pt>
                <c:pt idx="116">
                  <c:v>111862.14356047337</c:v>
                </c:pt>
                <c:pt idx="117">
                  <c:v>146331.55724870256</c:v>
                </c:pt>
                <c:pt idx="118">
                  <c:v>2330088.7969622393</c:v>
                </c:pt>
                <c:pt idx="119">
                  <c:v>4371976.5881188205</c:v>
                </c:pt>
              </c:numCache>
            </c:numRef>
          </c:val>
          <c:smooth val="0"/>
          <c:extLst>
            <c:ext xmlns:c16="http://schemas.microsoft.com/office/drawing/2014/chart" uri="{C3380CC4-5D6E-409C-BE32-E72D297353CC}">
              <c16:uniqueId val="{00000001-7BD6-4C3D-B1FD-CFFB6B11F01C}"/>
            </c:ext>
          </c:extLst>
        </c:ser>
        <c:dLbls>
          <c:showLegendKey val="0"/>
          <c:showVal val="0"/>
          <c:showCatName val="0"/>
          <c:showSerName val="0"/>
          <c:showPercent val="0"/>
          <c:showBubbleSize val="0"/>
        </c:dLbls>
        <c:smooth val="0"/>
        <c:axId val="175950464"/>
        <c:axId val="176296704"/>
      </c:lineChart>
      <c:dateAx>
        <c:axId val="175950464"/>
        <c:scaling>
          <c:orientation val="minMax"/>
        </c:scaling>
        <c:delete val="0"/>
        <c:axPos val="b"/>
        <c:title>
          <c:tx>
            <c:rich>
              <a:bodyPr/>
              <a:lstStyle/>
              <a:p>
                <a:pPr>
                  <a:defRPr/>
                </a:pPr>
                <a:r>
                  <a:rPr lang="en-US"/>
                  <a:t>Month</a:t>
                </a:r>
              </a:p>
            </c:rich>
          </c:tx>
          <c:overlay val="0"/>
        </c:title>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6296704"/>
        <c:crosses val="autoZero"/>
        <c:auto val="1"/>
        <c:lblOffset val="100"/>
        <c:baseTimeUnit val="months"/>
      </c:dateAx>
      <c:valAx>
        <c:axId val="176296704"/>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a:lstStyle/>
              <a:p>
                <a:pPr>
                  <a:defRPr/>
                </a:pPr>
                <a:r>
                  <a:rPr lang="en-US"/>
                  <a:t>Mnthly Consumption</a:t>
                </a:r>
                <a:r>
                  <a:rPr lang="en-US" baseline="0"/>
                  <a:t> (kWh)</a:t>
                </a:r>
                <a:endParaRPr lang="en-US"/>
              </a:p>
            </c:rich>
          </c:tx>
          <c:overlay val="0"/>
        </c:title>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59504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tx1"/>
                </a:solidFill>
                <a:latin typeface="+mn-lt"/>
                <a:ea typeface="+mn-ea"/>
                <a:cs typeface="+mn-cs"/>
              </a:defRPr>
            </a:pPr>
            <a:r>
              <a:rPr lang="en-US"/>
              <a:t>Res kWh</a:t>
            </a:r>
          </a:p>
        </c:rich>
      </c:tx>
      <c:overlay val="0"/>
      <c:spPr>
        <a:noFill/>
        <a:ln>
          <a:noFill/>
        </a:ln>
        <a:effectLst/>
      </c:spPr>
    </c:title>
    <c:autoTitleDeleted val="0"/>
    <c:plotArea>
      <c:layout>
        <c:manualLayout>
          <c:layoutTarget val="inner"/>
          <c:xMode val="edge"/>
          <c:yMode val="edge"/>
          <c:x val="0.15396154813859148"/>
          <c:y val="0.15081562385346992"/>
          <c:w val="0.77396832572741314"/>
          <c:h val="0.60527163943216777"/>
        </c:manualLayout>
      </c:layout>
      <c:lineChart>
        <c:grouping val="standard"/>
        <c:varyColors val="0"/>
        <c:ser>
          <c:idx val="2"/>
          <c:order val="0"/>
          <c:tx>
            <c:strRef>
              <c:f>'Model Summary'!$C$3</c:f>
              <c:strCache>
                <c:ptCount val="1"/>
                <c:pt idx="0">
                  <c:v>CDM Added Back</c:v>
                </c:pt>
              </c:strCache>
            </c:strRef>
          </c:tx>
          <c:spPr>
            <a:ln w="19050" cap="rnd" cmpd="sng" algn="ctr">
              <a:solidFill>
                <a:schemeClr val="accent3"/>
              </a:solidFill>
              <a:prstDash val="solid"/>
              <a:round/>
            </a:ln>
            <a:effectLst/>
          </c:spPr>
          <c:marker>
            <c:symbol val="none"/>
          </c:marker>
          <c:cat>
            <c:numRef>
              <c:f>'Model Summary'!$B$4:$B$13</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'Model Summary'!$C$4:$C$13</c:f>
              <c:numCache>
                <c:formatCode>#,##0</c:formatCode>
                <c:ptCount val="10"/>
                <c:pt idx="0">
                  <c:v>77024706.5</c:v>
                </c:pt>
                <c:pt idx="1">
                  <c:v>77499466.519999996</c:v>
                </c:pt>
                <c:pt idx="2">
                  <c:v>83578765.401635692</c:v>
                </c:pt>
                <c:pt idx="3">
                  <c:v>87874875.305112973</c:v>
                </c:pt>
                <c:pt idx="4">
                  <c:v>87084144.305112958</c:v>
                </c:pt>
                <c:pt idx="5">
                  <c:v>87284957.413936123</c:v>
                </c:pt>
                <c:pt idx="6">
                  <c:v>88081157.296012342</c:v>
                </c:pt>
                <c:pt idx="7">
                  <c:v>87011012.248750299</c:v>
                </c:pt>
                <c:pt idx="8">
                  <c:v>88808415.569124147</c:v>
                </c:pt>
                <c:pt idx="9">
                  <c:v>93157276.854925811</c:v>
                </c:pt>
              </c:numCache>
            </c:numRef>
          </c:val>
          <c:smooth val="0"/>
          <c:extLst>
            <c:ext xmlns:c16="http://schemas.microsoft.com/office/drawing/2014/chart" uri="{C3380CC4-5D6E-409C-BE32-E72D297353CC}">
              <c16:uniqueId val="{00000000-7E8B-4816-B55E-9CA300298653}"/>
            </c:ext>
          </c:extLst>
        </c:ser>
        <c:ser>
          <c:idx val="0"/>
          <c:order val="1"/>
          <c:tx>
            <c:strRef>
              <c:f>'Model Summary'!$D$3</c:f>
              <c:strCache>
                <c:ptCount val="1"/>
                <c:pt idx="0">
                  <c:v>Predicted</c:v>
                </c:pt>
              </c:strCache>
            </c:strRef>
          </c:tx>
          <c:spPr>
            <a:ln w="19050" cap="rnd" cmpd="sng" algn="ctr">
              <a:solidFill>
                <a:schemeClr val="accent1"/>
              </a:solidFill>
              <a:prstDash val="solid"/>
              <a:round/>
            </a:ln>
            <a:effectLst/>
          </c:spPr>
          <c:marker>
            <c:symbol val="none"/>
          </c:marker>
          <c:cat>
            <c:numRef>
              <c:f>'Model Summary'!$B$4:$B$13</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'Model Summary'!$D$4:$D$13</c:f>
              <c:numCache>
                <c:formatCode>#,##0</c:formatCode>
                <c:ptCount val="10"/>
                <c:pt idx="0">
                  <c:v>77113207.445807025</c:v>
                </c:pt>
                <c:pt idx="1">
                  <c:v>76932007.854082212</c:v>
                </c:pt>
                <c:pt idx="2">
                  <c:v>82867951.672822371</c:v>
                </c:pt>
                <c:pt idx="3">
                  <c:v>83074224.226157963</c:v>
                </c:pt>
                <c:pt idx="4">
                  <c:v>86411069.108527496</c:v>
                </c:pt>
                <c:pt idx="5">
                  <c:v>87439786.73694402</c:v>
                </c:pt>
                <c:pt idx="6">
                  <c:v>89134131.476258725</c:v>
                </c:pt>
                <c:pt idx="7">
                  <c:v>87333881.53489843</c:v>
                </c:pt>
                <c:pt idx="8">
                  <c:v>88154168.737918675</c:v>
                </c:pt>
                <c:pt idx="9">
                  <c:v>92969869.923073903</c:v>
                </c:pt>
              </c:numCache>
            </c:numRef>
          </c:val>
          <c:smooth val="0"/>
          <c:extLst>
            <c:ext xmlns:c16="http://schemas.microsoft.com/office/drawing/2014/chart" uri="{C3380CC4-5D6E-409C-BE32-E72D297353CC}">
              <c16:uniqueId val="{00000001-7E8B-4816-B55E-9CA300298653}"/>
            </c:ext>
          </c:extLst>
        </c:ser>
        <c:dLbls>
          <c:showLegendKey val="0"/>
          <c:showVal val="0"/>
          <c:showCatName val="0"/>
          <c:showSerName val="0"/>
          <c:showPercent val="0"/>
          <c:showBubbleSize val="0"/>
        </c:dLbls>
        <c:smooth val="0"/>
        <c:axId val="176336256"/>
        <c:axId val="176354432"/>
      </c:lineChart>
      <c:catAx>
        <c:axId val="176336256"/>
        <c:scaling>
          <c:orientation val="minMax"/>
        </c:scaling>
        <c:delete val="0"/>
        <c:axPos val="b"/>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76354432"/>
        <c:crosses val="autoZero"/>
        <c:auto val="1"/>
        <c:lblAlgn val="ctr"/>
        <c:lblOffset val="100"/>
        <c:noMultiLvlLbl val="0"/>
      </c:catAx>
      <c:valAx>
        <c:axId val="176354432"/>
        <c:scaling>
          <c:orientation val="minMax"/>
          <c:min val="50000000"/>
        </c:scaling>
        <c:delete val="0"/>
        <c:axPos val="l"/>
        <c:majorGridlines>
          <c:spPr>
            <a:ln w="9525" cap="flat" cmpd="sng" algn="ctr">
              <a:solidFill>
                <a:schemeClr val="tx1">
                  <a:tint val="75000"/>
                  <a:shade val="95000"/>
                  <a:satMod val="105000"/>
                </a:schemeClr>
              </a:solidFill>
              <a:prstDash val="solid"/>
              <a:round/>
            </a:ln>
            <a:effectLst/>
          </c:spPr>
        </c:majorGridlines>
        <c:numFmt formatCode="#,##0"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176336256"/>
        <c:crosses val="autoZero"/>
        <c:crossBetween val="between"/>
      </c:valAx>
      <c:spPr>
        <a:solidFill>
          <a:schemeClr val="bg1"/>
        </a:solidFill>
        <a:ln>
          <a:noFill/>
        </a:ln>
        <a:effectLst/>
      </c:spPr>
    </c:plotArea>
    <c:legend>
      <c:legendPos val="r"/>
      <c:layout>
        <c:manualLayout>
          <c:xMode val="edge"/>
          <c:yMode val="edge"/>
          <c:x val="0.21715721957119594"/>
          <c:y val="0.88854677939255144"/>
          <c:w val="0.24757020584833503"/>
          <c:h val="0.1114532076861941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GS&lt;50 kWh</a:t>
            </a:r>
          </a:p>
        </c:rich>
      </c:tx>
      <c:overlay val="0"/>
    </c:title>
    <c:autoTitleDeleted val="0"/>
    <c:plotArea>
      <c:layout>
        <c:manualLayout>
          <c:layoutTarget val="inner"/>
          <c:xMode val="edge"/>
          <c:yMode val="edge"/>
          <c:x val="0.15396154813859148"/>
          <c:y val="0.15081562385346992"/>
          <c:w val="0.77396832572741314"/>
          <c:h val="0.60527163943216777"/>
        </c:manualLayout>
      </c:layout>
      <c:lineChart>
        <c:grouping val="standard"/>
        <c:varyColors val="0"/>
        <c:ser>
          <c:idx val="1"/>
          <c:order val="0"/>
          <c:tx>
            <c:strRef>
              <c:f>'Model Summary'!$I$3</c:f>
              <c:strCache>
                <c:ptCount val="1"/>
                <c:pt idx="0">
                  <c:v>CDM Added Back</c:v>
                </c:pt>
              </c:strCache>
            </c:strRef>
          </c:tx>
          <c:marker>
            <c:symbol val="none"/>
          </c:marker>
          <c:cat>
            <c:numRef>
              <c:f>'Model Summary'!$H$4:$H$13</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'Model Summary'!$I$4:$I$13</c:f>
              <c:numCache>
                <c:formatCode>#,##0</c:formatCode>
                <c:ptCount val="10"/>
                <c:pt idx="0">
                  <c:v>29877372.5</c:v>
                </c:pt>
                <c:pt idx="1">
                  <c:v>29920648.25</c:v>
                </c:pt>
                <c:pt idx="2">
                  <c:v>31714630.431263767</c:v>
                </c:pt>
                <c:pt idx="3">
                  <c:v>32703083.382904623</c:v>
                </c:pt>
                <c:pt idx="4">
                  <c:v>28109315.408435535</c:v>
                </c:pt>
                <c:pt idx="5">
                  <c:v>29009356.332179528</c:v>
                </c:pt>
                <c:pt idx="6">
                  <c:v>31199528.132652268</c:v>
                </c:pt>
                <c:pt idx="7">
                  <c:v>31728197.147761703</c:v>
                </c:pt>
                <c:pt idx="8">
                  <c:v>32322808.851253755</c:v>
                </c:pt>
                <c:pt idx="9">
                  <c:v>34041750.909477159</c:v>
                </c:pt>
              </c:numCache>
            </c:numRef>
          </c:val>
          <c:smooth val="0"/>
          <c:extLst>
            <c:ext xmlns:c16="http://schemas.microsoft.com/office/drawing/2014/chart" uri="{C3380CC4-5D6E-409C-BE32-E72D297353CC}">
              <c16:uniqueId val="{00000000-B449-4DF8-BB13-414F3FA7538F}"/>
            </c:ext>
          </c:extLst>
        </c:ser>
        <c:ser>
          <c:idx val="2"/>
          <c:order val="1"/>
          <c:tx>
            <c:strRef>
              <c:f>'Model Summary'!$J$3</c:f>
              <c:strCache>
                <c:ptCount val="1"/>
                <c:pt idx="0">
                  <c:v>Predicted</c:v>
                </c:pt>
              </c:strCache>
            </c:strRef>
          </c:tx>
          <c:marker>
            <c:symbol val="none"/>
          </c:marker>
          <c:cat>
            <c:numRef>
              <c:f>'Model Summary'!$H$4:$H$13</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'Model Summary'!$J$4:$J$13</c:f>
              <c:numCache>
                <c:formatCode>#,##0</c:formatCode>
                <c:ptCount val="10"/>
                <c:pt idx="0">
                  <c:v>29426984.979233723</c:v>
                </c:pt>
                <c:pt idx="1">
                  <c:v>29669931.632932913</c:v>
                </c:pt>
                <c:pt idx="2">
                  <c:v>31287407.67442859</c:v>
                </c:pt>
                <c:pt idx="3">
                  <c:v>31498651.436810296</c:v>
                </c:pt>
                <c:pt idx="4">
                  <c:v>27963853.357799679</c:v>
                </c:pt>
                <c:pt idx="5">
                  <c:v>29074596.136624705</c:v>
                </c:pt>
                <c:pt idx="6">
                  <c:v>31388805.046123181</c:v>
                </c:pt>
                <c:pt idx="7">
                  <c:v>32082529.173417408</c:v>
                </c:pt>
                <c:pt idx="8">
                  <c:v>32221129.27702735</c:v>
                </c:pt>
                <c:pt idx="9">
                  <c:v>33767381.586664692</c:v>
                </c:pt>
              </c:numCache>
            </c:numRef>
          </c:val>
          <c:smooth val="0"/>
          <c:extLst>
            <c:ext xmlns:c16="http://schemas.microsoft.com/office/drawing/2014/chart" uri="{C3380CC4-5D6E-409C-BE32-E72D297353CC}">
              <c16:uniqueId val="{00000001-B449-4DF8-BB13-414F3FA7538F}"/>
            </c:ext>
          </c:extLst>
        </c:ser>
        <c:dLbls>
          <c:showLegendKey val="0"/>
          <c:showVal val="0"/>
          <c:showCatName val="0"/>
          <c:showSerName val="0"/>
          <c:showPercent val="0"/>
          <c:showBubbleSize val="0"/>
        </c:dLbls>
        <c:smooth val="0"/>
        <c:axId val="175999616"/>
        <c:axId val="176009600"/>
      </c:lineChart>
      <c:catAx>
        <c:axId val="175999616"/>
        <c:scaling>
          <c:orientation val="minMax"/>
        </c:scaling>
        <c:delete val="0"/>
        <c:axPos val="b"/>
        <c:numFmt formatCode="General" sourceLinked="1"/>
        <c:majorTickMark val="out"/>
        <c:minorTickMark val="none"/>
        <c:tickLblPos val="nextTo"/>
        <c:crossAx val="176009600"/>
        <c:crosses val="autoZero"/>
        <c:auto val="1"/>
        <c:lblAlgn val="ctr"/>
        <c:lblOffset val="100"/>
        <c:noMultiLvlLbl val="0"/>
      </c:catAx>
      <c:valAx>
        <c:axId val="176009600"/>
        <c:scaling>
          <c:orientation val="minMax"/>
        </c:scaling>
        <c:delete val="0"/>
        <c:axPos val="l"/>
        <c:majorGridlines/>
        <c:numFmt formatCode="#,##0" sourceLinked="1"/>
        <c:majorTickMark val="out"/>
        <c:minorTickMark val="none"/>
        <c:tickLblPos val="nextTo"/>
        <c:crossAx val="175999616"/>
        <c:crosses val="autoZero"/>
        <c:crossBetween val="between"/>
      </c:valAx>
    </c:plotArea>
    <c:legend>
      <c:legendPos val="r"/>
      <c:layout>
        <c:manualLayout>
          <c:xMode val="edge"/>
          <c:yMode val="edge"/>
          <c:x val="0.16492161452791376"/>
          <c:y val="0.89277970013071706"/>
          <c:w val="0.66956326405145306"/>
          <c:h val="8.3031637174385456E-2"/>
        </c:manualLayout>
      </c:layout>
      <c:overlay val="0"/>
    </c:legend>
    <c:plotVisOnly val="1"/>
    <c:dispBlanksAs val="gap"/>
    <c:showDLblsOverMax val="0"/>
  </c:chart>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GS&gt;50 kWh</a:t>
            </a:r>
          </a:p>
        </c:rich>
      </c:tx>
      <c:overlay val="0"/>
    </c:title>
    <c:autoTitleDeleted val="0"/>
    <c:plotArea>
      <c:layout>
        <c:manualLayout>
          <c:layoutTarget val="inner"/>
          <c:xMode val="edge"/>
          <c:yMode val="edge"/>
          <c:x val="0.15396154813859148"/>
          <c:y val="0.15081562385346992"/>
          <c:w val="0.77396832572741314"/>
          <c:h val="0.60527163943216777"/>
        </c:manualLayout>
      </c:layout>
      <c:lineChart>
        <c:grouping val="standard"/>
        <c:varyColors val="0"/>
        <c:ser>
          <c:idx val="1"/>
          <c:order val="0"/>
          <c:tx>
            <c:strRef>
              <c:f>'Model Summary'!$O$3</c:f>
              <c:strCache>
                <c:ptCount val="1"/>
                <c:pt idx="0">
                  <c:v>CDM Added Back</c:v>
                </c:pt>
              </c:strCache>
            </c:strRef>
          </c:tx>
          <c:marker>
            <c:symbol val="none"/>
          </c:marker>
          <c:cat>
            <c:numRef>
              <c:f>'Model Summary'!$N$4:$N$13</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'Model Summary'!$O$4:$O$13</c:f>
              <c:numCache>
                <c:formatCode>#,##0</c:formatCode>
                <c:ptCount val="10"/>
                <c:pt idx="0">
                  <c:v>73187221.230000004</c:v>
                </c:pt>
                <c:pt idx="1">
                  <c:v>71226705.75</c:v>
                </c:pt>
                <c:pt idx="2">
                  <c:v>72257066.753801703</c:v>
                </c:pt>
                <c:pt idx="3">
                  <c:v>74466688.787980467</c:v>
                </c:pt>
                <c:pt idx="4">
                  <c:v>66399108.68778874</c:v>
                </c:pt>
                <c:pt idx="5">
                  <c:v>69570047.167225704</c:v>
                </c:pt>
                <c:pt idx="6">
                  <c:v>67589731.82623066</c:v>
                </c:pt>
                <c:pt idx="7">
                  <c:v>66752782.994383968</c:v>
                </c:pt>
                <c:pt idx="8">
                  <c:v>66338907.505016088</c:v>
                </c:pt>
                <c:pt idx="9">
                  <c:v>66893124.253890343</c:v>
                </c:pt>
              </c:numCache>
            </c:numRef>
          </c:val>
          <c:smooth val="0"/>
          <c:extLst>
            <c:ext xmlns:c16="http://schemas.microsoft.com/office/drawing/2014/chart" uri="{C3380CC4-5D6E-409C-BE32-E72D297353CC}">
              <c16:uniqueId val="{00000000-CF01-45C4-9E84-D2732F09EE2B}"/>
            </c:ext>
          </c:extLst>
        </c:ser>
        <c:ser>
          <c:idx val="2"/>
          <c:order val="1"/>
          <c:tx>
            <c:strRef>
              <c:f>'Model Summary'!$P$3</c:f>
              <c:strCache>
                <c:ptCount val="1"/>
                <c:pt idx="0">
                  <c:v>Predicted</c:v>
                </c:pt>
              </c:strCache>
            </c:strRef>
          </c:tx>
          <c:marker>
            <c:symbol val="none"/>
          </c:marker>
          <c:cat>
            <c:numRef>
              <c:f>'Model Summary'!$N$4:$N$13</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'Model Summary'!$P$4:$P$13</c:f>
              <c:numCache>
                <c:formatCode>#,##0</c:formatCode>
                <c:ptCount val="10"/>
                <c:pt idx="0">
                  <c:v>68078442.493372023</c:v>
                </c:pt>
                <c:pt idx="1">
                  <c:v>67557196.262448549</c:v>
                </c:pt>
                <c:pt idx="2">
                  <c:v>68616960.150648057</c:v>
                </c:pt>
                <c:pt idx="3">
                  <c:v>68019348.600029394</c:v>
                </c:pt>
                <c:pt idx="4">
                  <c:v>67447370.877388835</c:v>
                </c:pt>
                <c:pt idx="5">
                  <c:v>67480465.02611272</c:v>
                </c:pt>
                <c:pt idx="6">
                  <c:v>67749967.066553563</c:v>
                </c:pt>
                <c:pt idx="7">
                  <c:v>67013961.17727942</c:v>
                </c:pt>
                <c:pt idx="8">
                  <c:v>66954287.332279287</c:v>
                </c:pt>
                <c:pt idx="9">
                  <c:v>68249960.465732023</c:v>
                </c:pt>
              </c:numCache>
            </c:numRef>
          </c:val>
          <c:smooth val="0"/>
          <c:extLst>
            <c:ext xmlns:c16="http://schemas.microsoft.com/office/drawing/2014/chart" uri="{C3380CC4-5D6E-409C-BE32-E72D297353CC}">
              <c16:uniqueId val="{00000001-CF01-45C4-9E84-D2732F09EE2B}"/>
            </c:ext>
          </c:extLst>
        </c:ser>
        <c:dLbls>
          <c:showLegendKey val="0"/>
          <c:showVal val="0"/>
          <c:showCatName val="0"/>
          <c:showSerName val="0"/>
          <c:showPercent val="0"/>
          <c:showBubbleSize val="0"/>
        </c:dLbls>
        <c:smooth val="0"/>
        <c:axId val="176099328"/>
        <c:axId val="176100864"/>
      </c:lineChart>
      <c:catAx>
        <c:axId val="176099328"/>
        <c:scaling>
          <c:orientation val="minMax"/>
        </c:scaling>
        <c:delete val="0"/>
        <c:axPos val="b"/>
        <c:numFmt formatCode="General" sourceLinked="1"/>
        <c:majorTickMark val="out"/>
        <c:minorTickMark val="none"/>
        <c:tickLblPos val="nextTo"/>
        <c:crossAx val="176100864"/>
        <c:crosses val="autoZero"/>
        <c:auto val="1"/>
        <c:lblAlgn val="ctr"/>
        <c:lblOffset val="100"/>
        <c:noMultiLvlLbl val="0"/>
      </c:catAx>
      <c:valAx>
        <c:axId val="176100864"/>
        <c:scaling>
          <c:orientation val="minMax"/>
        </c:scaling>
        <c:delete val="0"/>
        <c:axPos val="l"/>
        <c:majorGridlines/>
        <c:numFmt formatCode="#,##0" sourceLinked="1"/>
        <c:majorTickMark val="out"/>
        <c:minorTickMark val="none"/>
        <c:tickLblPos val="nextTo"/>
        <c:crossAx val="176099328"/>
        <c:crosses val="autoZero"/>
        <c:crossBetween val="between"/>
      </c:valAx>
    </c:plotArea>
    <c:legend>
      <c:legendPos val="r"/>
      <c:layout>
        <c:manualLayout>
          <c:xMode val="edge"/>
          <c:yMode val="edge"/>
          <c:x val="0.16492161452791376"/>
          <c:y val="0.89277970013071706"/>
          <c:w val="0.66956326405145306"/>
          <c:h val="8.3031637174385456E-2"/>
        </c:manualLayout>
      </c:layout>
      <c:overlay val="0"/>
    </c:legend>
    <c:plotVisOnly val="1"/>
    <c:dispBlanksAs val="gap"/>
    <c:showDLblsOverMax val="0"/>
  </c:chart>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Large Customer</a:t>
            </a:r>
          </a:p>
        </c:rich>
      </c:tx>
      <c:overlay val="0"/>
    </c:title>
    <c:autoTitleDeleted val="0"/>
    <c:plotArea>
      <c:layout>
        <c:manualLayout>
          <c:layoutTarget val="inner"/>
          <c:xMode val="edge"/>
          <c:yMode val="edge"/>
          <c:x val="0.15396154813859148"/>
          <c:y val="0.15081562385346992"/>
          <c:w val="0.77396832572741314"/>
          <c:h val="0.60527163943216777"/>
        </c:manualLayout>
      </c:layout>
      <c:lineChart>
        <c:grouping val="standard"/>
        <c:varyColors val="0"/>
        <c:ser>
          <c:idx val="1"/>
          <c:order val="0"/>
          <c:tx>
            <c:strRef>
              <c:f>'Model Summary'!$U$3</c:f>
            </c:strRef>
          </c:tx>
          <c:marker>
            <c:symbol val="none"/>
          </c:marker>
          <c:val>
            <c:numRef>
              <c:f>'Model Summary'!$U$4:$U$13</c:f>
            </c:numRef>
          </c:val>
          <c:smooth val="0"/>
          <c:extLst>
            <c:ext xmlns:c15="http://schemas.microsoft.com/office/drawing/2012/chart" uri="{02D57815-91ED-43cb-92C2-25804820EDAC}">
              <c15:filteredCategoryTitle>
                <c15:cat>
                  <c:strRef>
                    <c:extLst>
                      <c:ext uri="{02D57815-91ED-43cb-92C2-25804820EDAC}">
                        <c15:formulaRef>
                          <c15:sqref>'Model Summary'!$T$4:$T$13</c15:sqref>
                        </c15:formulaRef>
                      </c:ext>
                    </c:extLst>
                  </c:strRef>
                </c15:cat>
              </c15:filteredCategoryTitle>
            </c:ext>
            <c:ext xmlns:c16="http://schemas.microsoft.com/office/drawing/2014/chart" uri="{C3380CC4-5D6E-409C-BE32-E72D297353CC}">
              <c16:uniqueId val="{00000000-95E8-4C5C-A900-661BD1AA1FB7}"/>
            </c:ext>
          </c:extLst>
        </c:ser>
        <c:ser>
          <c:idx val="2"/>
          <c:order val="1"/>
          <c:tx>
            <c:strRef>
              <c:f>'Model Summary'!$V$3</c:f>
            </c:strRef>
          </c:tx>
          <c:marker>
            <c:symbol val="none"/>
          </c:marker>
          <c:val>
            <c:numRef>
              <c:f>'Model Summary'!$V$4:$V$13</c:f>
            </c:numRef>
          </c:val>
          <c:smooth val="0"/>
          <c:extLst>
            <c:ext xmlns:c15="http://schemas.microsoft.com/office/drawing/2012/chart" uri="{02D57815-91ED-43cb-92C2-25804820EDAC}">
              <c15:filteredCategoryTitle>
                <c15:cat>
                  <c:strRef>
                    <c:extLst>
                      <c:ext uri="{02D57815-91ED-43cb-92C2-25804820EDAC}">
                        <c15:formulaRef>
                          <c15:sqref>'Model Summary'!$T$4:$T$13</c15:sqref>
                        </c15:formulaRef>
                      </c:ext>
                    </c:extLst>
                  </c:strRef>
                </c15:cat>
              </c15:filteredCategoryTitle>
            </c:ext>
            <c:ext xmlns:c16="http://schemas.microsoft.com/office/drawing/2014/chart" uri="{C3380CC4-5D6E-409C-BE32-E72D297353CC}">
              <c16:uniqueId val="{00000001-95E8-4C5C-A900-661BD1AA1FB7}"/>
            </c:ext>
          </c:extLst>
        </c:ser>
        <c:dLbls>
          <c:showLegendKey val="0"/>
          <c:showVal val="0"/>
          <c:showCatName val="0"/>
          <c:showSerName val="0"/>
          <c:showPercent val="0"/>
          <c:showBubbleSize val="0"/>
        </c:dLbls>
        <c:marker val="1"/>
        <c:smooth val="0"/>
        <c:axId val="176099328"/>
        <c:axId val="176100864"/>
      </c:lineChart>
      <c:catAx>
        <c:axId val="176099328"/>
        <c:scaling>
          <c:orientation val="minMax"/>
        </c:scaling>
        <c:delete val="0"/>
        <c:axPos val="b"/>
        <c:numFmt formatCode="General" sourceLinked="1"/>
        <c:majorTickMark val="out"/>
        <c:minorTickMark val="none"/>
        <c:tickLblPos val="nextTo"/>
        <c:crossAx val="176100864"/>
        <c:crosses val="autoZero"/>
        <c:auto val="1"/>
        <c:lblAlgn val="ctr"/>
        <c:lblOffset val="100"/>
        <c:noMultiLvlLbl val="0"/>
      </c:catAx>
      <c:valAx>
        <c:axId val="176100864"/>
        <c:scaling>
          <c:orientation val="minMax"/>
        </c:scaling>
        <c:delete val="0"/>
        <c:axPos val="l"/>
        <c:majorGridlines/>
        <c:numFmt formatCode="#,##0" sourceLinked="1"/>
        <c:majorTickMark val="out"/>
        <c:minorTickMark val="none"/>
        <c:tickLblPos val="nextTo"/>
        <c:crossAx val="176099328"/>
        <c:crosses val="autoZero"/>
        <c:crossBetween val="between"/>
      </c:valAx>
    </c:plotArea>
    <c:legend>
      <c:legendPos val="r"/>
      <c:layout>
        <c:manualLayout>
          <c:xMode val="edge"/>
          <c:yMode val="edge"/>
          <c:x val="0.16492161452791376"/>
          <c:y val="0.89277970013071706"/>
          <c:w val="0.66956326405145306"/>
          <c:h val="8.3031637174385456E-2"/>
        </c:manualLayout>
      </c:layout>
      <c:overlay val="0"/>
    </c:legend>
    <c:plotVisOnly val="1"/>
    <c:dispBlanksAs val="gap"/>
    <c:showDLblsOverMax val="0"/>
  </c:chart>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Residential</a:t>
            </a:r>
          </a:p>
        </c:rich>
      </c:tx>
      <c:overlay val="0"/>
      <c:spPr>
        <a:noFill/>
        <a:ln>
          <a:noFill/>
        </a:ln>
        <a:effectLst/>
      </c:spPr>
    </c:title>
    <c:autoTitleDeleted val="0"/>
    <c:plotArea>
      <c:layout/>
      <c:lineChart>
        <c:grouping val="standard"/>
        <c:varyColors val="0"/>
        <c:ser>
          <c:idx val="0"/>
          <c:order val="0"/>
          <c:tx>
            <c:strRef>
              <c:f>'Res Normalized Monthly'!$D$1</c:f>
              <c:strCache>
                <c:ptCount val="1"/>
                <c:pt idx="0">
                  <c:v> Res_NoCDM </c:v>
                </c:pt>
              </c:strCache>
            </c:strRef>
          </c:tx>
          <c:marker>
            <c:symbol val="none"/>
          </c:marker>
          <c:cat>
            <c:numRef>
              <c:f>'Res Normalized Monthly'!$A$50:$A$145</c:f>
              <c:numCache>
                <c:formatCode>mmm\-yy</c:formatCode>
                <c:ptCount val="96"/>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46235</c:v>
                </c:pt>
                <c:pt idx="80">
                  <c:v>46266</c:v>
                </c:pt>
                <c:pt idx="81">
                  <c:v>46296</c:v>
                </c:pt>
                <c:pt idx="82">
                  <c:v>46327</c:v>
                </c:pt>
                <c:pt idx="83">
                  <c:v>46357</c:v>
                </c:pt>
                <c:pt idx="84">
                  <c:v>46388</c:v>
                </c:pt>
                <c:pt idx="85">
                  <c:v>46419</c:v>
                </c:pt>
                <c:pt idx="86">
                  <c:v>46447</c:v>
                </c:pt>
                <c:pt idx="87">
                  <c:v>46478</c:v>
                </c:pt>
                <c:pt idx="88">
                  <c:v>46508</c:v>
                </c:pt>
                <c:pt idx="89">
                  <c:v>46539</c:v>
                </c:pt>
                <c:pt idx="90">
                  <c:v>46569</c:v>
                </c:pt>
                <c:pt idx="91">
                  <c:v>46600</c:v>
                </c:pt>
                <c:pt idx="92">
                  <c:v>46631</c:v>
                </c:pt>
                <c:pt idx="93">
                  <c:v>46661</c:v>
                </c:pt>
                <c:pt idx="94">
                  <c:v>46692</c:v>
                </c:pt>
                <c:pt idx="95">
                  <c:v>46722</c:v>
                </c:pt>
              </c:numCache>
            </c:numRef>
          </c:cat>
          <c:val>
            <c:numRef>
              <c:f>'Res Normalized Monthly'!$D$50:$D$145</c:f>
              <c:numCache>
                <c:formatCode>_(* #,##0_);_(* \(#,##0\);_(* "-"??_);_(@_)</c:formatCode>
                <c:ptCount val="96"/>
                <c:pt idx="0">
                  <c:v>8414654.1696568504</c:v>
                </c:pt>
                <c:pt idx="1">
                  <c:v>7815438.1888876194</c:v>
                </c:pt>
                <c:pt idx="2">
                  <c:v>7552050.2081183884</c:v>
                </c:pt>
                <c:pt idx="3">
                  <c:v>6718611.2273491574</c:v>
                </c:pt>
                <c:pt idx="4">
                  <c:v>6484978.2465799265</c:v>
                </c:pt>
                <c:pt idx="5">
                  <c:v>6791535.2658106964</c:v>
                </c:pt>
                <c:pt idx="6">
                  <c:v>8887832.2850414645</c:v>
                </c:pt>
                <c:pt idx="7">
                  <c:v>6981508.3042722344</c:v>
                </c:pt>
                <c:pt idx="8">
                  <c:v>5593018.3235030035</c:v>
                </c:pt>
                <c:pt idx="9">
                  <c:v>6282108.3427337734</c:v>
                </c:pt>
                <c:pt idx="10">
                  <c:v>6779288.3619645424</c:v>
                </c:pt>
                <c:pt idx="11">
                  <c:v>8783121.3811953124</c:v>
                </c:pt>
                <c:pt idx="12">
                  <c:v>8947694.596042579</c:v>
                </c:pt>
                <c:pt idx="13">
                  <c:v>8282825.1054581115</c:v>
                </c:pt>
                <c:pt idx="14">
                  <c:v>7841494.614873644</c:v>
                </c:pt>
                <c:pt idx="15">
                  <c:v>6176221.1242891774</c:v>
                </c:pt>
                <c:pt idx="16">
                  <c:v>6246538.6337047098</c:v>
                </c:pt>
                <c:pt idx="17">
                  <c:v>7011045.1431202432</c:v>
                </c:pt>
                <c:pt idx="18">
                  <c:v>7147666.6525357757</c:v>
                </c:pt>
                <c:pt idx="19">
                  <c:v>8365336.1619513091</c:v>
                </c:pt>
                <c:pt idx="20">
                  <c:v>5638411.6713668425</c:v>
                </c:pt>
                <c:pt idx="21">
                  <c:v>5991389.1807823749</c:v>
                </c:pt>
                <c:pt idx="22">
                  <c:v>7003129.6901979083</c:v>
                </c:pt>
                <c:pt idx="23">
                  <c:v>8633204.8396134414</c:v>
                </c:pt>
                <c:pt idx="24">
                  <c:v>10532825.528697059</c:v>
                </c:pt>
                <c:pt idx="25">
                  <c:v>8586318.012812933</c:v>
                </c:pt>
                <c:pt idx="26">
                  <c:v>8070371.4969288055</c:v>
                </c:pt>
                <c:pt idx="27">
                  <c:v>6548410.9810446789</c:v>
                </c:pt>
                <c:pt idx="28">
                  <c:v>6080494.4651605524</c:v>
                </c:pt>
                <c:pt idx="29">
                  <c:v>6310089.9492764249</c:v>
                </c:pt>
                <c:pt idx="30">
                  <c:v>7465233.4333922984</c:v>
                </c:pt>
                <c:pt idx="31">
                  <c:v>7425747.9175081719</c:v>
                </c:pt>
                <c:pt idx="32">
                  <c:v>5812994.4016240453</c:v>
                </c:pt>
                <c:pt idx="33">
                  <c:v>6059998.8857399179</c:v>
                </c:pt>
                <c:pt idx="34">
                  <c:v>6806096.3698557913</c:v>
                </c:pt>
                <c:pt idx="35">
                  <c:v>8382575.8539716648</c:v>
                </c:pt>
                <c:pt idx="36">
                  <c:v>8740554.5448313784</c:v>
                </c:pt>
                <c:pt idx="37">
                  <c:v>8231333.1919643153</c:v>
                </c:pt>
                <c:pt idx="38">
                  <c:v>7931351.8390972503</c:v>
                </c:pt>
                <c:pt idx="39">
                  <c:v>6481760.4862301862</c:v>
                </c:pt>
                <c:pt idx="40">
                  <c:v>5935915.1333631221</c:v>
                </c:pt>
                <c:pt idx="41">
                  <c:v>6617170.7804960571</c:v>
                </c:pt>
                <c:pt idx="42">
                  <c:v>8069819.4276289931</c:v>
                </c:pt>
                <c:pt idx="43">
                  <c:v>6590759.074761929</c:v>
                </c:pt>
                <c:pt idx="44">
                  <c:v>6146868.721894864</c:v>
                </c:pt>
                <c:pt idx="45">
                  <c:v>6311574.3690277999</c:v>
                </c:pt>
                <c:pt idx="46">
                  <c:v>7441339.0161607359</c:v>
                </c:pt>
                <c:pt idx="47">
                  <c:v>8512565.6632936709</c:v>
                </c:pt>
                <c:pt idx="48">
                  <c:v>10058510.850234345</c:v>
                </c:pt>
                <c:pt idx="49">
                  <c:v>7527358.4163905876</c:v>
                </c:pt>
                <c:pt idx="50">
                  <c:v>8124056.9825468305</c:v>
                </c:pt>
                <c:pt idx="51">
                  <c:v>5757851.5487030726</c:v>
                </c:pt>
                <c:pt idx="52">
                  <c:v>6393480.1148593156</c:v>
                </c:pt>
                <c:pt idx="53">
                  <c:v>6950866.6810155576</c:v>
                </c:pt>
                <c:pt idx="54">
                  <c:v>8232160.2471718006</c:v>
                </c:pt>
                <c:pt idx="55">
                  <c:v>7428027.8133280436</c:v>
                </c:pt>
                <c:pt idx="56">
                  <c:v>6258910.3794842856</c:v>
                </c:pt>
                <c:pt idx="57">
                  <c:v>6160614.9456405286</c:v>
                </c:pt>
                <c:pt idx="58">
                  <c:v>6834550.5117967715</c:v>
                </c:pt>
                <c:pt idx="59">
                  <c:v>9082027.0779530145</c:v>
                </c:pt>
                <c:pt idx="60">
                  <c:v>9808318.0739879906</c:v>
                </c:pt>
                <c:pt idx="61">
                  <c:v>8864275.7553072311</c:v>
                </c:pt>
                <c:pt idx="62">
                  <c:v>8273577.4366264734</c:v>
                </c:pt>
                <c:pt idx="63">
                  <c:v>6923951.1179457149</c:v>
                </c:pt>
                <c:pt idx="64">
                  <c:v>6113839.7992649563</c:v>
                </c:pt>
                <c:pt idx="65">
                  <c:v>7082189.4805841977</c:v>
                </c:pt>
                <c:pt idx="66">
                  <c:v>8777773.1619034391</c:v>
                </c:pt>
                <c:pt idx="67">
                  <c:v>7696904.8432226805</c:v>
                </c:pt>
                <c:pt idx="68">
                  <c:v>5759107.5245419219</c:v>
                </c:pt>
                <c:pt idx="69">
                  <c:v>6185821.2058611633</c:v>
                </c:pt>
                <c:pt idx="70">
                  <c:v>7688916.8871804047</c:v>
                </c:pt>
                <c:pt idx="71">
                  <c:v>9982601.5684996471</c:v>
                </c:pt>
              </c:numCache>
            </c:numRef>
          </c:val>
          <c:smooth val="0"/>
          <c:extLst>
            <c:ext xmlns:c16="http://schemas.microsoft.com/office/drawing/2014/chart" uri="{C3380CC4-5D6E-409C-BE32-E72D297353CC}">
              <c16:uniqueId val="{00000000-0E11-42B8-9E06-6EB880D1DA70}"/>
            </c:ext>
          </c:extLst>
        </c:ser>
        <c:ser>
          <c:idx val="1"/>
          <c:order val="1"/>
          <c:tx>
            <c:strRef>
              <c:f>'Res Normalized Monthly'!$S$1</c:f>
              <c:strCache>
                <c:ptCount val="1"/>
                <c:pt idx="0">
                  <c:v>WN Predicted</c:v>
                </c:pt>
              </c:strCache>
            </c:strRef>
          </c:tx>
          <c:marker>
            <c:symbol val="none"/>
          </c:marker>
          <c:cat>
            <c:numRef>
              <c:f>'Res Normalized Monthly'!$A$50:$A$145</c:f>
              <c:numCache>
                <c:formatCode>mmm\-yy</c:formatCode>
                <c:ptCount val="96"/>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46235</c:v>
                </c:pt>
                <c:pt idx="80">
                  <c:v>46266</c:v>
                </c:pt>
                <c:pt idx="81">
                  <c:v>46296</c:v>
                </c:pt>
                <c:pt idx="82">
                  <c:v>46327</c:v>
                </c:pt>
                <c:pt idx="83">
                  <c:v>46357</c:v>
                </c:pt>
                <c:pt idx="84">
                  <c:v>46388</c:v>
                </c:pt>
                <c:pt idx="85">
                  <c:v>46419</c:v>
                </c:pt>
                <c:pt idx="86">
                  <c:v>46447</c:v>
                </c:pt>
                <c:pt idx="87">
                  <c:v>46478</c:v>
                </c:pt>
                <c:pt idx="88">
                  <c:v>46508</c:v>
                </c:pt>
                <c:pt idx="89">
                  <c:v>46539</c:v>
                </c:pt>
                <c:pt idx="90">
                  <c:v>46569</c:v>
                </c:pt>
                <c:pt idx="91">
                  <c:v>46600</c:v>
                </c:pt>
                <c:pt idx="92">
                  <c:v>46631</c:v>
                </c:pt>
                <c:pt idx="93">
                  <c:v>46661</c:v>
                </c:pt>
                <c:pt idx="94">
                  <c:v>46692</c:v>
                </c:pt>
                <c:pt idx="95">
                  <c:v>46722</c:v>
                </c:pt>
              </c:numCache>
            </c:numRef>
          </c:cat>
          <c:val>
            <c:numRef>
              <c:f>'Res Normalized Monthly'!$S$50:$S$145</c:f>
              <c:numCache>
                <c:formatCode>_(* #,##0_);_(* \(#,##0\);_(* "-"??_);_(@_)</c:formatCode>
                <c:ptCount val="96"/>
                <c:pt idx="0">
                  <c:v>9045793.0328566041</c:v>
                </c:pt>
                <c:pt idx="1">
                  <c:v>7730830.7663199948</c:v>
                </c:pt>
                <c:pt idx="2">
                  <c:v>7812088.1527324449</c:v>
                </c:pt>
                <c:pt idx="3">
                  <c:v>6243592.398354237</c:v>
                </c:pt>
                <c:pt idx="4">
                  <c:v>6068002.9588399967</c:v>
                </c:pt>
                <c:pt idx="5">
                  <c:v>6539689.3958489662</c:v>
                </c:pt>
                <c:pt idx="6">
                  <c:v>8145224.5405805772</c:v>
                </c:pt>
                <c:pt idx="7">
                  <c:v>7284057.2277117157</c:v>
                </c:pt>
                <c:pt idx="8">
                  <c:v>5713770.5198073657</c:v>
                </c:pt>
                <c:pt idx="9">
                  <c:v>6082106.4376765694</c:v>
                </c:pt>
                <c:pt idx="10">
                  <c:v>7106574.918351396</c:v>
                </c:pt>
                <c:pt idx="11">
                  <c:v>8906531.6552559119</c:v>
                </c:pt>
                <c:pt idx="12">
                  <c:v>9513453.9576133341</c:v>
                </c:pt>
                <c:pt idx="13">
                  <c:v>8196945.5671995301</c:v>
                </c:pt>
                <c:pt idx="14">
                  <c:v>8058077.4904923486</c:v>
                </c:pt>
                <c:pt idx="15">
                  <c:v>6311354.9118776312</c:v>
                </c:pt>
                <c:pt idx="16">
                  <c:v>6135488.7712852675</c:v>
                </c:pt>
                <c:pt idx="17">
                  <c:v>6636583.6177802049</c:v>
                </c:pt>
                <c:pt idx="18">
                  <c:v>7965285.9951873729</c:v>
                </c:pt>
                <c:pt idx="19">
                  <c:v>7517603.2971015479</c:v>
                </c:pt>
                <c:pt idx="20">
                  <c:v>5832383.1925822794</c:v>
                </c:pt>
                <c:pt idx="21">
                  <c:v>6186151.147871254</c:v>
                </c:pt>
                <c:pt idx="22">
                  <c:v>7214888.3767793244</c:v>
                </c:pt>
                <c:pt idx="23">
                  <c:v>8950735.4299645331</c:v>
                </c:pt>
                <c:pt idx="24">
                  <c:v>9648072.858565418</c:v>
                </c:pt>
                <c:pt idx="25">
                  <c:v>8464581.6038330421</c:v>
                </c:pt>
                <c:pt idx="26">
                  <c:v>8120653.8285246901</c:v>
                </c:pt>
                <c:pt idx="27">
                  <c:v>6389112.6662863027</c:v>
                </c:pt>
                <c:pt idx="28">
                  <c:v>6181085.7479933398</c:v>
                </c:pt>
                <c:pt idx="29">
                  <c:v>6562962.509500986</c:v>
                </c:pt>
                <c:pt idx="30">
                  <c:v>7969516.1252791267</c:v>
                </c:pt>
                <c:pt idx="31">
                  <c:v>7373194.9427660182</c:v>
                </c:pt>
                <c:pt idx="32">
                  <c:v>5895518.0444198269</c:v>
                </c:pt>
                <c:pt idx="33">
                  <c:v>6254031.8150348729</c:v>
                </c:pt>
                <c:pt idx="34">
                  <c:v>7280810.0734911924</c:v>
                </c:pt>
                <c:pt idx="35">
                  <c:v>8974088.208171783</c:v>
                </c:pt>
                <c:pt idx="36">
                  <c:v>9570142.1849399488</c:v>
                </c:pt>
                <c:pt idx="37">
                  <c:v>8287130.2486306764</c:v>
                </c:pt>
                <c:pt idx="38">
                  <c:v>8193438.169569198</c:v>
                </c:pt>
                <c:pt idx="39">
                  <c:v>6504373.2406305196</c:v>
                </c:pt>
                <c:pt idx="40">
                  <c:v>6264583.7580213323</c:v>
                </c:pt>
                <c:pt idx="41">
                  <c:v>6663608.6147141121</c:v>
                </c:pt>
                <c:pt idx="42">
                  <c:v>8016895.7829623334</c:v>
                </c:pt>
                <c:pt idx="43">
                  <c:v>7412626.6770284809</c:v>
                </c:pt>
                <c:pt idx="44">
                  <c:v>5971768.8228331404</c:v>
                </c:pt>
                <c:pt idx="45">
                  <c:v>6347200.3516217628</c:v>
                </c:pt>
                <c:pt idx="46">
                  <c:v>7360302.8335055476</c:v>
                </c:pt>
                <c:pt idx="47">
                  <c:v>9022008.5329456236</c:v>
                </c:pt>
                <c:pt idx="48">
                  <c:v>9721996.4662360027</c:v>
                </c:pt>
                <c:pt idx="49">
                  <c:v>8398464.0284899585</c:v>
                </c:pt>
                <c:pt idx="50">
                  <c:v>8277780.0405890094</c:v>
                </c:pt>
                <c:pt idx="51">
                  <c:v>6600057.4891546145</c:v>
                </c:pt>
                <c:pt idx="52">
                  <c:v>6366739.1733617224</c:v>
                </c:pt>
                <c:pt idx="53">
                  <c:v>6755318.7102810219</c:v>
                </c:pt>
                <c:pt idx="54">
                  <c:v>8127512.7600714145</c:v>
                </c:pt>
                <c:pt idx="55">
                  <c:v>7515153.4198830985</c:v>
                </c:pt>
                <c:pt idx="56">
                  <c:v>6069402.5733909281</c:v>
                </c:pt>
                <c:pt idx="57">
                  <c:v>6413240.1679909267</c:v>
                </c:pt>
                <c:pt idx="58">
                  <c:v>7400781.4502690407</c:v>
                </c:pt>
                <c:pt idx="59">
                  <c:v>9088524.6849302854</c:v>
                </c:pt>
                <c:pt idx="60">
                  <c:v>9774783.0453028381</c:v>
                </c:pt>
                <c:pt idx="61">
                  <c:v>8451227.0583713539</c:v>
                </c:pt>
                <c:pt idx="62">
                  <c:v>8356705.9692431577</c:v>
                </c:pt>
                <c:pt idx="63">
                  <c:v>6671269.1576574901</c:v>
                </c:pt>
                <c:pt idx="64">
                  <c:v>6416763.5103785135</c:v>
                </c:pt>
                <c:pt idx="65">
                  <c:v>6819886.0808179574</c:v>
                </c:pt>
                <c:pt idx="66">
                  <c:v>8188594.1348259971</c:v>
                </c:pt>
                <c:pt idx="67">
                  <c:v>7575279.856373081</c:v>
                </c:pt>
                <c:pt idx="68">
                  <c:v>6098776.815169109</c:v>
                </c:pt>
                <c:pt idx="69">
                  <c:v>6479390.6662630839</c:v>
                </c:pt>
                <c:pt idx="70">
                  <c:v>7470883.907602259</c:v>
                </c:pt>
                <c:pt idx="71">
                  <c:v>9163924.0120352823</c:v>
                </c:pt>
                <c:pt idx="72">
                  <c:v>9882506.2364310641</c:v>
                </c:pt>
                <c:pt idx="73">
                  <c:v>8769634.140884988</c:v>
                </c:pt>
                <c:pt idx="74">
                  <c:v>8459682.2130461168</c:v>
                </c:pt>
                <c:pt idx="75">
                  <c:v>6781205.8263278622</c:v>
                </c:pt>
                <c:pt idx="76">
                  <c:v>6549181.2699128902</c:v>
                </c:pt>
                <c:pt idx="77">
                  <c:v>6945815.9330749894</c:v>
                </c:pt>
                <c:pt idx="78">
                  <c:v>8320856.5372308344</c:v>
                </c:pt>
                <c:pt idx="79">
                  <c:v>7724864.5778279202</c:v>
                </c:pt>
                <c:pt idx="80">
                  <c:v>6271615.8476247368</c:v>
                </c:pt>
                <c:pt idx="81">
                  <c:v>6638765.3960210243</c:v>
                </c:pt>
                <c:pt idx="82">
                  <c:v>7640507.6426378945</c:v>
                </c:pt>
                <c:pt idx="83">
                  <c:v>9327471.9650290161</c:v>
                </c:pt>
                <c:pt idx="84">
                  <c:v>10022506.017427273</c:v>
                </c:pt>
                <c:pt idx="85">
                  <c:v>8699644.5971270502</c:v>
                </c:pt>
                <c:pt idx="86">
                  <c:v>8599913.1559090242</c:v>
                </c:pt>
                <c:pt idx="87">
                  <c:v>6921552.4932166077</c:v>
                </c:pt>
                <c:pt idx="88">
                  <c:v>6689643.7563274382</c:v>
                </c:pt>
                <c:pt idx="89">
                  <c:v>7086394.3345941147</c:v>
                </c:pt>
                <c:pt idx="90">
                  <c:v>8461550.9495121893</c:v>
                </c:pt>
                <c:pt idx="91">
                  <c:v>7865675.0966080939</c:v>
                </c:pt>
                <c:pt idx="92">
                  <c:v>6412542.5687193247</c:v>
                </c:pt>
                <c:pt idx="93">
                  <c:v>6779808.4153246945</c:v>
                </c:pt>
                <c:pt idx="94">
                  <c:v>7781667.0561244516</c:v>
                </c:pt>
                <c:pt idx="95">
                  <c:v>9468747.8687514644</c:v>
                </c:pt>
              </c:numCache>
            </c:numRef>
          </c:val>
          <c:smooth val="0"/>
          <c:extLst>
            <c:ext xmlns:c16="http://schemas.microsoft.com/office/drawing/2014/chart" uri="{C3380CC4-5D6E-409C-BE32-E72D297353CC}">
              <c16:uniqueId val="{00000001-0E11-42B8-9E06-6EB880D1DA70}"/>
            </c:ext>
          </c:extLst>
        </c:ser>
        <c:dLbls>
          <c:showLegendKey val="0"/>
          <c:showVal val="0"/>
          <c:showCatName val="0"/>
          <c:showSerName val="0"/>
          <c:showPercent val="0"/>
          <c:showBubbleSize val="0"/>
        </c:dLbls>
        <c:smooth val="0"/>
        <c:axId val="176750976"/>
        <c:axId val="176752512"/>
      </c:lineChart>
      <c:dateAx>
        <c:axId val="176750976"/>
        <c:scaling>
          <c:orientation val="minMax"/>
        </c:scaling>
        <c:delete val="0"/>
        <c:axPos val="b"/>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6752512"/>
        <c:crosses val="autoZero"/>
        <c:auto val="1"/>
        <c:lblOffset val="100"/>
        <c:baseTimeUnit val="months"/>
      </c:dateAx>
      <c:valAx>
        <c:axId val="176752512"/>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67509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Residential</a:t>
            </a:r>
          </a:p>
        </c:rich>
      </c:tx>
      <c:overlay val="0"/>
      <c:spPr>
        <a:noFill/>
        <a:ln>
          <a:noFill/>
        </a:ln>
        <a:effectLst/>
      </c:spPr>
    </c:title>
    <c:autoTitleDeleted val="0"/>
    <c:plotArea>
      <c:layout/>
      <c:lineChart>
        <c:grouping val="standard"/>
        <c:varyColors val="0"/>
        <c:ser>
          <c:idx val="0"/>
          <c:order val="0"/>
          <c:tx>
            <c:strRef>
              <c:f>'Res Normalized Monthly'!$D$1</c:f>
              <c:strCache>
                <c:ptCount val="1"/>
                <c:pt idx="0">
                  <c:v> Res_NoCDM </c:v>
                </c:pt>
              </c:strCache>
            </c:strRef>
          </c:tx>
          <c:marker>
            <c:symbol val="none"/>
          </c:marker>
          <c:cat>
            <c:numRef>
              <c:f>'Res Normalized Monthly'!$A$2:$A$145</c:f>
              <c:numCache>
                <c:formatCode>mmm\-yy</c:formatCode>
                <c:ptCount val="144"/>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43770</c:v>
                </c:pt>
                <c:pt idx="47">
                  <c:v>43800</c:v>
                </c:pt>
                <c:pt idx="48">
                  <c:v>43831</c:v>
                </c:pt>
                <c:pt idx="49">
                  <c:v>43862</c:v>
                </c:pt>
                <c:pt idx="50">
                  <c:v>43891</c:v>
                </c:pt>
                <c:pt idx="51">
                  <c:v>43922</c:v>
                </c:pt>
                <c:pt idx="52">
                  <c:v>43952</c:v>
                </c:pt>
                <c:pt idx="53">
                  <c:v>43983</c:v>
                </c:pt>
                <c:pt idx="54">
                  <c:v>44013</c:v>
                </c:pt>
                <c:pt idx="55">
                  <c:v>44044</c:v>
                </c:pt>
                <c:pt idx="56">
                  <c:v>44075</c:v>
                </c:pt>
                <c:pt idx="57">
                  <c:v>44105</c:v>
                </c:pt>
                <c:pt idx="58">
                  <c:v>44136</c:v>
                </c:pt>
                <c:pt idx="59">
                  <c:v>44166</c:v>
                </c:pt>
                <c:pt idx="60">
                  <c:v>44197</c:v>
                </c:pt>
                <c:pt idx="61">
                  <c:v>44228</c:v>
                </c:pt>
                <c:pt idx="62">
                  <c:v>44256</c:v>
                </c:pt>
                <c:pt idx="63">
                  <c:v>44287</c:v>
                </c:pt>
                <c:pt idx="64">
                  <c:v>44317</c:v>
                </c:pt>
                <c:pt idx="65">
                  <c:v>44348</c:v>
                </c:pt>
                <c:pt idx="66">
                  <c:v>44378</c:v>
                </c:pt>
                <c:pt idx="67">
                  <c:v>44409</c:v>
                </c:pt>
                <c:pt idx="68">
                  <c:v>44440</c:v>
                </c:pt>
                <c:pt idx="69">
                  <c:v>44470</c:v>
                </c:pt>
                <c:pt idx="70">
                  <c:v>44501</c:v>
                </c:pt>
                <c:pt idx="71">
                  <c:v>44531</c:v>
                </c:pt>
                <c:pt idx="72">
                  <c:v>44562</c:v>
                </c:pt>
                <c:pt idx="73">
                  <c:v>44593</c:v>
                </c:pt>
                <c:pt idx="74">
                  <c:v>44621</c:v>
                </c:pt>
                <c:pt idx="75">
                  <c:v>44652</c:v>
                </c:pt>
                <c:pt idx="76">
                  <c:v>44682</c:v>
                </c:pt>
                <c:pt idx="77">
                  <c:v>44713</c:v>
                </c:pt>
                <c:pt idx="78">
                  <c:v>44743</c:v>
                </c:pt>
                <c:pt idx="79">
                  <c:v>44774</c:v>
                </c:pt>
                <c:pt idx="80">
                  <c:v>44805</c:v>
                </c:pt>
                <c:pt idx="81">
                  <c:v>44835</c:v>
                </c:pt>
                <c:pt idx="82">
                  <c:v>44866</c:v>
                </c:pt>
                <c:pt idx="83">
                  <c:v>44896</c:v>
                </c:pt>
                <c:pt idx="84">
                  <c:v>44927</c:v>
                </c:pt>
                <c:pt idx="85">
                  <c:v>44958</c:v>
                </c:pt>
                <c:pt idx="86">
                  <c:v>44986</c:v>
                </c:pt>
                <c:pt idx="87">
                  <c:v>45017</c:v>
                </c:pt>
                <c:pt idx="88">
                  <c:v>45047</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pt idx="129">
                  <c:v>46296</c:v>
                </c:pt>
                <c:pt idx="130">
                  <c:v>46327</c:v>
                </c:pt>
                <c:pt idx="131">
                  <c:v>46357</c:v>
                </c:pt>
                <c:pt idx="132">
                  <c:v>46388</c:v>
                </c:pt>
                <c:pt idx="133">
                  <c:v>46419</c:v>
                </c:pt>
                <c:pt idx="134">
                  <c:v>46447</c:v>
                </c:pt>
                <c:pt idx="135">
                  <c:v>46478</c:v>
                </c:pt>
                <c:pt idx="136">
                  <c:v>46508</c:v>
                </c:pt>
                <c:pt idx="137">
                  <c:v>46539</c:v>
                </c:pt>
                <c:pt idx="138">
                  <c:v>46569</c:v>
                </c:pt>
                <c:pt idx="139">
                  <c:v>46600</c:v>
                </c:pt>
                <c:pt idx="140">
                  <c:v>46631</c:v>
                </c:pt>
                <c:pt idx="141">
                  <c:v>46661</c:v>
                </c:pt>
                <c:pt idx="142">
                  <c:v>46692</c:v>
                </c:pt>
                <c:pt idx="143">
                  <c:v>46722</c:v>
                </c:pt>
              </c:numCache>
            </c:numRef>
          </c:cat>
          <c:val>
            <c:numRef>
              <c:f>('Res Normalized Monthly'!$K$2:$K$49,'Res Normalized Monthly'!$D$50:$D$145)</c:f>
              <c:numCache>
                <c:formatCode>General</c:formatCode>
                <c:ptCount val="144"/>
                <c:pt idx="48" formatCode="_(* #,##0_);_(* \(#,##0\);_(* &quot;-&quot;??_);_(@_)">
                  <c:v>8414654.1696568504</c:v>
                </c:pt>
                <c:pt idx="49" formatCode="_(* #,##0_);_(* \(#,##0\);_(* &quot;-&quot;??_);_(@_)">
                  <c:v>7815438.1888876194</c:v>
                </c:pt>
                <c:pt idx="50" formatCode="_(* #,##0_);_(* \(#,##0\);_(* &quot;-&quot;??_);_(@_)">
                  <c:v>7552050.2081183884</c:v>
                </c:pt>
                <c:pt idx="51" formatCode="_(* #,##0_);_(* \(#,##0\);_(* &quot;-&quot;??_);_(@_)">
                  <c:v>6718611.2273491574</c:v>
                </c:pt>
                <c:pt idx="52" formatCode="_(* #,##0_);_(* \(#,##0\);_(* &quot;-&quot;??_);_(@_)">
                  <c:v>6484978.2465799265</c:v>
                </c:pt>
                <c:pt idx="53" formatCode="_(* #,##0_);_(* \(#,##0\);_(* &quot;-&quot;??_);_(@_)">
                  <c:v>6791535.2658106964</c:v>
                </c:pt>
                <c:pt idx="54" formatCode="_(* #,##0_);_(* \(#,##0\);_(* &quot;-&quot;??_);_(@_)">
                  <c:v>8887832.2850414645</c:v>
                </c:pt>
                <c:pt idx="55" formatCode="_(* #,##0_);_(* \(#,##0\);_(* &quot;-&quot;??_);_(@_)">
                  <c:v>6981508.3042722344</c:v>
                </c:pt>
                <c:pt idx="56" formatCode="_(* #,##0_);_(* \(#,##0\);_(* &quot;-&quot;??_);_(@_)">
                  <c:v>5593018.3235030035</c:v>
                </c:pt>
                <c:pt idx="57" formatCode="_(* #,##0_);_(* \(#,##0\);_(* &quot;-&quot;??_);_(@_)">
                  <c:v>6282108.3427337734</c:v>
                </c:pt>
                <c:pt idx="58" formatCode="_(* #,##0_);_(* \(#,##0\);_(* &quot;-&quot;??_);_(@_)">
                  <c:v>6779288.3619645424</c:v>
                </c:pt>
                <c:pt idx="59" formatCode="_(* #,##0_);_(* \(#,##0\);_(* &quot;-&quot;??_);_(@_)">
                  <c:v>8783121.3811953124</c:v>
                </c:pt>
                <c:pt idx="60" formatCode="_(* #,##0_);_(* \(#,##0\);_(* &quot;-&quot;??_);_(@_)">
                  <c:v>8947694.596042579</c:v>
                </c:pt>
                <c:pt idx="61" formatCode="_(* #,##0_);_(* \(#,##0\);_(* &quot;-&quot;??_);_(@_)">
                  <c:v>8282825.1054581115</c:v>
                </c:pt>
                <c:pt idx="62" formatCode="_(* #,##0_);_(* \(#,##0\);_(* &quot;-&quot;??_);_(@_)">
                  <c:v>7841494.614873644</c:v>
                </c:pt>
                <c:pt idx="63" formatCode="_(* #,##0_);_(* \(#,##0\);_(* &quot;-&quot;??_);_(@_)">
                  <c:v>6176221.1242891774</c:v>
                </c:pt>
                <c:pt idx="64" formatCode="_(* #,##0_);_(* \(#,##0\);_(* &quot;-&quot;??_);_(@_)">
                  <c:v>6246538.6337047098</c:v>
                </c:pt>
                <c:pt idx="65" formatCode="_(* #,##0_);_(* \(#,##0\);_(* &quot;-&quot;??_);_(@_)">
                  <c:v>7011045.1431202432</c:v>
                </c:pt>
                <c:pt idx="66" formatCode="_(* #,##0_);_(* \(#,##0\);_(* &quot;-&quot;??_);_(@_)">
                  <c:v>7147666.6525357757</c:v>
                </c:pt>
                <c:pt idx="67" formatCode="_(* #,##0_);_(* \(#,##0\);_(* &quot;-&quot;??_);_(@_)">
                  <c:v>8365336.1619513091</c:v>
                </c:pt>
                <c:pt idx="68" formatCode="_(* #,##0_);_(* \(#,##0\);_(* &quot;-&quot;??_);_(@_)">
                  <c:v>5638411.6713668425</c:v>
                </c:pt>
                <c:pt idx="69" formatCode="_(* #,##0_);_(* \(#,##0\);_(* &quot;-&quot;??_);_(@_)">
                  <c:v>5991389.1807823749</c:v>
                </c:pt>
                <c:pt idx="70" formatCode="_(* #,##0_);_(* \(#,##0\);_(* &quot;-&quot;??_);_(@_)">
                  <c:v>7003129.6901979083</c:v>
                </c:pt>
                <c:pt idx="71" formatCode="_(* #,##0_);_(* \(#,##0\);_(* &quot;-&quot;??_);_(@_)">
                  <c:v>8633204.8396134414</c:v>
                </c:pt>
                <c:pt idx="72" formatCode="_(* #,##0_);_(* \(#,##0\);_(* &quot;-&quot;??_);_(@_)">
                  <c:v>10532825.528697059</c:v>
                </c:pt>
                <c:pt idx="73" formatCode="_(* #,##0_);_(* \(#,##0\);_(* &quot;-&quot;??_);_(@_)">
                  <c:v>8586318.012812933</c:v>
                </c:pt>
                <c:pt idx="74" formatCode="_(* #,##0_);_(* \(#,##0\);_(* &quot;-&quot;??_);_(@_)">
                  <c:v>8070371.4969288055</c:v>
                </c:pt>
                <c:pt idx="75" formatCode="_(* #,##0_);_(* \(#,##0\);_(* &quot;-&quot;??_);_(@_)">
                  <c:v>6548410.9810446789</c:v>
                </c:pt>
                <c:pt idx="76" formatCode="_(* #,##0_);_(* \(#,##0\);_(* &quot;-&quot;??_);_(@_)">
                  <c:v>6080494.4651605524</c:v>
                </c:pt>
                <c:pt idx="77" formatCode="_(* #,##0_);_(* \(#,##0\);_(* &quot;-&quot;??_);_(@_)">
                  <c:v>6310089.9492764249</c:v>
                </c:pt>
                <c:pt idx="78" formatCode="_(* #,##0_);_(* \(#,##0\);_(* &quot;-&quot;??_);_(@_)">
                  <c:v>7465233.4333922984</c:v>
                </c:pt>
                <c:pt idx="79" formatCode="_(* #,##0_);_(* \(#,##0\);_(* &quot;-&quot;??_);_(@_)">
                  <c:v>7425747.9175081719</c:v>
                </c:pt>
                <c:pt idx="80" formatCode="_(* #,##0_);_(* \(#,##0\);_(* &quot;-&quot;??_);_(@_)">
                  <c:v>5812994.4016240453</c:v>
                </c:pt>
                <c:pt idx="81" formatCode="_(* #,##0_);_(* \(#,##0\);_(* &quot;-&quot;??_);_(@_)">
                  <c:v>6059998.8857399179</c:v>
                </c:pt>
                <c:pt idx="82" formatCode="_(* #,##0_);_(* \(#,##0\);_(* &quot;-&quot;??_);_(@_)">
                  <c:v>6806096.3698557913</c:v>
                </c:pt>
                <c:pt idx="83" formatCode="_(* #,##0_);_(* \(#,##0\);_(* &quot;-&quot;??_);_(@_)">
                  <c:v>8382575.8539716648</c:v>
                </c:pt>
                <c:pt idx="84" formatCode="_(* #,##0_);_(* \(#,##0\);_(* &quot;-&quot;??_);_(@_)">
                  <c:v>8740554.5448313784</c:v>
                </c:pt>
                <c:pt idx="85" formatCode="_(* #,##0_);_(* \(#,##0\);_(* &quot;-&quot;??_);_(@_)">
                  <c:v>8231333.1919643153</c:v>
                </c:pt>
                <c:pt idx="86" formatCode="_(* #,##0_);_(* \(#,##0\);_(* &quot;-&quot;??_);_(@_)">
                  <c:v>7931351.8390972503</c:v>
                </c:pt>
                <c:pt idx="87" formatCode="_(* #,##0_);_(* \(#,##0\);_(* &quot;-&quot;??_);_(@_)">
                  <c:v>6481760.4862301862</c:v>
                </c:pt>
                <c:pt idx="88" formatCode="_(* #,##0_);_(* \(#,##0\);_(* &quot;-&quot;??_);_(@_)">
                  <c:v>5935915.1333631221</c:v>
                </c:pt>
                <c:pt idx="89" formatCode="_(* #,##0_);_(* \(#,##0\);_(* &quot;-&quot;??_);_(@_)">
                  <c:v>6617170.7804960571</c:v>
                </c:pt>
                <c:pt idx="90" formatCode="_(* #,##0_);_(* \(#,##0\);_(* &quot;-&quot;??_);_(@_)">
                  <c:v>8069819.4276289931</c:v>
                </c:pt>
                <c:pt idx="91" formatCode="_(* #,##0_);_(* \(#,##0\);_(* &quot;-&quot;??_);_(@_)">
                  <c:v>6590759.074761929</c:v>
                </c:pt>
                <c:pt idx="92" formatCode="_(* #,##0_);_(* \(#,##0\);_(* &quot;-&quot;??_);_(@_)">
                  <c:v>6146868.721894864</c:v>
                </c:pt>
                <c:pt idx="93" formatCode="_(* #,##0_);_(* \(#,##0\);_(* &quot;-&quot;??_);_(@_)">
                  <c:v>6311574.3690277999</c:v>
                </c:pt>
                <c:pt idx="94" formatCode="_(* #,##0_);_(* \(#,##0\);_(* &quot;-&quot;??_);_(@_)">
                  <c:v>7441339.0161607359</c:v>
                </c:pt>
                <c:pt idx="95" formatCode="_(* #,##0_);_(* \(#,##0\);_(* &quot;-&quot;??_);_(@_)">
                  <c:v>8512565.6632936709</c:v>
                </c:pt>
                <c:pt idx="96" formatCode="_(* #,##0_);_(* \(#,##0\);_(* &quot;-&quot;??_);_(@_)">
                  <c:v>10058510.850234345</c:v>
                </c:pt>
                <c:pt idx="97" formatCode="_(* #,##0_);_(* \(#,##0\);_(* &quot;-&quot;??_);_(@_)">
                  <c:v>7527358.4163905876</c:v>
                </c:pt>
                <c:pt idx="98" formatCode="_(* #,##0_);_(* \(#,##0\);_(* &quot;-&quot;??_);_(@_)">
                  <c:v>8124056.9825468305</c:v>
                </c:pt>
                <c:pt idx="99" formatCode="_(* #,##0_);_(* \(#,##0\);_(* &quot;-&quot;??_);_(@_)">
                  <c:v>5757851.5487030726</c:v>
                </c:pt>
                <c:pt idx="100" formatCode="_(* #,##0_);_(* \(#,##0\);_(* &quot;-&quot;??_);_(@_)">
                  <c:v>6393480.1148593156</c:v>
                </c:pt>
                <c:pt idx="101" formatCode="_(* #,##0_);_(* \(#,##0\);_(* &quot;-&quot;??_);_(@_)">
                  <c:v>6950866.6810155576</c:v>
                </c:pt>
                <c:pt idx="102" formatCode="_(* #,##0_);_(* \(#,##0\);_(* &quot;-&quot;??_);_(@_)">
                  <c:v>8232160.2471718006</c:v>
                </c:pt>
                <c:pt idx="103" formatCode="_(* #,##0_);_(* \(#,##0\);_(* &quot;-&quot;??_);_(@_)">
                  <c:v>7428027.8133280436</c:v>
                </c:pt>
                <c:pt idx="104" formatCode="_(* #,##0_);_(* \(#,##0\);_(* &quot;-&quot;??_);_(@_)">
                  <c:v>6258910.3794842856</c:v>
                </c:pt>
                <c:pt idx="105" formatCode="_(* #,##0_);_(* \(#,##0\);_(* &quot;-&quot;??_);_(@_)">
                  <c:v>6160614.9456405286</c:v>
                </c:pt>
                <c:pt idx="106" formatCode="_(* #,##0_);_(* \(#,##0\);_(* &quot;-&quot;??_);_(@_)">
                  <c:v>6834550.5117967715</c:v>
                </c:pt>
                <c:pt idx="107" formatCode="_(* #,##0_);_(* \(#,##0\);_(* &quot;-&quot;??_);_(@_)">
                  <c:v>9082027.0779530145</c:v>
                </c:pt>
                <c:pt idx="108" formatCode="_(* #,##0_);_(* \(#,##0\);_(* &quot;-&quot;??_);_(@_)">
                  <c:v>9808318.0739879906</c:v>
                </c:pt>
                <c:pt idx="109" formatCode="_(* #,##0_);_(* \(#,##0\);_(* &quot;-&quot;??_);_(@_)">
                  <c:v>8864275.7553072311</c:v>
                </c:pt>
                <c:pt idx="110" formatCode="_(* #,##0_);_(* \(#,##0\);_(* &quot;-&quot;??_);_(@_)">
                  <c:v>8273577.4366264734</c:v>
                </c:pt>
                <c:pt idx="111" formatCode="_(* #,##0_);_(* \(#,##0\);_(* &quot;-&quot;??_);_(@_)">
                  <c:v>6923951.1179457149</c:v>
                </c:pt>
                <c:pt idx="112" formatCode="_(* #,##0_);_(* \(#,##0\);_(* &quot;-&quot;??_);_(@_)">
                  <c:v>6113839.7992649563</c:v>
                </c:pt>
                <c:pt idx="113" formatCode="_(* #,##0_);_(* \(#,##0\);_(* &quot;-&quot;??_);_(@_)">
                  <c:v>7082189.4805841977</c:v>
                </c:pt>
                <c:pt idx="114" formatCode="_(* #,##0_);_(* \(#,##0\);_(* &quot;-&quot;??_);_(@_)">
                  <c:v>8777773.1619034391</c:v>
                </c:pt>
                <c:pt idx="115" formatCode="_(* #,##0_);_(* \(#,##0\);_(* &quot;-&quot;??_);_(@_)">
                  <c:v>7696904.8432226805</c:v>
                </c:pt>
                <c:pt idx="116" formatCode="_(* #,##0_);_(* \(#,##0\);_(* &quot;-&quot;??_);_(@_)">
                  <c:v>5759107.5245419219</c:v>
                </c:pt>
                <c:pt idx="117" formatCode="_(* #,##0_);_(* \(#,##0\);_(* &quot;-&quot;??_);_(@_)">
                  <c:v>6185821.2058611633</c:v>
                </c:pt>
                <c:pt idx="118" formatCode="_(* #,##0_);_(* \(#,##0\);_(* &quot;-&quot;??_);_(@_)">
                  <c:v>7688916.8871804047</c:v>
                </c:pt>
                <c:pt idx="119" formatCode="_(* #,##0_);_(* \(#,##0\);_(* &quot;-&quot;??_);_(@_)">
                  <c:v>9982601.5684996471</c:v>
                </c:pt>
              </c:numCache>
            </c:numRef>
          </c:val>
          <c:smooth val="0"/>
          <c:extLst>
            <c:ext xmlns:c16="http://schemas.microsoft.com/office/drawing/2014/chart" uri="{C3380CC4-5D6E-409C-BE32-E72D297353CC}">
              <c16:uniqueId val="{00000000-1955-4766-A57B-97C42B534B3A}"/>
            </c:ext>
          </c:extLst>
        </c:ser>
        <c:ser>
          <c:idx val="1"/>
          <c:order val="1"/>
          <c:tx>
            <c:strRef>
              <c:f>'Res Normalized Monthly'!$S$1</c:f>
              <c:strCache>
                <c:ptCount val="1"/>
                <c:pt idx="0">
                  <c:v>WN Predicted</c:v>
                </c:pt>
              </c:strCache>
            </c:strRef>
          </c:tx>
          <c:marker>
            <c:symbol val="none"/>
          </c:marker>
          <c:cat>
            <c:numRef>
              <c:f>'Res Normalized Monthly'!$A$2:$A$145</c:f>
              <c:numCache>
                <c:formatCode>mmm\-yy</c:formatCode>
                <c:ptCount val="144"/>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43770</c:v>
                </c:pt>
                <c:pt idx="47">
                  <c:v>43800</c:v>
                </c:pt>
                <c:pt idx="48">
                  <c:v>43831</c:v>
                </c:pt>
                <c:pt idx="49">
                  <c:v>43862</c:v>
                </c:pt>
                <c:pt idx="50">
                  <c:v>43891</c:v>
                </c:pt>
                <c:pt idx="51">
                  <c:v>43922</c:v>
                </c:pt>
                <c:pt idx="52">
                  <c:v>43952</c:v>
                </c:pt>
                <c:pt idx="53">
                  <c:v>43983</c:v>
                </c:pt>
                <c:pt idx="54">
                  <c:v>44013</c:v>
                </c:pt>
                <c:pt idx="55">
                  <c:v>44044</c:v>
                </c:pt>
                <c:pt idx="56">
                  <c:v>44075</c:v>
                </c:pt>
                <c:pt idx="57">
                  <c:v>44105</c:v>
                </c:pt>
                <c:pt idx="58">
                  <c:v>44136</c:v>
                </c:pt>
                <c:pt idx="59">
                  <c:v>44166</c:v>
                </c:pt>
                <c:pt idx="60">
                  <c:v>44197</c:v>
                </c:pt>
                <c:pt idx="61">
                  <c:v>44228</c:v>
                </c:pt>
                <c:pt idx="62">
                  <c:v>44256</c:v>
                </c:pt>
                <c:pt idx="63">
                  <c:v>44287</c:v>
                </c:pt>
                <c:pt idx="64">
                  <c:v>44317</c:v>
                </c:pt>
                <c:pt idx="65">
                  <c:v>44348</c:v>
                </c:pt>
                <c:pt idx="66">
                  <c:v>44378</c:v>
                </c:pt>
                <c:pt idx="67">
                  <c:v>44409</c:v>
                </c:pt>
                <c:pt idx="68">
                  <c:v>44440</c:v>
                </c:pt>
                <c:pt idx="69">
                  <c:v>44470</c:v>
                </c:pt>
                <c:pt idx="70">
                  <c:v>44501</c:v>
                </c:pt>
                <c:pt idx="71">
                  <c:v>44531</c:v>
                </c:pt>
                <c:pt idx="72">
                  <c:v>44562</c:v>
                </c:pt>
                <c:pt idx="73">
                  <c:v>44593</c:v>
                </c:pt>
                <c:pt idx="74">
                  <c:v>44621</c:v>
                </c:pt>
                <c:pt idx="75">
                  <c:v>44652</c:v>
                </c:pt>
                <c:pt idx="76">
                  <c:v>44682</c:v>
                </c:pt>
                <c:pt idx="77">
                  <c:v>44713</c:v>
                </c:pt>
                <c:pt idx="78">
                  <c:v>44743</c:v>
                </c:pt>
                <c:pt idx="79">
                  <c:v>44774</c:v>
                </c:pt>
                <c:pt idx="80">
                  <c:v>44805</c:v>
                </c:pt>
                <c:pt idx="81">
                  <c:v>44835</c:v>
                </c:pt>
                <c:pt idx="82">
                  <c:v>44866</c:v>
                </c:pt>
                <c:pt idx="83">
                  <c:v>44896</c:v>
                </c:pt>
                <c:pt idx="84">
                  <c:v>44927</c:v>
                </c:pt>
                <c:pt idx="85">
                  <c:v>44958</c:v>
                </c:pt>
                <c:pt idx="86">
                  <c:v>44986</c:v>
                </c:pt>
                <c:pt idx="87">
                  <c:v>45017</c:v>
                </c:pt>
                <c:pt idx="88">
                  <c:v>45047</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pt idx="129">
                  <c:v>46296</c:v>
                </c:pt>
                <c:pt idx="130">
                  <c:v>46327</c:v>
                </c:pt>
                <c:pt idx="131">
                  <c:v>46357</c:v>
                </c:pt>
                <c:pt idx="132">
                  <c:v>46388</c:v>
                </c:pt>
                <c:pt idx="133">
                  <c:v>46419</c:v>
                </c:pt>
                <c:pt idx="134">
                  <c:v>46447</c:v>
                </c:pt>
                <c:pt idx="135">
                  <c:v>46478</c:v>
                </c:pt>
                <c:pt idx="136">
                  <c:v>46508</c:v>
                </c:pt>
                <c:pt idx="137">
                  <c:v>46539</c:v>
                </c:pt>
                <c:pt idx="138">
                  <c:v>46569</c:v>
                </c:pt>
                <c:pt idx="139">
                  <c:v>46600</c:v>
                </c:pt>
                <c:pt idx="140">
                  <c:v>46631</c:v>
                </c:pt>
                <c:pt idx="141">
                  <c:v>46661</c:v>
                </c:pt>
                <c:pt idx="142">
                  <c:v>46692</c:v>
                </c:pt>
                <c:pt idx="143">
                  <c:v>46722</c:v>
                </c:pt>
              </c:numCache>
            </c:numRef>
          </c:cat>
          <c:val>
            <c:numRef>
              <c:f>'Res Normalized Monthly'!$S$2:$S$145</c:f>
              <c:numCache>
                <c:formatCode>_(* #,##0_);_(* \(#,##0\);_(* "-"??_);_(@_)</c:formatCode>
                <c:ptCount val="144"/>
                <c:pt idx="0">
                  <c:v>8414033.9555966035</c:v>
                </c:pt>
                <c:pt idx="1">
                  <c:v>7093683.5519405054</c:v>
                </c:pt>
                <c:pt idx="2">
                  <c:v>6997211.8701890111</c:v>
                </c:pt>
                <c:pt idx="3">
                  <c:v>5401004.1876084087</c:v>
                </c:pt>
                <c:pt idx="4">
                  <c:v>5149088.6369181201</c:v>
                </c:pt>
                <c:pt idx="5">
                  <c:v>5498977.2152536875</c:v>
                </c:pt>
                <c:pt idx="6">
                  <c:v>6881715.4286647253</c:v>
                </c:pt>
                <c:pt idx="7">
                  <c:v>6297863.0349591821</c:v>
                </c:pt>
                <c:pt idx="8">
                  <c:v>4888208.88184842</c:v>
                </c:pt>
                <c:pt idx="9">
                  <c:v>5271975.3971077539</c:v>
                </c:pt>
                <c:pt idx="10">
                  <c:v>6242486.7498812331</c:v>
                </c:pt>
                <c:pt idx="11">
                  <c:v>7888668.7201350406</c:v>
                </c:pt>
                <c:pt idx="12">
                  <c:v>8571636.9663416352</c:v>
                </c:pt>
                <c:pt idx="13">
                  <c:v>7251286.5626855372</c:v>
                </c:pt>
                <c:pt idx="14">
                  <c:v>7154814.8809340429</c:v>
                </c:pt>
                <c:pt idx="15">
                  <c:v>5502031.7585988129</c:v>
                </c:pt>
                <c:pt idx="16">
                  <c:v>5250116.2079085242</c:v>
                </c:pt>
                <c:pt idx="17">
                  <c:v>5600004.7862440916</c:v>
                </c:pt>
                <c:pt idx="18">
                  <c:v>6959843.4168973044</c:v>
                </c:pt>
                <c:pt idx="19">
                  <c:v>6375991.0231917612</c:v>
                </c:pt>
                <c:pt idx="20">
                  <c:v>4966336.8700809991</c:v>
                </c:pt>
                <c:pt idx="21">
                  <c:v>5441701.7163716331</c:v>
                </c:pt>
                <c:pt idx="22">
                  <c:v>6412213.0691451123</c:v>
                </c:pt>
                <c:pt idx="23">
                  <c:v>8058395.0393989198</c:v>
                </c:pt>
                <c:pt idx="24">
                  <c:v>8744057.3541652616</c:v>
                </c:pt>
                <c:pt idx="25">
                  <c:v>7648629.1856039846</c:v>
                </c:pt>
                <c:pt idx="26">
                  <c:v>7358217.0571947265</c:v>
                </c:pt>
                <c:pt idx="27">
                  <c:v>5709475.0376991117</c:v>
                </c:pt>
                <c:pt idx="28">
                  <c:v>5461600.5898484401</c:v>
                </c:pt>
                <c:pt idx="29">
                  <c:v>5818224.339583368</c:v>
                </c:pt>
                <c:pt idx="30">
                  <c:v>7141693.0446800347</c:v>
                </c:pt>
                <c:pt idx="31">
                  <c:v>6583434.3022920601</c:v>
                </c:pt>
                <c:pt idx="32">
                  <c:v>5179168.2863007868</c:v>
                </c:pt>
                <c:pt idx="33">
                  <c:v>5566975.9043997359</c:v>
                </c:pt>
                <c:pt idx="34">
                  <c:v>6581939.3884089934</c:v>
                </c:pt>
                <c:pt idx="35">
                  <c:v>8237550.5986219067</c:v>
                </c:pt>
                <c:pt idx="36">
                  <c:v>8916477.7419888861</c:v>
                </c:pt>
                <c:pt idx="37">
                  <c:v>7596127.3383327881</c:v>
                </c:pt>
                <c:pt idx="38">
                  <c:v>7519861.1707793754</c:v>
                </c:pt>
                <c:pt idx="39">
                  <c:v>5880548.3912428645</c:v>
                </c:pt>
                <c:pt idx="40">
                  <c:v>5644797.2519110423</c:v>
                </c:pt>
                <c:pt idx="41">
                  <c:v>5991991.7616868643</c:v>
                </c:pt>
                <c:pt idx="42">
                  <c:v>7318154.5353432745</c:v>
                </c:pt>
                <c:pt idx="43">
                  <c:v>6736996.2101974767</c:v>
                </c:pt>
                <c:pt idx="44">
                  <c:v>5338118.3313256903</c:v>
                </c:pt>
                <c:pt idx="45">
                  <c:v>5717843.743745409</c:v>
                </c:pt>
                <c:pt idx="46">
                  <c:v>6697784.3364779921</c:v>
                </c:pt>
                <c:pt idx="47">
                  <c:v>8343966.3067317996</c:v>
                </c:pt>
                <c:pt idx="48">
                  <c:v>9045793.0328566041</c:v>
                </c:pt>
                <c:pt idx="49">
                  <c:v>7730830.7663199948</c:v>
                </c:pt>
                <c:pt idx="50">
                  <c:v>7812088.1527324449</c:v>
                </c:pt>
                <c:pt idx="51">
                  <c:v>6243592.398354237</c:v>
                </c:pt>
                <c:pt idx="52">
                  <c:v>6068002.9588399967</c:v>
                </c:pt>
                <c:pt idx="53">
                  <c:v>6539689.3958489662</c:v>
                </c:pt>
                <c:pt idx="54">
                  <c:v>8145224.5405805772</c:v>
                </c:pt>
                <c:pt idx="55">
                  <c:v>7284057.2277117157</c:v>
                </c:pt>
                <c:pt idx="56">
                  <c:v>5713770.5198073657</c:v>
                </c:pt>
                <c:pt idx="57">
                  <c:v>6082106.4376765694</c:v>
                </c:pt>
                <c:pt idx="58">
                  <c:v>7106574.918351396</c:v>
                </c:pt>
                <c:pt idx="59">
                  <c:v>8906531.6552559119</c:v>
                </c:pt>
                <c:pt idx="60">
                  <c:v>9513453.9576133341</c:v>
                </c:pt>
                <c:pt idx="61">
                  <c:v>8196945.5671995301</c:v>
                </c:pt>
                <c:pt idx="62">
                  <c:v>8058077.4904923486</c:v>
                </c:pt>
                <c:pt idx="63">
                  <c:v>6311354.9118776312</c:v>
                </c:pt>
                <c:pt idx="64">
                  <c:v>6135488.7712852675</c:v>
                </c:pt>
                <c:pt idx="65">
                  <c:v>6636583.6177802049</c:v>
                </c:pt>
                <c:pt idx="66">
                  <c:v>7965285.9951873729</c:v>
                </c:pt>
                <c:pt idx="67">
                  <c:v>7517603.2971015479</c:v>
                </c:pt>
                <c:pt idx="68">
                  <c:v>5832383.1925822794</c:v>
                </c:pt>
                <c:pt idx="69">
                  <c:v>6186151.147871254</c:v>
                </c:pt>
                <c:pt idx="70">
                  <c:v>7214888.3767793244</c:v>
                </c:pt>
                <c:pt idx="71">
                  <c:v>8950735.4299645331</c:v>
                </c:pt>
                <c:pt idx="72">
                  <c:v>9648072.858565418</c:v>
                </c:pt>
                <c:pt idx="73">
                  <c:v>8464581.6038330421</c:v>
                </c:pt>
                <c:pt idx="74">
                  <c:v>8120653.8285246901</c:v>
                </c:pt>
                <c:pt idx="75">
                  <c:v>6389112.6662863027</c:v>
                </c:pt>
                <c:pt idx="76">
                  <c:v>6181085.7479933398</c:v>
                </c:pt>
                <c:pt idx="77">
                  <c:v>6562962.509500986</c:v>
                </c:pt>
                <c:pt idx="78">
                  <c:v>7969516.1252791267</c:v>
                </c:pt>
                <c:pt idx="79">
                  <c:v>7373194.9427660182</c:v>
                </c:pt>
                <c:pt idx="80">
                  <c:v>5895518.0444198269</c:v>
                </c:pt>
                <c:pt idx="81">
                  <c:v>6254031.8150348729</c:v>
                </c:pt>
                <c:pt idx="82">
                  <c:v>7280810.0734911924</c:v>
                </c:pt>
                <c:pt idx="83">
                  <c:v>8974088.208171783</c:v>
                </c:pt>
                <c:pt idx="84">
                  <c:v>9570142.1849399488</c:v>
                </c:pt>
                <c:pt idx="85">
                  <c:v>8287130.2486306764</c:v>
                </c:pt>
                <c:pt idx="86">
                  <c:v>8193438.169569198</c:v>
                </c:pt>
                <c:pt idx="87">
                  <c:v>6504373.2406305196</c:v>
                </c:pt>
                <c:pt idx="88">
                  <c:v>6264583.7580213323</c:v>
                </c:pt>
                <c:pt idx="89">
                  <c:v>6663608.6147141121</c:v>
                </c:pt>
                <c:pt idx="90">
                  <c:v>8016895.7829623334</c:v>
                </c:pt>
                <c:pt idx="91">
                  <c:v>7412626.6770284809</c:v>
                </c:pt>
                <c:pt idx="92">
                  <c:v>5971768.8228331404</c:v>
                </c:pt>
                <c:pt idx="93">
                  <c:v>6347200.3516217628</c:v>
                </c:pt>
                <c:pt idx="94">
                  <c:v>7360302.8335055476</c:v>
                </c:pt>
                <c:pt idx="95">
                  <c:v>9022008.5329456236</c:v>
                </c:pt>
                <c:pt idx="96">
                  <c:v>9721996.4662360027</c:v>
                </c:pt>
                <c:pt idx="97">
                  <c:v>8398464.0284899585</c:v>
                </c:pt>
                <c:pt idx="98">
                  <c:v>8277780.0405890094</c:v>
                </c:pt>
                <c:pt idx="99">
                  <c:v>6600057.4891546145</c:v>
                </c:pt>
                <c:pt idx="100">
                  <c:v>6366739.1733617224</c:v>
                </c:pt>
                <c:pt idx="101">
                  <c:v>6755318.7102810219</c:v>
                </c:pt>
                <c:pt idx="102">
                  <c:v>8127512.7600714145</c:v>
                </c:pt>
                <c:pt idx="103">
                  <c:v>7515153.4198830985</c:v>
                </c:pt>
                <c:pt idx="104">
                  <c:v>6069402.5733909281</c:v>
                </c:pt>
                <c:pt idx="105">
                  <c:v>6413240.1679909267</c:v>
                </c:pt>
                <c:pt idx="106">
                  <c:v>7400781.4502690407</c:v>
                </c:pt>
                <c:pt idx="107">
                  <c:v>9088524.6849302854</c:v>
                </c:pt>
                <c:pt idx="108">
                  <c:v>9774783.0453028381</c:v>
                </c:pt>
                <c:pt idx="109">
                  <c:v>8451227.0583713539</c:v>
                </c:pt>
                <c:pt idx="110">
                  <c:v>8356705.9692431577</c:v>
                </c:pt>
                <c:pt idx="111">
                  <c:v>6671269.1576574901</c:v>
                </c:pt>
                <c:pt idx="112">
                  <c:v>6416763.5103785135</c:v>
                </c:pt>
                <c:pt idx="113">
                  <c:v>6819886.0808179574</c:v>
                </c:pt>
                <c:pt idx="114">
                  <c:v>8188594.1348259971</c:v>
                </c:pt>
                <c:pt idx="115">
                  <c:v>7575279.856373081</c:v>
                </c:pt>
                <c:pt idx="116">
                  <c:v>6098776.815169109</c:v>
                </c:pt>
                <c:pt idx="117">
                  <c:v>6479390.6662630839</c:v>
                </c:pt>
                <c:pt idx="118">
                  <c:v>7470883.907602259</c:v>
                </c:pt>
                <c:pt idx="119">
                  <c:v>9163924.0120352823</c:v>
                </c:pt>
                <c:pt idx="120">
                  <c:v>9882506.2364310641</c:v>
                </c:pt>
                <c:pt idx="121">
                  <c:v>8769634.140884988</c:v>
                </c:pt>
                <c:pt idx="122">
                  <c:v>8459682.2130461168</c:v>
                </c:pt>
                <c:pt idx="123">
                  <c:v>6781205.8263278622</c:v>
                </c:pt>
                <c:pt idx="124">
                  <c:v>6549181.2699128902</c:v>
                </c:pt>
                <c:pt idx="125">
                  <c:v>6945815.9330749894</c:v>
                </c:pt>
                <c:pt idx="126">
                  <c:v>8320856.5372308344</c:v>
                </c:pt>
                <c:pt idx="127">
                  <c:v>7724864.5778279202</c:v>
                </c:pt>
                <c:pt idx="128">
                  <c:v>6271615.8476247368</c:v>
                </c:pt>
                <c:pt idx="129">
                  <c:v>6638765.3960210243</c:v>
                </c:pt>
                <c:pt idx="130">
                  <c:v>7640507.6426378945</c:v>
                </c:pt>
                <c:pt idx="131">
                  <c:v>9327471.9650290161</c:v>
                </c:pt>
                <c:pt idx="132">
                  <c:v>10022506.017427273</c:v>
                </c:pt>
                <c:pt idx="133">
                  <c:v>8699644.5971270502</c:v>
                </c:pt>
                <c:pt idx="134">
                  <c:v>8599913.1559090242</c:v>
                </c:pt>
                <c:pt idx="135">
                  <c:v>6921552.4932166077</c:v>
                </c:pt>
                <c:pt idx="136">
                  <c:v>6689643.7563274382</c:v>
                </c:pt>
                <c:pt idx="137">
                  <c:v>7086394.3345941147</c:v>
                </c:pt>
                <c:pt idx="138">
                  <c:v>8461550.9495121893</c:v>
                </c:pt>
                <c:pt idx="139">
                  <c:v>7865675.0966080939</c:v>
                </c:pt>
                <c:pt idx="140">
                  <c:v>6412542.5687193247</c:v>
                </c:pt>
                <c:pt idx="141">
                  <c:v>6779808.4153246945</c:v>
                </c:pt>
                <c:pt idx="142">
                  <c:v>7781667.0561244516</c:v>
                </c:pt>
                <c:pt idx="143">
                  <c:v>9468747.8687514644</c:v>
                </c:pt>
              </c:numCache>
            </c:numRef>
          </c:val>
          <c:smooth val="0"/>
          <c:extLst>
            <c:ext xmlns:c16="http://schemas.microsoft.com/office/drawing/2014/chart" uri="{C3380CC4-5D6E-409C-BE32-E72D297353CC}">
              <c16:uniqueId val="{00000001-1955-4766-A57B-97C42B534B3A}"/>
            </c:ext>
          </c:extLst>
        </c:ser>
        <c:dLbls>
          <c:showLegendKey val="0"/>
          <c:showVal val="0"/>
          <c:showCatName val="0"/>
          <c:showSerName val="0"/>
          <c:showPercent val="0"/>
          <c:showBubbleSize val="0"/>
        </c:dLbls>
        <c:smooth val="0"/>
        <c:axId val="176750976"/>
        <c:axId val="176752512"/>
      </c:lineChart>
      <c:dateAx>
        <c:axId val="176750976"/>
        <c:scaling>
          <c:orientation val="minMax"/>
        </c:scaling>
        <c:delete val="0"/>
        <c:axPos val="b"/>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6752512"/>
        <c:crosses val="autoZero"/>
        <c:auto val="1"/>
        <c:lblOffset val="100"/>
        <c:baseTimeUnit val="months"/>
      </c:dateAx>
      <c:valAx>
        <c:axId val="17675251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675097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Residential</a:t>
            </a:r>
          </a:p>
        </c:rich>
      </c:tx>
      <c:overlay val="0"/>
      <c:spPr>
        <a:noFill/>
        <a:ln>
          <a:noFill/>
        </a:ln>
        <a:effectLst/>
      </c:spPr>
    </c:title>
    <c:autoTitleDeleted val="0"/>
    <c:plotArea>
      <c:layout/>
      <c:lineChart>
        <c:grouping val="standard"/>
        <c:varyColors val="0"/>
        <c:ser>
          <c:idx val="0"/>
          <c:order val="0"/>
          <c:tx>
            <c:strRef>
              <c:f>'Res Normalized Monthly'!$AU$1</c:f>
              <c:strCache>
                <c:ptCount val="1"/>
                <c:pt idx="0">
                  <c:v>Low Predicted</c:v>
                </c:pt>
              </c:strCache>
            </c:strRef>
          </c:tx>
          <c:marker>
            <c:symbol val="none"/>
          </c:marker>
          <c:cat>
            <c:numRef>
              <c:f>'Res Normalized Monthly'!$A$2:$A$145</c:f>
              <c:numCache>
                <c:formatCode>mmm\-yy</c:formatCode>
                <c:ptCount val="144"/>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43770</c:v>
                </c:pt>
                <c:pt idx="47">
                  <c:v>43800</c:v>
                </c:pt>
                <c:pt idx="48">
                  <c:v>43831</c:v>
                </c:pt>
                <c:pt idx="49">
                  <c:v>43862</c:v>
                </c:pt>
                <c:pt idx="50">
                  <c:v>43891</c:v>
                </c:pt>
                <c:pt idx="51">
                  <c:v>43922</c:v>
                </c:pt>
                <c:pt idx="52">
                  <c:v>43952</c:v>
                </c:pt>
                <c:pt idx="53">
                  <c:v>43983</c:v>
                </c:pt>
                <c:pt idx="54">
                  <c:v>44013</c:v>
                </c:pt>
                <c:pt idx="55">
                  <c:v>44044</c:v>
                </c:pt>
                <c:pt idx="56">
                  <c:v>44075</c:v>
                </c:pt>
                <c:pt idx="57">
                  <c:v>44105</c:v>
                </c:pt>
                <c:pt idx="58">
                  <c:v>44136</c:v>
                </c:pt>
                <c:pt idx="59">
                  <c:v>44166</c:v>
                </c:pt>
                <c:pt idx="60">
                  <c:v>44197</c:v>
                </c:pt>
                <c:pt idx="61">
                  <c:v>44228</c:v>
                </c:pt>
                <c:pt idx="62">
                  <c:v>44256</c:v>
                </c:pt>
                <c:pt idx="63">
                  <c:v>44287</c:v>
                </c:pt>
                <c:pt idx="64">
                  <c:v>44317</c:v>
                </c:pt>
                <c:pt idx="65">
                  <c:v>44348</c:v>
                </c:pt>
                <c:pt idx="66">
                  <c:v>44378</c:v>
                </c:pt>
                <c:pt idx="67">
                  <c:v>44409</c:v>
                </c:pt>
                <c:pt idx="68">
                  <c:v>44440</c:v>
                </c:pt>
                <c:pt idx="69">
                  <c:v>44470</c:v>
                </c:pt>
                <c:pt idx="70">
                  <c:v>44501</c:v>
                </c:pt>
                <c:pt idx="71">
                  <c:v>44531</c:v>
                </c:pt>
                <c:pt idx="72">
                  <c:v>44562</c:v>
                </c:pt>
                <c:pt idx="73">
                  <c:v>44593</c:v>
                </c:pt>
                <c:pt idx="74">
                  <c:v>44621</c:v>
                </c:pt>
                <c:pt idx="75">
                  <c:v>44652</c:v>
                </c:pt>
                <c:pt idx="76">
                  <c:v>44682</c:v>
                </c:pt>
                <c:pt idx="77">
                  <c:v>44713</c:v>
                </c:pt>
                <c:pt idx="78">
                  <c:v>44743</c:v>
                </c:pt>
                <c:pt idx="79">
                  <c:v>44774</c:v>
                </c:pt>
                <c:pt idx="80">
                  <c:v>44805</c:v>
                </c:pt>
                <c:pt idx="81">
                  <c:v>44835</c:v>
                </c:pt>
                <c:pt idx="82">
                  <c:v>44866</c:v>
                </c:pt>
                <c:pt idx="83">
                  <c:v>44896</c:v>
                </c:pt>
                <c:pt idx="84">
                  <c:v>44927</c:v>
                </c:pt>
                <c:pt idx="85">
                  <c:v>44958</c:v>
                </c:pt>
                <c:pt idx="86">
                  <c:v>44986</c:v>
                </c:pt>
                <c:pt idx="87">
                  <c:v>45017</c:v>
                </c:pt>
                <c:pt idx="88">
                  <c:v>45047</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pt idx="129">
                  <c:v>46296</c:v>
                </c:pt>
                <c:pt idx="130">
                  <c:v>46327</c:v>
                </c:pt>
                <c:pt idx="131">
                  <c:v>46357</c:v>
                </c:pt>
                <c:pt idx="132">
                  <c:v>46388</c:v>
                </c:pt>
                <c:pt idx="133">
                  <c:v>46419</c:v>
                </c:pt>
                <c:pt idx="134">
                  <c:v>46447</c:v>
                </c:pt>
                <c:pt idx="135">
                  <c:v>46478</c:v>
                </c:pt>
                <c:pt idx="136">
                  <c:v>46508</c:v>
                </c:pt>
                <c:pt idx="137">
                  <c:v>46539</c:v>
                </c:pt>
                <c:pt idx="138">
                  <c:v>46569</c:v>
                </c:pt>
                <c:pt idx="139">
                  <c:v>46600</c:v>
                </c:pt>
                <c:pt idx="140">
                  <c:v>46631</c:v>
                </c:pt>
                <c:pt idx="141">
                  <c:v>46661</c:v>
                </c:pt>
                <c:pt idx="142">
                  <c:v>46692</c:v>
                </c:pt>
                <c:pt idx="143">
                  <c:v>46722</c:v>
                </c:pt>
              </c:numCache>
            </c:numRef>
          </c:cat>
          <c:val>
            <c:numRef>
              <c:f>'Res Normalized Monthly'!$AU$2:$AU$145</c:f>
              <c:numCache>
                <c:formatCode>_(* #,##0_);_(* \(#,##0\);_(* "-"??_);_(@_)</c:formatCode>
                <c:ptCount val="144"/>
                <c:pt idx="0">
                  <c:v>7746052.3273750255</c:v>
                </c:pt>
                <c:pt idx="1">
                  <c:v>6508223.5060201585</c:v>
                </c:pt>
                <c:pt idx="2">
                  <c:v>6498668.4005536092</c:v>
                </c:pt>
                <c:pt idx="3">
                  <c:v>5073982.4153856002</c:v>
                </c:pt>
                <c:pt idx="4">
                  <c:v>4826814.8687140001</c:v>
                </c:pt>
                <c:pt idx="5">
                  <c:v>5042886.6537970873</c:v>
                </c:pt>
                <c:pt idx="6">
                  <c:v>6225667.8532907404</c:v>
                </c:pt>
                <c:pt idx="7">
                  <c:v>5745043.0824172143</c:v>
                </c:pt>
                <c:pt idx="8">
                  <c:v>4565522.8357355818</c:v>
                </c:pt>
                <c:pt idx="9">
                  <c:v>4981659.6030619964</c:v>
                </c:pt>
                <c:pt idx="10">
                  <c:v>5824709.3478901079</c:v>
                </c:pt>
                <c:pt idx="11">
                  <c:v>7300752.5377440182</c:v>
                </c:pt>
                <c:pt idx="12">
                  <c:v>7903655.3381200572</c:v>
                </c:pt>
                <c:pt idx="13">
                  <c:v>6665826.5167651903</c:v>
                </c:pt>
                <c:pt idx="14">
                  <c:v>6656271.411298641</c:v>
                </c:pt>
                <c:pt idx="15">
                  <c:v>5175009.9863760043</c:v>
                </c:pt>
                <c:pt idx="16">
                  <c:v>4927842.4397044042</c:v>
                </c:pt>
                <c:pt idx="17">
                  <c:v>5143914.2247874914</c:v>
                </c:pt>
                <c:pt idx="18">
                  <c:v>6303795.8415233195</c:v>
                </c:pt>
                <c:pt idx="19">
                  <c:v>5823171.0706497934</c:v>
                </c:pt>
                <c:pt idx="20">
                  <c:v>4643650.8239681609</c:v>
                </c:pt>
                <c:pt idx="21">
                  <c:v>5151385.9223258756</c:v>
                </c:pt>
                <c:pt idx="22">
                  <c:v>5994435.6671539871</c:v>
                </c:pt>
                <c:pt idx="23">
                  <c:v>7470478.8570078975</c:v>
                </c:pt>
                <c:pt idx="24">
                  <c:v>8076075.7259436836</c:v>
                </c:pt>
                <c:pt idx="25">
                  <c:v>7063169.1396836378</c:v>
                </c:pt>
                <c:pt idx="26">
                  <c:v>6859673.5875593247</c:v>
                </c:pt>
                <c:pt idx="27">
                  <c:v>5382453.2654763032</c:v>
                </c:pt>
                <c:pt idx="28">
                  <c:v>5139326.8216443202</c:v>
                </c:pt>
                <c:pt idx="29">
                  <c:v>5362133.7781267678</c:v>
                </c:pt>
                <c:pt idx="30">
                  <c:v>6485645.4693060499</c:v>
                </c:pt>
                <c:pt idx="31">
                  <c:v>6030614.3497500923</c:v>
                </c:pt>
                <c:pt idx="32">
                  <c:v>4856482.2401879486</c:v>
                </c:pt>
                <c:pt idx="33">
                  <c:v>5276660.1103539784</c:v>
                </c:pt>
                <c:pt idx="34">
                  <c:v>6164161.9864178682</c:v>
                </c:pt>
                <c:pt idx="35">
                  <c:v>7649634.4162308844</c:v>
                </c:pt>
                <c:pt idx="36">
                  <c:v>8248496.1137673082</c:v>
                </c:pt>
                <c:pt idx="37">
                  <c:v>7010667.2924124412</c:v>
                </c:pt>
                <c:pt idx="38">
                  <c:v>7021317.7011439735</c:v>
                </c:pt>
                <c:pt idx="39">
                  <c:v>5553526.619020056</c:v>
                </c:pt>
                <c:pt idx="40">
                  <c:v>5322523.4837069223</c:v>
                </c:pt>
                <c:pt idx="41">
                  <c:v>5535901.2002302641</c:v>
                </c:pt>
                <c:pt idx="42">
                  <c:v>6662106.9599692896</c:v>
                </c:pt>
                <c:pt idx="43">
                  <c:v>6184176.2576555088</c:v>
                </c:pt>
                <c:pt idx="44">
                  <c:v>5015432.2852128521</c:v>
                </c:pt>
                <c:pt idx="45">
                  <c:v>5427527.9496996514</c:v>
                </c:pt>
                <c:pt idx="46">
                  <c:v>6280006.9344868669</c:v>
                </c:pt>
                <c:pt idx="47">
                  <c:v>7756050.1243407773</c:v>
                </c:pt>
                <c:pt idx="48">
                  <c:v>8377811.4046350261</c:v>
                </c:pt>
                <c:pt idx="49">
                  <c:v>7145370.720399648</c:v>
                </c:pt>
                <c:pt idx="50">
                  <c:v>7313544.6830970431</c:v>
                </c:pt>
                <c:pt idx="51">
                  <c:v>5916570.6261314284</c:v>
                </c:pt>
                <c:pt idx="52">
                  <c:v>5745729.1906358767</c:v>
                </c:pt>
                <c:pt idx="53">
                  <c:v>6083598.834392366</c:v>
                </c:pt>
                <c:pt idx="54">
                  <c:v>7489176.9652065914</c:v>
                </c:pt>
                <c:pt idx="55">
                  <c:v>6731237.2751697479</c:v>
                </c:pt>
                <c:pt idx="56">
                  <c:v>5391084.4736945275</c:v>
                </c:pt>
                <c:pt idx="57">
                  <c:v>5791790.6436308119</c:v>
                </c:pt>
                <c:pt idx="58">
                  <c:v>6688797.5163602708</c:v>
                </c:pt>
                <c:pt idx="59">
                  <c:v>8318615.4728648895</c:v>
                </c:pt>
                <c:pt idx="60">
                  <c:v>8845472.3293917552</c:v>
                </c:pt>
                <c:pt idx="61">
                  <c:v>7611485.5212791832</c:v>
                </c:pt>
                <c:pt idx="62">
                  <c:v>7559534.0208569467</c:v>
                </c:pt>
                <c:pt idx="63">
                  <c:v>5984333.1396548226</c:v>
                </c:pt>
                <c:pt idx="64">
                  <c:v>5813215.0030811476</c:v>
                </c:pt>
                <c:pt idx="65">
                  <c:v>6180493.0563236047</c:v>
                </c:pt>
                <c:pt idx="66">
                  <c:v>7309238.4198133871</c:v>
                </c:pt>
                <c:pt idx="67">
                  <c:v>6964783.3445595801</c:v>
                </c:pt>
                <c:pt idx="68">
                  <c:v>5509697.1464694412</c:v>
                </c:pt>
                <c:pt idx="69">
                  <c:v>5895835.3538254965</c:v>
                </c:pt>
                <c:pt idx="70">
                  <c:v>6797110.9747881992</c:v>
                </c:pt>
                <c:pt idx="71">
                  <c:v>8362819.2475735107</c:v>
                </c:pt>
                <c:pt idx="72">
                  <c:v>8980091.230343841</c:v>
                </c:pt>
                <c:pt idx="73">
                  <c:v>7879121.5579126952</c:v>
                </c:pt>
                <c:pt idx="74">
                  <c:v>7622110.3588892883</c:v>
                </c:pt>
                <c:pt idx="75">
                  <c:v>6062090.8940634942</c:v>
                </c:pt>
                <c:pt idx="76">
                  <c:v>5858811.9797892198</c:v>
                </c:pt>
                <c:pt idx="77">
                  <c:v>6106871.9480443858</c:v>
                </c:pt>
                <c:pt idx="78">
                  <c:v>7313468.5499051418</c:v>
                </c:pt>
                <c:pt idx="79">
                  <c:v>6820374.9902240504</c:v>
                </c:pt>
                <c:pt idx="80">
                  <c:v>5572831.9983069887</c:v>
                </c:pt>
                <c:pt idx="81">
                  <c:v>5963716.0209891153</c:v>
                </c:pt>
                <c:pt idx="82">
                  <c:v>6863032.6715000672</c:v>
                </c:pt>
                <c:pt idx="83">
                  <c:v>8386172.0257807607</c:v>
                </c:pt>
                <c:pt idx="84">
                  <c:v>8902160.5567183718</c:v>
                </c:pt>
                <c:pt idx="85">
                  <c:v>7701670.2027103296</c:v>
                </c:pt>
                <c:pt idx="86">
                  <c:v>7694894.6999337962</c:v>
                </c:pt>
                <c:pt idx="87">
                  <c:v>6177351.468407711</c:v>
                </c:pt>
                <c:pt idx="88">
                  <c:v>5942309.9898172123</c:v>
                </c:pt>
                <c:pt idx="89">
                  <c:v>6207518.0532575119</c:v>
                </c:pt>
                <c:pt idx="90">
                  <c:v>7360848.2075883485</c:v>
                </c:pt>
                <c:pt idx="91">
                  <c:v>6859806.7244865131</c:v>
                </c:pt>
                <c:pt idx="92">
                  <c:v>5649082.7767203022</c:v>
                </c:pt>
                <c:pt idx="93">
                  <c:v>6056884.5575760053</c:v>
                </c:pt>
                <c:pt idx="94">
                  <c:v>6942525.4315144224</c:v>
                </c:pt>
                <c:pt idx="95">
                  <c:v>8434092.3505546004</c:v>
                </c:pt>
                <c:pt idx="96">
                  <c:v>9054014.8380144238</c:v>
                </c:pt>
                <c:pt idx="97">
                  <c:v>7813003.9825696116</c:v>
                </c:pt>
                <c:pt idx="98">
                  <c:v>7779236.5709536076</c:v>
                </c:pt>
                <c:pt idx="99">
                  <c:v>6273035.7169318059</c:v>
                </c:pt>
                <c:pt idx="100">
                  <c:v>6044465.4051576024</c:v>
                </c:pt>
                <c:pt idx="101">
                  <c:v>6299228.1488244217</c:v>
                </c:pt>
                <c:pt idx="102">
                  <c:v>7471465.1846974287</c:v>
                </c:pt>
                <c:pt idx="103">
                  <c:v>6962333.4673411306</c:v>
                </c:pt>
                <c:pt idx="104">
                  <c:v>5746716.5272780899</c:v>
                </c:pt>
                <c:pt idx="105">
                  <c:v>6122924.3739451692</c:v>
                </c:pt>
                <c:pt idx="106">
                  <c:v>6983004.0482779155</c:v>
                </c:pt>
                <c:pt idx="107">
                  <c:v>8500608.5025392622</c:v>
                </c:pt>
                <c:pt idx="108">
                  <c:v>9106801.4170812592</c:v>
                </c:pt>
                <c:pt idx="109">
                  <c:v>7865767.012451007</c:v>
                </c:pt>
                <c:pt idx="110">
                  <c:v>7858162.4996077558</c:v>
                </c:pt>
                <c:pt idx="111">
                  <c:v>6344247.3854346815</c:v>
                </c:pt>
                <c:pt idx="112">
                  <c:v>6094489.7421743935</c:v>
                </c:pt>
                <c:pt idx="113">
                  <c:v>6363795.5193613572</c:v>
                </c:pt>
                <c:pt idx="114">
                  <c:v>7532546.5594520122</c:v>
                </c:pt>
                <c:pt idx="115">
                  <c:v>7022459.9038311131</c:v>
                </c:pt>
                <c:pt idx="116">
                  <c:v>5776090.7690562708</c:v>
                </c:pt>
                <c:pt idx="117">
                  <c:v>6189074.8722173264</c:v>
                </c:pt>
                <c:pt idx="118">
                  <c:v>7053106.5056111338</c:v>
                </c:pt>
                <c:pt idx="119">
                  <c:v>8576007.8296442591</c:v>
                </c:pt>
                <c:pt idx="120">
                  <c:v>9214524.6082094871</c:v>
                </c:pt>
                <c:pt idx="121">
                  <c:v>8184174.0949646411</c:v>
                </c:pt>
                <c:pt idx="122">
                  <c:v>7961138.7434107149</c:v>
                </c:pt>
                <c:pt idx="123">
                  <c:v>6454184.0541050537</c:v>
                </c:pt>
                <c:pt idx="124">
                  <c:v>6226907.5017087702</c:v>
                </c:pt>
                <c:pt idx="125">
                  <c:v>6489725.3716183892</c:v>
                </c:pt>
                <c:pt idx="126">
                  <c:v>7664808.9618568495</c:v>
                </c:pt>
                <c:pt idx="127">
                  <c:v>7172044.6252859524</c:v>
                </c:pt>
                <c:pt idx="128">
                  <c:v>5948929.8015118986</c:v>
                </c:pt>
                <c:pt idx="129">
                  <c:v>6348449.6019752668</c:v>
                </c:pt>
                <c:pt idx="130">
                  <c:v>7222730.2406467693</c:v>
                </c:pt>
                <c:pt idx="131">
                  <c:v>8739555.7826379947</c:v>
                </c:pt>
                <c:pt idx="132">
                  <c:v>9354524.3892056942</c:v>
                </c:pt>
                <c:pt idx="133">
                  <c:v>8114184.5512067033</c:v>
                </c:pt>
                <c:pt idx="134">
                  <c:v>8101369.6862736223</c:v>
                </c:pt>
                <c:pt idx="135">
                  <c:v>6594530.7209937992</c:v>
                </c:pt>
                <c:pt idx="136">
                  <c:v>6367369.9881233182</c:v>
                </c:pt>
                <c:pt idx="137">
                  <c:v>6630303.7731375145</c:v>
                </c:pt>
                <c:pt idx="138">
                  <c:v>7805503.3741382044</c:v>
                </c:pt>
                <c:pt idx="139">
                  <c:v>7312855.1440661261</c:v>
                </c:pt>
                <c:pt idx="140">
                  <c:v>6089856.5226064865</c:v>
                </c:pt>
                <c:pt idx="141">
                  <c:v>6489492.621278937</c:v>
                </c:pt>
                <c:pt idx="142">
                  <c:v>7363889.6541333264</c:v>
                </c:pt>
                <c:pt idx="143">
                  <c:v>8880831.6863604411</c:v>
                </c:pt>
              </c:numCache>
            </c:numRef>
          </c:val>
          <c:smooth val="0"/>
          <c:extLst>
            <c:ext xmlns:c16="http://schemas.microsoft.com/office/drawing/2014/chart" uri="{C3380CC4-5D6E-409C-BE32-E72D297353CC}">
              <c16:uniqueId val="{00000000-EB97-49E3-A11B-AF2E9712B3C7}"/>
            </c:ext>
          </c:extLst>
        </c:ser>
        <c:ser>
          <c:idx val="1"/>
          <c:order val="1"/>
          <c:tx>
            <c:strRef>
              <c:f>'Res Normalized Monthly'!$S$1</c:f>
              <c:strCache>
                <c:ptCount val="1"/>
                <c:pt idx="0">
                  <c:v>WN Predicted</c:v>
                </c:pt>
              </c:strCache>
            </c:strRef>
          </c:tx>
          <c:marker>
            <c:symbol val="none"/>
          </c:marker>
          <c:cat>
            <c:numRef>
              <c:f>'Res Normalized Monthly'!$A$2:$A$145</c:f>
              <c:numCache>
                <c:formatCode>mmm\-yy</c:formatCode>
                <c:ptCount val="144"/>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43770</c:v>
                </c:pt>
                <c:pt idx="47">
                  <c:v>43800</c:v>
                </c:pt>
                <c:pt idx="48">
                  <c:v>43831</c:v>
                </c:pt>
                <c:pt idx="49">
                  <c:v>43862</c:v>
                </c:pt>
                <c:pt idx="50">
                  <c:v>43891</c:v>
                </c:pt>
                <c:pt idx="51">
                  <c:v>43922</c:v>
                </c:pt>
                <c:pt idx="52">
                  <c:v>43952</c:v>
                </c:pt>
                <c:pt idx="53">
                  <c:v>43983</c:v>
                </c:pt>
                <c:pt idx="54">
                  <c:v>44013</c:v>
                </c:pt>
                <c:pt idx="55">
                  <c:v>44044</c:v>
                </c:pt>
                <c:pt idx="56">
                  <c:v>44075</c:v>
                </c:pt>
                <c:pt idx="57">
                  <c:v>44105</c:v>
                </c:pt>
                <c:pt idx="58">
                  <c:v>44136</c:v>
                </c:pt>
                <c:pt idx="59">
                  <c:v>44166</c:v>
                </c:pt>
                <c:pt idx="60">
                  <c:v>44197</c:v>
                </c:pt>
                <c:pt idx="61">
                  <c:v>44228</c:v>
                </c:pt>
                <c:pt idx="62">
                  <c:v>44256</c:v>
                </c:pt>
                <c:pt idx="63">
                  <c:v>44287</c:v>
                </c:pt>
                <c:pt idx="64">
                  <c:v>44317</c:v>
                </c:pt>
                <c:pt idx="65">
                  <c:v>44348</c:v>
                </c:pt>
                <c:pt idx="66">
                  <c:v>44378</c:v>
                </c:pt>
                <c:pt idx="67">
                  <c:v>44409</c:v>
                </c:pt>
                <c:pt idx="68">
                  <c:v>44440</c:v>
                </c:pt>
                <c:pt idx="69">
                  <c:v>44470</c:v>
                </c:pt>
                <c:pt idx="70">
                  <c:v>44501</c:v>
                </c:pt>
                <c:pt idx="71">
                  <c:v>44531</c:v>
                </c:pt>
                <c:pt idx="72">
                  <c:v>44562</c:v>
                </c:pt>
                <c:pt idx="73">
                  <c:v>44593</c:v>
                </c:pt>
                <c:pt idx="74">
                  <c:v>44621</c:v>
                </c:pt>
                <c:pt idx="75">
                  <c:v>44652</c:v>
                </c:pt>
                <c:pt idx="76">
                  <c:v>44682</c:v>
                </c:pt>
                <c:pt idx="77">
                  <c:v>44713</c:v>
                </c:pt>
                <c:pt idx="78">
                  <c:v>44743</c:v>
                </c:pt>
                <c:pt idx="79">
                  <c:v>44774</c:v>
                </c:pt>
                <c:pt idx="80">
                  <c:v>44805</c:v>
                </c:pt>
                <c:pt idx="81">
                  <c:v>44835</c:v>
                </c:pt>
                <c:pt idx="82">
                  <c:v>44866</c:v>
                </c:pt>
                <c:pt idx="83">
                  <c:v>44896</c:v>
                </c:pt>
                <c:pt idx="84">
                  <c:v>44927</c:v>
                </c:pt>
                <c:pt idx="85">
                  <c:v>44958</c:v>
                </c:pt>
                <c:pt idx="86">
                  <c:v>44986</c:v>
                </c:pt>
                <c:pt idx="87">
                  <c:v>45017</c:v>
                </c:pt>
                <c:pt idx="88">
                  <c:v>45047</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pt idx="129">
                  <c:v>46296</c:v>
                </c:pt>
                <c:pt idx="130">
                  <c:v>46327</c:v>
                </c:pt>
                <c:pt idx="131">
                  <c:v>46357</c:v>
                </c:pt>
                <c:pt idx="132">
                  <c:v>46388</c:v>
                </c:pt>
                <c:pt idx="133">
                  <c:v>46419</c:v>
                </c:pt>
                <c:pt idx="134">
                  <c:v>46447</c:v>
                </c:pt>
                <c:pt idx="135">
                  <c:v>46478</c:v>
                </c:pt>
                <c:pt idx="136">
                  <c:v>46508</c:v>
                </c:pt>
                <c:pt idx="137">
                  <c:v>46539</c:v>
                </c:pt>
                <c:pt idx="138">
                  <c:v>46569</c:v>
                </c:pt>
                <c:pt idx="139">
                  <c:v>46600</c:v>
                </c:pt>
                <c:pt idx="140">
                  <c:v>46631</c:v>
                </c:pt>
                <c:pt idx="141">
                  <c:v>46661</c:v>
                </c:pt>
                <c:pt idx="142">
                  <c:v>46692</c:v>
                </c:pt>
                <c:pt idx="143">
                  <c:v>46722</c:v>
                </c:pt>
              </c:numCache>
            </c:numRef>
          </c:cat>
          <c:val>
            <c:numRef>
              <c:f>'Res Normalized Monthly'!$S$2:$S$145</c:f>
              <c:numCache>
                <c:formatCode>_(* #,##0_);_(* \(#,##0\);_(* "-"??_);_(@_)</c:formatCode>
                <c:ptCount val="144"/>
                <c:pt idx="0">
                  <c:v>8414033.9555966035</c:v>
                </c:pt>
                <c:pt idx="1">
                  <c:v>7093683.5519405054</c:v>
                </c:pt>
                <c:pt idx="2">
                  <c:v>6997211.8701890111</c:v>
                </c:pt>
                <c:pt idx="3">
                  <c:v>5401004.1876084087</c:v>
                </c:pt>
                <c:pt idx="4">
                  <c:v>5149088.6369181201</c:v>
                </c:pt>
                <c:pt idx="5">
                  <c:v>5498977.2152536875</c:v>
                </c:pt>
                <c:pt idx="6">
                  <c:v>6881715.4286647253</c:v>
                </c:pt>
                <c:pt idx="7">
                  <c:v>6297863.0349591821</c:v>
                </c:pt>
                <c:pt idx="8">
                  <c:v>4888208.88184842</c:v>
                </c:pt>
                <c:pt idx="9">
                  <c:v>5271975.3971077539</c:v>
                </c:pt>
                <c:pt idx="10">
                  <c:v>6242486.7498812331</c:v>
                </c:pt>
                <c:pt idx="11">
                  <c:v>7888668.7201350406</c:v>
                </c:pt>
                <c:pt idx="12">
                  <c:v>8571636.9663416352</c:v>
                </c:pt>
                <c:pt idx="13">
                  <c:v>7251286.5626855372</c:v>
                </c:pt>
                <c:pt idx="14">
                  <c:v>7154814.8809340429</c:v>
                </c:pt>
                <c:pt idx="15">
                  <c:v>5502031.7585988129</c:v>
                </c:pt>
                <c:pt idx="16">
                  <c:v>5250116.2079085242</c:v>
                </c:pt>
                <c:pt idx="17">
                  <c:v>5600004.7862440916</c:v>
                </c:pt>
                <c:pt idx="18">
                  <c:v>6959843.4168973044</c:v>
                </c:pt>
                <c:pt idx="19">
                  <c:v>6375991.0231917612</c:v>
                </c:pt>
                <c:pt idx="20">
                  <c:v>4966336.8700809991</c:v>
                </c:pt>
                <c:pt idx="21">
                  <c:v>5441701.7163716331</c:v>
                </c:pt>
                <c:pt idx="22">
                  <c:v>6412213.0691451123</c:v>
                </c:pt>
                <c:pt idx="23">
                  <c:v>8058395.0393989198</c:v>
                </c:pt>
                <c:pt idx="24">
                  <c:v>8744057.3541652616</c:v>
                </c:pt>
                <c:pt idx="25">
                  <c:v>7648629.1856039846</c:v>
                </c:pt>
                <c:pt idx="26">
                  <c:v>7358217.0571947265</c:v>
                </c:pt>
                <c:pt idx="27">
                  <c:v>5709475.0376991117</c:v>
                </c:pt>
                <c:pt idx="28">
                  <c:v>5461600.5898484401</c:v>
                </c:pt>
                <c:pt idx="29">
                  <c:v>5818224.339583368</c:v>
                </c:pt>
                <c:pt idx="30">
                  <c:v>7141693.0446800347</c:v>
                </c:pt>
                <c:pt idx="31">
                  <c:v>6583434.3022920601</c:v>
                </c:pt>
                <c:pt idx="32">
                  <c:v>5179168.2863007868</c:v>
                </c:pt>
                <c:pt idx="33">
                  <c:v>5566975.9043997359</c:v>
                </c:pt>
                <c:pt idx="34">
                  <c:v>6581939.3884089934</c:v>
                </c:pt>
                <c:pt idx="35">
                  <c:v>8237550.5986219067</c:v>
                </c:pt>
                <c:pt idx="36">
                  <c:v>8916477.7419888861</c:v>
                </c:pt>
                <c:pt idx="37">
                  <c:v>7596127.3383327881</c:v>
                </c:pt>
                <c:pt idx="38">
                  <c:v>7519861.1707793754</c:v>
                </c:pt>
                <c:pt idx="39">
                  <c:v>5880548.3912428645</c:v>
                </c:pt>
                <c:pt idx="40">
                  <c:v>5644797.2519110423</c:v>
                </c:pt>
                <c:pt idx="41">
                  <c:v>5991991.7616868643</c:v>
                </c:pt>
                <c:pt idx="42">
                  <c:v>7318154.5353432745</c:v>
                </c:pt>
                <c:pt idx="43">
                  <c:v>6736996.2101974767</c:v>
                </c:pt>
                <c:pt idx="44">
                  <c:v>5338118.3313256903</c:v>
                </c:pt>
                <c:pt idx="45">
                  <c:v>5717843.743745409</c:v>
                </c:pt>
                <c:pt idx="46">
                  <c:v>6697784.3364779921</c:v>
                </c:pt>
                <c:pt idx="47">
                  <c:v>8343966.3067317996</c:v>
                </c:pt>
                <c:pt idx="48">
                  <c:v>9045793.0328566041</c:v>
                </c:pt>
                <c:pt idx="49">
                  <c:v>7730830.7663199948</c:v>
                </c:pt>
                <c:pt idx="50">
                  <c:v>7812088.1527324449</c:v>
                </c:pt>
                <c:pt idx="51">
                  <c:v>6243592.398354237</c:v>
                </c:pt>
                <c:pt idx="52">
                  <c:v>6068002.9588399967</c:v>
                </c:pt>
                <c:pt idx="53">
                  <c:v>6539689.3958489662</c:v>
                </c:pt>
                <c:pt idx="54">
                  <c:v>8145224.5405805772</c:v>
                </c:pt>
                <c:pt idx="55">
                  <c:v>7284057.2277117157</c:v>
                </c:pt>
                <c:pt idx="56">
                  <c:v>5713770.5198073657</c:v>
                </c:pt>
                <c:pt idx="57">
                  <c:v>6082106.4376765694</c:v>
                </c:pt>
                <c:pt idx="58">
                  <c:v>7106574.918351396</c:v>
                </c:pt>
                <c:pt idx="59">
                  <c:v>8906531.6552559119</c:v>
                </c:pt>
                <c:pt idx="60">
                  <c:v>9513453.9576133341</c:v>
                </c:pt>
                <c:pt idx="61">
                  <c:v>8196945.5671995301</c:v>
                </c:pt>
                <c:pt idx="62">
                  <c:v>8058077.4904923486</c:v>
                </c:pt>
                <c:pt idx="63">
                  <c:v>6311354.9118776312</c:v>
                </c:pt>
                <c:pt idx="64">
                  <c:v>6135488.7712852675</c:v>
                </c:pt>
                <c:pt idx="65">
                  <c:v>6636583.6177802049</c:v>
                </c:pt>
                <c:pt idx="66">
                  <c:v>7965285.9951873729</c:v>
                </c:pt>
                <c:pt idx="67">
                  <c:v>7517603.2971015479</c:v>
                </c:pt>
                <c:pt idx="68">
                  <c:v>5832383.1925822794</c:v>
                </c:pt>
                <c:pt idx="69">
                  <c:v>6186151.147871254</c:v>
                </c:pt>
                <c:pt idx="70">
                  <c:v>7214888.3767793244</c:v>
                </c:pt>
                <c:pt idx="71">
                  <c:v>8950735.4299645331</c:v>
                </c:pt>
                <c:pt idx="72">
                  <c:v>9648072.858565418</c:v>
                </c:pt>
                <c:pt idx="73">
                  <c:v>8464581.6038330421</c:v>
                </c:pt>
                <c:pt idx="74">
                  <c:v>8120653.8285246901</c:v>
                </c:pt>
                <c:pt idx="75">
                  <c:v>6389112.6662863027</c:v>
                </c:pt>
                <c:pt idx="76">
                  <c:v>6181085.7479933398</c:v>
                </c:pt>
                <c:pt idx="77">
                  <c:v>6562962.509500986</c:v>
                </c:pt>
                <c:pt idx="78">
                  <c:v>7969516.1252791267</c:v>
                </c:pt>
                <c:pt idx="79">
                  <c:v>7373194.9427660182</c:v>
                </c:pt>
                <c:pt idx="80">
                  <c:v>5895518.0444198269</c:v>
                </c:pt>
                <c:pt idx="81">
                  <c:v>6254031.8150348729</c:v>
                </c:pt>
                <c:pt idx="82">
                  <c:v>7280810.0734911924</c:v>
                </c:pt>
                <c:pt idx="83">
                  <c:v>8974088.208171783</c:v>
                </c:pt>
                <c:pt idx="84">
                  <c:v>9570142.1849399488</c:v>
                </c:pt>
                <c:pt idx="85">
                  <c:v>8287130.2486306764</c:v>
                </c:pt>
                <c:pt idx="86">
                  <c:v>8193438.169569198</c:v>
                </c:pt>
                <c:pt idx="87">
                  <c:v>6504373.2406305196</c:v>
                </c:pt>
                <c:pt idx="88">
                  <c:v>6264583.7580213323</c:v>
                </c:pt>
                <c:pt idx="89">
                  <c:v>6663608.6147141121</c:v>
                </c:pt>
                <c:pt idx="90">
                  <c:v>8016895.7829623334</c:v>
                </c:pt>
                <c:pt idx="91">
                  <c:v>7412626.6770284809</c:v>
                </c:pt>
                <c:pt idx="92">
                  <c:v>5971768.8228331404</c:v>
                </c:pt>
                <c:pt idx="93">
                  <c:v>6347200.3516217628</c:v>
                </c:pt>
                <c:pt idx="94">
                  <c:v>7360302.8335055476</c:v>
                </c:pt>
                <c:pt idx="95">
                  <c:v>9022008.5329456236</c:v>
                </c:pt>
                <c:pt idx="96">
                  <c:v>9721996.4662360027</c:v>
                </c:pt>
                <c:pt idx="97">
                  <c:v>8398464.0284899585</c:v>
                </c:pt>
                <c:pt idx="98">
                  <c:v>8277780.0405890094</c:v>
                </c:pt>
                <c:pt idx="99">
                  <c:v>6600057.4891546145</c:v>
                </c:pt>
                <c:pt idx="100">
                  <c:v>6366739.1733617224</c:v>
                </c:pt>
                <c:pt idx="101">
                  <c:v>6755318.7102810219</c:v>
                </c:pt>
                <c:pt idx="102">
                  <c:v>8127512.7600714145</c:v>
                </c:pt>
                <c:pt idx="103">
                  <c:v>7515153.4198830985</c:v>
                </c:pt>
                <c:pt idx="104">
                  <c:v>6069402.5733909281</c:v>
                </c:pt>
                <c:pt idx="105">
                  <c:v>6413240.1679909267</c:v>
                </c:pt>
                <c:pt idx="106">
                  <c:v>7400781.4502690407</c:v>
                </c:pt>
                <c:pt idx="107">
                  <c:v>9088524.6849302854</c:v>
                </c:pt>
                <c:pt idx="108">
                  <c:v>9774783.0453028381</c:v>
                </c:pt>
                <c:pt idx="109">
                  <c:v>8451227.0583713539</c:v>
                </c:pt>
                <c:pt idx="110">
                  <c:v>8356705.9692431577</c:v>
                </c:pt>
                <c:pt idx="111">
                  <c:v>6671269.1576574901</c:v>
                </c:pt>
                <c:pt idx="112">
                  <c:v>6416763.5103785135</c:v>
                </c:pt>
                <c:pt idx="113">
                  <c:v>6819886.0808179574</c:v>
                </c:pt>
                <c:pt idx="114">
                  <c:v>8188594.1348259971</c:v>
                </c:pt>
                <c:pt idx="115">
                  <c:v>7575279.856373081</c:v>
                </c:pt>
                <c:pt idx="116">
                  <c:v>6098776.815169109</c:v>
                </c:pt>
                <c:pt idx="117">
                  <c:v>6479390.6662630839</c:v>
                </c:pt>
                <c:pt idx="118">
                  <c:v>7470883.907602259</c:v>
                </c:pt>
                <c:pt idx="119">
                  <c:v>9163924.0120352823</c:v>
                </c:pt>
                <c:pt idx="120">
                  <c:v>9882506.2364310641</c:v>
                </c:pt>
                <c:pt idx="121">
                  <c:v>8769634.140884988</c:v>
                </c:pt>
                <c:pt idx="122">
                  <c:v>8459682.2130461168</c:v>
                </c:pt>
                <c:pt idx="123">
                  <c:v>6781205.8263278622</c:v>
                </c:pt>
                <c:pt idx="124">
                  <c:v>6549181.2699128902</c:v>
                </c:pt>
                <c:pt idx="125">
                  <c:v>6945815.9330749894</c:v>
                </c:pt>
                <c:pt idx="126">
                  <c:v>8320856.5372308344</c:v>
                </c:pt>
                <c:pt idx="127">
                  <c:v>7724864.5778279202</c:v>
                </c:pt>
                <c:pt idx="128">
                  <c:v>6271615.8476247368</c:v>
                </c:pt>
                <c:pt idx="129">
                  <c:v>6638765.3960210243</c:v>
                </c:pt>
                <c:pt idx="130">
                  <c:v>7640507.6426378945</c:v>
                </c:pt>
                <c:pt idx="131">
                  <c:v>9327471.9650290161</c:v>
                </c:pt>
                <c:pt idx="132">
                  <c:v>10022506.017427273</c:v>
                </c:pt>
                <c:pt idx="133">
                  <c:v>8699644.5971270502</c:v>
                </c:pt>
                <c:pt idx="134">
                  <c:v>8599913.1559090242</c:v>
                </c:pt>
                <c:pt idx="135">
                  <c:v>6921552.4932166077</c:v>
                </c:pt>
                <c:pt idx="136">
                  <c:v>6689643.7563274382</c:v>
                </c:pt>
                <c:pt idx="137">
                  <c:v>7086394.3345941147</c:v>
                </c:pt>
                <c:pt idx="138">
                  <c:v>8461550.9495121893</c:v>
                </c:pt>
                <c:pt idx="139">
                  <c:v>7865675.0966080939</c:v>
                </c:pt>
                <c:pt idx="140">
                  <c:v>6412542.5687193247</c:v>
                </c:pt>
                <c:pt idx="141">
                  <c:v>6779808.4153246945</c:v>
                </c:pt>
                <c:pt idx="142">
                  <c:v>7781667.0561244516</c:v>
                </c:pt>
                <c:pt idx="143">
                  <c:v>9468747.8687514644</c:v>
                </c:pt>
              </c:numCache>
            </c:numRef>
          </c:val>
          <c:smooth val="0"/>
          <c:extLst>
            <c:ext xmlns:c16="http://schemas.microsoft.com/office/drawing/2014/chart" uri="{C3380CC4-5D6E-409C-BE32-E72D297353CC}">
              <c16:uniqueId val="{00000001-EB97-49E3-A11B-AF2E9712B3C7}"/>
            </c:ext>
          </c:extLst>
        </c:ser>
        <c:ser>
          <c:idx val="2"/>
          <c:order val="2"/>
          <c:tx>
            <c:strRef>
              <c:f>'Res Normalized Monthly'!$AV$1</c:f>
              <c:strCache>
                <c:ptCount val="1"/>
                <c:pt idx="0">
                  <c:v>High Predicted</c:v>
                </c:pt>
              </c:strCache>
            </c:strRef>
          </c:tx>
          <c:marker>
            <c:symbol val="none"/>
          </c:marker>
          <c:val>
            <c:numRef>
              <c:f>'Res Normalized Monthly'!$AV$2:$AV$145</c:f>
              <c:numCache>
                <c:formatCode>_(* #,##0_);_(* \(#,##0\);_(* "-"??_);_(@_)</c:formatCode>
                <c:ptCount val="144"/>
                <c:pt idx="0">
                  <c:v>9054439.2150625028</c:v>
                </c:pt>
                <c:pt idx="1">
                  <c:v>7654973.9778654659</c:v>
                </c:pt>
                <c:pt idx="2">
                  <c:v>7475173.9076733477</c:v>
                </c:pt>
                <c:pt idx="3">
                  <c:v>5711383.3408675985</c:v>
                </c:pt>
                <c:pt idx="4">
                  <c:v>5374570.9234851096</c:v>
                </c:pt>
                <c:pt idx="5">
                  <c:v>5746409.9836650509</c:v>
                </c:pt>
                <c:pt idx="6">
                  <c:v>7213286.7407067334</c:v>
                </c:pt>
                <c:pt idx="7">
                  <c:v>6583609.0874152333</c:v>
                </c:pt>
                <c:pt idx="8">
                  <c:v>5091213.5685517024</c:v>
                </c:pt>
                <c:pt idx="9">
                  <c:v>5525917.5570115661</c:v>
                </c:pt>
                <c:pt idx="10">
                  <c:v>6640468.3460939229</c:v>
                </c:pt>
                <c:pt idx="11">
                  <c:v>8452313.8855428435</c:v>
                </c:pt>
                <c:pt idx="12">
                  <c:v>9212042.2258075364</c:v>
                </c:pt>
                <c:pt idx="13">
                  <c:v>7812576.9886104977</c:v>
                </c:pt>
                <c:pt idx="14">
                  <c:v>7632776.9184183795</c:v>
                </c:pt>
                <c:pt idx="15">
                  <c:v>5812410.9118580027</c:v>
                </c:pt>
                <c:pt idx="16">
                  <c:v>5475598.4944755137</c:v>
                </c:pt>
                <c:pt idx="17">
                  <c:v>5847437.5546554551</c:v>
                </c:pt>
                <c:pt idx="18">
                  <c:v>7291414.7289393125</c:v>
                </c:pt>
                <c:pt idx="19">
                  <c:v>6661737.0756478123</c:v>
                </c:pt>
                <c:pt idx="20">
                  <c:v>5169341.5567842815</c:v>
                </c:pt>
                <c:pt idx="21">
                  <c:v>5695643.8762754453</c:v>
                </c:pt>
                <c:pt idx="22">
                  <c:v>6810194.6653578021</c:v>
                </c:pt>
                <c:pt idx="23">
                  <c:v>8622040.2048067227</c:v>
                </c:pt>
                <c:pt idx="24">
                  <c:v>9384462.6136311628</c:v>
                </c:pt>
                <c:pt idx="25">
                  <c:v>8209919.6115289452</c:v>
                </c:pt>
                <c:pt idx="26">
                  <c:v>7836179.0946790632</c:v>
                </c:pt>
                <c:pt idx="27">
                  <c:v>6019854.1909583015</c:v>
                </c:pt>
                <c:pt idx="28">
                  <c:v>5687082.8764154296</c:v>
                </c:pt>
                <c:pt idx="29">
                  <c:v>6065657.1079947315</c:v>
                </c:pt>
                <c:pt idx="30">
                  <c:v>7473264.3567220429</c:v>
                </c:pt>
                <c:pt idx="31">
                  <c:v>6869180.3547481112</c:v>
                </c:pt>
                <c:pt idx="32">
                  <c:v>5382172.9730040692</c:v>
                </c:pt>
                <c:pt idx="33">
                  <c:v>5820918.0643035481</c:v>
                </c:pt>
                <c:pt idx="34">
                  <c:v>6979920.9846216831</c:v>
                </c:pt>
                <c:pt idx="35">
                  <c:v>8801195.7640297096</c:v>
                </c:pt>
                <c:pt idx="36">
                  <c:v>9556883.0014547855</c:v>
                </c:pt>
                <c:pt idx="37">
                  <c:v>8157417.7642577486</c:v>
                </c:pt>
                <c:pt idx="38">
                  <c:v>7997823.208263712</c:v>
                </c:pt>
                <c:pt idx="39">
                  <c:v>6190927.5445020543</c:v>
                </c:pt>
                <c:pt idx="40">
                  <c:v>5870279.5384780318</c:v>
                </c:pt>
                <c:pt idx="41">
                  <c:v>6239424.5300982278</c:v>
                </c:pt>
                <c:pt idx="42">
                  <c:v>7649725.8473852826</c:v>
                </c:pt>
                <c:pt idx="43">
                  <c:v>7022742.2626535278</c:v>
                </c:pt>
                <c:pt idx="44">
                  <c:v>5541123.0180289727</c:v>
                </c:pt>
                <c:pt idx="45">
                  <c:v>5971785.9036492212</c:v>
                </c:pt>
                <c:pt idx="46">
                  <c:v>7095765.9326906819</c:v>
                </c:pt>
                <c:pt idx="47">
                  <c:v>8907611.4721396025</c:v>
                </c:pt>
                <c:pt idx="48">
                  <c:v>9686198.2923225053</c:v>
                </c:pt>
                <c:pt idx="49">
                  <c:v>8292121.1922449553</c:v>
                </c:pt>
                <c:pt idx="50">
                  <c:v>8290050.1902167816</c:v>
                </c:pt>
                <c:pt idx="51">
                  <c:v>6553971.5516134268</c:v>
                </c:pt>
                <c:pt idx="52">
                  <c:v>6293485.2454069853</c:v>
                </c:pt>
                <c:pt idx="53">
                  <c:v>6787122.1642603297</c:v>
                </c:pt>
                <c:pt idx="54">
                  <c:v>8476795.8526225854</c:v>
                </c:pt>
                <c:pt idx="55">
                  <c:v>7569803.2801677668</c:v>
                </c:pt>
                <c:pt idx="56">
                  <c:v>5916775.2065106481</c:v>
                </c:pt>
                <c:pt idx="57">
                  <c:v>6336048.5975803817</c:v>
                </c:pt>
                <c:pt idx="58">
                  <c:v>7504556.5145640858</c:v>
                </c:pt>
                <c:pt idx="59">
                  <c:v>9470176.8206637148</c:v>
                </c:pt>
                <c:pt idx="60">
                  <c:v>10153859.217079233</c:v>
                </c:pt>
                <c:pt idx="61">
                  <c:v>8758235.9931244906</c:v>
                </c:pt>
                <c:pt idx="62">
                  <c:v>8536039.5279766843</c:v>
                </c:pt>
                <c:pt idx="63">
                  <c:v>6621734.065136821</c:v>
                </c:pt>
                <c:pt idx="64">
                  <c:v>6360971.057852257</c:v>
                </c:pt>
                <c:pt idx="65">
                  <c:v>6884016.3861915693</c:v>
                </c:pt>
                <c:pt idx="66">
                  <c:v>8296857.3072293811</c:v>
                </c:pt>
                <c:pt idx="67">
                  <c:v>7803349.3495575991</c:v>
                </c:pt>
                <c:pt idx="68">
                  <c:v>6035387.8792855628</c:v>
                </c:pt>
                <c:pt idx="69">
                  <c:v>6440093.3077750662</c:v>
                </c:pt>
                <c:pt idx="70">
                  <c:v>7612869.9729920141</c:v>
                </c:pt>
                <c:pt idx="71">
                  <c:v>9514380.595372336</c:v>
                </c:pt>
                <c:pt idx="72">
                  <c:v>10288478.118031319</c:v>
                </c:pt>
                <c:pt idx="73">
                  <c:v>9025872.0297580026</c:v>
                </c:pt>
                <c:pt idx="74">
                  <c:v>8598615.8660090268</c:v>
                </c:pt>
                <c:pt idx="75">
                  <c:v>6699491.8195454925</c:v>
                </c:pt>
                <c:pt idx="76">
                  <c:v>6406568.0345603283</c:v>
                </c:pt>
                <c:pt idx="77">
                  <c:v>6810395.2779123504</c:v>
                </c:pt>
                <c:pt idx="78">
                  <c:v>8301087.4373211348</c:v>
                </c:pt>
                <c:pt idx="79">
                  <c:v>7658940.9952220693</c:v>
                </c:pt>
                <c:pt idx="80">
                  <c:v>6098522.7311231103</c:v>
                </c:pt>
                <c:pt idx="81">
                  <c:v>6507973.9749386851</c:v>
                </c:pt>
                <c:pt idx="82">
                  <c:v>7678791.6697038822</c:v>
                </c:pt>
                <c:pt idx="83">
                  <c:v>9537733.3735795859</c:v>
                </c:pt>
                <c:pt idx="84">
                  <c:v>10210547.44440585</c:v>
                </c:pt>
                <c:pt idx="85">
                  <c:v>8848420.6745556369</c:v>
                </c:pt>
                <c:pt idx="86">
                  <c:v>8671400.2070535347</c:v>
                </c:pt>
                <c:pt idx="87">
                  <c:v>6814752.3938897094</c:v>
                </c:pt>
                <c:pt idx="88">
                  <c:v>6490066.0445883218</c:v>
                </c:pt>
                <c:pt idx="89">
                  <c:v>6911041.3831254765</c:v>
                </c:pt>
                <c:pt idx="90">
                  <c:v>8348467.0950043416</c:v>
                </c:pt>
                <c:pt idx="91">
                  <c:v>7698372.729484532</c:v>
                </c:pt>
                <c:pt idx="92">
                  <c:v>6174773.5095364228</c:v>
                </c:pt>
                <c:pt idx="93">
                  <c:v>6601142.5115255751</c:v>
                </c:pt>
                <c:pt idx="94">
                  <c:v>7758284.4297182374</c:v>
                </c:pt>
                <c:pt idx="95">
                  <c:v>9585653.6983534265</c:v>
                </c:pt>
                <c:pt idx="96">
                  <c:v>10362401.725701902</c:v>
                </c:pt>
                <c:pt idx="97">
                  <c:v>8959754.454414919</c:v>
                </c:pt>
                <c:pt idx="98">
                  <c:v>8755742.0780733451</c:v>
                </c:pt>
                <c:pt idx="99">
                  <c:v>6910436.6424138043</c:v>
                </c:pt>
                <c:pt idx="100">
                  <c:v>6592221.4599287119</c:v>
                </c:pt>
                <c:pt idx="101">
                  <c:v>7002751.4786923863</c:v>
                </c:pt>
                <c:pt idx="102">
                  <c:v>8459084.0721134227</c:v>
                </c:pt>
                <c:pt idx="103">
                  <c:v>7800899.4723391496</c:v>
                </c:pt>
                <c:pt idx="104">
                  <c:v>6272407.2600942105</c:v>
                </c:pt>
                <c:pt idx="105">
                  <c:v>6667182.3278947389</c:v>
                </c:pt>
                <c:pt idx="106">
                  <c:v>7798763.0464817304</c:v>
                </c:pt>
                <c:pt idx="107">
                  <c:v>9652169.8503380883</c:v>
                </c:pt>
                <c:pt idx="108">
                  <c:v>10415188.304768737</c:v>
                </c:pt>
                <c:pt idx="109">
                  <c:v>9012517.4842963144</c:v>
                </c:pt>
                <c:pt idx="110">
                  <c:v>8834668.0067274943</c:v>
                </c:pt>
                <c:pt idx="111">
                  <c:v>6981648.3109166799</c:v>
                </c:pt>
                <c:pt idx="112">
                  <c:v>6642245.796945503</c:v>
                </c:pt>
                <c:pt idx="113">
                  <c:v>7067318.8492293209</c:v>
                </c:pt>
                <c:pt idx="114">
                  <c:v>8520165.4468680061</c:v>
                </c:pt>
                <c:pt idx="115">
                  <c:v>7861025.9088291321</c:v>
                </c:pt>
                <c:pt idx="116">
                  <c:v>6301781.5018723924</c:v>
                </c:pt>
                <c:pt idx="117">
                  <c:v>6733332.8261668961</c:v>
                </c:pt>
                <c:pt idx="118">
                  <c:v>7868865.5038149487</c:v>
                </c:pt>
                <c:pt idx="119">
                  <c:v>9727569.1774430852</c:v>
                </c:pt>
                <c:pt idx="120">
                  <c:v>10522911.495896965</c:v>
                </c:pt>
                <c:pt idx="121">
                  <c:v>9330924.5668099485</c:v>
                </c:pt>
                <c:pt idx="122">
                  <c:v>8937644.2505304534</c:v>
                </c:pt>
                <c:pt idx="123">
                  <c:v>7091584.979587052</c:v>
                </c:pt>
                <c:pt idx="124">
                  <c:v>6774663.5564798787</c:v>
                </c:pt>
                <c:pt idx="125">
                  <c:v>7193248.7014863528</c:v>
                </c:pt>
                <c:pt idx="126">
                  <c:v>8652427.8492728435</c:v>
                </c:pt>
                <c:pt idx="127">
                  <c:v>8010610.6302839713</c:v>
                </c:pt>
                <c:pt idx="128">
                  <c:v>6474620.5343280192</c:v>
                </c:pt>
                <c:pt idx="129">
                  <c:v>6892707.5559248365</c:v>
                </c:pt>
                <c:pt idx="130">
                  <c:v>8038489.2388505843</c:v>
                </c:pt>
                <c:pt idx="131">
                  <c:v>9891117.130436819</c:v>
                </c:pt>
                <c:pt idx="132">
                  <c:v>10662911.276893172</c:v>
                </c:pt>
                <c:pt idx="133">
                  <c:v>9260935.0230520107</c:v>
                </c:pt>
                <c:pt idx="134">
                  <c:v>9077875.1933933608</c:v>
                </c:pt>
                <c:pt idx="135">
                  <c:v>7231931.6464757975</c:v>
                </c:pt>
                <c:pt idx="136">
                  <c:v>6915126.0428944267</c:v>
                </c:pt>
                <c:pt idx="137">
                  <c:v>7333827.1030054782</c:v>
                </c:pt>
                <c:pt idx="138">
                  <c:v>8793122.2615541965</c:v>
                </c:pt>
                <c:pt idx="139">
                  <c:v>8151421.1490641451</c:v>
                </c:pt>
                <c:pt idx="140">
                  <c:v>6615547.2554226071</c:v>
                </c:pt>
                <c:pt idx="141">
                  <c:v>7033750.5752285067</c:v>
                </c:pt>
                <c:pt idx="142">
                  <c:v>8179648.6523371413</c:v>
                </c:pt>
                <c:pt idx="143">
                  <c:v>10032393.034159267</c:v>
                </c:pt>
              </c:numCache>
            </c:numRef>
          </c:val>
          <c:smooth val="0"/>
          <c:extLst>
            <c:ext xmlns:c16="http://schemas.microsoft.com/office/drawing/2014/chart" uri="{C3380CC4-5D6E-409C-BE32-E72D297353CC}">
              <c16:uniqueId val="{00000002-EB97-49E3-A11B-AF2E9712B3C7}"/>
            </c:ext>
          </c:extLst>
        </c:ser>
        <c:dLbls>
          <c:showLegendKey val="0"/>
          <c:showVal val="0"/>
          <c:showCatName val="0"/>
          <c:showSerName val="0"/>
          <c:showPercent val="0"/>
          <c:showBubbleSize val="0"/>
        </c:dLbls>
        <c:smooth val="0"/>
        <c:axId val="176750976"/>
        <c:axId val="176752512"/>
      </c:lineChart>
      <c:dateAx>
        <c:axId val="176750976"/>
        <c:scaling>
          <c:orientation val="minMax"/>
        </c:scaling>
        <c:delete val="0"/>
        <c:axPos val="b"/>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6752512"/>
        <c:crosses val="autoZero"/>
        <c:auto val="1"/>
        <c:lblOffset val="100"/>
        <c:baseTimeUnit val="months"/>
      </c:dateAx>
      <c:valAx>
        <c:axId val="176752512"/>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675097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GS &lt; 50</a:t>
            </a:r>
          </a:p>
        </c:rich>
      </c:tx>
      <c:overlay val="0"/>
      <c:spPr>
        <a:noFill/>
        <a:ln>
          <a:noFill/>
        </a:ln>
        <a:effectLst/>
      </c:spPr>
    </c:title>
    <c:autoTitleDeleted val="0"/>
    <c:plotArea>
      <c:layout/>
      <c:lineChart>
        <c:grouping val="standard"/>
        <c:varyColors val="0"/>
        <c:ser>
          <c:idx val="0"/>
          <c:order val="0"/>
          <c:tx>
            <c:strRef>
              <c:f>'GS&lt;50 Normalized Monthly'!$D$1</c:f>
              <c:strCache>
                <c:ptCount val="1"/>
                <c:pt idx="0">
                  <c:v> GS_lt_50_NoCDM </c:v>
                </c:pt>
              </c:strCache>
            </c:strRef>
          </c:tx>
          <c:marker>
            <c:symbol val="none"/>
          </c:marker>
          <c:cat>
            <c:numRef>
              <c:f>'GS&lt;50 Normalized Monthly'!$A$2:$A$145</c:f>
              <c:numCache>
                <c:formatCode>mmm\-yy</c:formatCode>
                <c:ptCount val="144"/>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43770</c:v>
                </c:pt>
                <c:pt idx="47">
                  <c:v>43800</c:v>
                </c:pt>
                <c:pt idx="48">
                  <c:v>43831</c:v>
                </c:pt>
                <c:pt idx="49">
                  <c:v>43862</c:v>
                </c:pt>
                <c:pt idx="50">
                  <c:v>43891</c:v>
                </c:pt>
                <c:pt idx="51">
                  <c:v>43922</c:v>
                </c:pt>
                <c:pt idx="52">
                  <c:v>43952</c:v>
                </c:pt>
                <c:pt idx="53">
                  <c:v>43983</c:v>
                </c:pt>
                <c:pt idx="54">
                  <c:v>44013</c:v>
                </c:pt>
                <c:pt idx="55">
                  <c:v>44044</c:v>
                </c:pt>
                <c:pt idx="56">
                  <c:v>44075</c:v>
                </c:pt>
                <c:pt idx="57">
                  <c:v>44105</c:v>
                </c:pt>
                <c:pt idx="58">
                  <c:v>44136</c:v>
                </c:pt>
                <c:pt idx="59">
                  <c:v>44166</c:v>
                </c:pt>
                <c:pt idx="60">
                  <c:v>44197</c:v>
                </c:pt>
                <c:pt idx="61">
                  <c:v>44228</c:v>
                </c:pt>
                <c:pt idx="62">
                  <c:v>44256</c:v>
                </c:pt>
                <c:pt idx="63">
                  <c:v>44287</c:v>
                </c:pt>
                <c:pt idx="64">
                  <c:v>44317</c:v>
                </c:pt>
                <c:pt idx="65">
                  <c:v>44348</c:v>
                </c:pt>
                <c:pt idx="66">
                  <c:v>44378</c:v>
                </c:pt>
                <c:pt idx="67">
                  <c:v>44409</c:v>
                </c:pt>
                <c:pt idx="68">
                  <c:v>44440</c:v>
                </c:pt>
                <c:pt idx="69">
                  <c:v>44470</c:v>
                </c:pt>
                <c:pt idx="70">
                  <c:v>44501</c:v>
                </c:pt>
                <c:pt idx="71">
                  <c:v>44531</c:v>
                </c:pt>
                <c:pt idx="72">
                  <c:v>44562</c:v>
                </c:pt>
                <c:pt idx="73">
                  <c:v>44593</c:v>
                </c:pt>
                <c:pt idx="74">
                  <c:v>44621</c:v>
                </c:pt>
                <c:pt idx="75">
                  <c:v>44652</c:v>
                </c:pt>
                <c:pt idx="76">
                  <c:v>44682</c:v>
                </c:pt>
                <c:pt idx="77">
                  <c:v>44713</c:v>
                </c:pt>
                <c:pt idx="78">
                  <c:v>44743</c:v>
                </c:pt>
                <c:pt idx="79">
                  <c:v>44774</c:v>
                </c:pt>
                <c:pt idx="80">
                  <c:v>44805</c:v>
                </c:pt>
                <c:pt idx="81">
                  <c:v>44835</c:v>
                </c:pt>
                <c:pt idx="82">
                  <c:v>44866</c:v>
                </c:pt>
                <c:pt idx="83">
                  <c:v>44896</c:v>
                </c:pt>
                <c:pt idx="84">
                  <c:v>44927</c:v>
                </c:pt>
                <c:pt idx="85">
                  <c:v>44958</c:v>
                </c:pt>
                <c:pt idx="86">
                  <c:v>44986</c:v>
                </c:pt>
                <c:pt idx="87">
                  <c:v>45017</c:v>
                </c:pt>
                <c:pt idx="88">
                  <c:v>45047</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pt idx="129">
                  <c:v>46296</c:v>
                </c:pt>
                <c:pt idx="130">
                  <c:v>46327</c:v>
                </c:pt>
                <c:pt idx="131">
                  <c:v>46357</c:v>
                </c:pt>
                <c:pt idx="132">
                  <c:v>46388</c:v>
                </c:pt>
                <c:pt idx="133">
                  <c:v>46419</c:v>
                </c:pt>
                <c:pt idx="134">
                  <c:v>46447</c:v>
                </c:pt>
                <c:pt idx="135">
                  <c:v>46478</c:v>
                </c:pt>
                <c:pt idx="136">
                  <c:v>46508</c:v>
                </c:pt>
                <c:pt idx="137">
                  <c:v>46539</c:v>
                </c:pt>
                <c:pt idx="138">
                  <c:v>46569</c:v>
                </c:pt>
                <c:pt idx="139">
                  <c:v>46600</c:v>
                </c:pt>
                <c:pt idx="140">
                  <c:v>46631</c:v>
                </c:pt>
                <c:pt idx="141">
                  <c:v>46661</c:v>
                </c:pt>
                <c:pt idx="142">
                  <c:v>46692</c:v>
                </c:pt>
                <c:pt idx="143">
                  <c:v>46722</c:v>
                </c:pt>
              </c:numCache>
            </c:numRef>
          </c:cat>
          <c:val>
            <c:numRef>
              <c:f>('GS&lt;50 Normalized Monthly'!$K$2:$K$49,'GS&lt;50 Normalized Monthly'!$D$50:$D$145)</c:f>
              <c:numCache>
                <c:formatCode>General</c:formatCode>
                <c:ptCount val="144"/>
                <c:pt idx="48" formatCode="_(* #,##0.00_);_(* \(#,##0.00\);_(* &quot;-&quot;??_);_(@_)">
                  <c:v>3010167.2574951407</c:v>
                </c:pt>
                <c:pt idx="49" formatCode="_(* #,##0.00_);_(* \(#,##0.00\);_(* &quot;-&quot;??_);_(@_)">
                  <c:v>2813125.8986844411</c:v>
                </c:pt>
                <c:pt idx="50" formatCode="_(* #,##0.00_);_(* \(#,##0.00\);_(* &quot;-&quot;??_);_(@_)">
                  <c:v>2549801.539873742</c:v>
                </c:pt>
                <c:pt idx="51" formatCode="_(* #,##0.00_);_(* \(#,##0.00\);_(* &quot;-&quot;??_);_(@_)">
                  <c:v>2013068.1810630427</c:v>
                </c:pt>
                <c:pt idx="52" formatCode="_(* #,##0.00_);_(* \(#,##0.00\);_(* &quot;-&quot;??_);_(@_)">
                  <c:v>1942219.8222523434</c:v>
                </c:pt>
                <c:pt idx="53" formatCode="_(* #,##0.00_);_(* \(#,##0.00\);_(* &quot;-&quot;??_);_(@_)">
                  <c:v>2049006.4634416441</c:v>
                </c:pt>
                <c:pt idx="54" formatCode="_(* #,##0.00_);_(* \(#,##0.00\);_(* &quot;-&quot;??_);_(@_)">
                  <c:v>2479208.1046309448</c:v>
                </c:pt>
                <c:pt idx="55" formatCode="_(* #,##0.00_);_(* \(#,##0.00\);_(* &quot;-&quot;??_);_(@_)">
                  <c:v>2169068.7458202457</c:v>
                </c:pt>
                <c:pt idx="56" formatCode="_(* #,##0.00_);_(* \(#,##0.00\);_(* &quot;-&quot;??_);_(@_)">
                  <c:v>1937707.3870095464</c:v>
                </c:pt>
                <c:pt idx="57" formatCode="_(* #,##0.00_);_(* \(#,##0.00\);_(* &quot;-&quot;??_);_(@_)">
                  <c:v>2079800.0281988471</c:v>
                </c:pt>
                <c:pt idx="58" formatCode="_(* #,##0.00_);_(* \(#,##0.00\);_(* &quot;-&quot;??_);_(@_)">
                  <c:v>2308536.669388148</c:v>
                </c:pt>
                <c:pt idx="59" formatCode="_(* #,##0.00_);_(* \(#,##0.00\);_(* &quot;-&quot;??_);_(@_)">
                  <c:v>2757605.3105774485</c:v>
                </c:pt>
                <c:pt idx="60" formatCode="_(* #,##0.00_);_(* \(#,##0.00\);_(* &quot;-&quot;??_);_(@_)">
                  <c:v>2771093.6241201404</c:v>
                </c:pt>
                <c:pt idx="61" formatCode="_(* #,##0.00_);_(* \(#,##0.00\);_(* &quot;-&quot;??_);_(@_)">
                  <c:v>2684641.5361313201</c:v>
                </c:pt>
                <c:pt idx="62" formatCode="_(* #,##0.00_);_(* \(#,##0.00\);_(* &quot;-&quot;??_);_(@_)">
                  <c:v>2687386.4481424992</c:v>
                </c:pt>
                <c:pt idx="63" formatCode="_(* #,##0.00_);_(* \(#,##0.00\);_(* &quot;-&quot;??_);_(@_)">
                  <c:v>2030798.3601536788</c:v>
                </c:pt>
                <c:pt idx="64" formatCode="_(* #,##0.00_);_(* \(#,##0.00\);_(* &quot;-&quot;??_);_(@_)">
                  <c:v>2061848.2721648582</c:v>
                </c:pt>
                <c:pt idx="65" formatCode="_(* #,##0.00_);_(* \(#,##0.00\);_(* &quot;-&quot;??_);_(@_)">
                  <c:v>2202367.1841760376</c:v>
                </c:pt>
                <c:pt idx="66" formatCode="_(* #,##0.00_);_(* \(#,##0.00\);_(* &quot;-&quot;??_);_(@_)">
                  <c:v>2304019.0961872172</c:v>
                </c:pt>
                <c:pt idx="67" formatCode="_(* #,##0.00_);_(* \(#,##0.00\);_(* &quot;-&quot;??_);_(@_)">
                  <c:v>2586724.0081983968</c:v>
                </c:pt>
                <c:pt idx="68" formatCode="_(* #,##0.00_);_(* \(#,##0.00\);_(* &quot;-&quot;??_);_(@_)">
                  <c:v>2084247.9202095759</c:v>
                </c:pt>
                <c:pt idx="69" formatCode="_(* #,##0.00_);_(* \(#,##0.00\);_(* &quot;-&quot;??_);_(@_)">
                  <c:v>2150223.8322207555</c:v>
                </c:pt>
                <c:pt idx="70" formatCode="_(* #,##0.00_);_(* \(#,##0.00\);_(* &quot;-&quot;??_);_(@_)">
                  <c:v>2496393.7442319351</c:v>
                </c:pt>
                <c:pt idx="71" formatCode="_(* #,##0.00_);_(* \(#,##0.00\);_(* &quot;-&quot;??_);_(@_)">
                  <c:v>2949612.3062431142</c:v>
                </c:pt>
                <c:pt idx="72" formatCode="_(* #,##0.00_);_(* \(#,##0.00\);_(* &quot;-&quot;??_);_(@_)">
                  <c:v>3512426.4695312781</c:v>
                </c:pt>
                <c:pt idx="73" formatCode="_(* #,##0.00_);_(* \(#,##0.00\);_(* &quot;-&quot;??_);_(@_)">
                  <c:v>3065402.7801112318</c:v>
                </c:pt>
                <c:pt idx="74" formatCode="_(* #,##0.00_);_(* \(#,##0.00\);_(* &quot;-&quot;??_);_(@_)">
                  <c:v>2990160.0906911851</c:v>
                </c:pt>
                <c:pt idx="75" formatCode="_(* #,##0.00_);_(* \(#,##0.00\);_(* &quot;-&quot;??_);_(@_)">
                  <c:v>2398890.4012711388</c:v>
                </c:pt>
                <c:pt idx="76" formatCode="_(* #,##0.00_);_(* \(#,##0.00\);_(* &quot;-&quot;??_);_(@_)">
                  <c:v>2192493.7118510921</c:v>
                </c:pt>
                <c:pt idx="77" formatCode="_(* #,##0.00_);_(* \(#,##0.00\);_(* &quot;-&quot;??_);_(@_)">
                  <c:v>2254321.0224310458</c:v>
                </c:pt>
                <c:pt idx="78" formatCode="_(* #,##0.00_);_(* \(#,##0.00\);_(* &quot;-&quot;??_);_(@_)">
                  <c:v>2434782.333010999</c:v>
                </c:pt>
                <c:pt idx="79" formatCode="_(* #,##0.00_);_(* \(#,##0.00\);_(* &quot;-&quot;??_);_(@_)">
                  <c:v>2456843.6435909523</c:v>
                </c:pt>
                <c:pt idx="80" formatCode="_(* #,##0.00_);_(* \(#,##0.00\);_(* &quot;-&quot;??_);_(@_)">
                  <c:v>2148681.954170906</c:v>
                </c:pt>
                <c:pt idx="81" formatCode="_(* #,##0.00_);_(* \(#,##0.00\);_(* &quot;-&quot;??_);_(@_)">
                  <c:v>2255916.2647508592</c:v>
                </c:pt>
                <c:pt idx="82" formatCode="_(* #,##0.00_);_(* \(#,##0.00\);_(* &quot;-&quot;??_);_(@_)">
                  <c:v>2549219.5753308129</c:v>
                </c:pt>
                <c:pt idx="83" formatCode="_(* #,##0.00_);_(* \(#,##0.00\);_(* &quot;-&quot;??_);_(@_)">
                  <c:v>2940389.8859107662</c:v>
                </c:pt>
                <c:pt idx="84" formatCode="_(* #,##0.00_);_(* \(#,##0.00\);_(* &quot;-&quot;??_);_(@_)">
                  <c:v>3128498.5438320525</c:v>
                </c:pt>
                <c:pt idx="85" formatCode="_(* #,##0.00_);_(* \(#,##0.00\);_(* &quot;-&quot;??_);_(@_)">
                  <c:v>2958044.9926468567</c:v>
                </c:pt>
                <c:pt idx="86" formatCode="_(* #,##0.00_);_(* \(#,##0.00\);_(* &quot;-&quot;??_);_(@_)">
                  <c:v>2961710.4414616609</c:v>
                </c:pt>
                <c:pt idx="87" formatCode="_(* #,##0.00_);_(* \(#,##0.00\);_(* &quot;-&quot;??_);_(@_)">
                  <c:v>2410896.8902764646</c:v>
                </c:pt>
                <c:pt idx="88" formatCode="_(* #,##0.00_);_(* \(#,##0.00\);_(* &quot;-&quot;??_);_(@_)">
                  <c:v>2314837.3390912688</c:v>
                </c:pt>
                <c:pt idx="89" formatCode="_(* #,##0.00_);_(* \(#,##0.00\);_(* &quot;-&quot;??_);_(@_)">
                  <c:v>2409548.787906073</c:v>
                </c:pt>
                <c:pt idx="90" formatCode="_(* #,##0.00_);_(* \(#,##0.00\);_(* &quot;-&quot;??_);_(@_)">
                  <c:v>2678974.2367208768</c:v>
                </c:pt>
                <c:pt idx="91" formatCode="_(* #,##0.00_);_(* \(#,##0.00\);_(* &quot;-&quot;??_);_(@_)">
                  <c:v>2408674.685535681</c:v>
                </c:pt>
                <c:pt idx="92" formatCode="_(* #,##0.00_);_(* \(#,##0.00\);_(* &quot;-&quot;??_);_(@_)">
                  <c:v>2316057.1343504852</c:v>
                </c:pt>
                <c:pt idx="93" formatCode="_(* #,##0.00_);_(* \(#,##0.00\);_(* &quot;-&quot;??_);_(@_)">
                  <c:v>2359883.5831652894</c:v>
                </c:pt>
                <c:pt idx="94" formatCode="_(* #,##0.00_);_(* \(#,##0.00\);_(* &quot;-&quot;??_);_(@_)">
                  <c:v>2726100.0319800931</c:v>
                </c:pt>
                <c:pt idx="95" formatCode="_(* #,##0.00_);_(* \(#,##0.00\);_(* &quot;-&quot;??_);_(@_)">
                  <c:v>3054970.4807948973</c:v>
                </c:pt>
                <c:pt idx="96" formatCode="_(* #,##0.00_);_(* \(#,##0.00\);_(* &quot;-&quot;??_);_(@_)">
                  <c:v>3455439.2672890546</c:v>
                </c:pt>
                <c:pt idx="97" formatCode="_(* #,##0.00_);_(* \(#,##0.00\);_(* &quot;-&quot;??_);_(@_)">
                  <c:v>2840878.0346191321</c:v>
                </c:pt>
                <c:pt idx="98" formatCode="_(* #,##0.00_);_(* \(#,##0.00\);_(* &quot;-&quot;??_);_(@_)">
                  <c:v>2906094.8019492091</c:v>
                </c:pt>
                <c:pt idx="99" formatCode="_(* #,##0.00_);_(* \(#,##0.00\);_(* &quot;-&quot;??_);_(@_)">
                  <c:v>2316820.5692792865</c:v>
                </c:pt>
                <c:pt idx="100" formatCode="_(* #,##0.00_);_(* \(#,##0.00\);_(* &quot;-&quot;??_);_(@_)">
                  <c:v>2431046.3366093636</c:v>
                </c:pt>
                <c:pt idx="101" formatCode="_(* #,##0.00_);_(* \(#,##0.00\);_(* &quot;-&quot;??_);_(@_)">
                  <c:v>2461796.103939441</c:v>
                </c:pt>
                <c:pt idx="102" formatCode="_(* #,##0.00_);_(* \(#,##0.00\);_(* &quot;-&quot;??_);_(@_)">
                  <c:v>2743681.8712695185</c:v>
                </c:pt>
                <c:pt idx="103" formatCode="_(* #,##0.00_);_(* \(#,##0.00\);_(* &quot;-&quot;??_);_(@_)">
                  <c:v>2609738.6385995955</c:v>
                </c:pt>
                <c:pt idx="104" formatCode="_(* #,##0.00_);_(* \(#,##0.00\);_(* &quot;-&quot;??_);_(@_)">
                  <c:v>2334104.405929673</c:v>
                </c:pt>
                <c:pt idx="105" formatCode="_(* #,##0.00_);_(* \(#,##0.00\);_(* &quot;-&quot;??_);_(@_)">
                  <c:v>2395002.17325975</c:v>
                </c:pt>
                <c:pt idx="106" formatCode="_(* #,##0.00_);_(* \(#,##0.00\);_(* &quot;-&quot;??_);_(@_)">
                  <c:v>2598939.9405898275</c:v>
                </c:pt>
                <c:pt idx="107" formatCode="_(* #,##0.00_);_(* \(#,##0.00\);_(* &quot;-&quot;??_);_(@_)">
                  <c:v>3229266.7079199045</c:v>
                </c:pt>
                <c:pt idx="108" formatCode="_(* #,##0.00_);_(* \(#,##0.00\);_(* &quot;-&quot;??_);_(@_)">
                  <c:v>3521304.201942143</c:v>
                </c:pt>
                <c:pt idx="109" formatCode="_(* #,##0.00_);_(* \(#,##0.00\);_(* &quot;-&quot;??_);_(@_)">
                  <c:v>3248937.8305204986</c:v>
                </c:pt>
                <c:pt idx="110" formatCode="_(* #,##0.00_);_(* \(#,##0.00\);_(* &quot;-&quot;??_);_(@_)">
                  <c:v>3122756.4590988536</c:v>
                </c:pt>
                <c:pt idx="111" formatCode="_(* #,##0.00_);_(* \(#,##0.00\);_(* &quot;-&quot;??_);_(@_)">
                  <c:v>2652049.0876772087</c:v>
                </c:pt>
                <c:pt idx="112" formatCode="_(* #,##0.00_);_(* \(#,##0.00\);_(* &quot;-&quot;??_);_(@_)">
                  <c:v>2377775.7162555638</c:v>
                </c:pt>
                <c:pt idx="113" formatCode="_(* #,##0.00_);_(* \(#,##0.00\);_(* &quot;-&quot;??_);_(@_)">
                  <c:v>2523449.3448339188</c:v>
                </c:pt>
                <c:pt idx="114" formatCode="_(* #,##0.00_);_(* \(#,##0.00\);_(* &quot;-&quot;??_);_(@_)">
                  <c:v>2937793.9734122739</c:v>
                </c:pt>
                <c:pt idx="115" formatCode="_(* #,##0.00_);_(* \(#,##0.00\);_(* &quot;-&quot;??_);_(@_)">
                  <c:v>2631549.601990629</c:v>
                </c:pt>
                <c:pt idx="116" formatCode="_(* #,##0.00_);_(* \(#,##0.00\);_(* &quot;-&quot;??_);_(@_)">
                  <c:v>2310858.2305689845</c:v>
                </c:pt>
                <c:pt idx="117" formatCode="_(* #,##0.00_);_(* \(#,##0.00\);_(* &quot;-&quot;??_);_(@_)">
                  <c:v>2422413.8591473396</c:v>
                </c:pt>
                <c:pt idx="118" formatCode="_(* #,##0.00_);_(* \(#,##0.00\);_(* &quot;-&quot;??_);_(@_)">
                  <c:v>2843005.4877256947</c:v>
                </c:pt>
                <c:pt idx="119" formatCode="_(* #,##0.00_);_(* \(#,##0.00\);_(* &quot;-&quot;??_);_(@_)">
                  <c:v>3449857.1163040497</c:v>
                </c:pt>
              </c:numCache>
            </c:numRef>
          </c:val>
          <c:smooth val="0"/>
          <c:extLst>
            <c:ext xmlns:c16="http://schemas.microsoft.com/office/drawing/2014/chart" uri="{C3380CC4-5D6E-409C-BE32-E72D297353CC}">
              <c16:uniqueId val="{00000000-D6D6-4CA9-A1E3-93DA94FB27B9}"/>
            </c:ext>
          </c:extLst>
        </c:ser>
        <c:ser>
          <c:idx val="1"/>
          <c:order val="1"/>
          <c:tx>
            <c:strRef>
              <c:f>'GS&lt;50 Normalized Monthly'!$S$1</c:f>
              <c:strCache>
                <c:ptCount val="1"/>
                <c:pt idx="0">
                  <c:v>WN Predicted</c:v>
                </c:pt>
              </c:strCache>
            </c:strRef>
          </c:tx>
          <c:marker>
            <c:symbol val="none"/>
          </c:marker>
          <c:cat>
            <c:numRef>
              <c:f>'GS&lt;50 Normalized Monthly'!$A$2:$A$145</c:f>
              <c:numCache>
                <c:formatCode>mmm\-yy</c:formatCode>
                <c:ptCount val="144"/>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43770</c:v>
                </c:pt>
                <c:pt idx="47">
                  <c:v>43800</c:v>
                </c:pt>
                <c:pt idx="48">
                  <c:v>43831</c:v>
                </c:pt>
                <c:pt idx="49">
                  <c:v>43862</c:v>
                </c:pt>
                <c:pt idx="50">
                  <c:v>43891</c:v>
                </c:pt>
                <c:pt idx="51">
                  <c:v>43922</c:v>
                </c:pt>
                <c:pt idx="52">
                  <c:v>43952</c:v>
                </c:pt>
                <c:pt idx="53">
                  <c:v>43983</c:v>
                </c:pt>
                <c:pt idx="54">
                  <c:v>44013</c:v>
                </c:pt>
                <c:pt idx="55">
                  <c:v>44044</c:v>
                </c:pt>
                <c:pt idx="56">
                  <c:v>44075</c:v>
                </c:pt>
                <c:pt idx="57">
                  <c:v>44105</c:v>
                </c:pt>
                <c:pt idx="58">
                  <c:v>44136</c:v>
                </c:pt>
                <c:pt idx="59">
                  <c:v>44166</c:v>
                </c:pt>
                <c:pt idx="60">
                  <c:v>44197</c:v>
                </c:pt>
                <c:pt idx="61">
                  <c:v>44228</c:v>
                </c:pt>
                <c:pt idx="62">
                  <c:v>44256</c:v>
                </c:pt>
                <c:pt idx="63">
                  <c:v>44287</c:v>
                </c:pt>
                <c:pt idx="64">
                  <c:v>44317</c:v>
                </c:pt>
                <c:pt idx="65">
                  <c:v>44348</c:v>
                </c:pt>
                <c:pt idx="66">
                  <c:v>44378</c:v>
                </c:pt>
                <c:pt idx="67">
                  <c:v>44409</c:v>
                </c:pt>
                <c:pt idx="68">
                  <c:v>44440</c:v>
                </c:pt>
                <c:pt idx="69">
                  <c:v>44470</c:v>
                </c:pt>
                <c:pt idx="70">
                  <c:v>44501</c:v>
                </c:pt>
                <c:pt idx="71">
                  <c:v>44531</c:v>
                </c:pt>
                <c:pt idx="72">
                  <c:v>44562</c:v>
                </c:pt>
                <c:pt idx="73">
                  <c:v>44593</c:v>
                </c:pt>
                <c:pt idx="74">
                  <c:v>44621</c:v>
                </c:pt>
                <c:pt idx="75">
                  <c:v>44652</c:v>
                </c:pt>
                <c:pt idx="76">
                  <c:v>44682</c:v>
                </c:pt>
                <c:pt idx="77">
                  <c:v>44713</c:v>
                </c:pt>
                <c:pt idx="78">
                  <c:v>44743</c:v>
                </c:pt>
                <c:pt idx="79">
                  <c:v>44774</c:v>
                </c:pt>
                <c:pt idx="80">
                  <c:v>44805</c:v>
                </c:pt>
                <c:pt idx="81">
                  <c:v>44835</c:v>
                </c:pt>
                <c:pt idx="82">
                  <c:v>44866</c:v>
                </c:pt>
                <c:pt idx="83">
                  <c:v>44896</c:v>
                </c:pt>
                <c:pt idx="84">
                  <c:v>44927</c:v>
                </c:pt>
                <c:pt idx="85">
                  <c:v>44958</c:v>
                </c:pt>
                <c:pt idx="86">
                  <c:v>44986</c:v>
                </c:pt>
                <c:pt idx="87">
                  <c:v>45017</c:v>
                </c:pt>
                <c:pt idx="88">
                  <c:v>45047</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pt idx="129">
                  <c:v>46296</c:v>
                </c:pt>
                <c:pt idx="130">
                  <c:v>46327</c:v>
                </c:pt>
                <c:pt idx="131">
                  <c:v>46357</c:v>
                </c:pt>
                <c:pt idx="132">
                  <c:v>46388</c:v>
                </c:pt>
                <c:pt idx="133">
                  <c:v>46419</c:v>
                </c:pt>
                <c:pt idx="134">
                  <c:v>46447</c:v>
                </c:pt>
                <c:pt idx="135">
                  <c:v>46478</c:v>
                </c:pt>
                <c:pt idx="136">
                  <c:v>46508</c:v>
                </c:pt>
                <c:pt idx="137">
                  <c:v>46539</c:v>
                </c:pt>
                <c:pt idx="138">
                  <c:v>46569</c:v>
                </c:pt>
                <c:pt idx="139">
                  <c:v>46600</c:v>
                </c:pt>
                <c:pt idx="140">
                  <c:v>46631</c:v>
                </c:pt>
                <c:pt idx="141">
                  <c:v>46661</c:v>
                </c:pt>
                <c:pt idx="142">
                  <c:v>46692</c:v>
                </c:pt>
                <c:pt idx="143">
                  <c:v>46722</c:v>
                </c:pt>
              </c:numCache>
            </c:numRef>
          </c:cat>
          <c:val>
            <c:numRef>
              <c:f>'GS&lt;50 Normalized Monthly'!$S$2:$S$145</c:f>
              <c:numCache>
                <c:formatCode>_(* #,##0.0_);_(* \(#,##0.0\);_(* "-"??_);_(@_)</c:formatCode>
                <c:ptCount val="144"/>
                <c:pt idx="0">
                  <c:v>3104657.0704100234</c:v>
                </c:pt>
                <c:pt idx="1">
                  <c:v>2729122.512906597</c:v>
                </c:pt>
                <c:pt idx="2">
                  <c:v>2696827.3730568606</c:v>
                </c:pt>
                <c:pt idx="3">
                  <c:v>2218517.5151172699</c:v>
                </c:pt>
                <c:pt idx="4">
                  <c:v>2096378.7682005195</c:v>
                </c:pt>
                <c:pt idx="5">
                  <c:v>2129677.1211842089</c:v>
                </c:pt>
                <c:pt idx="6">
                  <c:v>2415567.1070329854</c:v>
                </c:pt>
                <c:pt idx="7">
                  <c:v>2294743.4535675221</c:v>
                </c:pt>
                <c:pt idx="8">
                  <c:v>1991576.9834422092</c:v>
                </c:pt>
                <c:pt idx="9">
                  <c:v>2146393.3423061692</c:v>
                </c:pt>
                <c:pt idx="10">
                  <c:v>2437947.9666142226</c:v>
                </c:pt>
                <c:pt idx="11">
                  <c:v>2911943.2991203405</c:v>
                </c:pt>
                <c:pt idx="12">
                  <c:v>3154024.6570002823</c:v>
                </c:pt>
                <c:pt idx="13">
                  <c:v>2778490.0994968559</c:v>
                </c:pt>
                <c:pt idx="14">
                  <c:v>2746194.95964712</c:v>
                </c:pt>
                <c:pt idx="15">
                  <c:v>2267885.1017075288</c:v>
                </c:pt>
                <c:pt idx="16">
                  <c:v>2145746.3547907784</c:v>
                </c:pt>
                <c:pt idx="17">
                  <c:v>2179044.7077744678</c:v>
                </c:pt>
                <c:pt idx="18">
                  <c:v>2464934.6936232438</c:v>
                </c:pt>
                <c:pt idx="19">
                  <c:v>2344111.040157781</c:v>
                </c:pt>
                <c:pt idx="20">
                  <c:v>2040944.5700324681</c:v>
                </c:pt>
                <c:pt idx="21">
                  <c:v>2195760.9288964281</c:v>
                </c:pt>
                <c:pt idx="22">
                  <c:v>2487315.5532044815</c:v>
                </c:pt>
                <c:pt idx="23">
                  <c:v>2961310.8857105994</c:v>
                </c:pt>
                <c:pt idx="24">
                  <c:v>3214423.4846186014</c:v>
                </c:pt>
                <c:pt idx="25">
                  <c:v>2894464.0239221063</c:v>
                </c:pt>
                <c:pt idx="26">
                  <c:v>2806593.7872654386</c:v>
                </c:pt>
                <c:pt idx="27">
                  <c:v>2328283.9293258479</c:v>
                </c:pt>
                <c:pt idx="28">
                  <c:v>2206145.1824090974</c:v>
                </c:pt>
                <c:pt idx="29">
                  <c:v>2239443.5353927864</c:v>
                </c:pt>
                <c:pt idx="30">
                  <c:v>2525333.5212415629</c:v>
                </c:pt>
                <c:pt idx="31">
                  <c:v>2404509.8677760996</c:v>
                </c:pt>
                <c:pt idx="32">
                  <c:v>2101343.3976507867</c:v>
                </c:pt>
                <c:pt idx="33">
                  <c:v>2256159.7565147467</c:v>
                </c:pt>
                <c:pt idx="34">
                  <c:v>2547714.3808228001</c:v>
                </c:pt>
                <c:pt idx="35">
                  <c:v>3021709.7133289184</c:v>
                </c:pt>
                <c:pt idx="36">
                  <c:v>3257175.2662001783</c:v>
                </c:pt>
                <c:pt idx="37">
                  <c:v>2881640.7086967519</c:v>
                </c:pt>
                <c:pt idx="38">
                  <c:v>2849345.5688470155</c:v>
                </c:pt>
                <c:pt idx="39">
                  <c:v>2371035.7109074248</c:v>
                </c:pt>
                <c:pt idx="40">
                  <c:v>2248896.9639906744</c:v>
                </c:pt>
                <c:pt idx="41">
                  <c:v>2282195.3169743633</c:v>
                </c:pt>
                <c:pt idx="42">
                  <c:v>2568085.3028231398</c:v>
                </c:pt>
                <c:pt idx="43">
                  <c:v>2447261.6493576765</c:v>
                </c:pt>
                <c:pt idx="44">
                  <c:v>2144095.1792323636</c:v>
                </c:pt>
                <c:pt idx="45">
                  <c:v>2298911.5380963236</c:v>
                </c:pt>
                <c:pt idx="46">
                  <c:v>2590466.162404377</c:v>
                </c:pt>
                <c:pt idx="47">
                  <c:v>3064461.4949104954</c:v>
                </c:pt>
                <c:pt idx="48">
                  <c:v>3167222.0519063352</c:v>
                </c:pt>
                <c:pt idx="49">
                  <c:v>2791687.4944029087</c:v>
                </c:pt>
                <c:pt idx="50">
                  <c:v>2603727.6008334635</c:v>
                </c:pt>
                <c:pt idx="51">
                  <c:v>1969752.9891741627</c:v>
                </c:pt>
                <c:pt idx="52">
                  <c:v>1847614.2422574123</c:v>
                </c:pt>
                <c:pt idx="53">
                  <c:v>2036577.3489608115</c:v>
                </c:pt>
                <c:pt idx="54">
                  <c:v>2322467.3348095878</c:v>
                </c:pt>
                <c:pt idx="55">
                  <c:v>2201643.681344125</c:v>
                </c:pt>
                <c:pt idx="56">
                  <c:v>1898477.2112188116</c:v>
                </c:pt>
                <c:pt idx="57">
                  <c:v>2053293.5700827718</c:v>
                </c:pt>
                <c:pt idx="58">
                  <c:v>2344848.1943908255</c:v>
                </c:pt>
                <c:pt idx="59">
                  <c:v>2818843.5268969429</c:v>
                </c:pt>
                <c:pt idx="60">
                  <c:v>3125583.9756562482</c:v>
                </c:pt>
                <c:pt idx="61">
                  <c:v>2750049.4181528217</c:v>
                </c:pt>
                <c:pt idx="62">
                  <c:v>2717754.2783030854</c:v>
                </c:pt>
                <c:pt idx="63">
                  <c:v>2239444.4203634947</c:v>
                </c:pt>
                <c:pt idx="64">
                  <c:v>2117305.6734467442</c:v>
                </c:pt>
                <c:pt idx="65">
                  <c:v>2150604.0264304336</c:v>
                </c:pt>
                <c:pt idx="66">
                  <c:v>2436494.0122792101</c:v>
                </c:pt>
                <c:pt idx="67">
                  <c:v>2315670.3588137468</c:v>
                </c:pt>
                <c:pt idx="68">
                  <c:v>2012503.8886884337</c:v>
                </c:pt>
                <c:pt idx="69">
                  <c:v>2167320.2475523939</c:v>
                </c:pt>
                <c:pt idx="70">
                  <c:v>2458874.8718604473</c:v>
                </c:pt>
                <c:pt idx="71">
                  <c:v>2932870.2043665652</c:v>
                </c:pt>
                <c:pt idx="72">
                  <c:v>3283403.572310762</c:v>
                </c:pt>
                <c:pt idx="73">
                  <c:v>2963444.1116142673</c:v>
                </c:pt>
                <c:pt idx="74">
                  <c:v>2875573.8749575997</c:v>
                </c:pt>
                <c:pt idx="75">
                  <c:v>2397264.0170180085</c:v>
                </c:pt>
                <c:pt idx="76">
                  <c:v>2275125.2701012581</c:v>
                </c:pt>
                <c:pt idx="77">
                  <c:v>2308423.6230849475</c:v>
                </c:pt>
                <c:pt idx="78">
                  <c:v>2594313.6089337235</c:v>
                </c:pt>
                <c:pt idx="79">
                  <c:v>2473489.9554682607</c:v>
                </c:pt>
                <c:pt idx="80">
                  <c:v>2170323.4853429478</c:v>
                </c:pt>
                <c:pt idx="81">
                  <c:v>2325139.8442069078</c:v>
                </c:pt>
                <c:pt idx="82">
                  <c:v>2616694.4685149612</c:v>
                </c:pt>
                <c:pt idx="83">
                  <c:v>3090689.8010210791</c:v>
                </c:pt>
                <c:pt idx="84">
                  <c:v>3398336.936453341</c:v>
                </c:pt>
                <c:pt idx="85">
                  <c:v>3022802.3789499146</c:v>
                </c:pt>
                <c:pt idx="86">
                  <c:v>2990507.2391001787</c:v>
                </c:pt>
                <c:pt idx="87">
                  <c:v>2512197.3811605875</c:v>
                </c:pt>
                <c:pt idx="88">
                  <c:v>2390058.6342438371</c:v>
                </c:pt>
                <c:pt idx="89">
                  <c:v>2423356.9872275265</c:v>
                </c:pt>
                <c:pt idx="90">
                  <c:v>2709246.9730763026</c:v>
                </c:pt>
                <c:pt idx="91">
                  <c:v>2588423.3196108397</c:v>
                </c:pt>
                <c:pt idx="92">
                  <c:v>2285256.8494855268</c:v>
                </c:pt>
                <c:pt idx="93">
                  <c:v>2440073.2083494868</c:v>
                </c:pt>
                <c:pt idx="94">
                  <c:v>2731627.8326575402</c:v>
                </c:pt>
                <c:pt idx="95">
                  <c:v>3205623.1651636581</c:v>
                </c:pt>
                <c:pt idx="96">
                  <c:v>3424263.5575240748</c:v>
                </c:pt>
                <c:pt idx="97">
                  <c:v>3048729.0000206484</c:v>
                </c:pt>
                <c:pt idx="98">
                  <c:v>3016433.8601709125</c:v>
                </c:pt>
                <c:pt idx="99">
                  <c:v>2538124.0022313213</c:v>
                </c:pt>
                <c:pt idx="100">
                  <c:v>2415985.2553145709</c:v>
                </c:pt>
                <c:pt idx="101">
                  <c:v>2449283.6082982607</c:v>
                </c:pt>
                <c:pt idx="102">
                  <c:v>2735173.5941470368</c:v>
                </c:pt>
                <c:pt idx="103">
                  <c:v>2614349.9406815739</c:v>
                </c:pt>
                <c:pt idx="104">
                  <c:v>2311183.470556261</c:v>
                </c:pt>
                <c:pt idx="105">
                  <c:v>2465999.829420221</c:v>
                </c:pt>
                <c:pt idx="106">
                  <c:v>2757554.4537282744</c:v>
                </c:pt>
                <c:pt idx="107">
                  <c:v>3231549.7862343919</c:v>
                </c:pt>
                <c:pt idx="108">
                  <c:v>3451194.4672283782</c:v>
                </c:pt>
                <c:pt idx="109">
                  <c:v>3075659.9097249517</c:v>
                </c:pt>
                <c:pt idx="110">
                  <c:v>3043364.7698752154</c:v>
                </c:pt>
                <c:pt idx="111">
                  <c:v>2565054.9119356247</c:v>
                </c:pt>
                <c:pt idx="112">
                  <c:v>2442916.1650188742</c:v>
                </c:pt>
                <c:pt idx="113">
                  <c:v>2476214.5180025632</c:v>
                </c:pt>
                <c:pt idx="114">
                  <c:v>2762104.5038513397</c:v>
                </c:pt>
                <c:pt idx="115">
                  <c:v>2641280.8503858764</c:v>
                </c:pt>
                <c:pt idx="116">
                  <c:v>2338114.3802605635</c:v>
                </c:pt>
                <c:pt idx="117">
                  <c:v>2492930.7391245235</c:v>
                </c:pt>
                <c:pt idx="118">
                  <c:v>2784485.3634325769</c:v>
                </c:pt>
                <c:pt idx="119">
                  <c:v>3258480.6959386952</c:v>
                </c:pt>
                <c:pt idx="120">
                  <c:v>3469377.3197637321</c:v>
                </c:pt>
                <c:pt idx="121">
                  <c:v>3149417.8590672375</c:v>
                </c:pt>
                <c:pt idx="122">
                  <c:v>3061547.6224105698</c:v>
                </c:pt>
                <c:pt idx="123">
                  <c:v>2583237.7644709786</c:v>
                </c:pt>
                <c:pt idx="124">
                  <c:v>2461099.0175542282</c:v>
                </c:pt>
                <c:pt idx="125">
                  <c:v>2494397.3705379181</c:v>
                </c:pt>
                <c:pt idx="126">
                  <c:v>2780287.3563866941</c:v>
                </c:pt>
                <c:pt idx="127">
                  <c:v>2659463.7029212313</c:v>
                </c:pt>
                <c:pt idx="128">
                  <c:v>2356297.2327959184</c:v>
                </c:pt>
                <c:pt idx="129">
                  <c:v>2511113.5916598784</c:v>
                </c:pt>
                <c:pt idx="130">
                  <c:v>2802668.2159679318</c:v>
                </c:pt>
                <c:pt idx="131">
                  <c:v>3276663.5484740492</c:v>
                </c:pt>
                <c:pt idx="132">
                  <c:v>3507130.8043147149</c:v>
                </c:pt>
                <c:pt idx="133">
                  <c:v>3131596.2468112884</c:v>
                </c:pt>
                <c:pt idx="134">
                  <c:v>3099301.1069615521</c:v>
                </c:pt>
                <c:pt idx="135">
                  <c:v>2620991.2490219614</c:v>
                </c:pt>
                <c:pt idx="136">
                  <c:v>2498852.5021052109</c:v>
                </c:pt>
                <c:pt idx="137">
                  <c:v>2532150.8550888998</c:v>
                </c:pt>
                <c:pt idx="138">
                  <c:v>2818040.8409376764</c:v>
                </c:pt>
                <c:pt idx="139">
                  <c:v>2697217.1874722131</c:v>
                </c:pt>
                <c:pt idx="140">
                  <c:v>2394050.7173469001</c:v>
                </c:pt>
                <c:pt idx="141">
                  <c:v>2548867.0762108602</c:v>
                </c:pt>
                <c:pt idx="142">
                  <c:v>2840421.7005189136</c:v>
                </c:pt>
                <c:pt idx="143">
                  <c:v>3314417.0330250319</c:v>
                </c:pt>
              </c:numCache>
            </c:numRef>
          </c:val>
          <c:smooth val="0"/>
          <c:extLst>
            <c:ext xmlns:c16="http://schemas.microsoft.com/office/drawing/2014/chart" uri="{C3380CC4-5D6E-409C-BE32-E72D297353CC}">
              <c16:uniqueId val="{00000001-D6D6-4CA9-A1E3-93DA94FB27B9}"/>
            </c:ext>
          </c:extLst>
        </c:ser>
        <c:dLbls>
          <c:showLegendKey val="0"/>
          <c:showVal val="0"/>
          <c:showCatName val="0"/>
          <c:showSerName val="0"/>
          <c:showPercent val="0"/>
          <c:showBubbleSize val="0"/>
        </c:dLbls>
        <c:smooth val="0"/>
        <c:axId val="177107712"/>
        <c:axId val="177109248"/>
      </c:lineChart>
      <c:dateAx>
        <c:axId val="177107712"/>
        <c:scaling>
          <c:orientation val="minMax"/>
        </c:scaling>
        <c:delete val="0"/>
        <c:axPos val="b"/>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109248"/>
        <c:crosses val="autoZero"/>
        <c:auto val="1"/>
        <c:lblOffset val="100"/>
        <c:baseTimeUnit val="months"/>
      </c:dateAx>
      <c:valAx>
        <c:axId val="1771092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10771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GS &lt; 50</a:t>
            </a:r>
          </a:p>
        </c:rich>
      </c:tx>
      <c:overlay val="0"/>
      <c:spPr>
        <a:noFill/>
        <a:ln>
          <a:noFill/>
        </a:ln>
        <a:effectLst/>
      </c:spPr>
    </c:title>
    <c:autoTitleDeleted val="0"/>
    <c:plotArea>
      <c:layout/>
      <c:lineChart>
        <c:grouping val="standard"/>
        <c:varyColors val="0"/>
        <c:ser>
          <c:idx val="0"/>
          <c:order val="0"/>
          <c:tx>
            <c:strRef>
              <c:f>'GS&lt;50 Normalized Monthly'!$AT$1</c:f>
              <c:strCache>
                <c:ptCount val="1"/>
                <c:pt idx="0">
                  <c:v>Low Predicted</c:v>
                </c:pt>
              </c:strCache>
            </c:strRef>
          </c:tx>
          <c:marker>
            <c:symbol val="none"/>
          </c:marker>
          <c:val>
            <c:numRef>
              <c:f>'GS&lt;50 Normalized Monthly'!$AT$2:$AT$145</c:f>
              <c:numCache>
                <c:formatCode>_(* #,##0_);_(* \(#,##0\);_(* "-"??_);_(@_)</c:formatCode>
                <c:ptCount val="144"/>
                <c:pt idx="0">
                  <c:v>2921102.433636534</c:v>
                </c:pt>
                <c:pt idx="1">
                  <c:v>2567790.5057915021</c:v>
                </c:pt>
                <c:pt idx="2">
                  <c:v>2556676.2137946826</c:v>
                </c:pt>
                <c:pt idx="3">
                  <c:v>2122715.9310665545</c:v>
                </c:pt>
                <c:pt idx="4">
                  <c:v>2003120.9567276728</c:v>
                </c:pt>
                <c:pt idx="5">
                  <c:v>2005294.7413445502</c:v>
                </c:pt>
                <c:pt idx="6">
                  <c:v>2244758.2770223189</c:v>
                </c:pt>
                <c:pt idx="7">
                  <c:v>2147620.2788939467</c:v>
                </c:pt>
                <c:pt idx="8">
                  <c:v>1898898.0173875266</c:v>
                </c:pt>
                <c:pt idx="9">
                  <c:v>2059853.4721085837</c:v>
                </c:pt>
                <c:pt idx="10">
                  <c:v>2318914.3059165208</c:v>
                </c:pt>
                <c:pt idx="11">
                  <c:v>2748898.3208944695</c:v>
                </c:pt>
                <c:pt idx="12">
                  <c:v>2970470.0202267929</c:v>
                </c:pt>
                <c:pt idx="13">
                  <c:v>2617158.0923817609</c:v>
                </c:pt>
                <c:pt idx="14">
                  <c:v>2606043.800384942</c:v>
                </c:pt>
                <c:pt idx="15">
                  <c:v>2172083.5176568134</c:v>
                </c:pt>
                <c:pt idx="16">
                  <c:v>2052488.5433179317</c:v>
                </c:pt>
                <c:pt idx="17">
                  <c:v>2054662.327934809</c:v>
                </c:pt>
                <c:pt idx="18">
                  <c:v>2294125.8636125773</c:v>
                </c:pt>
                <c:pt idx="19">
                  <c:v>2196987.865484206</c:v>
                </c:pt>
                <c:pt idx="20">
                  <c:v>1948265.6039777854</c:v>
                </c:pt>
                <c:pt idx="21">
                  <c:v>2109221.0586988423</c:v>
                </c:pt>
                <c:pt idx="22">
                  <c:v>2368281.8925067796</c:v>
                </c:pt>
                <c:pt idx="23">
                  <c:v>2798265.9074847279</c:v>
                </c:pt>
                <c:pt idx="24">
                  <c:v>3030868.847845112</c:v>
                </c:pt>
                <c:pt idx="25">
                  <c:v>2733132.0168070113</c:v>
                </c:pt>
                <c:pt idx="26">
                  <c:v>2666442.6280032606</c:v>
                </c:pt>
                <c:pt idx="27">
                  <c:v>2232482.3452751325</c:v>
                </c:pt>
                <c:pt idx="28">
                  <c:v>2112887.3709362508</c:v>
                </c:pt>
                <c:pt idx="29">
                  <c:v>2115061.1555531276</c:v>
                </c:pt>
                <c:pt idx="30">
                  <c:v>2354524.6912308964</c:v>
                </c:pt>
                <c:pt idx="31">
                  <c:v>2257386.6931025246</c:v>
                </c:pt>
                <c:pt idx="32">
                  <c:v>2008664.4315961041</c:v>
                </c:pt>
                <c:pt idx="33">
                  <c:v>2169619.8863171609</c:v>
                </c:pt>
                <c:pt idx="34">
                  <c:v>2428680.7201250982</c:v>
                </c:pt>
                <c:pt idx="35">
                  <c:v>2858664.7351030475</c:v>
                </c:pt>
                <c:pt idx="36">
                  <c:v>3073620.6294266889</c:v>
                </c:pt>
                <c:pt idx="37">
                  <c:v>2720308.7015816569</c:v>
                </c:pt>
                <c:pt idx="38">
                  <c:v>2709194.4095848375</c:v>
                </c:pt>
                <c:pt idx="39">
                  <c:v>2275234.1268567094</c:v>
                </c:pt>
                <c:pt idx="40">
                  <c:v>2155639.1525178277</c:v>
                </c:pt>
                <c:pt idx="41">
                  <c:v>2157812.9371347046</c:v>
                </c:pt>
                <c:pt idx="42">
                  <c:v>2397276.4728124733</c:v>
                </c:pt>
                <c:pt idx="43">
                  <c:v>2300138.4746841015</c:v>
                </c:pt>
                <c:pt idx="44">
                  <c:v>2051416.213177681</c:v>
                </c:pt>
                <c:pt idx="45">
                  <c:v>2212371.6678987378</c:v>
                </c:pt>
                <c:pt idx="46">
                  <c:v>2471432.5017066752</c:v>
                </c:pt>
                <c:pt idx="47">
                  <c:v>2901416.5166846244</c:v>
                </c:pt>
                <c:pt idx="48">
                  <c:v>2983667.4151328458</c:v>
                </c:pt>
                <c:pt idx="49">
                  <c:v>2630355.4872878138</c:v>
                </c:pt>
                <c:pt idx="50">
                  <c:v>2463576.4415712855</c:v>
                </c:pt>
                <c:pt idx="51">
                  <c:v>1873951.4051234473</c:v>
                </c:pt>
                <c:pt idx="52">
                  <c:v>1754356.4307845656</c:v>
                </c:pt>
                <c:pt idx="53">
                  <c:v>1912194.9691211525</c:v>
                </c:pt>
                <c:pt idx="54">
                  <c:v>2151658.5047989213</c:v>
                </c:pt>
                <c:pt idx="55">
                  <c:v>2054520.5066705497</c:v>
                </c:pt>
                <c:pt idx="56">
                  <c:v>1805798.245164129</c:v>
                </c:pt>
                <c:pt idx="57">
                  <c:v>1966753.6998851863</c:v>
                </c:pt>
                <c:pt idx="58">
                  <c:v>2225814.5336931236</c:v>
                </c:pt>
                <c:pt idx="59">
                  <c:v>2655798.5486710714</c:v>
                </c:pt>
                <c:pt idx="60">
                  <c:v>2942029.3388827587</c:v>
                </c:pt>
                <c:pt idx="61">
                  <c:v>2588717.4110377268</c:v>
                </c:pt>
                <c:pt idx="62">
                  <c:v>2577603.1190409074</c:v>
                </c:pt>
                <c:pt idx="63">
                  <c:v>2143642.8363127792</c:v>
                </c:pt>
                <c:pt idx="64">
                  <c:v>2024047.8619738976</c:v>
                </c:pt>
                <c:pt idx="65">
                  <c:v>2026221.6465907749</c:v>
                </c:pt>
                <c:pt idx="66">
                  <c:v>2265685.1822685436</c:v>
                </c:pt>
                <c:pt idx="67">
                  <c:v>2168547.1841401719</c:v>
                </c:pt>
                <c:pt idx="68">
                  <c:v>1919824.9226337513</c:v>
                </c:pt>
                <c:pt idx="69">
                  <c:v>2080780.3773548084</c:v>
                </c:pt>
                <c:pt idx="70">
                  <c:v>2339841.2111627455</c:v>
                </c:pt>
                <c:pt idx="71">
                  <c:v>2769825.2261406938</c:v>
                </c:pt>
                <c:pt idx="72">
                  <c:v>3099848.9355372726</c:v>
                </c:pt>
                <c:pt idx="73">
                  <c:v>2802112.1044991724</c:v>
                </c:pt>
                <c:pt idx="74">
                  <c:v>2735422.7156954217</c:v>
                </c:pt>
                <c:pt idx="75">
                  <c:v>2301462.4329672931</c:v>
                </c:pt>
                <c:pt idx="76">
                  <c:v>2181867.4586284114</c:v>
                </c:pt>
                <c:pt idx="77">
                  <c:v>2184041.2432452887</c:v>
                </c:pt>
                <c:pt idx="78">
                  <c:v>2423504.778923057</c:v>
                </c:pt>
                <c:pt idx="79">
                  <c:v>2326366.7807946857</c:v>
                </c:pt>
                <c:pt idx="80">
                  <c:v>2077644.5192882651</c:v>
                </c:pt>
                <c:pt idx="81">
                  <c:v>2238599.974009322</c:v>
                </c:pt>
                <c:pt idx="82">
                  <c:v>2497660.8078172593</c:v>
                </c:pt>
                <c:pt idx="83">
                  <c:v>2927644.8227952076</c:v>
                </c:pt>
                <c:pt idx="84">
                  <c:v>3214782.2996798516</c:v>
                </c:pt>
                <c:pt idx="85">
                  <c:v>2861470.3718348197</c:v>
                </c:pt>
                <c:pt idx="86">
                  <c:v>2850356.0798380007</c:v>
                </c:pt>
                <c:pt idx="87">
                  <c:v>2416395.7971098721</c:v>
                </c:pt>
                <c:pt idx="88">
                  <c:v>2296800.8227709904</c:v>
                </c:pt>
                <c:pt idx="89">
                  <c:v>2298974.6073878678</c:v>
                </c:pt>
                <c:pt idx="90">
                  <c:v>2538438.143065636</c:v>
                </c:pt>
                <c:pt idx="91">
                  <c:v>2441300.1449372647</c:v>
                </c:pt>
                <c:pt idx="92">
                  <c:v>2192577.8834308442</c:v>
                </c:pt>
                <c:pt idx="93">
                  <c:v>2353533.338151901</c:v>
                </c:pt>
                <c:pt idx="94">
                  <c:v>2612594.1719598384</c:v>
                </c:pt>
                <c:pt idx="95">
                  <c:v>3042578.1869377866</c:v>
                </c:pt>
                <c:pt idx="96">
                  <c:v>3240708.9207505854</c:v>
                </c:pt>
                <c:pt idx="97">
                  <c:v>2887396.9929055534</c:v>
                </c:pt>
                <c:pt idx="98">
                  <c:v>2876282.7009087345</c:v>
                </c:pt>
                <c:pt idx="99">
                  <c:v>2442322.4181806059</c:v>
                </c:pt>
                <c:pt idx="100">
                  <c:v>2322727.4438417242</c:v>
                </c:pt>
                <c:pt idx="101">
                  <c:v>2324901.228458602</c:v>
                </c:pt>
                <c:pt idx="102">
                  <c:v>2564364.7641363703</c:v>
                </c:pt>
                <c:pt idx="103">
                  <c:v>2467226.766007999</c:v>
                </c:pt>
                <c:pt idx="104">
                  <c:v>2218504.5045015784</c:v>
                </c:pt>
                <c:pt idx="105">
                  <c:v>2379459.9592226353</c:v>
                </c:pt>
                <c:pt idx="106">
                  <c:v>2638520.7930305726</c:v>
                </c:pt>
                <c:pt idx="107">
                  <c:v>3068504.8080085209</c:v>
                </c:pt>
                <c:pt idx="108">
                  <c:v>3267639.8304548888</c:v>
                </c:pt>
                <c:pt idx="109">
                  <c:v>2914327.9026098568</c:v>
                </c:pt>
                <c:pt idx="110">
                  <c:v>2903213.6106130374</c:v>
                </c:pt>
                <c:pt idx="111">
                  <c:v>2469253.3278849092</c:v>
                </c:pt>
                <c:pt idx="112">
                  <c:v>2349658.3535460276</c:v>
                </c:pt>
                <c:pt idx="113">
                  <c:v>2351832.1381629044</c:v>
                </c:pt>
                <c:pt idx="114">
                  <c:v>2591295.6738406732</c:v>
                </c:pt>
                <c:pt idx="115">
                  <c:v>2494157.6757123014</c:v>
                </c:pt>
                <c:pt idx="116">
                  <c:v>2245435.4142058808</c:v>
                </c:pt>
                <c:pt idx="117">
                  <c:v>2406390.8689269377</c:v>
                </c:pt>
                <c:pt idx="118">
                  <c:v>2665451.702734875</c:v>
                </c:pt>
                <c:pt idx="119">
                  <c:v>3095435.7177128242</c:v>
                </c:pt>
                <c:pt idx="120">
                  <c:v>3285822.6829902427</c:v>
                </c:pt>
                <c:pt idx="121">
                  <c:v>2988085.8519521425</c:v>
                </c:pt>
                <c:pt idx="122">
                  <c:v>2921396.4631483918</c:v>
                </c:pt>
                <c:pt idx="123">
                  <c:v>2487436.1804202632</c:v>
                </c:pt>
                <c:pt idx="124">
                  <c:v>2367841.2060813815</c:v>
                </c:pt>
                <c:pt idx="125">
                  <c:v>2370014.9906982593</c:v>
                </c:pt>
                <c:pt idx="126">
                  <c:v>2609478.5263760276</c:v>
                </c:pt>
                <c:pt idx="127">
                  <c:v>2512340.5282476563</c:v>
                </c:pt>
                <c:pt idx="128">
                  <c:v>2263618.2667412357</c:v>
                </c:pt>
                <c:pt idx="129">
                  <c:v>2424573.7214622926</c:v>
                </c:pt>
                <c:pt idx="130">
                  <c:v>2683634.5552702299</c:v>
                </c:pt>
                <c:pt idx="131">
                  <c:v>3113618.5702481782</c:v>
                </c:pt>
                <c:pt idx="132">
                  <c:v>3323576.1675412254</c:v>
                </c:pt>
                <c:pt idx="133">
                  <c:v>2970264.2396961935</c:v>
                </c:pt>
                <c:pt idx="134">
                  <c:v>2959149.9476993741</c:v>
                </c:pt>
                <c:pt idx="135">
                  <c:v>2525189.6649712459</c:v>
                </c:pt>
                <c:pt idx="136">
                  <c:v>2405594.6906323642</c:v>
                </c:pt>
                <c:pt idx="137">
                  <c:v>2407768.4752492411</c:v>
                </c:pt>
                <c:pt idx="138">
                  <c:v>2647232.0109270099</c:v>
                </c:pt>
                <c:pt idx="139">
                  <c:v>2550094.0127986381</c:v>
                </c:pt>
                <c:pt idx="140">
                  <c:v>2301371.7512922175</c:v>
                </c:pt>
                <c:pt idx="141">
                  <c:v>2462327.2060132744</c:v>
                </c:pt>
                <c:pt idx="142">
                  <c:v>2721388.0398212117</c:v>
                </c:pt>
                <c:pt idx="143">
                  <c:v>3151372.0547991609</c:v>
                </c:pt>
              </c:numCache>
            </c:numRef>
          </c:val>
          <c:smooth val="0"/>
          <c:extLst>
            <c:ext xmlns:c16="http://schemas.microsoft.com/office/drawing/2014/chart" uri="{C3380CC4-5D6E-409C-BE32-E72D297353CC}">
              <c16:uniqueId val="{00000002-2FB7-4679-A171-89DB19369077}"/>
            </c:ext>
          </c:extLst>
        </c:ser>
        <c:ser>
          <c:idx val="1"/>
          <c:order val="1"/>
          <c:tx>
            <c:strRef>
              <c:f>'GS&lt;50 Normalized Monthly'!$S$1</c:f>
              <c:strCache>
                <c:ptCount val="1"/>
                <c:pt idx="0">
                  <c:v>WN Predicted</c:v>
                </c:pt>
              </c:strCache>
            </c:strRef>
          </c:tx>
          <c:marker>
            <c:symbol val="none"/>
          </c:marker>
          <c:cat>
            <c:numRef>
              <c:f>'GS&lt;50 Normalized Monthly'!$A$2:$A$145</c:f>
              <c:numCache>
                <c:formatCode>mmm\-yy</c:formatCode>
                <c:ptCount val="144"/>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43770</c:v>
                </c:pt>
                <c:pt idx="47">
                  <c:v>43800</c:v>
                </c:pt>
                <c:pt idx="48">
                  <c:v>43831</c:v>
                </c:pt>
                <c:pt idx="49">
                  <c:v>43862</c:v>
                </c:pt>
                <c:pt idx="50">
                  <c:v>43891</c:v>
                </c:pt>
                <c:pt idx="51">
                  <c:v>43922</c:v>
                </c:pt>
                <c:pt idx="52">
                  <c:v>43952</c:v>
                </c:pt>
                <c:pt idx="53">
                  <c:v>43983</c:v>
                </c:pt>
                <c:pt idx="54">
                  <c:v>44013</c:v>
                </c:pt>
                <c:pt idx="55">
                  <c:v>44044</c:v>
                </c:pt>
                <c:pt idx="56">
                  <c:v>44075</c:v>
                </c:pt>
                <c:pt idx="57">
                  <c:v>44105</c:v>
                </c:pt>
                <c:pt idx="58">
                  <c:v>44136</c:v>
                </c:pt>
                <c:pt idx="59">
                  <c:v>44166</c:v>
                </c:pt>
                <c:pt idx="60">
                  <c:v>44197</c:v>
                </c:pt>
                <c:pt idx="61">
                  <c:v>44228</c:v>
                </c:pt>
                <c:pt idx="62">
                  <c:v>44256</c:v>
                </c:pt>
                <c:pt idx="63">
                  <c:v>44287</c:v>
                </c:pt>
                <c:pt idx="64">
                  <c:v>44317</c:v>
                </c:pt>
                <c:pt idx="65">
                  <c:v>44348</c:v>
                </c:pt>
                <c:pt idx="66">
                  <c:v>44378</c:v>
                </c:pt>
                <c:pt idx="67">
                  <c:v>44409</c:v>
                </c:pt>
                <c:pt idx="68">
                  <c:v>44440</c:v>
                </c:pt>
                <c:pt idx="69">
                  <c:v>44470</c:v>
                </c:pt>
                <c:pt idx="70">
                  <c:v>44501</c:v>
                </c:pt>
                <c:pt idx="71">
                  <c:v>44531</c:v>
                </c:pt>
                <c:pt idx="72">
                  <c:v>44562</c:v>
                </c:pt>
                <c:pt idx="73">
                  <c:v>44593</c:v>
                </c:pt>
                <c:pt idx="74">
                  <c:v>44621</c:v>
                </c:pt>
                <c:pt idx="75">
                  <c:v>44652</c:v>
                </c:pt>
                <c:pt idx="76">
                  <c:v>44682</c:v>
                </c:pt>
                <c:pt idx="77">
                  <c:v>44713</c:v>
                </c:pt>
                <c:pt idx="78">
                  <c:v>44743</c:v>
                </c:pt>
                <c:pt idx="79">
                  <c:v>44774</c:v>
                </c:pt>
                <c:pt idx="80">
                  <c:v>44805</c:v>
                </c:pt>
                <c:pt idx="81">
                  <c:v>44835</c:v>
                </c:pt>
                <c:pt idx="82">
                  <c:v>44866</c:v>
                </c:pt>
                <c:pt idx="83">
                  <c:v>44896</c:v>
                </c:pt>
                <c:pt idx="84">
                  <c:v>44927</c:v>
                </c:pt>
                <c:pt idx="85">
                  <c:v>44958</c:v>
                </c:pt>
                <c:pt idx="86">
                  <c:v>44986</c:v>
                </c:pt>
                <c:pt idx="87">
                  <c:v>45017</c:v>
                </c:pt>
                <c:pt idx="88">
                  <c:v>45047</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pt idx="129">
                  <c:v>46296</c:v>
                </c:pt>
                <c:pt idx="130">
                  <c:v>46327</c:v>
                </c:pt>
                <c:pt idx="131">
                  <c:v>46357</c:v>
                </c:pt>
                <c:pt idx="132">
                  <c:v>46388</c:v>
                </c:pt>
                <c:pt idx="133">
                  <c:v>46419</c:v>
                </c:pt>
                <c:pt idx="134">
                  <c:v>46447</c:v>
                </c:pt>
                <c:pt idx="135">
                  <c:v>46478</c:v>
                </c:pt>
                <c:pt idx="136">
                  <c:v>46508</c:v>
                </c:pt>
                <c:pt idx="137">
                  <c:v>46539</c:v>
                </c:pt>
                <c:pt idx="138">
                  <c:v>46569</c:v>
                </c:pt>
                <c:pt idx="139">
                  <c:v>46600</c:v>
                </c:pt>
                <c:pt idx="140">
                  <c:v>46631</c:v>
                </c:pt>
                <c:pt idx="141">
                  <c:v>46661</c:v>
                </c:pt>
                <c:pt idx="142">
                  <c:v>46692</c:v>
                </c:pt>
                <c:pt idx="143">
                  <c:v>46722</c:v>
                </c:pt>
              </c:numCache>
            </c:numRef>
          </c:cat>
          <c:val>
            <c:numRef>
              <c:f>'GS&lt;50 Normalized Monthly'!$S$2:$S$145</c:f>
              <c:numCache>
                <c:formatCode>_(* #,##0.0_);_(* \(#,##0.0\);_(* "-"??_);_(@_)</c:formatCode>
                <c:ptCount val="144"/>
                <c:pt idx="0">
                  <c:v>3104657.0704100234</c:v>
                </c:pt>
                <c:pt idx="1">
                  <c:v>2729122.512906597</c:v>
                </c:pt>
                <c:pt idx="2">
                  <c:v>2696827.3730568606</c:v>
                </c:pt>
                <c:pt idx="3">
                  <c:v>2218517.5151172699</c:v>
                </c:pt>
                <c:pt idx="4">
                  <c:v>2096378.7682005195</c:v>
                </c:pt>
                <c:pt idx="5">
                  <c:v>2129677.1211842089</c:v>
                </c:pt>
                <c:pt idx="6">
                  <c:v>2415567.1070329854</c:v>
                </c:pt>
                <c:pt idx="7">
                  <c:v>2294743.4535675221</c:v>
                </c:pt>
                <c:pt idx="8">
                  <c:v>1991576.9834422092</c:v>
                </c:pt>
                <c:pt idx="9">
                  <c:v>2146393.3423061692</c:v>
                </c:pt>
                <c:pt idx="10">
                  <c:v>2437947.9666142226</c:v>
                </c:pt>
                <c:pt idx="11">
                  <c:v>2911943.2991203405</c:v>
                </c:pt>
                <c:pt idx="12">
                  <c:v>3154024.6570002823</c:v>
                </c:pt>
                <c:pt idx="13">
                  <c:v>2778490.0994968559</c:v>
                </c:pt>
                <c:pt idx="14">
                  <c:v>2746194.95964712</c:v>
                </c:pt>
                <c:pt idx="15">
                  <c:v>2267885.1017075288</c:v>
                </c:pt>
                <c:pt idx="16">
                  <c:v>2145746.3547907784</c:v>
                </c:pt>
                <c:pt idx="17">
                  <c:v>2179044.7077744678</c:v>
                </c:pt>
                <c:pt idx="18">
                  <c:v>2464934.6936232438</c:v>
                </c:pt>
                <c:pt idx="19">
                  <c:v>2344111.040157781</c:v>
                </c:pt>
                <c:pt idx="20">
                  <c:v>2040944.5700324681</c:v>
                </c:pt>
                <c:pt idx="21">
                  <c:v>2195760.9288964281</c:v>
                </c:pt>
                <c:pt idx="22">
                  <c:v>2487315.5532044815</c:v>
                </c:pt>
                <c:pt idx="23">
                  <c:v>2961310.8857105994</c:v>
                </c:pt>
                <c:pt idx="24">
                  <c:v>3214423.4846186014</c:v>
                </c:pt>
                <c:pt idx="25">
                  <c:v>2894464.0239221063</c:v>
                </c:pt>
                <c:pt idx="26">
                  <c:v>2806593.7872654386</c:v>
                </c:pt>
                <c:pt idx="27">
                  <c:v>2328283.9293258479</c:v>
                </c:pt>
                <c:pt idx="28">
                  <c:v>2206145.1824090974</c:v>
                </c:pt>
                <c:pt idx="29">
                  <c:v>2239443.5353927864</c:v>
                </c:pt>
                <c:pt idx="30">
                  <c:v>2525333.5212415629</c:v>
                </c:pt>
                <c:pt idx="31">
                  <c:v>2404509.8677760996</c:v>
                </c:pt>
                <c:pt idx="32">
                  <c:v>2101343.3976507867</c:v>
                </c:pt>
                <c:pt idx="33">
                  <c:v>2256159.7565147467</c:v>
                </c:pt>
                <c:pt idx="34">
                  <c:v>2547714.3808228001</c:v>
                </c:pt>
                <c:pt idx="35">
                  <c:v>3021709.7133289184</c:v>
                </c:pt>
                <c:pt idx="36">
                  <c:v>3257175.2662001783</c:v>
                </c:pt>
                <c:pt idx="37">
                  <c:v>2881640.7086967519</c:v>
                </c:pt>
                <c:pt idx="38">
                  <c:v>2849345.5688470155</c:v>
                </c:pt>
                <c:pt idx="39">
                  <c:v>2371035.7109074248</c:v>
                </c:pt>
                <c:pt idx="40">
                  <c:v>2248896.9639906744</c:v>
                </c:pt>
                <c:pt idx="41">
                  <c:v>2282195.3169743633</c:v>
                </c:pt>
                <c:pt idx="42">
                  <c:v>2568085.3028231398</c:v>
                </c:pt>
                <c:pt idx="43">
                  <c:v>2447261.6493576765</c:v>
                </c:pt>
                <c:pt idx="44">
                  <c:v>2144095.1792323636</c:v>
                </c:pt>
                <c:pt idx="45">
                  <c:v>2298911.5380963236</c:v>
                </c:pt>
                <c:pt idx="46">
                  <c:v>2590466.162404377</c:v>
                </c:pt>
                <c:pt idx="47">
                  <c:v>3064461.4949104954</c:v>
                </c:pt>
                <c:pt idx="48">
                  <c:v>3167222.0519063352</c:v>
                </c:pt>
                <c:pt idx="49">
                  <c:v>2791687.4944029087</c:v>
                </c:pt>
                <c:pt idx="50">
                  <c:v>2603727.6008334635</c:v>
                </c:pt>
                <c:pt idx="51">
                  <c:v>1969752.9891741627</c:v>
                </c:pt>
                <c:pt idx="52">
                  <c:v>1847614.2422574123</c:v>
                </c:pt>
                <c:pt idx="53">
                  <c:v>2036577.3489608115</c:v>
                </c:pt>
                <c:pt idx="54">
                  <c:v>2322467.3348095878</c:v>
                </c:pt>
                <c:pt idx="55">
                  <c:v>2201643.681344125</c:v>
                </c:pt>
                <c:pt idx="56">
                  <c:v>1898477.2112188116</c:v>
                </c:pt>
                <c:pt idx="57">
                  <c:v>2053293.5700827718</c:v>
                </c:pt>
                <c:pt idx="58">
                  <c:v>2344848.1943908255</c:v>
                </c:pt>
                <c:pt idx="59">
                  <c:v>2818843.5268969429</c:v>
                </c:pt>
                <c:pt idx="60">
                  <c:v>3125583.9756562482</c:v>
                </c:pt>
                <c:pt idx="61">
                  <c:v>2750049.4181528217</c:v>
                </c:pt>
                <c:pt idx="62">
                  <c:v>2717754.2783030854</c:v>
                </c:pt>
                <c:pt idx="63">
                  <c:v>2239444.4203634947</c:v>
                </c:pt>
                <c:pt idx="64">
                  <c:v>2117305.6734467442</c:v>
                </c:pt>
                <c:pt idx="65">
                  <c:v>2150604.0264304336</c:v>
                </c:pt>
                <c:pt idx="66">
                  <c:v>2436494.0122792101</c:v>
                </c:pt>
                <c:pt idx="67">
                  <c:v>2315670.3588137468</c:v>
                </c:pt>
                <c:pt idx="68">
                  <c:v>2012503.8886884337</c:v>
                </c:pt>
                <c:pt idx="69">
                  <c:v>2167320.2475523939</c:v>
                </c:pt>
                <c:pt idx="70">
                  <c:v>2458874.8718604473</c:v>
                </c:pt>
                <c:pt idx="71">
                  <c:v>2932870.2043665652</c:v>
                </c:pt>
                <c:pt idx="72">
                  <c:v>3283403.572310762</c:v>
                </c:pt>
                <c:pt idx="73">
                  <c:v>2963444.1116142673</c:v>
                </c:pt>
                <c:pt idx="74">
                  <c:v>2875573.8749575997</c:v>
                </c:pt>
                <c:pt idx="75">
                  <c:v>2397264.0170180085</c:v>
                </c:pt>
                <c:pt idx="76">
                  <c:v>2275125.2701012581</c:v>
                </c:pt>
                <c:pt idx="77">
                  <c:v>2308423.6230849475</c:v>
                </c:pt>
                <c:pt idx="78">
                  <c:v>2594313.6089337235</c:v>
                </c:pt>
                <c:pt idx="79">
                  <c:v>2473489.9554682607</c:v>
                </c:pt>
                <c:pt idx="80">
                  <c:v>2170323.4853429478</c:v>
                </c:pt>
                <c:pt idx="81">
                  <c:v>2325139.8442069078</c:v>
                </c:pt>
                <c:pt idx="82">
                  <c:v>2616694.4685149612</c:v>
                </c:pt>
                <c:pt idx="83">
                  <c:v>3090689.8010210791</c:v>
                </c:pt>
                <c:pt idx="84">
                  <c:v>3398336.936453341</c:v>
                </c:pt>
                <c:pt idx="85">
                  <c:v>3022802.3789499146</c:v>
                </c:pt>
                <c:pt idx="86">
                  <c:v>2990507.2391001787</c:v>
                </c:pt>
                <c:pt idx="87">
                  <c:v>2512197.3811605875</c:v>
                </c:pt>
                <c:pt idx="88">
                  <c:v>2390058.6342438371</c:v>
                </c:pt>
                <c:pt idx="89">
                  <c:v>2423356.9872275265</c:v>
                </c:pt>
                <c:pt idx="90">
                  <c:v>2709246.9730763026</c:v>
                </c:pt>
                <c:pt idx="91">
                  <c:v>2588423.3196108397</c:v>
                </c:pt>
                <c:pt idx="92">
                  <c:v>2285256.8494855268</c:v>
                </c:pt>
                <c:pt idx="93">
                  <c:v>2440073.2083494868</c:v>
                </c:pt>
                <c:pt idx="94">
                  <c:v>2731627.8326575402</c:v>
                </c:pt>
                <c:pt idx="95">
                  <c:v>3205623.1651636581</c:v>
                </c:pt>
                <c:pt idx="96">
                  <c:v>3424263.5575240748</c:v>
                </c:pt>
                <c:pt idx="97">
                  <c:v>3048729.0000206484</c:v>
                </c:pt>
                <c:pt idx="98">
                  <c:v>3016433.8601709125</c:v>
                </c:pt>
                <c:pt idx="99">
                  <c:v>2538124.0022313213</c:v>
                </c:pt>
                <c:pt idx="100">
                  <c:v>2415985.2553145709</c:v>
                </c:pt>
                <c:pt idx="101">
                  <c:v>2449283.6082982607</c:v>
                </c:pt>
                <c:pt idx="102">
                  <c:v>2735173.5941470368</c:v>
                </c:pt>
                <c:pt idx="103">
                  <c:v>2614349.9406815739</c:v>
                </c:pt>
                <c:pt idx="104">
                  <c:v>2311183.470556261</c:v>
                </c:pt>
                <c:pt idx="105">
                  <c:v>2465999.829420221</c:v>
                </c:pt>
                <c:pt idx="106">
                  <c:v>2757554.4537282744</c:v>
                </c:pt>
                <c:pt idx="107">
                  <c:v>3231549.7862343919</c:v>
                </c:pt>
                <c:pt idx="108">
                  <c:v>3451194.4672283782</c:v>
                </c:pt>
                <c:pt idx="109">
                  <c:v>3075659.9097249517</c:v>
                </c:pt>
                <c:pt idx="110">
                  <c:v>3043364.7698752154</c:v>
                </c:pt>
                <c:pt idx="111">
                  <c:v>2565054.9119356247</c:v>
                </c:pt>
                <c:pt idx="112">
                  <c:v>2442916.1650188742</c:v>
                </c:pt>
                <c:pt idx="113">
                  <c:v>2476214.5180025632</c:v>
                </c:pt>
                <c:pt idx="114">
                  <c:v>2762104.5038513397</c:v>
                </c:pt>
                <c:pt idx="115">
                  <c:v>2641280.8503858764</c:v>
                </c:pt>
                <c:pt idx="116">
                  <c:v>2338114.3802605635</c:v>
                </c:pt>
                <c:pt idx="117">
                  <c:v>2492930.7391245235</c:v>
                </c:pt>
                <c:pt idx="118">
                  <c:v>2784485.3634325769</c:v>
                </c:pt>
                <c:pt idx="119">
                  <c:v>3258480.6959386952</c:v>
                </c:pt>
                <c:pt idx="120">
                  <c:v>3469377.3197637321</c:v>
                </c:pt>
                <c:pt idx="121">
                  <c:v>3149417.8590672375</c:v>
                </c:pt>
                <c:pt idx="122">
                  <c:v>3061547.6224105698</c:v>
                </c:pt>
                <c:pt idx="123">
                  <c:v>2583237.7644709786</c:v>
                </c:pt>
                <c:pt idx="124">
                  <c:v>2461099.0175542282</c:v>
                </c:pt>
                <c:pt idx="125">
                  <c:v>2494397.3705379181</c:v>
                </c:pt>
                <c:pt idx="126">
                  <c:v>2780287.3563866941</c:v>
                </c:pt>
                <c:pt idx="127">
                  <c:v>2659463.7029212313</c:v>
                </c:pt>
                <c:pt idx="128">
                  <c:v>2356297.2327959184</c:v>
                </c:pt>
                <c:pt idx="129">
                  <c:v>2511113.5916598784</c:v>
                </c:pt>
                <c:pt idx="130">
                  <c:v>2802668.2159679318</c:v>
                </c:pt>
                <c:pt idx="131">
                  <c:v>3276663.5484740492</c:v>
                </c:pt>
                <c:pt idx="132">
                  <c:v>3507130.8043147149</c:v>
                </c:pt>
                <c:pt idx="133">
                  <c:v>3131596.2468112884</c:v>
                </c:pt>
                <c:pt idx="134">
                  <c:v>3099301.1069615521</c:v>
                </c:pt>
                <c:pt idx="135">
                  <c:v>2620991.2490219614</c:v>
                </c:pt>
                <c:pt idx="136">
                  <c:v>2498852.5021052109</c:v>
                </c:pt>
                <c:pt idx="137">
                  <c:v>2532150.8550888998</c:v>
                </c:pt>
                <c:pt idx="138">
                  <c:v>2818040.8409376764</c:v>
                </c:pt>
                <c:pt idx="139">
                  <c:v>2697217.1874722131</c:v>
                </c:pt>
                <c:pt idx="140">
                  <c:v>2394050.7173469001</c:v>
                </c:pt>
                <c:pt idx="141">
                  <c:v>2548867.0762108602</c:v>
                </c:pt>
                <c:pt idx="142">
                  <c:v>2840421.7005189136</c:v>
                </c:pt>
                <c:pt idx="143">
                  <c:v>3314417.0330250319</c:v>
                </c:pt>
              </c:numCache>
            </c:numRef>
          </c:val>
          <c:smooth val="0"/>
          <c:extLst>
            <c:ext xmlns:c16="http://schemas.microsoft.com/office/drawing/2014/chart" uri="{C3380CC4-5D6E-409C-BE32-E72D297353CC}">
              <c16:uniqueId val="{00000001-2FB7-4679-A171-89DB19369077}"/>
            </c:ext>
          </c:extLst>
        </c:ser>
        <c:ser>
          <c:idx val="2"/>
          <c:order val="2"/>
          <c:tx>
            <c:strRef>
              <c:f>'GS&lt;50 Normalized Monthly'!$AU$1</c:f>
              <c:strCache>
                <c:ptCount val="1"/>
                <c:pt idx="0">
                  <c:v>High Predicted</c:v>
                </c:pt>
              </c:strCache>
            </c:strRef>
          </c:tx>
          <c:marker>
            <c:symbol val="none"/>
          </c:marker>
          <c:val>
            <c:numRef>
              <c:f>'GS&lt;50 Normalized Monthly'!$AU$2:$AU$145</c:f>
              <c:numCache>
                <c:formatCode>_(* #,##0_);_(* \(#,##0\);_(* "-"??_);_(@_)</c:formatCode>
                <c:ptCount val="144"/>
                <c:pt idx="0">
                  <c:v>3284278.5430165427</c:v>
                </c:pt>
                <c:pt idx="1">
                  <c:v>2886997.536964634</c:v>
                </c:pt>
                <c:pt idx="2">
                  <c:v>2833975.407324438</c:v>
                </c:pt>
                <c:pt idx="3">
                  <c:v>2311431.6421273225</c:v>
                </c:pt>
                <c:pt idx="4">
                  <c:v>2165461.6784763453</c:v>
                </c:pt>
                <c:pt idx="5">
                  <c:v>2200970.1380025735</c:v>
                </c:pt>
                <c:pt idx="6">
                  <c:v>2503719.7121717185</c:v>
                </c:pt>
                <c:pt idx="7">
                  <c:v>2373833.6875703931</c:v>
                </c:pt>
                <c:pt idx="8">
                  <c:v>2054017.7509011384</c:v>
                </c:pt>
                <c:pt idx="9">
                  <c:v>2224600.5598167162</c:v>
                </c:pt>
                <c:pt idx="10">
                  <c:v>2553754.0070740408</c:v>
                </c:pt>
                <c:pt idx="11">
                  <c:v>3071494.5891603138</c:v>
                </c:pt>
                <c:pt idx="12">
                  <c:v>3333646.129606802</c:v>
                </c:pt>
                <c:pt idx="13">
                  <c:v>2936365.1235548928</c:v>
                </c:pt>
                <c:pt idx="14">
                  <c:v>2883342.9939146973</c:v>
                </c:pt>
                <c:pt idx="15">
                  <c:v>2360799.2287175814</c:v>
                </c:pt>
                <c:pt idx="16">
                  <c:v>2214829.2650666041</c:v>
                </c:pt>
                <c:pt idx="17">
                  <c:v>2250337.7245928324</c:v>
                </c:pt>
                <c:pt idx="18">
                  <c:v>2553087.2987619769</c:v>
                </c:pt>
                <c:pt idx="19">
                  <c:v>2423201.274160652</c:v>
                </c:pt>
                <c:pt idx="20">
                  <c:v>2103385.3374913973</c:v>
                </c:pt>
                <c:pt idx="21">
                  <c:v>2273968.1464069751</c:v>
                </c:pt>
                <c:pt idx="22">
                  <c:v>2603121.5936642997</c:v>
                </c:pt>
                <c:pt idx="23">
                  <c:v>3120862.1757505727</c:v>
                </c:pt>
                <c:pt idx="24">
                  <c:v>3394044.9572251206</c:v>
                </c:pt>
                <c:pt idx="25">
                  <c:v>3052339.0479801432</c:v>
                </c:pt>
                <c:pt idx="26">
                  <c:v>2943741.8215330159</c:v>
                </c:pt>
                <c:pt idx="27">
                  <c:v>2421198.0563359004</c:v>
                </c:pt>
                <c:pt idx="28">
                  <c:v>2275228.0926849232</c:v>
                </c:pt>
                <c:pt idx="29">
                  <c:v>2310736.552211151</c:v>
                </c:pt>
                <c:pt idx="30">
                  <c:v>2613486.1263802964</c:v>
                </c:pt>
                <c:pt idx="31">
                  <c:v>2483600.1017789706</c:v>
                </c:pt>
                <c:pt idx="32">
                  <c:v>2163784.1651097159</c:v>
                </c:pt>
                <c:pt idx="33">
                  <c:v>2334366.9740252937</c:v>
                </c:pt>
                <c:pt idx="34">
                  <c:v>2663520.4212826183</c:v>
                </c:pt>
                <c:pt idx="35">
                  <c:v>3181261.0033688918</c:v>
                </c:pt>
                <c:pt idx="36">
                  <c:v>3436796.7388066975</c:v>
                </c:pt>
                <c:pt idx="37">
                  <c:v>3039515.7327547888</c:v>
                </c:pt>
                <c:pt idx="38">
                  <c:v>2986493.6031145928</c:v>
                </c:pt>
                <c:pt idx="39">
                  <c:v>2463949.8379174774</c:v>
                </c:pt>
                <c:pt idx="40">
                  <c:v>2317979.8742665001</c:v>
                </c:pt>
                <c:pt idx="41">
                  <c:v>2353488.3337927279</c:v>
                </c:pt>
                <c:pt idx="42">
                  <c:v>2656237.9079618733</c:v>
                </c:pt>
                <c:pt idx="43">
                  <c:v>2526351.8833605475</c:v>
                </c:pt>
                <c:pt idx="44">
                  <c:v>2206535.9466912928</c:v>
                </c:pt>
                <c:pt idx="45">
                  <c:v>2377118.7556068706</c:v>
                </c:pt>
                <c:pt idx="46">
                  <c:v>2706272.2028641952</c:v>
                </c:pt>
                <c:pt idx="47">
                  <c:v>3224012.7849504687</c:v>
                </c:pt>
                <c:pt idx="48">
                  <c:v>3346843.5245128544</c:v>
                </c:pt>
                <c:pt idx="49">
                  <c:v>2949562.5184609457</c:v>
                </c:pt>
                <c:pt idx="50">
                  <c:v>2740875.6351010408</c:v>
                </c:pt>
                <c:pt idx="51">
                  <c:v>2062667.1161842153</c:v>
                </c:pt>
                <c:pt idx="52">
                  <c:v>1916697.1525332383</c:v>
                </c:pt>
                <c:pt idx="53">
                  <c:v>2107870.3657791764</c:v>
                </c:pt>
                <c:pt idx="54">
                  <c:v>2410619.9399483213</c:v>
                </c:pt>
                <c:pt idx="55">
                  <c:v>2280733.9153469959</c:v>
                </c:pt>
                <c:pt idx="56">
                  <c:v>1960917.9786777408</c:v>
                </c:pt>
                <c:pt idx="57">
                  <c:v>2131500.7875933191</c:v>
                </c:pt>
                <c:pt idx="58">
                  <c:v>2460654.2348506437</c:v>
                </c:pt>
                <c:pt idx="59">
                  <c:v>2978394.8169369162</c:v>
                </c:pt>
                <c:pt idx="60">
                  <c:v>3305205.4482627679</c:v>
                </c:pt>
                <c:pt idx="61">
                  <c:v>2907924.4422108587</c:v>
                </c:pt>
                <c:pt idx="62">
                  <c:v>2854902.3125706632</c:v>
                </c:pt>
                <c:pt idx="63">
                  <c:v>2332358.5473735472</c:v>
                </c:pt>
                <c:pt idx="64">
                  <c:v>2186388.58372257</c:v>
                </c:pt>
                <c:pt idx="65">
                  <c:v>2221897.0432487982</c:v>
                </c:pt>
                <c:pt idx="66">
                  <c:v>2524646.6174179437</c:v>
                </c:pt>
                <c:pt idx="67">
                  <c:v>2394760.5928166178</c:v>
                </c:pt>
                <c:pt idx="68">
                  <c:v>2074944.6561473627</c:v>
                </c:pt>
                <c:pt idx="69">
                  <c:v>2245527.465062941</c:v>
                </c:pt>
                <c:pt idx="70">
                  <c:v>2574680.9123202655</c:v>
                </c:pt>
                <c:pt idx="71">
                  <c:v>3092421.4944065385</c:v>
                </c:pt>
                <c:pt idx="72">
                  <c:v>3463025.0449172817</c:v>
                </c:pt>
                <c:pt idx="73">
                  <c:v>3121319.1356723043</c:v>
                </c:pt>
                <c:pt idx="74">
                  <c:v>3012721.909225177</c:v>
                </c:pt>
                <c:pt idx="75">
                  <c:v>2490178.1440280611</c:v>
                </c:pt>
                <c:pt idx="76">
                  <c:v>2344208.1803770838</c:v>
                </c:pt>
                <c:pt idx="77">
                  <c:v>2379716.6399033121</c:v>
                </c:pt>
                <c:pt idx="78">
                  <c:v>2682466.2140724566</c:v>
                </c:pt>
                <c:pt idx="79">
                  <c:v>2552580.1894711317</c:v>
                </c:pt>
                <c:pt idx="80">
                  <c:v>2232764.252801877</c:v>
                </c:pt>
                <c:pt idx="81">
                  <c:v>2403347.0617174548</c:v>
                </c:pt>
                <c:pt idx="82">
                  <c:v>2732500.5089747794</c:v>
                </c:pt>
                <c:pt idx="83">
                  <c:v>3250241.0910610524</c:v>
                </c:pt>
                <c:pt idx="84">
                  <c:v>3577958.4090598607</c:v>
                </c:pt>
                <c:pt idx="85">
                  <c:v>3180677.4030079516</c:v>
                </c:pt>
                <c:pt idx="86">
                  <c:v>3127655.273367756</c:v>
                </c:pt>
                <c:pt idx="87">
                  <c:v>2605111.5081706401</c:v>
                </c:pt>
                <c:pt idx="88">
                  <c:v>2459141.5445196629</c:v>
                </c:pt>
                <c:pt idx="89">
                  <c:v>2494650.0040458911</c:v>
                </c:pt>
                <c:pt idx="90">
                  <c:v>2797399.5782150356</c:v>
                </c:pt>
                <c:pt idx="91">
                  <c:v>2667513.5536137107</c:v>
                </c:pt>
                <c:pt idx="92">
                  <c:v>2347697.616944456</c:v>
                </c:pt>
                <c:pt idx="93">
                  <c:v>2518280.4258600338</c:v>
                </c:pt>
                <c:pt idx="94">
                  <c:v>2847433.8731173584</c:v>
                </c:pt>
                <c:pt idx="95">
                  <c:v>3365174.4552036314</c:v>
                </c:pt>
                <c:pt idx="96">
                  <c:v>3603885.030130594</c:v>
                </c:pt>
                <c:pt idx="97">
                  <c:v>3206604.0240786853</c:v>
                </c:pt>
                <c:pt idx="98">
                  <c:v>3153581.8944384903</c:v>
                </c:pt>
                <c:pt idx="99">
                  <c:v>2631038.1292413739</c:v>
                </c:pt>
                <c:pt idx="100">
                  <c:v>2485068.1655903966</c:v>
                </c:pt>
                <c:pt idx="101">
                  <c:v>2520576.6251166253</c:v>
                </c:pt>
                <c:pt idx="102">
                  <c:v>2823326.1992857698</c:v>
                </c:pt>
                <c:pt idx="103">
                  <c:v>2693440.1746844449</c:v>
                </c:pt>
                <c:pt idx="104">
                  <c:v>2373624.2380151902</c:v>
                </c:pt>
                <c:pt idx="105">
                  <c:v>2544207.0469307681</c:v>
                </c:pt>
                <c:pt idx="106">
                  <c:v>2873360.4941880926</c:v>
                </c:pt>
                <c:pt idx="107">
                  <c:v>3391101.0762743652</c:v>
                </c:pt>
                <c:pt idx="108">
                  <c:v>3630815.9398348974</c:v>
                </c:pt>
                <c:pt idx="109">
                  <c:v>3233534.9337829887</c:v>
                </c:pt>
                <c:pt idx="110">
                  <c:v>3180512.8041427927</c:v>
                </c:pt>
                <c:pt idx="111">
                  <c:v>2657969.0389456772</c:v>
                </c:pt>
                <c:pt idx="112">
                  <c:v>2511999.0752947</c:v>
                </c:pt>
                <c:pt idx="113">
                  <c:v>2547507.5348209278</c:v>
                </c:pt>
                <c:pt idx="114">
                  <c:v>2850257.1089900732</c:v>
                </c:pt>
                <c:pt idx="115">
                  <c:v>2720371.0843887473</c:v>
                </c:pt>
                <c:pt idx="116">
                  <c:v>2400555.1477194927</c:v>
                </c:pt>
                <c:pt idx="117">
                  <c:v>2571137.9566350705</c:v>
                </c:pt>
                <c:pt idx="118">
                  <c:v>2900291.4038923951</c:v>
                </c:pt>
                <c:pt idx="119">
                  <c:v>3418031.9859786686</c:v>
                </c:pt>
                <c:pt idx="120">
                  <c:v>3648998.7923702514</c:v>
                </c:pt>
                <c:pt idx="121">
                  <c:v>3307292.8831252744</c:v>
                </c:pt>
                <c:pt idx="122">
                  <c:v>3198695.6566781476</c:v>
                </c:pt>
                <c:pt idx="123">
                  <c:v>2676151.8914810312</c:v>
                </c:pt>
                <c:pt idx="124">
                  <c:v>2530181.927830054</c:v>
                </c:pt>
                <c:pt idx="125">
                  <c:v>2565690.3873562827</c:v>
                </c:pt>
                <c:pt idx="126">
                  <c:v>2868439.9615254272</c:v>
                </c:pt>
                <c:pt idx="127">
                  <c:v>2738553.9369241023</c:v>
                </c:pt>
                <c:pt idx="128">
                  <c:v>2418738.0002548476</c:v>
                </c:pt>
                <c:pt idx="129">
                  <c:v>2589320.8091704254</c:v>
                </c:pt>
                <c:pt idx="130">
                  <c:v>2918474.25642775</c:v>
                </c:pt>
                <c:pt idx="131">
                  <c:v>3436214.8385140225</c:v>
                </c:pt>
                <c:pt idx="132">
                  <c:v>3686752.2769212341</c:v>
                </c:pt>
                <c:pt idx="133">
                  <c:v>3289471.2708693254</c:v>
                </c:pt>
                <c:pt idx="134">
                  <c:v>3236449.1412291294</c:v>
                </c:pt>
                <c:pt idx="135">
                  <c:v>2713905.3760320139</c:v>
                </c:pt>
                <c:pt idx="136">
                  <c:v>2567935.4123810367</c:v>
                </c:pt>
                <c:pt idx="137">
                  <c:v>2603443.8719072645</c:v>
                </c:pt>
                <c:pt idx="138">
                  <c:v>2906193.4460764099</c:v>
                </c:pt>
                <c:pt idx="139">
                  <c:v>2776307.421475084</c:v>
                </c:pt>
                <c:pt idx="140">
                  <c:v>2456491.4848058294</c:v>
                </c:pt>
                <c:pt idx="141">
                  <c:v>2627074.2937214072</c:v>
                </c:pt>
                <c:pt idx="142">
                  <c:v>2956227.7409787318</c:v>
                </c:pt>
                <c:pt idx="143">
                  <c:v>3473968.3230650052</c:v>
                </c:pt>
              </c:numCache>
            </c:numRef>
          </c:val>
          <c:smooth val="0"/>
          <c:extLst>
            <c:ext xmlns:c16="http://schemas.microsoft.com/office/drawing/2014/chart" uri="{C3380CC4-5D6E-409C-BE32-E72D297353CC}">
              <c16:uniqueId val="{00000003-2FB7-4679-A171-89DB19369077}"/>
            </c:ext>
          </c:extLst>
        </c:ser>
        <c:dLbls>
          <c:showLegendKey val="0"/>
          <c:showVal val="0"/>
          <c:showCatName val="0"/>
          <c:showSerName val="0"/>
          <c:showPercent val="0"/>
          <c:showBubbleSize val="0"/>
        </c:dLbls>
        <c:smooth val="0"/>
        <c:axId val="177107712"/>
        <c:axId val="177109248"/>
      </c:lineChart>
      <c:catAx>
        <c:axId val="177107712"/>
        <c:scaling>
          <c:orientation val="minMax"/>
        </c:scaling>
        <c:delete val="0"/>
        <c:axPos val="b"/>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109248"/>
        <c:crosses val="autoZero"/>
        <c:auto val="1"/>
        <c:lblAlgn val="ctr"/>
        <c:lblOffset val="100"/>
        <c:noMultiLvlLbl val="0"/>
      </c:catAx>
      <c:valAx>
        <c:axId val="177109248"/>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10771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GS &gt; 50</a:t>
            </a:r>
          </a:p>
        </c:rich>
      </c:tx>
      <c:overlay val="0"/>
      <c:spPr>
        <a:noFill/>
        <a:ln>
          <a:noFill/>
        </a:ln>
        <a:effectLst/>
      </c:spPr>
    </c:title>
    <c:autoTitleDeleted val="0"/>
    <c:plotArea>
      <c:layout/>
      <c:lineChart>
        <c:grouping val="standard"/>
        <c:varyColors val="0"/>
        <c:ser>
          <c:idx val="0"/>
          <c:order val="0"/>
          <c:tx>
            <c:strRef>
              <c:f>'GS&gt;50 (no LC) Norm Monthly'!$D$1</c:f>
              <c:strCache>
                <c:ptCount val="1"/>
                <c:pt idx="0">
                  <c:v> GS_gt_50_NoCDM </c:v>
                </c:pt>
              </c:strCache>
            </c:strRef>
          </c:tx>
          <c:marker>
            <c:symbol val="none"/>
          </c:marker>
          <c:cat>
            <c:numRef>
              <c:f>'GS&gt;50 (no LC) Norm Monthly'!$A$2:$A$145</c:f>
              <c:numCache>
                <c:formatCode>mmm\-yy</c:formatCode>
                <c:ptCount val="144"/>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43770</c:v>
                </c:pt>
                <c:pt idx="47">
                  <c:v>43800</c:v>
                </c:pt>
                <c:pt idx="48">
                  <c:v>43831</c:v>
                </c:pt>
                <c:pt idx="49">
                  <c:v>43862</c:v>
                </c:pt>
                <c:pt idx="50">
                  <c:v>43891</c:v>
                </c:pt>
                <c:pt idx="51">
                  <c:v>43922</c:v>
                </c:pt>
                <c:pt idx="52">
                  <c:v>43952</c:v>
                </c:pt>
                <c:pt idx="53">
                  <c:v>43983</c:v>
                </c:pt>
                <c:pt idx="54">
                  <c:v>44013</c:v>
                </c:pt>
                <c:pt idx="55">
                  <c:v>44044</c:v>
                </c:pt>
                <c:pt idx="56">
                  <c:v>44075</c:v>
                </c:pt>
                <c:pt idx="57">
                  <c:v>44105</c:v>
                </c:pt>
                <c:pt idx="58">
                  <c:v>44136</c:v>
                </c:pt>
                <c:pt idx="59">
                  <c:v>44166</c:v>
                </c:pt>
                <c:pt idx="60">
                  <c:v>44197</c:v>
                </c:pt>
                <c:pt idx="61">
                  <c:v>44228</c:v>
                </c:pt>
                <c:pt idx="62">
                  <c:v>44256</c:v>
                </c:pt>
                <c:pt idx="63">
                  <c:v>44287</c:v>
                </c:pt>
                <c:pt idx="64">
                  <c:v>44317</c:v>
                </c:pt>
                <c:pt idx="65">
                  <c:v>44348</c:v>
                </c:pt>
                <c:pt idx="66">
                  <c:v>44378</c:v>
                </c:pt>
                <c:pt idx="67">
                  <c:v>44409</c:v>
                </c:pt>
                <c:pt idx="68">
                  <c:v>44440</c:v>
                </c:pt>
                <c:pt idx="69">
                  <c:v>44470</c:v>
                </c:pt>
                <c:pt idx="70">
                  <c:v>44501</c:v>
                </c:pt>
                <c:pt idx="71">
                  <c:v>44531</c:v>
                </c:pt>
                <c:pt idx="72">
                  <c:v>44562</c:v>
                </c:pt>
                <c:pt idx="73">
                  <c:v>44593</c:v>
                </c:pt>
                <c:pt idx="74">
                  <c:v>44621</c:v>
                </c:pt>
                <c:pt idx="75">
                  <c:v>44652</c:v>
                </c:pt>
                <c:pt idx="76">
                  <c:v>44682</c:v>
                </c:pt>
                <c:pt idx="77">
                  <c:v>44713</c:v>
                </c:pt>
                <c:pt idx="78">
                  <c:v>44743</c:v>
                </c:pt>
                <c:pt idx="79">
                  <c:v>44774</c:v>
                </c:pt>
                <c:pt idx="80">
                  <c:v>44805</c:v>
                </c:pt>
                <c:pt idx="81">
                  <c:v>44835</c:v>
                </c:pt>
                <c:pt idx="82">
                  <c:v>44866</c:v>
                </c:pt>
                <c:pt idx="83">
                  <c:v>44896</c:v>
                </c:pt>
                <c:pt idx="84">
                  <c:v>44927</c:v>
                </c:pt>
                <c:pt idx="85">
                  <c:v>44958</c:v>
                </c:pt>
                <c:pt idx="86">
                  <c:v>44986</c:v>
                </c:pt>
                <c:pt idx="87">
                  <c:v>45017</c:v>
                </c:pt>
                <c:pt idx="88">
                  <c:v>45047</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pt idx="129">
                  <c:v>46296</c:v>
                </c:pt>
                <c:pt idx="130">
                  <c:v>46327</c:v>
                </c:pt>
                <c:pt idx="131">
                  <c:v>46357</c:v>
                </c:pt>
                <c:pt idx="132">
                  <c:v>46388</c:v>
                </c:pt>
                <c:pt idx="133">
                  <c:v>46419</c:v>
                </c:pt>
                <c:pt idx="134">
                  <c:v>46447</c:v>
                </c:pt>
                <c:pt idx="135">
                  <c:v>46478</c:v>
                </c:pt>
                <c:pt idx="136">
                  <c:v>46508</c:v>
                </c:pt>
                <c:pt idx="137">
                  <c:v>46539</c:v>
                </c:pt>
                <c:pt idx="138">
                  <c:v>46569</c:v>
                </c:pt>
                <c:pt idx="139">
                  <c:v>46600</c:v>
                </c:pt>
                <c:pt idx="140">
                  <c:v>46631</c:v>
                </c:pt>
                <c:pt idx="141">
                  <c:v>46661</c:v>
                </c:pt>
                <c:pt idx="142">
                  <c:v>46692</c:v>
                </c:pt>
                <c:pt idx="143">
                  <c:v>46722</c:v>
                </c:pt>
              </c:numCache>
            </c:numRef>
          </c:cat>
          <c:val>
            <c:numRef>
              <c:f>('GS&gt;50 (no LC) Norm Monthly'!$Z$2:$Z$49,'GS&gt;50 (no LC) Norm Monthly'!$D$50:$D$145)</c:f>
              <c:numCache>
                <c:formatCode>General</c:formatCode>
                <c:ptCount val="144"/>
                <c:pt idx="48" formatCode="_(* #,##0.00_);_(* \(#,##0.00\);_(* &quot;-&quot;??_);_(@_)">
                  <c:v>6576915.9627391547</c:v>
                </c:pt>
                <c:pt idx="49" formatCode="_(* #,##0.00_);_(* \(#,##0.00\);_(* &quot;-&quot;??_);_(@_)">
                  <c:v>6044045.580237926</c:v>
                </c:pt>
                <c:pt idx="50" formatCode="_(* #,##0.00_);_(* \(#,##0.00\);_(* &quot;-&quot;??_);_(@_)">
                  <c:v>5746554.1977366973</c:v>
                </c:pt>
                <c:pt idx="51" formatCode="_(* #,##0.00_);_(* \(#,##0.00\);_(* &quot;-&quot;??_);_(@_)">
                  <c:v>5135085.8152354676</c:v>
                </c:pt>
                <c:pt idx="52" formatCode="_(* #,##0.00_);_(* \(#,##0.00\);_(* &quot;-&quot;??_);_(@_)">
                  <c:v>4880397.4327342389</c:v>
                </c:pt>
                <c:pt idx="53" formatCode="_(* #,##0.00_);_(* \(#,##0.00\);_(* &quot;-&quot;??_);_(@_)">
                  <c:v>5172414.0502330102</c:v>
                </c:pt>
                <c:pt idx="54" formatCode="_(* #,##0.00_);_(* \(#,##0.00\);_(* &quot;-&quot;??_);_(@_)">
                  <c:v>5878605.6677317806</c:v>
                </c:pt>
                <c:pt idx="55" formatCode="_(* #,##0.00_);_(* \(#,##0.00\);_(* &quot;-&quot;??_);_(@_)">
                  <c:v>5677799.2852305518</c:v>
                </c:pt>
                <c:pt idx="56" formatCode="_(* #,##0.00_);_(* \(#,##0.00\);_(* &quot;-&quot;??_);_(@_)">
                  <c:v>4853861.9027293231</c:v>
                </c:pt>
                <c:pt idx="57" formatCode="_(* #,##0.00_);_(* \(#,##0.00\);_(* &quot;-&quot;??_);_(@_)">
                  <c:v>5147410.5202280935</c:v>
                </c:pt>
                <c:pt idx="58" formatCode="_(* #,##0.00_);_(* \(#,##0.00\);_(* &quot;-&quot;??_);_(@_)">
                  <c:v>5346134.1377268648</c:v>
                </c:pt>
                <c:pt idx="59" formatCode="_(* #,##0.00_);_(* \(#,##0.00\);_(* &quot;-&quot;??_);_(@_)">
                  <c:v>6328103.7552256361</c:v>
                </c:pt>
                <c:pt idx="60" formatCode="_(* #,##0.00_);_(* \(#,##0.00\);_(* &quot;-&quot;??_);_(@_)">
                  <c:v>5892807.3511189306</c:v>
                </c:pt>
                <c:pt idx="61" formatCode="_(* #,##0.00_);_(* \(#,##0.00\);_(* &quot;-&quot;??_);_(@_)">
                  <c:v>5662759.9500704687</c:v>
                </c:pt>
                <c:pt idx="62" formatCode="_(* #,##0.00_);_(* \(#,##0.00\);_(* &quot;-&quot;??_);_(@_)">
                  <c:v>5830922.5490220068</c:v>
                </c:pt>
                <c:pt idx="63" formatCode="_(* #,##0.00_);_(* \(#,##0.00\);_(* &quot;-&quot;??_);_(@_)">
                  <c:v>4671495.1705421582</c:v>
                </c:pt>
                <c:pt idx="64" formatCode="_(* #,##0.00_);_(* \(#,##0.00\);_(* &quot;-&quot;??_);_(@_)">
                  <c:v>4967977.1562202908</c:v>
                </c:pt>
                <c:pt idx="65" formatCode="_(* #,##0.00_);_(* \(#,##0.00\);_(* &quot;-&quot;??_);_(@_)">
                  <c:v>5386931.1568166604</c:v>
                </c:pt>
                <c:pt idx="66" formatCode="_(* #,##0.00_);_(* \(#,##0.00\);_(* &quot;-&quot;??_);_(@_)">
                  <c:v>5505749.9418636365</c:v>
                </c:pt>
                <c:pt idx="67" formatCode="_(* #,##0.00_);_(* \(#,##0.00\);_(* &quot;-&quot;??_);_(@_)">
                  <c:v>7520564.8088652845</c:v>
                </c:pt>
                <c:pt idx="68" formatCode="_(* #,##0.00_);_(* \(#,##0.00\);_(* &quot;-&quot;??_);_(@_)">
                  <c:v>7138503.3877345817</c:v>
                </c:pt>
                <c:pt idx="69" formatCode="_(* #,##0.00_);_(* \(#,##0.00\);_(* &quot;-&quot;??_);_(@_)">
                  <c:v>5536607.3747515306</c:v>
                </c:pt>
                <c:pt idx="70" formatCode="_(* #,##0.00_);_(* \(#,##0.00\);_(* &quot;-&quot;??_);_(@_)">
                  <c:v>5589896.3406343106</c:v>
                </c:pt>
                <c:pt idx="71" formatCode="_(* #,##0.00_);_(* \(#,##0.00\);_(* &quot;-&quot;??_);_(@_)">
                  <c:v>6040034.3795858482</c:v>
                </c:pt>
                <c:pt idx="72" formatCode="_(* #,##0.00_);_(* \(#,##0.00\);_(* &quot;-&quot;??_);_(@_)">
                  <c:v>7168571.6108332537</c:v>
                </c:pt>
                <c:pt idx="73" formatCode="_(* #,##0.00_);_(* \(#,##0.00\);_(* &quot;-&quot;??_);_(@_)">
                  <c:v>6519634.1395640364</c:v>
                </c:pt>
                <c:pt idx="74" formatCode="_(* #,##0.00_);_(* \(#,##0.00\);_(* &quot;-&quot;??_);_(@_)">
                  <c:v>6029488.6682948181</c:v>
                </c:pt>
                <c:pt idx="75" formatCode="_(* #,##0.00_);_(* \(#,##0.00\);_(* &quot;-&quot;??_);_(@_)">
                  <c:v>5243870.1970255999</c:v>
                </c:pt>
                <c:pt idx="76" formatCode="_(* #,##0.00_);_(* \(#,##0.00\);_(* &quot;-&quot;??_);_(@_)">
                  <c:v>5283935.7257563816</c:v>
                </c:pt>
                <c:pt idx="77" formatCode="_(* #,##0.00_);_(* \(#,##0.00\);_(* &quot;-&quot;??_);_(@_)">
                  <c:v>5270216.2544871643</c:v>
                </c:pt>
                <c:pt idx="78" formatCode="_(* #,##0.00_);_(* \(#,##0.00\);_(* &quot;-&quot;??_);_(@_)">
                  <c:v>5765089.7832179461</c:v>
                </c:pt>
                <c:pt idx="79" formatCode="_(* #,##0.00_);_(* \(#,##0.00\);_(* &quot;-&quot;??_);_(@_)">
                  <c:v>5800196.3119487278</c:v>
                </c:pt>
                <c:pt idx="80" formatCode="_(* #,##0.00_);_(* \(#,##0.00\);_(* &quot;-&quot;??_);_(@_)">
                  <c:v>5197018.8406795096</c:v>
                </c:pt>
                <c:pt idx="81" formatCode="_(* #,##0.00_);_(* \(#,##0.00\);_(* &quot;-&quot;??_);_(@_)">
                  <c:v>5276473.3694102913</c:v>
                </c:pt>
                <c:pt idx="82" formatCode="_(* #,##0.00_);_(* \(#,##0.00\);_(* &quot;-&quot;??_);_(@_)">
                  <c:v>6491309.6581410738</c:v>
                </c:pt>
                <c:pt idx="83" formatCode="_(* #,##0.00_);_(* \(#,##0.00\);_(* &quot;-&quot;??_);_(@_)">
                  <c:v>6383842.9468718553</c:v>
                </c:pt>
                <c:pt idx="84" formatCode="_(* #,##0.00_);_(* \(#,##0.00\);_(* &quot;-&quot;??_);_(@_)">
                  <c:v>6116806.1173214633</c:v>
                </c:pt>
                <c:pt idx="85" formatCode="_(* #,##0.00_);_(* \(#,##0.00\);_(* &quot;-&quot;??_);_(@_)">
                  <c:v>5696520.6104506506</c:v>
                </c:pt>
                <c:pt idx="86" formatCode="_(* #,##0.00_);_(* \(#,##0.00\);_(* &quot;-&quot;??_);_(@_)">
                  <c:v>5718312.5835798392</c:v>
                </c:pt>
                <c:pt idx="87" formatCode="_(* #,##0.00_);_(* \(#,##0.00\);_(* &quot;-&quot;??_);_(@_)">
                  <c:v>5301267.4367090268</c:v>
                </c:pt>
                <c:pt idx="88" formatCode="_(* #,##0.00_);_(* \(#,##0.00\);_(* &quot;-&quot;??_);_(@_)">
                  <c:v>5199018.4498382146</c:v>
                </c:pt>
                <c:pt idx="89" formatCode="_(* #,##0.00_);_(* \(#,##0.00\);_(* &quot;-&quot;??_);_(@_)">
                  <c:v>5434895.9029674027</c:v>
                </c:pt>
                <c:pt idx="90" formatCode="_(* #,##0.00_);_(* \(#,##0.00\);_(* &quot;-&quot;??_);_(@_)">
                  <c:v>5911244.9160965905</c:v>
                </c:pt>
                <c:pt idx="91" formatCode="_(* #,##0.00_);_(* \(#,##0.00\);_(* &quot;-&quot;??_);_(@_)">
                  <c:v>5504128.6492257779</c:v>
                </c:pt>
                <c:pt idx="92" formatCode="_(* #,##0.00_);_(* \(#,##0.00\);_(* &quot;-&quot;??_);_(@_)">
                  <c:v>5342063.3823549664</c:v>
                </c:pt>
                <c:pt idx="93" formatCode="_(* #,##0.00_);_(* \(#,##0.00\);_(* &quot;-&quot;??_);_(@_)">
                  <c:v>5340766.1154841539</c:v>
                </c:pt>
                <c:pt idx="94" formatCode="_(* #,##0.00_);_(* \(#,##0.00\);_(* &quot;-&quot;??_);_(@_)">
                  <c:v>5612278.8486133423</c:v>
                </c:pt>
                <c:pt idx="95" formatCode="_(* #,##0.00_);_(* \(#,##0.00\);_(* &quot;-&quot;??_);_(@_)">
                  <c:v>6027285.5817425298</c:v>
                </c:pt>
                <c:pt idx="96" formatCode="_(* #,##0.00_);_(* \(#,##0.00\);_(* &quot;-&quot;??_);_(@_)">
                  <c:v>6253607.9586970024</c:v>
                </c:pt>
                <c:pt idx="97" formatCode="_(* #,##0.00_);_(* \(#,##0.00\);_(* &quot;-&quot;??_);_(@_)">
                  <c:v>5644985.0132523365</c:v>
                </c:pt>
                <c:pt idx="98" formatCode="_(* #,##0.00_);_(* \(#,##0.00\);_(* &quot;-&quot;??_);_(@_)">
                  <c:v>5687000.0678076707</c:v>
                </c:pt>
                <c:pt idx="99" formatCode="_(* #,##0.00_);_(* \(#,##0.00\);_(* &quot;-&quot;??_);_(@_)">
                  <c:v>5089288.1223630048</c:v>
                </c:pt>
                <c:pt idx="100" formatCode="_(* #,##0.00_);_(* \(#,##0.00\);_(* &quot;-&quot;??_);_(@_)">
                  <c:v>5269158.176918339</c:v>
                </c:pt>
                <c:pt idx="101" formatCode="_(* #,##0.00_);_(* \(#,##0.00\);_(* &quot;-&quot;??_);_(@_)">
                  <c:v>5374172.2314736731</c:v>
                </c:pt>
                <c:pt idx="102" formatCode="_(* #,##0.00_);_(* \(#,##0.00\);_(* &quot;-&quot;??_);_(@_)">
                  <c:v>5847813.2860290073</c:v>
                </c:pt>
                <c:pt idx="103" formatCode="_(* #,##0.00_);_(* \(#,##0.00\);_(* &quot;-&quot;??_);_(@_)">
                  <c:v>5588978.3405843414</c:v>
                </c:pt>
                <c:pt idx="104" formatCode="_(* #,##0.00_);_(* \(#,##0.00\);_(* &quot;-&quot;??_);_(@_)">
                  <c:v>5358949.3951396765</c:v>
                </c:pt>
                <c:pt idx="105" formatCode="_(* #,##0.00_);_(* \(#,##0.00\);_(* &quot;-&quot;??_);_(@_)">
                  <c:v>5365372.4496950107</c:v>
                </c:pt>
                <c:pt idx="106" formatCode="_(* #,##0.00_);_(* \(#,##0.00\);_(* &quot;-&quot;??_);_(@_)">
                  <c:v>5333654.5042503448</c:v>
                </c:pt>
                <c:pt idx="107" formatCode="_(* #,##0.00_);_(* \(#,##0.00\);_(* &quot;-&quot;??_);_(@_)">
                  <c:v>6275377.558805679</c:v>
                </c:pt>
                <c:pt idx="108" formatCode="_(* #,##0.00_);_(* \(#,##0.00\);_(* &quot;-&quot;??_);_(@_)">
                  <c:v>6397150.1120626032</c:v>
                </c:pt>
                <c:pt idx="109" formatCode="_(* #,##0.00_);_(* \(#,##0.00\);_(* &quot;-&quot;??_);_(@_)">
                  <c:v>6043124.5591707714</c:v>
                </c:pt>
                <c:pt idx="110" formatCode="_(* #,##0.00_);_(* \(#,##0.00\);_(* &quot;-&quot;??_);_(@_)">
                  <c:v>5823009.0062789395</c:v>
                </c:pt>
                <c:pt idx="111" formatCode="_(* #,##0.00_);_(* \(#,##0.00\);_(* &quot;-&quot;??_);_(@_)">
                  <c:v>5161102.4533871077</c:v>
                </c:pt>
                <c:pt idx="112" formatCode="_(* #,##0.00_);_(* \(#,##0.00\);_(* &quot;-&quot;??_);_(@_)">
                  <c:v>5020546.9004952768</c:v>
                </c:pt>
                <c:pt idx="113" formatCode="_(* #,##0.00_);_(* \(#,##0.00\);_(* &quot;-&quot;??_);_(@_)">
                  <c:v>5552991.3476034449</c:v>
                </c:pt>
                <c:pt idx="114" formatCode="_(* #,##0.00_);_(* \(#,##0.00\);_(* &quot;-&quot;??_);_(@_)">
                  <c:v>6041461.7947116131</c:v>
                </c:pt>
                <c:pt idx="115" formatCode="_(* #,##0.00_);_(* \(#,##0.00\);_(* &quot;-&quot;??_);_(@_)">
                  <c:v>5593918.2418197813</c:v>
                </c:pt>
                <c:pt idx="116" formatCode="_(* #,##0.00_);_(* \(#,##0.00\);_(* &quot;-&quot;??_);_(@_)">
                  <c:v>5145149.6889279494</c:v>
                </c:pt>
                <c:pt idx="117" formatCode="_(* #,##0.00_);_(* \(#,##0.00\);_(* &quot;-&quot;??_);_(@_)">
                  <c:v>5977730.1360361176</c:v>
                </c:pt>
                <c:pt idx="118" formatCode="_(* #,##0.00_);_(* \(#,##0.00\);_(* &quot;-&quot;??_);_(@_)">
                  <c:v>8021249.5831442866</c:v>
                </c:pt>
                <c:pt idx="119" formatCode="_(* #,##0.00_);_(* \(#,##0.00\);_(* &quot;-&quot;??_);_(@_)">
                  <c:v>10556903.030252455</c:v>
                </c:pt>
              </c:numCache>
            </c:numRef>
          </c:val>
          <c:smooth val="0"/>
          <c:extLst>
            <c:ext xmlns:c16="http://schemas.microsoft.com/office/drawing/2014/chart" uri="{C3380CC4-5D6E-409C-BE32-E72D297353CC}">
              <c16:uniqueId val="{00000000-69E3-43DF-B3EE-184CDB99B5F2}"/>
            </c:ext>
          </c:extLst>
        </c:ser>
        <c:ser>
          <c:idx val="1"/>
          <c:order val="1"/>
          <c:tx>
            <c:strRef>
              <c:f>'GS&gt;50 (no LC) Norm Monthly'!$Y$1</c:f>
              <c:strCache>
                <c:ptCount val="1"/>
                <c:pt idx="0">
                  <c:v>WN Predicted</c:v>
                </c:pt>
              </c:strCache>
            </c:strRef>
          </c:tx>
          <c:marker>
            <c:symbol val="none"/>
          </c:marker>
          <c:cat>
            <c:numRef>
              <c:f>'GS&gt;50 (no LC) Norm Monthly'!$A$2:$A$145</c:f>
              <c:numCache>
                <c:formatCode>mmm\-yy</c:formatCode>
                <c:ptCount val="144"/>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43770</c:v>
                </c:pt>
                <c:pt idx="47">
                  <c:v>43800</c:v>
                </c:pt>
                <c:pt idx="48">
                  <c:v>43831</c:v>
                </c:pt>
                <c:pt idx="49">
                  <c:v>43862</c:v>
                </c:pt>
                <c:pt idx="50">
                  <c:v>43891</c:v>
                </c:pt>
                <c:pt idx="51">
                  <c:v>43922</c:v>
                </c:pt>
                <c:pt idx="52">
                  <c:v>43952</c:v>
                </c:pt>
                <c:pt idx="53">
                  <c:v>43983</c:v>
                </c:pt>
                <c:pt idx="54">
                  <c:v>44013</c:v>
                </c:pt>
                <c:pt idx="55">
                  <c:v>44044</c:v>
                </c:pt>
                <c:pt idx="56">
                  <c:v>44075</c:v>
                </c:pt>
                <c:pt idx="57">
                  <c:v>44105</c:v>
                </c:pt>
                <c:pt idx="58">
                  <c:v>44136</c:v>
                </c:pt>
                <c:pt idx="59">
                  <c:v>44166</c:v>
                </c:pt>
                <c:pt idx="60">
                  <c:v>44197</c:v>
                </c:pt>
                <c:pt idx="61">
                  <c:v>44228</c:v>
                </c:pt>
                <c:pt idx="62">
                  <c:v>44256</c:v>
                </c:pt>
                <c:pt idx="63">
                  <c:v>44287</c:v>
                </c:pt>
                <c:pt idx="64">
                  <c:v>44317</c:v>
                </c:pt>
                <c:pt idx="65">
                  <c:v>44348</c:v>
                </c:pt>
                <c:pt idx="66">
                  <c:v>44378</c:v>
                </c:pt>
                <c:pt idx="67">
                  <c:v>44409</c:v>
                </c:pt>
                <c:pt idx="68">
                  <c:v>44440</c:v>
                </c:pt>
                <c:pt idx="69">
                  <c:v>44470</c:v>
                </c:pt>
                <c:pt idx="70">
                  <c:v>44501</c:v>
                </c:pt>
                <c:pt idx="71">
                  <c:v>44531</c:v>
                </c:pt>
                <c:pt idx="72">
                  <c:v>44562</c:v>
                </c:pt>
                <c:pt idx="73">
                  <c:v>44593</c:v>
                </c:pt>
                <c:pt idx="74">
                  <c:v>44621</c:v>
                </c:pt>
                <c:pt idx="75">
                  <c:v>44652</c:v>
                </c:pt>
                <c:pt idx="76">
                  <c:v>44682</c:v>
                </c:pt>
                <c:pt idx="77">
                  <c:v>44713</c:v>
                </c:pt>
                <c:pt idx="78">
                  <c:v>44743</c:v>
                </c:pt>
                <c:pt idx="79">
                  <c:v>44774</c:v>
                </c:pt>
                <c:pt idx="80">
                  <c:v>44805</c:v>
                </c:pt>
                <c:pt idx="81">
                  <c:v>44835</c:v>
                </c:pt>
                <c:pt idx="82">
                  <c:v>44866</c:v>
                </c:pt>
                <c:pt idx="83">
                  <c:v>44896</c:v>
                </c:pt>
                <c:pt idx="84">
                  <c:v>44927</c:v>
                </c:pt>
                <c:pt idx="85">
                  <c:v>44958</c:v>
                </c:pt>
                <c:pt idx="86">
                  <c:v>44986</c:v>
                </c:pt>
                <c:pt idx="87">
                  <c:v>45017</c:v>
                </c:pt>
                <c:pt idx="88">
                  <c:v>45047</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pt idx="129">
                  <c:v>46296</c:v>
                </c:pt>
                <c:pt idx="130">
                  <c:v>46327</c:v>
                </c:pt>
                <c:pt idx="131">
                  <c:v>46357</c:v>
                </c:pt>
                <c:pt idx="132">
                  <c:v>46388</c:v>
                </c:pt>
                <c:pt idx="133">
                  <c:v>46419</c:v>
                </c:pt>
                <c:pt idx="134">
                  <c:v>46447</c:v>
                </c:pt>
                <c:pt idx="135">
                  <c:v>46478</c:v>
                </c:pt>
                <c:pt idx="136">
                  <c:v>46508</c:v>
                </c:pt>
                <c:pt idx="137">
                  <c:v>46539</c:v>
                </c:pt>
                <c:pt idx="138">
                  <c:v>46569</c:v>
                </c:pt>
                <c:pt idx="139">
                  <c:v>46600</c:v>
                </c:pt>
                <c:pt idx="140">
                  <c:v>46631</c:v>
                </c:pt>
                <c:pt idx="141">
                  <c:v>46661</c:v>
                </c:pt>
                <c:pt idx="142">
                  <c:v>46692</c:v>
                </c:pt>
                <c:pt idx="143">
                  <c:v>46722</c:v>
                </c:pt>
              </c:numCache>
            </c:numRef>
          </c:cat>
          <c:val>
            <c:numRef>
              <c:f>'GS&gt;50 (no LC) Norm Monthly'!$Y$2:$Y$145</c:f>
              <c:numCache>
                <c:formatCode>_(* #,##0_);_(* \(#,##0\);_(* "-"??_);_(@_)</c:formatCode>
                <c:ptCount val="144"/>
                <c:pt idx="0">
                  <c:v>6403224.3198527442</c:v>
                </c:pt>
                <c:pt idx="1">
                  <c:v>6124176.6829060065</c:v>
                </c:pt>
                <c:pt idx="2">
                  <c:v>5858804.8543185759</c:v>
                </c:pt>
                <c:pt idx="3">
                  <c:v>5321121.8594835037</c:v>
                </c:pt>
                <c:pt idx="4">
                  <c:v>5287277.3796212515</c:v>
                </c:pt>
                <c:pt idx="5">
                  <c:v>5560129.8606575085</c:v>
                </c:pt>
                <c:pt idx="6">
                  <c:v>5934430.7912260136</c:v>
                </c:pt>
                <c:pt idx="7">
                  <c:v>5751693.6037359284</c:v>
                </c:pt>
                <c:pt idx="8">
                  <c:v>5393886.7128946781</c:v>
                </c:pt>
                <c:pt idx="9">
                  <c:v>5328598.4829153102</c:v>
                </c:pt>
                <c:pt idx="10">
                  <c:v>5697986.5197771974</c:v>
                </c:pt>
                <c:pt idx="11">
                  <c:v>6145686.3128628563</c:v>
                </c:pt>
                <c:pt idx="12">
                  <c:v>6403224.3198527442</c:v>
                </c:pt>
                <c:pt idx="13">
                  <c:v>6124176.6829060065</c:v>
                </c:pt>
                <c:pt idx="14">
                  <c:v>5858804.8543185759</c:v>
                </c:pt>
                <c:pt idx="15">
                  <c:v>5321121.8594835037</c:v>
                </c:pt>
                <c:pt idx="16">
                  <c:v>5287277.3796212515</c:v>
                </c:pt>
                <c:pt idx="17">
                  <c:v>5560129.8606575085</c:v>
                </c:pt>
                <c:pt idx="18">
                  <c:v>5934430.7912260136</c:v>
                </c:pt>
                <c:pt idx="19">
                  <c:v>5751693.6037359284</c:v>
                </c:pt>
                <c:pt idx="20">
                  <c:v>5393886.7128946781</c:v>
                </c:pt>
                <c:pt idx="21">
                  <c:v>5328598.4829153102</c:v>
                </c:pt>
                <c:pt idx="22">
                  <c:v>5697986.5197771974</c:v>
                </c:pt>
                <c:pt idx="23">
                  <c:v>6145686.3128628563</c:v>
                </c:pt>
                <c:pt idx="24">
                  <c:v>6403224.3198527442</c:v>
                </c:pt>
                <c:pt idx="25">
                  <c:v>6124176.6829060065</c:v>
                </c:pt>
                <c:pt idx="26">
                  <c:v>5858804.8543185759</c:v>
                </c:pt>
                <c:pt idx="27">
                  <c:v>5321121.8594835037</c:v>
                </c:pt>
                <c:pt idx="28">
                  <c:v>5287277.3796212515</c:v>
                </c:pt>
                <c:pt idx="29">
                  <c:v>5560129.8606575085</c:v>
                </c:pt>
                <c:pt idx="30">
                  <c:v>5934430.7912260136</c:v>
                </c:pt>
                <c:pt idx="31">
                  <c:v>5751693.6037359284</c:v>
                </c:pt>
                <c:pt idx="32">
                  <c:v>5393886.7128946781</c:v>
                </c:pt>
                <c:pt idx="33">
                  <c:v>5328598.4829153102</c:v>
                </c:pt>
                <c:pt idx="34">
                  <c:v>5697986.5197771974</c:v>
                </c:pt>
                <c:pt idx="35">
                  <c:v>6145686.3128628563</c:v>
                </c:pt>
                <c:pt idx="36">
                  <c:v>6403224.3198527442</c:v>
                </c:pt>
                <c:pt idx="37">
                  <c:v>6124176.6829060065</c:v>
                </c:pt>
                <c:pt idx="38">
                  <c:v>5858804.8543185759</c:v>
                </c:pt>
                <c:pt idx="39">
                  <c:v>5321121.8594835037</c:v>
                </c:pt>
                <c:pt idx="40">
                  <c:v>5287277.3796212515</c:v>
                </c:pt>
                <c:pt idx="41">
                  <c:v>5560129.8606575085</c:v>
                </c:pt>
                <c:pt idx="42">
                  <c:v>5934430.7912260136</c:v>
                </c:pt>
                <c:pt idx="43">
                  <c:v>5751693.6037359284</c:v>
                </c:pt>
                <c:pt idx="44">
                  <c:v>5393886.7128946781</c:v>
                </c:pt>
                <c:pt idx="45">
                  <c:v>5328598.4829153102</c:v>
                </c:pt>
                <c:pt idx="46">
                  <c:v>5697986.5197771974</c:v>
                </c:pt>
                <c:pt idx="47">
                  <c:v>6145686.3128628563</c:v>
                </c:pt>
                <c:pt idx="48">
                  <c:v>6403224.3198527442</c:v>
                </c:pt>
                <c:pt idx="49">
                  <c:v>6124176.6829060065</c:v>
                </c:pt>
                <c:pt idx="50">
                  <c:v>5858804.8543185759</c:v>
                </c:pt>
                <c:pt idx="51">
                  <c:v>5321121.8594835037</c:v>
                </c:pt>
                <c:pt idx="52">
                  <c:v>5287277.3796212515</c:v>
                </c:pt>
                <c:pt idx="53">
                  <c:v>5560129.8606575085</c:v>
                </c:pt>
                <c:pt idx="54">
                  <c:v>5934430.7912260136</c:v>
                </c:pt>
                <c:pt idx="55">
                  <c:v>5751693.6037359284</c:v>
                </c:pt>
                <c:pt idx="56">
                  <c:v>5393886.7128946781</c:v>
                </c:pt>
                <c:pt idx="57">
                  <c:v>5328598.4829153102</c:v>
                </c:pt>
                <c:pt idx="58">
                  <c:v>5697986.5197771974</c:v>
                </c:pt>
                <c:pt idx="59">
                  <c:v>6145686.3128628563</c:v>
                </c:pt>
                <c:pt idx="60">
                  <c:v>6403224.3198527442</c:v>
                </c:pt>
                <c:pt idx="61">
                  <c:v>6124176.6829060065</c:v>
                </c:pt>
                <c:pt idx="62">
                  <c:v>5858804.8543185759</c:v>
                </c:pt>
                <c:pt idx="63">
                  <c:v>5321121.8594835037</c:v>
                </c:pt>
                <c:pt idx="64">
                  <c:v>5287277.3796212515</c:v>
                </c:pt>
                <c:pt idx="65">
                  <c:v>5560129.8606575085</c:v>
                </c:pt>
                <c:pt idx="66">
                  <c:v>5934430.7912260136</c:v>
                </c:pt>
                <c:pt idx="67">
                  <c:v>5751693.6037359284</c:v>
                </c:pt>
                <c:pt idx="68">
                  <c:v>5393886.7128946781</c:v>
                </c:pt>
                <c:pt idx="69">
                  <c:v>5328598.4829153102</c:v>
                </c:pt>
                <c:pt idx="70">
                  <c:v>5697986.5197771974</c:v>
                </c:pt>
                <c:pt idx="71">
                  <c:v>6145686.3128628563</c:v>
                </c:pt>
                <c:pt idx="72">
                  <c:v>6403224.3198527442</c:v>
                </c:pt>
                <c:pt idx="73">
                  <c:v>6124176.6829060065</c:v>
                </c:pt>
                <c:pt idx="74">
                  <c:v>5858804.8543185759</c:v>
                </c:pt>
                <c:pt idx="75">
                  <c:v>5321121.8594835037</c:v>
                </c:pt>
                <c:pt idx="76">
                  <c:v>5287277.3796212515</c:v>
                </c:pt>
                <c:pt idx="77">
                  <c:v>5560129.8606575085</c:v>
                </c:pt>
                <c:pt idx="78">
                  <c:v>5934430.7912260136</c:v>
                </c:pt>
                <c:pt idx="79">
                  <c:v>5751693.6037359284</c:v>
                </c:pt>
                <c:pt idx="80">
                  <c:v>5393886.7128946781</c:v>
                </c:pt>
                <c:pt idx="81">
                  <c:v>5328598.4829153102</c:v>
                </c:pt>
                <c:pt idx="82">
                  <c:v>5697986.5197771974</c:v>
                </c:pt>
                <c:pt idx="83">
                  <c:v>6145686.3128628563</c:v>
                </c:pt>
                <c:pt idx="84">
                  <c:v>6403224.3198527442</c:v>
                </c:pt>
                <c:pt idx="85">
                  <c:v>6124176.6829060065</c:v>
                </c:pt>
                <c:pt idx="86">
                  <c:v>5858804.8543185759</c:v>
                </c:pt>
                <c:pt idx="87">
                  <c:v>5321121.8594835037</c:v>
                </c:pt>
                <c:pt idx="88">
                  <c:v>5287277.3796212515</c:v>
                </c:pt>
                <c:pt idx="89">
                  <c:v>5560129.8606575085</c:v>
                </c:pt>
                <c:pt idx="90">
                  <c:v>5934430.7912260136</c:v>
                </c:pt>
                <c:pt idx="91">
                  <c:v>5751693.6037359284</c:v>
                </c:pt>
                <c:pt idx="92">
                  <c:v>5393886.7128946781</c:v>
                </c:pt>
                <c:pt idx="93">
                  <c:v>5328598.4829153102</c:v>
                </c:pt>
                <c:pt idx="94">
                  <c:v>5697986.5197771974</c:v>
                </c:pt>
                <c:pt idx="95">
                  <c:v>6145686.3128628563</c:v>
                </c:pt>
                <c:pt idx="96">
                  <c:v>6403224.3198527442</c:v>
                </c:pt>
                <c:pt idx="97">
                  <c:v>6124176.6829060065</c:v>
                </c:pt>
                <c:pt idx="98">
                  <c:v>5858804.8543185759</c:v>
                </c:pt>
                <c:pt idx="99">
                  <c:v>5321121.8594835037</c:v>
                </c:pt>
                <c:pt idx="100">
                  <c:v>5287277.3796212515</c:v>
                </c:pt>
                <c:pt idx="101">
                  <c:v>5560129.8606575085</c:v>
                </c:pt>
                <c:pt idx="102">
                  <c:v>5934430.7912260136</c:v>
                </c:pt>
                <c:pt idx="103">
                  <c:v>5751693.6037359284</c:v>
                </c:pt>
                <c:pt idx="104">
                  <c:v>5393886.7128946781</c:v>
                </c:pt>
                <c:pt idx="105">
                  <c:v>5328598.4829153102</c:v>
                </c:pt>
                <c:pt idx="106">
                  <c:v>5697986.5197771974</c:v>
                </c:pt>
                <c:pt idx="107">
                  <c:v>6145686.3128628563</c:v>
                </c:pt>
                <c:pt idx="108">
                  <c:v>6403224.3198527442</c:v>
                </c:pt>
                <c:pt idx="109">
                  <c:v>6124176.6829060065</c:v>
                </c:pt>
                <c:pt idx="110">
                  <c:v>5858804.8543185759</c:v>
                </c:pt>
                <c:pt idx="111">
                  <c:v>5321121.8594835037</c:v>
                </c:pt>
                <c:pt idx="112">
                  <c:v>5287277.3796212515</c:v>
                </c:pt>
                <c:pt idx="113">
                  <c:v>5560129.8606575085</c:v>
                </c:pt>
                <c:pt idx="114">
                  <c:v>5934430.7912260136</c:v>
                </c:pt>
                <c:pt idx="115">
                  <c:v>5751693.6037359284</c:v>
                </c:pt>
                <c:pt idx="116">
                  <c:v>5393886.7128946781</c:v>
                </c:pt>
                <c:pt idx="117">
                  <c:v>5328598.4829153102</c:v>
                </c:pt>
                <c:pt idx="118">
                  <c:v>7828479.826972127</c:v>
                </c:pt>
                <c:pt idx="119">
                  <c:v>10352833.050993895</c:v>
                </c:pt>
                <c:pt idx="120">
                  <c:v>6403224.3198527442</c:v>
                </c:pt>
                <c:pt idx="121">
                  <c:v>6124176.6829060065</c:v>
                </c:pt>
                <c:pt idx="122">
                  <c:v>5858804.8543185759</c:v>
                </c:pt>
                <c:pt idx="123">
                  <c:v>5321121.8594835037</c:v>
                </c:pt>
                <c:pt idx="124">
                  <c:v>5287277.3796212515</c:v>
                </c:pt>
                <c:pt idx="125">
                  <c:v>5560129.8606575085</c:v>
                </c:pt>
                <c:pt idx="126">
                  <c:v>5934430.7912260136</c:v>
                </c:pt>
                <c:pt idx="127">
                  <c:v>5751693.6037359284</c:v>
                </c:pt>
                <c:pt idx="128">
                  <c:v>5393886.7128946781</c:v>
                </c:pt>
                <c:pt idx="129">
                  <c:v>5328598.4829153102</c:v>
                </c:pt>
                <c:pt idx="130">
                  <c:v>5697986.5197771974</c:v>
                </c:pt>
                <c:pt idx="131">
                  <c:v>6145686.3128628563</c:v>
                </c:pt>
                <c:pt idx="132">
                  <c:v>6403224.3198527442</c:v>
                </c:pt>
                <c:pt idx="133">
                  <c:v>6124176.6829060065</c:v>
                </c:pt>
                <c:pt idx="134">
                  <c:v>5858804.8543185759</c:v>
                </c:pt>
                <c:pt idx="135">
                  <c:v>5321121.8594835037</c:v>
                </c:pt>
                <c:pt idx="136">
                  <c:v>5287277.3796212515</c:v>
                </c:pt>
                <c:pt idx="137">
                  <c:v>5560129.8606575085</c:v>
                </c:pt>
                <c:pt idx="138">
                  <c:v>5934430.7912260136</c:v>
                </c:pt>
                <c:pt idx="139">
                  <c:v>5751693.6037359284</c:v>
                </c:pt>
                <c:pt idx="140">
                  <c:v>5393886.7128946781</c:v>
                </c:pt>
                <c:pt idx="141">
                  <c:v>5328598.4829153102</c:v>
                </c:pt>
                <c:pt idx="142">
                  <c:v>5697986.5197771974</c:v>
                </c:pt>
                <c:pt idx="143">
                  <c:v>6145686.3128628563</c:v>
                </c:pt>
              </c:numCache>
            </c:numRef>
          </c:val>
          <c:smooth val="0"/>
          <c:extLst>
            <c:ext xmlns:c16="http://schemas.microsoft.com/office/drawing/2014/chart" uri="{C3380CC4-5D6E-409C-BE32-E72D297353CC}">
              <c16:uniqueId val="{00000001-69E3-43DF-B3EE-184CDB99B5F2}"/>
            </c:ext>
          </c:extLst>
        </c:ser>
        <c:dLbls>
          <c:showLegendKey val="0"/>
          <c:showVal val="0"/>
          <c:showCatName val="0"/>
          <c:showSerName val="0"/>
          <c:showPercent val="0"/>
          <c:showBubbleSize val="0"/>
        </c:dLbls>
        <c:smooth val="0"/>
        <c:axId val="177120384"/>
        <c:axId val="177121920"/>
      </c:lineChart>
      <c:dateAx>
        <c:axId val="177120384"/>
        <c:scaling>
          <c:orientation val="minMax"/>
        </c:scaling>
        <c:delete val="0"/>
        <c:axPos val="b"/>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121920"/>
        <c:crosses val="autoZero"/>
        <c:auto val="1"/>
        <c:lblOffset val="100"/>
        <c:baseTimeUnit val="months"/>
      </c:dateAx>
      <c:valAx>
        <c:axId val="17712192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12038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GS &gt; 50</a:t>
            </a:r>
          </a:p>
        </c:rich>
      </c:tx>
      <c:overlay val="0"/>
      <c:spPr>
        <a:noFill/>
        <a:ln>
          <a:noFill/>
        </a:ln>
        <a:effectLst/>
      </c:spPr>
    </c:title>
    <c:autoTitleDeleted val="0"/>
    <c:plotArea>
      <c:layout/>
      <c:lineChart>
        <c:grouping val="standard"/>
        <c:varyColors val="0"/>
        <c:ser>
          <c:idx val="1"/>
          <c:order val="0"/>
          <c:tx>
            <c:strRef>
              <c:f>'GS&gt;50 (no LC) Norm Monthly'!$Y$1</c:f>
              <c:strCache>
                <c:ptCount val="1"/>
                <c:pt idx="0">
                  <c:v>WN Predicted</c:v>
                </c:pt>
              </c:strCache>
            </c:strRef>
          </c:tx>
          <c:marker>
            <c:symbol val="none"/>
          </c:marker>
          <c:cat>
            <c:numRef>
              <c:f>'GS&gt;50 (no LC) Norm Monthly'!$A$2:$A$145</c:f>
              <c:numCache>
                <c:formatCode>mmm\-yy</c:formatCode>
                <c:ptCount val="144"/>
                <c:pt idx="0">
                  <c:v>42370</c:v>
                </c:pt>
                <c:pt idx="1">
                  <c:v>42401</c:v>
                </c:pt>
                <c:pt idx="2">
                  <c:v>42430</c:v>
                </c:pt>
                <c:pt idx="3">
                  <c:v>42461</c:v>
                </c:pt>
                <c:pt idx="4">
                  <c:v>42491</c:v>
                </c:pt>
                <c:pt idx="5">
                  <c:v>42522</c:v>
                </c:pt>
                <c:pt idx="6">
                  <c:v>42552</c:v>
                </c:pt>
                <c:pt idx="7">
                  <c:v>42583</c:v>
                </c:pt>
                <c:pt idx="8">
                  <c:v>42614</c:v>
                </c:pt>
                <c:pt idx="9">
                  <c:v>42644</c:v>
                </c:pt>
                <c:pt idx="10">
                  <c:v>42675</c:v>
                </c:pt>
                <c:pt idx="11">
                  <c:v>42705</c:v>
                </c:pt>
                <c:pt idx="12">
                  <c:v>42736</c:v>
                </c:pt>
                <c:pt idx="13">
                  <c:v>42767</c:v>
                </c:pt>
                <c:pt idx="14">
                  <c:v>42795</c:v>
                </c:pt>
                <c:pt idx="15">
                  <c:v>42826</c:v>
                </c:pt>
                <c:pt idx="16">
                  <c:v>42856</c:v>
                </c:pt>
                <c:pt idx="17">
                  <c:v>42887</c:v>
                </c:pt>
                <c:pt idx="18">
                  <c:v>42917</c:v>
                </c:pt>
                <c:pt idx="19">
                  <c:v>42948</c:v>
                </c:pt>
                <c:pt idx="20">
                  <c:v>42979</c:v>
                </c:pt>
                <c:pt idx="21">
                  <c:v>43009</c:v>
                </c:pt>
                <c:pt idx="22">
                  <c:v>43040</c:v>
                </c:pt>
                <c:pt idx="23">
                  <c:v>43070</c:v>
                </c:pt>
                <c:pt idx="24">
                  <c:v>43101</c:v>
                </c:pt>
                <c:pt idx="25">
                  <c:v>43132</c:v>
                </c:pt>
                <c:pt idx="26">
                  <c:v>43160</c:v>
                </c:pt>
                <c:pt idx="27">
                  <c:v>43191</c:v>
                </c:pt>
                <c:pt idx="28">
                  <c:v>43221</c:v>
                </c:pt>
                <c:pt idx="29">
                  <c:v>43252</c:v>
                </c:pt>
                <c:pt idx="30">
                  <c:v>43282</c:v>
                </c:pt>
                <c:pt idx="31">
                  <c:v>43313</c:v>
                </c:pt>
                <c:pt idx="32">
                  <c:v>43344</c:v>
                </c:pt>
                <c:pt idx="33">
                  <c:v>43374</c:v>
                </c:pt>
                <c:pt idx="34">
                  <c:v>43405</c:v>
                </c:pt>
                <c:pt idx="35">
                  <c:v>43435</c:v>
                </c:pt>
                <c:pt idx="36">
                  <c:v>43466</c:v>
                </c:pt>
                <c:pt idx="37">
                  <c:v>43497</c:v>
                </c:pt>
                <c:pt idx="38">
                  <c:v>43525</c:v>
                </c:pt>
                <c:pt idx="39">
                  <c:v>43556</c:v>
                </c:pt>
                <c:pt idx="40">
                  <c:v>43586</c:v>
                </c:pt>
                <c:pt idx="41">
                  <c:v>43617</c:v>
                </c:pt>
                <c:pt idx="42">
                  <c:v>43647</c:v>
                </c:pt>
                <c:pt idx="43">
                  <c:v>43678</c:v>
                </c:pt>
                <c:pt idx="44">
                  <c:v>43709</c:v>
                </c:pt>
                <c:pt idx="45">
                  <c:v>43739</c:v>
                </c:pt>
                <c:pt idx="46">
                  <c:v>43770</c:v>
                </c:pt>
                <c:pt idx="47">
                  <c:v>43800</c:v>
                </c:pt>
                <c:pt idx="48">
                  <c:v>43831</c:v>
                </c:pt>
                <c:pt idx="49">
                  <c:v>43862</c:v>
                </c:pt>
                <c:pt idx="50">
                  <c:v>43891</c:v>
                </c:pt>
                <c:pt idx="51">
                  <c:v>43922</c:v>
                </c:pt>
                <c:pt idx="52">
                  <c:v>43952</c:v>
                </c:pt>
                <c:pt idx="53">
                  <c:v>43983</c:v>
                </c:pt>
                <c:pt idx="54">
                  <c:v>44013</c:v>
                </c:pt>
                <c:pt idx="55">
                  <c:v>44044</c:v>
                </c:pt>
                <c:pt idx="56">
                  <c:v>44075</c:v>
                </c:pt>
                <c:pt idx="57">
                  <c:v>44105</c:v>
                </c:pt>
                <c:pt idx="58">
                  <c:v>44136</c:v>
                </c:pt>
                <c:pt idx="59">
                  <c:v>44166</c:v>
                </c:pt>
                <c:pt idx="60">
                  <c:v>44197</c:v>
                </c:pt>
                <c:pt idx="61">
                  <c:v>44228</c:v>
                </c:pt>
                <c:pt idx="62">
                  <c:v>44256</c:v>
                </c:pt>
                <c:pt idx="63">
                  <c:v>44287</c:v>
                </c:pt>
                <c:pt idx="64">
                  <c:v>44317</c:v>
                </c:pt>
                <c:pt idx="65">
                  <c:v>44348</c:v>
                </c:pt>
                <c:pt idx="66">
                  <c:v>44378</c:v>
                </c:pt>
                <c:pt idx="67">
                  <c:v>44409</c:v>
                </c:pt>
                <c:pt idx="68">
                  <c:v>44440</c:v>
                </c:pt>
                <c:pt idx="69">
                  <c:v>44470</c:v>
                </c:pt>
                <c:pt idx="70">
                  <c:v>44501</c:v>
                </c:pt>
                <c:pt idx="71">
                  <c:v>44531</c:v>
                </c:pt>
                <c:pt idx="72">
                  <c:v>44562</c:v>
                </c:pt>
                <c:pt idx="73">
                  <c:v>44593</c:v>
                </c:pt>
                <c:pt idx="74">
                  <c:v>44621</c:v>
                </c:pt>
                <c:pt idx="75">
                  <c:v>44652</c:v>
                </c:pt>
                <c:pt idx="76">
                  <c:v>44682</c:v>
                </c:pt>
                <c:pt idx="77">
                  <c:v>44713</c:v>
                </c:pt>
                <c:pt idx="78">
                  <c:v>44743</c:v>
                </c:pt>
                <c:pt idx="79">
                  <c:v>44774</c:v>
                </c:pt>
                <c:pt idx="80">
                  <c:v>44805</c:v>
                </c:pt>
                <c:pt idx="81">
                  <c:v>44835</c:v>
                </c:pt>
                <c:pt idx="82">
                  <c:v>44866</c:v>
                </c:pt>
                <c:pt idx="83">
                  <c:v>44896</c:v>
                </c:pt>
                <c:pt idx="84">
                  <c:v>44927</c:v>
                </c:pt>
                <c:pt idx="85">
                  <c:v>44958</c:v>
                </c:pt>
                <c:pt idx="86">
                  <c:v>44986</c:v>
                </c:pt>
                <c:pt idx="87">
                  <c:v>45017</c:v>
                </c:pt>
                <c:pt idx="88">
                  <c:v>45047</c:v>
                </c:pt>
                <c:pt idx="89">
                  <c:v>45078</c:v>
                </c:pt>
                <c:pt idx="90">
                  <c:v>45108</c:v>
                </c:pt>
                <c:pt idx="91">
                  <c:v>45139</c:v>
                </c:pt>
                <c:pt idx="92">
                  <c:v>45170</c:v>
                </c:pt>
                <c:pt idx="93">
                  <c:v>45200</c:v>
                </c:pt>
                <c:pt idx="94">
                  <c:v>45231</c:v>
                </c:pt>
                <c:pt idx="95">
                  <c:v>45261</c:v>
                </c:pt>
                <c:pt idx="96">
                  <c:v>45292</c:v>
                </c:pt>
                <c:pt idx="97">
                  <c:v>45323</c:v>
                </c:pt>
                <c:pt idx="98">
                  <c:v>45352</c:v>
                </c:pt>
                <c:pt idx="99">
                  <c:v>45383</c:v>
                </c:pt>
                <c:pt idx="100">
                  <c:v>45413</c:v>
                </c:pt>
                <c:pt idx="101">
                  <c:v>45444</c:v>
                </c:pt>
                <c:pt idx="102">
                  <c:v>45474</c:v>
                </c:pt>
                <c:pt idx="103">
                  <c:v>45505</c:v>
                </c:pt>
                <c:pt idx="104">
                  <c:v>45536</c:v>
                </c:pt>
                <c:pt idx="105">
                  <c:v>45566</c:v>
                </c:pt>
                <c:pt idx="106">
                  <c:v>45597</c:v>
                </c:pt>
                <c:pt idx="107">
                  <c:v>45627</c:v>
                </c:pt>
                <c:pt idx="108">
                  <c:v>45658</c:v>
                </c:pt>
                <c:pt idx="109">
                  <c:v>45689</c:v>
                </c:pt>
                <c:pt idx="110">
                  <c:v>45717</c:v>
                </c:pt>
                <c:pt idx="111">
                  <c:v>45748</c:v>
                </c:pt>
                <c:pt idx="112">
                  <c:v>45778</c:v>
                </c:pt>
                <c:pt idx="113">
                  <c:v>45809</c:v>
                </c:pt>
                <c:pt idx="114">
                  <c:v>45839</c:v>
                </c:pt>
                <c:pt idx="115">
                  <c:v>45870</c:v>
                </c:pt>
                <c:pt idx="116">
                  <c:v>45901</c:v>
                </c:pt>
                <c:pt idx="117">
                  <c:v>45931</c:v>
                </c:pt>
                <c:pt idx="118">
                  <c:v>45962</c:v>
                </c:pt>
                <c:pt idx="119">
                  <c:v>45992</c:v>
                </c:pt>
                <c:pt idx="120">
                  <c:v>46023</c:v>
                </c:pt>
                <c:pt idx="121">
                  <c:v>46054</c:v>
                </c:pt>
                <c:pt idx="122">
                  <c:v>46082</c:v>
                </c:pt>
                <c:pt idx="123">
                  <c:v>46113</c:v>
                </c:pt>
                <c:pt idx="124">
                  <c:v>46143</c:v>
                </c:pt>
                <c:pt idx="125">
                  <c:v>46174</c:v>
                </c:pt>
                <c:pt idx="126">
                  <c:v>46204</c:v>
                </c:pt>
                <c:pt idx="127">
                  <c:v>46235</c:v>
                </c:pt>
                <c:pt idx="128">
                  <c:v>46266</c:v>
                </c:pt>
                <c:pt idx="129">
                  <c:v>46296</c:v>
                </c:pt>
                <c:pt idx="130">
                  <c:v>46327</c:v>
                </c:pt>
                <c:pt idx="131">
                  <c:v>46357</c:v>
                </c:pt>
                <c:pt idx="132">
                  <c:v>46388</c:v>
                </c:pt>
                <c:pt idx="133">
                  <c:v>46419</c:v>
                </c:pt>
                <c:pt idx="134">
                  <c:v>46447</c:v>
                </c:pt>
                <c:pt idx="135">
                  <c:v>46478</c:v>
                </c:pt>
                <c:pt idx="136">
                  <c:v>46508</c:v>
                </c:pt>
                <c:pt idx="137">
                  <c:v>46539</c:v>
                </c:pt>
                <c:pt idx="138">
                  <c:v>46569</c:v>
                </c:pt>
                <c:pt idx="139">
                  <c:v>46600</c:v>
                </c:pt>
                <c:pt idx="140">
                  <c:v>46631</c:v>
                </c:pt>
                <c:pt idx="141">
                  <c:v>46661</c:v>
                </c:pt>
                <c:pt idx="142">
                  <c:v>46692</c:v>
                </c:pt>
                <c:pt idx="143">
                  <c:v>46722</c:v>
                </c:pt>
              </c:numCache>
            </c:numRef>
          </c:cat>
          <c:val>
            <c:numRef>
              <c:f>'GS&gt;50 (no LC) Norm Monthly'!$Y$2:$Y$145</c:f>
              <c:numCache>
                <c:formatCode>_(* #,##0_);_(* \(#,##0\);_(* "-"??_);_(@_)</c:formatCode>
                <c:ptCount val="144"/>
                <c:pt idx="0">
                  <c:v>6403224.3198527442</c:v>
                </c:pt>
                <c:pt idx="1">
                  <c:v>6124176.6829060065</c:v>
                </c:pt>
                <c:pt idx="2">
                  <c:v>5858804.8543185759</c:v>
                </c:pt>
                <c:pt idx="3">
                  <c:v>5321121.8594835037</c:v>
                </c:pt>
                <c:pt idx="4">
                  <c:v>5287277.3796212515</c:v>
                </c:pt>
                <c:pt idx="5">
                  <c:v>5560129.8606575085</c:v>
                </c:pt>
                <c:pt idx="6">
                  <c:v>5934430.7912260136</c:v>
                </c:pt>
                <c:pt idx="7">
                  <c:v>5751693.6037359284</c:v>
                </c:pt>
                <c:pt idx="8">
                  <c:v>5393886.7128946781</c:v>
                </c:pt>
                <c:pt idx="9">
                  <c:v>5328598.4829153102</c:v>
                </c:pt>
                <c:pt idx="10">
                  <c:v>5697986.5197771974</c:v>
                </c:pt>
                <c:pt idx="11">
                  <c:v>6145686.3128628563</c:v>
                </c:pt>
                <c:pt idx="12">
                  <c:v>6403224.3198527442</c:v>
                </c:pt>
                <c:pt idx="13">
                  <c:v>6124176.6829060065</c:v>
                </c:pt>
                <c:pt idx="14">
                  <c:v>5858804.8543185759</c:v>
                </c:pt>
                <c:pt idx="15">
                  <c:v>5321121.8594835037</c:v>
                </c:pt>
                <c:pt idx="16">
                  <c:v>5287277.3796212515</c:v>
                </c:pt>
                <c:pt idx="17">
                  <c:v>5560129.8606575085</c:v>
                </c:pt>
                <c:pt idx="18">
                  <c:v>5934430.7912260136</c:v>
                </c:pt>
                <c:pt idx="19">
                  <c:v>5751693.6037359284</c:v>
                </c:pt>
                <c:pt idx="20">
                  <c:v>5393886.7128946781</c:v>
                </c:pt>
                <c:pt idx="21">
                  <c:v>5328598.4829153102</c:v>
                </c:pt>
                <c:pt idx="22">
                  <c:v>5697986.5197771974</c:v>
                </c:pt>
                <c:pt idx="23">
                  <c:v>6145686.3128628563</c:v>
                </c:pt>
                <c:pt idx="24">
                  <c:v>6403224.3198527442</c:v>
                </c:pt>
                <c:pt idx="25">
                  <c:v>6124176.6829060065</c:v>
                </c:pt>
                <c:pt idx="26">
                  <c:v>5858804.8543185759</c:v>
                </c:pt>
                <c:pt idx="27">
                  <c:v>5321121.8594835037</c:v>
                </c:pt>
                <c:pt idx="28">
                  <c:v>5287277.3796212515</c:v>
                </c:pt>
                <c:pt idx="29">
                  <c:v>5560129.8606575085</c:v>
                </c:pt>
                <c:pt idx="30">
                  <c:v>5934430.7912260136</c:v>
                </c:pt>
                <c:pt idx="31">
                  <c:v>5751693.6037359284</c:v>
                </c:pt>
                <c:pt idx="32">
                  <c:v>5393886.7128946781</c:v>
                </c:pt>
                <c:pt idx="33">
                  <c:v>5328598.4829153102</c:v>
                </c:pt>
                <c:pt idx="34">
                  <c:v>5697986.5197771974</c:v>
                </c:pt>
                <c:pt idx="35">
                  <c:v>6145686.3128628563</c:v>
                </c:pt>
                <c:pt idx="36">
                  <c:v>6403224.3198527442</c:v>
                </c:pt>
                <c:pt idx="37">
                  <c:v>6124176.6829060065</c:v>
                </c:pt>
                <c:pt idx="38">
                  <c:v>5858804.8543185759</c:v>
                </c:pt>
                <c:pt idx="39">
                  <c:v>5321121.8594835037</c:v>
                </c:pt>
                <c:pt idx="40">
                  <c:v>5287277.3796212515</c:v>
                </c:pt>
                <c:pt idx="41">
                  <c:v>5560129.8606575085</c:v>
                </c:pt>
                <c:pt idx="42">
                  <c:v>5934430.7912260136</c:v>
                </c:pt>
                <c:pt idx="43">
                  <c:v>5751693.6037359284</c:v>
                </c:pt>
                <c:pt idx="44">
                  <c:v>5393886.7128946781</c:v>
                </c:pt>
                <c:pt idx="45">
                  <c:v>5328598.4829153102</c:v>
                </c:pt>
                <c:pt idx="46">
                  <c:v>5697986.5197771974</c:v>
                </c:pt>
                <c:pt idx="47">
                  <c:v>6145686.3128628563</c:v>
                </c:pt>
                <c:pt idx="48">
                  <c:v>6403224.3198527442</c:v>
                </c:pt>
                <c:pt idx="49">
                  <c:v>6124176.6829060065</c:v>
                </c:pt>
                <c:pt idx="50">
                  <c:v>5858804.8543185759</c:v>
                </c:pt>
                <c:pt idx="51">
                  <c:v>5321121.8594835037</c:v>
                </c:pt>
                <c:pt idx="52">
                  <c:v>5287277.3796212515</c:v>
                </c:pt>
                <c:pt idx="53">
                  <c:v>5560129.8606575085</c:v>
                </c:pt>
                <c:pt idx="54">
                  <c:v>5934430.7912260136</c:v>
                </c:pt>
                <c:pt idx="55">
                  <c:v>5751693.6037359284</c:v>
                </c:pt>
                <c:pt idx="56">
                  <c:v>5393886.7128946781</c:v>
                </c:pt>
                <c:pt idx="57">
                  <c:v>5328598.4829153102</c:v>
                </c:pt>
                <c:pt idx="58">
                  <c:v>5697986.5197771974</c:v>
                </c:pt>
                <c:pt idx="59">
                  <c:v>6145686.3128628563</c:v>
                </c:pt>
                <c:pt idx="60">
                  <c:v>6403224.3198527442</c:v>
                </c:pt>
                <c:pt idx="61">
                  <c:v>6124176.6829060065</c:v>
                </c:pt>
                <c:pt idx="62">
                  <c:v>5858804.8543185759</c:v>
                </c:pt>
                <c:pt idx="63">
                  <c:v>5321121.8594835037</c:v>
                </c:pt>
                <c:pt idx="64">
                  <c:v>5287277.3796212515</c:v>
                </c:pt>
                <c:pt idx="65">
                  <c:v>5560129.8606575085</c:v>
                </c:pt>
                <c:pt idx="66">
                  <c:v>5934430.7912260136</c:v>
                </c:pt>
                <c:pt idx="67">
                  <c:v>5751693.6037359284</c:v>
                </c:pt>
                <c:pt idx="68">
                  <c:v>5393886.7128946781</c:v>
                </c:pt>
                <c:pt idx="69">
                  <c:v>5328598.4829153102</c:v>
                </c:pt>
                <c:pt idx="70">
                  <c:v>5697986.5197771974</c:v>
                </c:pt>
                <c:pt idx="71">
                  <c:v>6145686.3128628563</c:v>
                </c:pt>
                <c:pt idx="72">
                  <c:v>6403224.3198527442</c:v>
                </c:pt>
                <c:pt idx="73">
                  <c:v>6124176.6829060065</c:v>
                </c:pt>
                <c:pt idx="74">
                  <c:v>5858804.8543185759</c:v>
                </c:pt>
                <c:pt idx="75">
                  <c:v>5321121.8594835037</c:v>
                </c:pt>
                <c:pt idx="76">
                  <c:v>5287277.3796212515</c:v>
                </c:pt>
                <c:pt idx="77">
                  <c:v>5560129.8606575085</c:v>
                </c:pt>
                <c:pt idx="78">
                  <c:v>5934430.7912260136</c:v>
                </c:pt>
                <c:pt idx="79">
                  <c:v>5751693.6037359284</c:v>
                </c:pt>
                <c:pt idx="80">
                  <c:v>5393886.7128946781</c:v>
                </c:pt>
                <c:pt idx="81">
                  <c:v>5328598.4829153102</c:v>
                </c:pt>
                <c:pt idx="82">
                  <c:v>5697986.5197771974</c:v>
                </c:pt>
                <c:pt idx="83">
                  <c:v>6145686.3128628563</c:v>
                </c:pt>
                <c:pt idx="84">
                  <c:v>6403224.3198527442</c:v>
                </c:pt>
                <c:pt idx="85">
                  <c:v>6124176.6829060065</c:v>
                </c:pt>
                <c:pt idx="86">
                  <c:v>5858804.8543185759</c:v>
                </c:pt>
                <c:pt idx="87">
                  <c:v>5321121.8594835037</c:v>
                </c:pt>
                <c:pt idx="88">
                  <c:v>5287277.3796212515</c:v>
                </c:pt>
                <c:pt idx="89">
                  <c:v>5560129.8606575085</c:v>
                </c:pt>
                <c:pt idx="90">
                  <c:v>5934430.7912260136</c:v>
                </c:pt>
                <c:pt idx="91">
                  <c:v>5751693.6037359284</c:v>
                </c:pt>
                <c:pt idx="92">
                  <c:v>5393886.7128946781</c:v>
                </c:pt>
                <c:pt idx="93">
                  <c:v>5328598.4829153102</c:v>
                </c:pt>
                <c:pt idx="94">
                  <c:v>5697986.5197771974</c:v>
                </c:pt>
                <c:pt idx="95">
                  <c:v>6145686.3128628563</c:v>
                </c:pt>
                <c:pt idx="96">
                  <c:v>6403224.3198527442</c:v>
                </c:pt>
                <c:pt idx="97">
                  <c:v>6124176.6829060065</c:v>
                </c:pt>
                <c:pt idx="98">
                  <c:v>5858804.8543185759</c:v>
                </c:pt>
                <c:pt idx="99">
                  <c:v>5321121.8594835037</c:v>
                </c:pt>
                <c:pt idx="100">
                  <c:v>5287277.3796212515</c:v>
                </c:pt>
                <c:pt idx="101">
                  <c:v>5560129.8606575085</c:v>
                </c:pt>
                <c:pt idx="102">
                  <c:v>5934430.7912260136</c:v>
                </c:pt>
                <c:pt idx="103">
                  <c:v>5751693.6037359284</c:v>
                </c:pt>
                <c:pt idx="104">
                  <c:v>5393886.7128946781</c:v>
                </c:pt>
                <c:pt idx="105">
                  <c:v>5328598.4829153102</c:v>
                </c:pt>
                <c:pt idx="106">
                  <c:v>5697986.5197771974</c:v>
                </c:pt>
                <c:pt idx="107">
                  <c:v>6145686.3128628563</c:v>
                </c:pt>
                <c:pt idx="108">
                  <c:v>6403224.3198527442</c:v>
                </c:pt>
                <c:pt idx="109">
                  <c:v>6124176.6829060065</c:v>
                </c:pt>
                <c:pt idx="110">
                  <c:v>5858804.8543185759</c:v>
                </c:pt>
                <c:pt idx="111">
                  <c:v>5321121.8594835037</c:v>
                </c:pt>
                <c:pt idx="112">
                  <c:v>5287277.3796212515</c:v>
                </c:pt>
                <c:pt idx="113">
                  <c:v>5560129.8606575085</c:v>
                </c:pt>
                <c:pt idx="114">
                  <c:v>5934430.7912260136</c:v>
                </c:pt>
                <c:pt idx="115">
                  <c:v>5751693.6037359284</c:v>
                </c:pt>
                <c:pt idx="116">
                  <c:v>5393886.7128946781</c:v>
                </c:pt>
                <c:pt idx="117">
                  <c:v>5328598.4829153102</c:v>
                </c:pt>
                <c:pt idx="118">
                  <c:v>7828479.826972127</c:v>
                </c:pt>
                <c:pt idx="119">
                  <c:v>10352833.050993895</c:v>
                </c:pt>
                <c:pt idx="120">
                  <c:v>6403224.3198527442</c:v>
                </c:pt>
                <c:pt idx="121">
                  <c:v>6124176.6829060065</c:v>
                </c:pt>
                <c:pt idx="122">
                  <c:v>5858804.8543185759</c:v>
                </c:pt>
                <c:pt idx="123">
                  <c:v>5321121.8594835037</c:v>
                </c:pt>
                <c:pt idx="124">
                  <c:v>5287277.3796212515</c:v>
                </c:pt>
                <c:pt idx="125">
                  <c:v>5560129.8606575085</c:v>
                </c:pt>
                <c:pt idx="126">
                  <c:v>5934430.7912260136</c:v>
                </c:pt>
                <c:pt idx="127">
                  <c:v>5751693.6037359284</c:v>
                </c:pt>
                <c:pt idx="128">
                  <c:v>5393886.7128946781</c:v>
                </c:pt>
                <c:pt idx="129">
                  <c:v>5328598.4829153102</c:v>
                </c:pt>
                <c:pt idx="130">
                  <c:v>5697986.5197771974</c:v>
                </c:pt>
                <c:pt idx="131">
                  <c:v>6145686.3128628563</c:v>
                </c:pt>
                <c:pt idx="132">
                  <c:v>6403224.3198527442</c:v>
                </c:pt>
                <c:pt idx="133">
                  <c:v>6124176.6829060065</c:v>
                </c:pt>
                <c:pt idx="134">
                  <c:v>5858804.8543185759</c:v>
                </c:pt>
                <c:pt idx="135">
                  <c:v>5321121.8594835037</c:v>
                </c:pt>
                <c:pt idx="136">
                  <c:v>5287277.3796212515</c:v>
                </c:pt>
                <c:pt idx="137">
                  <c:v>5560129.8606575085</c:v>
                </c:pt>
                <c:pt idx="138">
                  <c:v>5934430.7912260136</c:v>
                </c:pt>
                <c:pt idx="139">
                  <c:v>5751693.6037359284</c:v>
                </c:pt>
                <c:pt idx="140">
                  <c:v>5393886.7128946781</c:v>
                </c:pt>
                <c:pt idx="141">
                  <c:v>5328598.4829153102</c:v>
                </c:pt>
                <c:pt idx="142">
                  <c:v>5697986.5197771974</c:v>
                </c:pt>
                <c:pt idx="143">
                  <c:v>6145686.3128628563</c:v>
                </c:pt>
              </c:numCache>
            </c:numRef>
          </c:val>
          <c:smooth val="0"/>
          <c:extLst>
            <c:ext xmlns:c16="http://schemas.microsoft.com/office/drawing/2014/chart" uri="{C3380CC4-5D6E-409C-BE32-E72D297353CC}">
              <c16:uniqueId val="{00000001-C2EC-4E15-A0D1-D0F2E3F51C88}"/>
            </c:ext>
          </c:extLst>
        </c:ser>
        <c:ser>
          <c:idx val="0"/>
          <c:order val="1"/>
          <c:tx>
            <c:strRef>
              <c:f>'GS&gt;50 (no LC) Norm Monthly'!$BB$1</c:f>
              <c:strCache>
                <c:ptCount val="1"/>
                <c:pt idx="0">
                  <c:v>Low Predicted</c:v>
                </c:pt>
              </c:strCache>
            </c:strRef>
          </c:tx>
          <c:marker>
            <c:symbol val="none"/>
          </c:marker>
          <c:val>
            <c:numRef>
              <c:f>'GS&gt;50 (no LC) Norm Monthly'!$BB$2:$BB$145</c:f>
              <c:numCache>
                <c:formatCode>_(* #,##0_);_(* \(#,##0\);_(* "-"??_);_(@_)</c:formatCode>
                <c:ptCount val="144"/>
                <c:pt idx="0">
                  <c:v>6157926.3579476839</c:v>
                </c:pt>
                <c:pt idx="1">
                  <c:v>5908576.5039564483</c:v>
                </c:pt>
                <c:pt idx="2">
                  <c:v>5671418.2771244934</c:v>
                </c:pt>
                <c:pt idx="3">
                  <c:v>5188967.0821578791</c:v>
                </c:pt>
                <c:pt idx="4">
                  <c:v>5131642.9694104819</c:v>
                </c:pt>
                <c:pt idx="5">
                  <c:v>5345194.088037123</c:v>
                </c:pt>
                <c:pt idx="6">
                  <c:v>5653368.1244434416</c:v>
                </c:pt>
                <c:pt idx="7">
                  <c:v>5502507.7870372701</c:v>
                </c:pt>
                <c:pt idx="8">
                  <c:v>5228828.0355122555</c:v>
                </c:pt>
                <c:pt idx="9">
                  <c:v>5197641.3392444905</c:v>
                </c:pt>
                <c:pt idx="10">
                  <c:v>5536971.1465326073</c:v>
                </c:pt>
                <c:pt idx="11">
                  <c:v>5927796.9608928729</c:v>
                </c:pt>
                <c:pt idx="12">
                  <c:v>6157926.3579476839</c:v>
                </c:pt>
                <c:pt idx="13">
                  <c:v>5908576.5039564483</c:v>
                </c:pt>
                <c:pt idx="14">
                  <c:v>5671418.2771244934</c:v>
                </c:pt>
                <c:pt idx="15">
                  <c:v>5188967.0821578791</c:v>
                </c:pt>
                <c:pt idx="16">
                  <c:v>5131642.9694104819</c:v>
                </c:pt>
                <c:pt idx="17">
                  <c:v>5345194.088037123</c:v>
                </c:pt>
                <c:pt idx="18">
                  <c:v>5653368.1244434416</c:v>
                </c:pt>
                <c:pt idx="19">
                  <c:v>5502507.7870372701</c:v>
                </c:pt>
                <c:pt idx="20">
                  <c:v>5228828.0355122555</c:v>
                </c:pt>
                <c:pt idx="21">
                  <c:v>5197641.3392444905</c:v>
                </c:pt>
                <c:pt idx="22">
                  <c:v>5536971.1465326073</c:v>
                </c:pt>
                <c:pt idx="23">
                  <c:v>5927796.9608928729</c:v>
                </c:pt>
                <c:pt idx="24">
                  <c:v>6157926.3579476839</c:v>
                </c:pt>
                <c:pt idx="25">
                  <c:v>5908576.5039564483</c:v>
                </c:pt>
                <c:pt idx="26">
                  <c:v>5671418.2771244934</c:v>
                </c:pt>
                <c:pt idx="27">
                  <c:v>5188967.0821578791</c:v>
                </c:pt>
                <c:pt idx="28">
                  <c:v>5131642.9694104819</c:v>
                </c:pt>
                <c:pt idx="29">
                  <c:v>5345194.088037123</c:v>
                </c:pt>
                <c:pt idx="30">
                  <c:v>5653368.1244434416</c:v>
                </c:pt>
                <c:pt idx="31">
                  <c:v>5502507.7870372701</c:v>
                </c:pt>
                <c:pt idx="32">
                  <c:v>5228828.0355122555</c:v>
                </c:pt>
                <c:pt idx="33">
                  <c:v>5197641.3392444905</c:v>
                </c:pt>
                <c:pt idx="34">
                  <c:v>5536971.1465326073</c:v>
                </c:pt>
                <c:pt idx="35">
                  <c:v>5927796.9608928729</c:v>
                </c:pt>
                <c:pt idx="36">
                  <c:v>6157926.3579476839</c:v>
                </c:pt>
                <c:pt idx="37">
                  <c:v>5908576.5039564483</c:v>
                </c:pt>
                <c:pt idx="38">
                  <c:v>5671418.2771244934</c:v>
                </c:pt>
                <c:pt idx="39">
                  <c:v>5188967.0821578791</c:v>
                </c:pt>
                <c:pt idx="40">
                  <c:v>5131642.9694104819</c:v>
                </c:pt>
                <c:pt idx="41">
                  <c:v>5345194.088037123</c:v>
                </c:pt>
                <c:pt idx="42">
                  <c:v>5653368.1244434416</c:v>
                </c:pt>
                <c:pt idx="43">
                  <c:v>5502507.7870372701</c:v>
                </c:pt>
                <c:pt idx="44">
                  <c:v>5228828.0355122555</c:v>
                </c:pt>
                <c:pt idx="45">
                  <c:v>5197641.3392444905</c:v>
                </c:pt>
                <c:pt idx="46">
                  <c:v>5536971.1465326073</c:v>
                </c:pt>
                <c:pt idx="47">
                  <c:v>5927796.9608928729</c:v>
                </c:pt>
                <c:pt idx="48">
                  <c:v>6157926.3579476839</c:v>
                </c:pt>
                <c:pt idx="49">
                  <c:v>5908576.5039564483</c:v>
                </c:pt>
                <c:pt idx="50">
                  <c:v>5671418.2771244934</c:v>
                </c:pt>
                <c:pt idx="51">
                  <c:v>5188967.0821578791</c:v>
                </c:pt>
                <c:pt idx="52">
                  <c:v>5131642.9694104819</c:v>
                </c:pt>
                <c:pt idx="53">
                  <c:v>5345194.088037123</c:v>
                </c:pt>
                <c:pt idx="54">
                  <c:v>5653368.1244434416</c:v>
                </c:pt>
                <c:pt idx="55">
                  <c:v>5502507.7870372701</c:v>
                </c:pt>
                <c:pt idx="56">
                  <c:v>5228828.0355122555</c:v>
                </c:pt>
                <c:pt idx="57">
                  <c:v>5197641.3392444905</c:v>
                </c:pt>
                <c:pt idx="58">
                  <c:v>5536971.1465326073</c:v>
                </c:pt>
                <c:pt idx="59">
                  <c:v>5927796.9608928729</c:v>
                </c:pt>
                <c:pt idx="60">
                  <c:v>6157926.3579476839</c:v>
                </c:pt>
                <c:pt idx="61">
                  <c:v>5908576.5039564483</c:v>
                </c:pt>
                <c:pt idx="62">
                  <c:v>5671418.2771244934</c:v>
                </c:pt>
                <c:pt idx="63">
                  <c:v>5188967.0821578791</c:v>
                </c:pt>
                <c:pt idx="64">
                  <c:v>5131642.9694104819</c:v>
                </c:pt>
                <c:pt idx="65">
                  <c:v>5345194.088037123</c:v>
                </c:pt>
                <c:pt idx="66">
                  <c:v>5653368.1244434416</c:v>
                </c:pt>
                <c:pt idx="67">
                  <c:v>5502507.7870372701</c:v>
                </c:pt>
                <c:pt idx="68">
                  <c:v>5228828.0355122555</c:v>
                </c:pt>
                <c:pt idx="69">
                  <c:v>5197641.3392444905</c:v>
                </c:pt>
                <c:pt idx="70">
                  <c:v>5536971.1465326073</c:v>
                </c:pt>
                <c:pt idx="71">
                  <c:v>5927796.9608928729</c:v>
                </c:pt>
                <c:pt idx="72">
                  <c:v>6157926.3579476839</c:v>
                </c:pt>
                <c:pt idx="73">
                  <c:v>5908576.5039564483</c:v>
                </c:pt>
                <c:pt idx="74">
                  <c:v>5671418.2771244934</c:v>
                </c:pt>
                <c:pt idx="75">
                  <c:v>5188967.0821578791</c:v>
                </c:pt>
                <c:pt idx="76">
                  <c:v>5131642.9694104819</c:v>
                </c:pt>
                <c:pt idx="77">
                  <c:v>5345194.088037123</c:v>
                </c:pt>
                <c:pt idx="78">
                  <c:v>5653368.1244434416</c:v>
                </c:pt>
                <c:pt idx="79">
                  <c:v>5502507.7870372701</c:v>
                </c:pt>
                <c:pt idx="80">
                  <c:v>5228828.0355122555</c:v>
                </c:pt>
                <c:pt idx="81">
                  <c:v>5197641.3392444905</c:v>
                </c:pt>
                <c:pt idx="82">
                  <c:v>5536971.1465326073</c:v>
                </c:pt>
                <c:pt idx="83">
                  <c:v>5927796.9608928729</c:v>
                </c:pt>
                <c:pt idx="84">
                  <c:v>6157926.3579476839</c:v>
                </c:pt>
                <c:pt idx="85">
                  <c:v>5908576.5039564483</c:v>
                </c:pt>
                <c:pt idx="86">
                  <c:v>5671418.2771244934</c:v>
                </c:pt>
                <c:pt idx="87">
                  <c:v>5188967.0821578791</c:v>
                </c:pt>
                <c:pt idx="88">
                  <c:v>5131642.9694104819</c:v>
                </c:pt>
                <c:pt idx="89">
                  <c:v>5345194.088037123</c:v>
                </c:pt>
                <c:pt idx="90">
                  <c:v>5653368.1244434416</c:v>
                </c:pt>
                <c:pt idx="91">
                  <c:v>5502507.7870372701</c:v>
                </c:pt>
                <c:pt idx="92">
                  <c:v>5228828.0355122555</c:v>
                </c:pt>
                <c:pt idx="93">
                  <c:v>5197641.3392444905</c:v>
                </c:pt>
                <c:pt idx="94">
                  <c:v>5536971.1465326073</c:v>
                </c:pt>
                <c:pt idx="95">
                  <c:v>5927796.9608928729</c:v>
                </c:pt>
                <c:pt idx="96">
                  <c:v>6157926.3579476839</c:v>
                </c:pt>
                <c:pt idx="97">
                  <c:v>5908576.5039564483</c:v>
                </c:pt>
                <c:pt idx="98">
                  <c:v>5671418.2771244934</c:v>
                </c:pt>
                <c:pt idx="99">
                  <c:v>5188967.0821578791</c:v>
                </c:pt>
                <c:pt idx="100">
                  <c:v>5131642.9694104819</c:v>
                </c:pt>
                <c:pt idx="101">
                  <c:v>5345194.088037123</c:v>
                </c:pt>
                <c:pt idx="102">
                  <c:v>5653368.1244434416</c:v>
                </c:pt>
                <c:pt idx="103">
                  <c:v>5502507.7870372701</c:v>
                </c:pt>
                <c:pt idx="104">
                  <c:v>5228828.0355122555</c:v>
                </c:pt>
                <c:pt idx="105">
                  <c:v>5197641.3392444905</c:v>
                </c:pt>
                <c:pt idx="106">
                  <c:v>5536971.1465326073</c:v>
                </c:pt>
                <c:pt idx="107">
                  <c:v>5927796.9608928729</c:v>
                </c:pt>
                <c:pt idx="108">
                  <c:v>6157926.3579476839</c:v>
                </c:pt>
                <c:pt idx="109">
                  <c:v>5908576.5039564483</c:v>
                </c:pt>
                <c:pt idx="110">
                  <c:v>5671418.2771244934</c:v>
                </c:pt>
                <c:pt idx="111">
                  <c:v>5188967.0821578791</c:v>
                </c:pt>
                <c:pt idx="112">
                  <c:v>5131642.9694104819</c:v>
                </c:pt>
                <c:pt idx="113">
                  <c:v>5345194.088037123</c:v>
                </c:pt>
                <c:pt idx="114">
                  <c:v>5653368.1244434416</c:v>
                </c:pt>
                <c:pt idx="115">
                  <c:v>5502507.7870372701</c:v>
                </c:pt>
                <c:pt idx="116">
                  <c:v>5228828.0355122555</c:v>
                </c:pt>
                <c:pt idx="117">
                  <c:v>5197641.3392444905</c:v>
                </c:pt>
                <c:pt idx="118">
                  <c:v>7667464.4537275368</c:v>
                </c:pt>
                <c:pt idx="119">
                  <c:v>10134943.699023912</c:v>
                </c:pt>
                <c:pt idx="120">
                  <c:v>6157926.3579476839</c:v>
                </c:pt>
                <c:pt idx="121">
                  <c:v>5908576.5039564483</c:v>
                </c:pt>
                <c:pt idx="122">
                  <c:v>5671418.2771244934</c:v>
                </c:pt>
                <c:pt idx="123">
                  <c:v>5188967.0821578791</c:v>
                </c:pt>
                <c:pt idx="124">
                  <c:v>5131642.9694104819</c:v>
                </c:pt>
                <c:pt idx="125">
                  <c:v>5345194.088037123</c:v>
                </c:pt>
                <c:pt idx="126">
                  <c:v>5653368.1244434416</c:v>
                </c:pt>
                <c:pt idx="127">
                  <c:v>5502507.7870372701</c:v>
                </c:pt>
                <c:pt idx="128">
                  <c:v>5228828.0355122555</c:v>
                </c:pt>
                <c:pt idx="129">
                  <c:v>5197641.3392444905</c:v>
                </c:pt>
                <c:pt idx="130">
                  <c:v>5536971.1465326073</c:v>
                </c:pt>
                <c:pt idx="131">
                  <c:v>5927796.9608928729</c:v>
                </c:pt>
                <c:pt idx="132">
                  <c:v>6157926.3579476839</c:v>
                </c:pt>
                <c:pt idx="133">
                  <c:v>5908576.5039564483</c:v>
                </c:pt>
                <c:pt idx="134">
                  <c:v>5671418.2771244934</c:v>
                </c:pt>
                <c:pt idx="135">
                  <c:v>5188967.0821578791</c:v>
                </c:pt>
                <c:pt idx="136">
                  <c:v>5131642.9694104819</c:v>
                </c:pt>
                <c:pt idx="137">
                  <c:v>5345194.088037123</c:v>
                </c:pt>
                <c:pt idx="138">
                  <c:v>5653368.1244434416</c:v>
                </c:pt>
                <c:pt idx="139">
                  <c:v>5502507.7870372701</c:v>
                </c:pt>
                <c:pt idx="140">
                  <c:v>5228828.0355122555</c:v>
                </c:pt>
                <c:pt idx="141">
                  <c:v>5197641.3392444905</c:v>
                </c:pt>
                <c:pt idx="142">
                  <c:v>5536971.1465326073</c:v>
                </c:pt>
                <c:pt idx="143">
                  <c:v>5927796.9608928729</c:v>
                </c:pt>
              </c:numCache>
            </c:numRef>
          </c:val>
          <c:smooth val="0"/>
          <c:extLst>
            <c:ext xmlns:c16="http://schemas.microsoft.com/office/drawing/2014/chart" uri="{C3380CC4-5D6E-409C-BE32-E72D297353CC}">
              <c16:uniqueId val="{00000091-C2EC-4E15-A0D1-D0F2E3F51C88}"/>
            </c:ext>
          </c:extLst>
        </c:ser>
        <c:ser>
          <c:idx val="2"/>
          <c:order val="2"/>
          <c:tx>
            <c:strRef>
              <c:f>'GS&gt;50 (no LC) Norm Monthly'!$BC$1</c:f>
              <c:strCache>
                <c:ptCount val="1"/>
                <c:pt idx="0">
                  <c:v>High Predicted</c:v>
                </c:pt>
              </c:strCache>
            </c:strRef>
          </c:tx>
          <c:marker>
            <c:symbol val="none"/>
          </c:marker>
          <c:val>
            <c:numRef>
              <c:f>'GS&gt;50 (no LC) Norm Monthly'!$BC$2:$BC$145</c:f>
              <c:numCache>
                <c:formatCode>_(* #,##0_);_(* \(#,##0\);_(* "-"??_);_(@_)</c:formatCode>
                <c:ptCount val="144"/>
                <c:pt idx="0">
                  <c:v>6643266.0966188461</c:v>
                </c:pt>
                <c:pt idx="1">
                  <c:v>6335157.0335954754</c:v>
                </c:pt>
                <c:pt idx="2">
                  <c:v>6042136.5381583832</c:v>
                </c:pt>
                <c:pt idx="3">
                  <c:v>5447658.7492114436</c:v>
                </c:pt>
                <c:pt idx="4">
                  <c:v>5399440.2176355133</c:v>
                </c:pt>
                <c:pt idx="5">
                  <c:v>5688585.1098904209</c:v>
                </c:pt>
                <c:pt idx="6">
                  <c:v>6091334.7204762362</c:v>
                </c:pt>
                <c:pt idx="7">
                  <c:v>5894545.6072320472</c:v>
                </c:pt>
                <c:pt idx="8">
                  <c:v>5503542.0885090809</c:v>
                </c:pt>
                <c:pt idx="9">
                  <c:v>5442332.4360649846</c:v>
                </c:pt>
                <c:pt idx="10">
                  <c:v>5853897.7390647624</c:v>
                </c:pt>
                <c:pt idx="11">
                  <c:v>6358906.7847293625</c:v>
                </c:pt>
                <c:pt idx="12">
                  <c:v>6643266.0966188461</c:v>
                </c:pt>
                <c:pt idx="13">
                  <c:v>6335157.0335954754</c:v>
                </c:pt>
                <c:pt idx="14">
                  <c:v>6042136.5381583832</c:v>
                </c:pt>
                <c:pt idx="15">
                  <c:v>5447658.7492114436</c:v>
                </c:pt>
                <c:pt idx="16">
                  <c:v>5399440.2176355133</c:v>
                </c:pt>
                <c:pt idx="17">
                  <c:v>5688585.1098904209</c:v>
                </c:pt>
                <c:pt idx="18">
                  <c:v>6091334.7204762362</c:v>
                </c:pt>
                <c:pt idx="19">
                  <c:v>5894545.6072320472</c:v>
                </c:pt>
                <c:pt idx="20">
                  <c:v>5503542.0885090809</c:v>
                </c:pt>
                <c:pt idx="21">
                  <c:v>5442332.4360649846</c:v>
                </c:pt>
                <c:pt idx="22">
                  <c:v>5853897.7390647624</c:v>
                </c:pt>
                <c:pt idx="23">
                  <c:v>6358906.7847293625</c:v>
                </c:pt>
                <c:pt idx="24">
                  <c:v>6643266.0966188461</c:v>
                </c:pt>
                <c:pt idx="25">
                  <c:v>6335157.0335954754</c:v>
                </c:pt>
                <c:pt idx="26">
                  <c:v>6042136.5381583832</c:v>
                </c:pt>
                <c:pt idx="27">
                  <c:v>5447658.7492114436</c:v>
                </c:pt>
                <c:pt idx="28">
                  <c:v>5399440.2176355133</c:v>
                </c:pt>
                <c:pt idx="29">
                  <c:v>5688585.1098904209</c:v>
                </c:pt>
                <c:pt idx="30">
                  <c:v>6091334.7204762362</c:v>
                </c:pt>
                <c:pt idx="31">
                  <c:v>5894545.6072320472</c:v>
                </c:pt>
                <c:pt idx="32">
                  <c:v>5503542.0885090809</c:v>
                </c:pt>
                <c:pt idx="33">
                  <c:v>5442332.4360649846</c:v>
                </c:pt>
                <c:pt idx="34">
                  <c:v>5853897.7390647624</c:v>
                </c:pt>
                <c:pt idx="35">
                  <c:v>6358906.7847293625</c:v>
                </c:pt>
                <c:pt idx="36">
                  <c:v>6643266.0966188461</c:v>
                </c:pt>
                <c:pt idx="37">
                  <c:v>6335157.0335954754</c:v>
                </c:pt>
                <c:pt idx="38">
                  <c:v>6042136.5381583832</c:v>
                </c:pt>
                <c:pt idx="39">
                  <c:v>5447658.7492114436</c:v>
                </c:pt>
                <c:pt idx="40">
                  <c:v>5399440.2176355133</c:v>
                </c:pt>
                <c:pt idx="41">
                  <c:v>5688585.1098904209</c:v>
                </c:pt>
                <c:pt idx="42">
                  <c:v>6091334.7204762362</c:v>
                </c:pt>
                <c:pt idx="43">
                  <c:v>5894545.6072320472</c:v>
                </c:pt>
                <c:pt idx="44">
                  <c:v>5503542.0885090809</c:v>
                </c:pt>
                <c:pt idx="45">
                  <c:v>5442332.4360649846</c:v>
                </c:pt>
                <c:pt idx="46">
                  <c:v>5853897.7390647624</c:v>
                </c:pt>
                <c:pt idx="47">
                  <c:v>6358906.7847293625</c:v>
                </c:pt>
                <c:pt idx="48">
                  <c:v>6643266.0966188461</c:v>
                </c:pt>
                <c:pt idx="49">
                  <c:v>6335157.0335954754</c:v>
                </c:pt>
                <c:pt idx="50">
                  <c:v>6042136.5381583832</c:v>
                </c:pt>
                <c:pt idx="51">
                  <c:v>5447658.7492114436</c:v>
                </c:pt>
                <c:pt idx="52">
                  <c:v>5399440.2176355133</c:v>
                </c:pt>
                <c:pt idx="53">
                  <c:v>5688585.1098904209</c:v>
                </c:pt>
                <c:pt idx="54">
                  <c:v>6091334.7204762362</c:v>
                </c:pt>
                <c:pt idx="55">
                  <c:v>5894545.6072320472</c:v>
                </c:pt>
                <c:pt idx="56">
                  <c:v>5503542.0885090809</c:v>
                </c:pt>
                <c:pt idx="57">
                  <c:v>5442332.4360649846</c:v>
                </c:pt>
                <c:pt idx="58">
                  <c:v>5853897.7390647624</c:v>
                </c:pt>
                <c:pt idx="59">
                  <c:v>6358906.7847293625</c:v>
                </c:pt>
                <c:pt idx="60">
                  <c:v>6643266.0966188461</c:v>
                </c:pt>
                <c:pt idx="61">
                  <c:v>6335157.0335954754</c:v>
                </c:pt>
                <c:pt idx="62">
                  <c:v>6042136.5381583832</c:v>
                </c:pt>
                <c:pt idx="63">
                  <c:v>5447658.7492114436</c:v>
                </c:pt>
                <c:pt idx="64">
                  <c:v>5399440.2176355133</c:v>
                </c:pt>
                <c:pt idx="65">
                  <c:v>5688585.1098904209</c:v>
                </c:pt>
                <c:pt idx="66">
                  <c:v>6091334.7204762362</c:v>
                </c:pt>
                <c:pt idx="67">
                  <c:v>5894545.6072320472</c:v>
                </c:pt>
                <c:pt idx="68">
                  <c:v>5503542.0885090809</c:v>
                </c:pt>
                <c:pt idx="69">
                  <c:v>5442332.4360649846</c:v>
                </c:pt>
                <c:pt idx="70">
                  <c:v>5853897.7390647624</c:v>
                </c:pt>
                <c:pt idx="71">
                  <c:v>6358906.7847293625</c:v>
                </c:pt>
                <c:pt idx="72">
                  <c:v>6643266.0966188461</c:v>
                </c:pt>
                <c:pt idx="73">
                  <c:v>6335157.0335954754</c:v>
                </c:pt>
                <c:pt idx="74">
                  <c:v>6042136.5381583832</c:v>
                </c:pt>
                <c:pt idx="75">
                  <c:v>5447658.7492114436</c:v>
                </c:pt>
                <c:pt idx="76">
                  <c:v>5399440.2176355133</c:v>
                </c:pt>
                <c:pt idx="77">
                  <c:v>5688585.1098904209</c:v>
                </c:pt>
                <c:pt idx="78">
                  <c:v>6091334.7204762362</c:v>
                </c:pt>
                <c:pt idx="79">
                  <c:v>5894545.6072320472</c:v>
                </c:pt>
                <c:pt idx="80">
                  <c:v>5503542.0885090809</c:v>
                </c:pt>
                <c:pt idx="81">
                  <c:v>5442332.4360649846</c:v>
                </c:pt>
                <c:pt idx="82">
                  <c:v>5853897.7390647624</c:v>
                </c:pt>
                <c:pt idx="83">
                  <c:v>6358906.7847293625</c:v>
                </c:pt>
                <c:pt idx="84">
                  <c:v>6643266.0966188461</c:v>
                </c:pt>
                <c:pt idx="85">
                  <c:v>6335157.0335954754</c:v>
                </c:pt>
                <c:pt idx="86">
                  <c:v>6042136.5381583832</c:v>
                </c:pt>
                <c:pt idx="87">
                  <c:v>5447658.7492114436</c:v>
                </c:pt>
                <c:pt idx="88">
                  <c:v>5399440.2176355133</c:v>
                </c:pt>
                <c:pt idx="89">
                  <c:v>5688585.1098904209</c:v>
                </c:pt>
                <c:pt idx="90">
                  <c:v>6091334.7204762362</c:v>
                </c:pt>
                <c:pt idx="91">
                  <c:v>5894545.6072320472</c:v>
                </c:pt>
                <c:pt idx="92">
                  <c:v>5503542.0885090809</c:v>
                </c:pt>
                <c:pt idx="93">
                  <c:v>5442332.4360649846</c:v>
                </c:pt>
                <c:pt idx="94">
                  <c:v>5853897.7390647624</c:v>
                </c:pt>
                <c:pt idx="95">
                  <c:v>6358906.7847293625</c:v>
                </c:pt>
                <c:pt idx="96">
                  <c:v>6643266.0966188461</c:v>
                </c:pt>
                <c:pt idx="97">
                  <c:v>6335157.0335954754</c:v>
                </c:pt>
                <c:pt idx="98">
                  <c:v>6042136.5381583832</c:v>
                </c:pt>
                <c:pt idx="99">
                  <c:v>5447658.7492114436</c:v>
                </c:pt>
                <c:pt idx="100">
                  <c:v>5399440.2176355133</c:v>
                </c:pt>
                <c:pt idx="101">
                  <c:v>5688585.1098904209</c:v>
                </c:pt>
                <c:pt idx="102">
                  <c:v>6091334.7204762362</c:v>
                </c:pt>
                <c:pt idx="103">
                  <c:v>5894545.6072320472</c:v>
                </c:pt>
                <c:pt idx="104">
                  <c:v>5503542.0885090809</c:v>
                </c:pt>
                <c:pt idx="105">
                  <c:v>5442332.4360649846</c:v>
                </c:pt>
                <c:pt idx="106">
                  <c:v>5853897.7390647624</c:v>
                </c:pt>
                <c:pt idx="107">
                  <c:v>6358906.7847293625</c:v>
                </c:pt>
                <c:pt idx="108">
                  <c:v>6643266.0966188461</c:v>
                </c:pt>
                <c:pt idx="109">
                  <c:v>6335157.0335954754</c:v>
                </c:pt>
                <c:pt idx="110">
                  <c:v>6042136.5381583832</c:v>
                </c:pt>
                <c:pt idx="111">
                  <c:v>5447658.7492114436</c:v>
                </c:pt>
                <c:pt idx="112">
                  <c:v>5399440.2176355133</c:v>
                </c:pt>
                <c:pt idx="113">
                  <c:v>5688585.1098904209</c:v>
                </c:pt>
                <c:pt idx="114">
                  <c:v>6091334.7204762362</c:v>
                </c:pt>
                <c:pt idx="115">
                  <c:v>5894545.6072320472</c:v>
                </c:pt>
                <c:pt idx="116">
                  <c:v>5503542.0885090809</c:v>
                </c:pt>
                <c:pt idx="117">
                  <c:v>5442332.4360649846</c:v>
                </c:pt>
                <c:pt idx="118">
                  <c:v>7984391.0462596919</c:v>
                </c:pt>
                <c:pt idx="119">
                  <c:v>10566053.522860402</c:v>
                </c:pt>
                <c:pt idx="120">
                  <c:v>6643266.0966188461</c:v>
                </c:pt>
                <c:pt idx="121">
                  <c:v>6335157.0335954754</c:v>
                </c:pt>
                <c:pt idx="122">
                  <c:v>6042136.5381583832</c:v>
                </c:pt>
                <c:pt idx="123">
                  <c:v>5447658.7492114436</c:v>
                </c:pt>
                <c:pt idx="124">
                  <c:v>5399440.2176355133</c:v>
                </c:pt>
                <c:pt idx="125">
                  <c:v>5688585.1098904209</c:v>
                </c:pt>
                <c:pt idx="126">
                  <c:v>6091334.7204762362</c:v>
                </c:pt>
                <c:pt idx="127">
                  <c:v>5894545.6072320472</c:v>
                </c:pt>
                <c:pt idx="128">
                  <c:v>5503542.0885090809</c:v>
                </c:pt>
                <c:pt idx="129">
                  <c:v>5442332.4360649846</c:v>
                </c:pt>
                <c:pt idx="130">
                  <c:v>5853897.7390647624</c:v>
                </c:pt>
                <c:pt idx="131">
                  <c:v>6358906.7847293625</c:v>
                </c:pt>
                <c:pt idx="132">
                  <c:v>6643266.0966188461</c:v>
                </c:pt>
                <c:pt idx="133">
                  <c:v>6335157.0335954754</c:v>
                </c:pt>
                <c:pt idx="134">
                  <c:v>6042136.5381583832</c:v>
                </c:pt>
                <c:pt idx="135">
                  <c:v>5447658.7492114436</c:v>
                </c:pt>
                <c:pt idx="136">
                  <c:v>5399440.2176355133</c:v>
                </c:pt>
                <c:pt idx="137">
                  <c:v>5688585.1098904209</c:v>
                </c:pt>
                <c:pt idx="138">
                  <c:v>6091334.7204762362</c:v>
                </c:pt>
                <c:pt idx="139">
                  <c:v>5894545.6072320472</c:v>
                </c:pt>
                <c:pt idx="140">
                  <c:v>5503542.0885090809</c:v>
                </c:pt>
                <c:pt idx="141">
                  <c:v>5442332.4360649846</c:v>
                </c:pt>
                <c:pt idx="142">
                  <c:v>5853897.7390647624</c:v>
                </c:pt>
                <c:pt idx="143">
                  <c:v>6358906.7847293625</c:v>
                </c:pt>
              </c:numCache>
            </c:numRef>
          </c:val>
          <c:smooth val="0"/>
          <c:extLst>
            <c:ext xmlns:c16="http://schemas.microsoft.com/office/drawing/2014/chart" uri="{C3380CC4-5D6E-409C-BE32-E72D297353CC}">
              <c16:uniqueId val="{00000092-C2EC-4E15-A0D1-D0F2E3F51C88}"/>
            </c:ext>
          </c:extLst>
        </c:ser>
        <c:dLbls>
          <c:showLegendKey val="0"/>
          <c:showVal val="0"/>
          <c:showCatName val="0"/>
          <c:showSerName val="0"/>
          <c:showPercent val="0"/>
          <c:showBubbleSize val="0"/>
        </c:dLbls>
        <c:smooth val="0"/>
        <c:axId val="177120384"/>
        <c:axId val="177121920"/>
      </c:lineChart>
      <c:dateAx>
        <c:axId val="177120384"/>
        <c:scaling>
          <c:orientation val="minMax"/>
        </c:scaling>
        <c:delete val="0"/>
        <c:axPos val="b"/>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121920"/>
        <c:crosses val="autoZero"/>
        <c:auto val="1"/>
        <c:lblOffset val="100"/>
        <c:baseTimeUnit val="months"/>
      </c:dateAx>
      <c:valAx>
        <c:axId val="177121920"/>
        <c:scaling>
          <c:orientation val="minMax"/>
        </c:scaling>
        <c:delete val="0"/>
        <c:axPos val="l"/>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12038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Residential</a:t>
            </a:r>
          </a:p>
        </c:rich>
      </c:tx>
      <c:overlay val="0"/>
      <c:spPr>
        <a:noFill/>
        <a:ln>
          <a:noFill/>
        </a:ln>
        <a:effectLst/>
      </c:spPr>
    </c:title>
    <c:autoTitleDeleted val="0"/>
    <c:plotArea>
      <c:layout/>
      <c:lineChart>
        <c:grouping val="standard"/>
        <c:varyColors val="0"/>
        <c:ser>
          <c:idx val="0"/>
          <c:order val="0"/>
          <c:tx>
            <c:strRef>
              <c:f>'Res Normalized Monthly WN'!$D$1</c:f>
              <c:strCache>
                <c:ptCount val="1"/>
                <c:pt idx="0">
                  <c:v> Res_NoCDM </c:v>
                </c:pt>
              </c:strCache>
            </c:strRef>
          </c:tx>
          <c:spPr>
            <a:ln w="28575" cap="rnd">
              <a:solidFill>
                <a:schemeClr val="accent1"/>
              </a:solidFill>
              <a:round/>
            </a:ln>
            <a:effectLst/>
          </c:spPr>
          <c:marker>
            <c:symbol val="none"/>
          </c:marker>
          <c:cat>
            <c:numRef>
              <c:f>'Res Normalized Monthly WN'!$A$50:$A$145</c:f>
              <c:numCache>
                <c:formatCode>mmm\-yy</c:formatCode>
                <c:ptCount val="96"/>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46235</c:v>
                </c:pt>
                <c:pt idx="80">
                  <c:v>46266</c:v>
                </c:pt>
                <c:pt idx="81">
                  <c:v>46296</c:v>
                </c:pt>
                <c:pt idx="82">
                  <c:v>46327</c:v>
                </c:pt>
                <c:pt idx="83">
                  <c:v>46357</c:v>
                </c:pt>
                <c:pt idx="84">
                  <c:v>46388</c:v>
                </c:pt>
                <c:pt idx="85">
                  <c:v>46419</c:v>
                </c:pt>
                <c:pt idx="86">
                  <c:v>46447</c:v>
                </c:pt>
                <c:pt idx="87">
                  <c:v>46478</c:v>
                </c:pt>
                <c:pt idx="88">
                  <c:v>46508</c:v>
                </c:pt>
                <c:pt idx="89">
                  <c:v>46539</c:v>
                </c:pt>
                <c:pt idx="90">
                  <c:v>46569</c:v>
                </c:pt>
                <c:pt idx="91">
                  <c:v>46600</c:v>
                </c:pt>
                <c:pt idx="92">
                  <c:v>46631</c:v>
                </c:pt>
                <c:pt idx="93">
                  <c:v>46661</c:v>
                </c:pt>
                <c:pt idx="94">
                  <c:v>46692</c:v>
                </c:pt>
                <c:pt idx="95">
                  <c:v>46722</c:v>
                </c:pt>
              </c:numCache>
            </c:numRef>
          </c:cat>
          <c:val>
            <c:numRef>
              <c:f>'Res Normalized Monthly WN'!$D$50:$D$145</c:f>
              <c:numCache>
                <c:formatCode>_(* #,##0.00_);_(* \(#,##0.00\);_(* "-"??_);_(@_)</c:formatCode>
                <c:ptCount val="96"/>
                <c:pt idx="0">
                  <c:v>8414654.1696568504</c:v>
                </c:pt>
                <c:pt idx="1">
                  <c:v>7815438.1888876194</c:v>
                </c:pt>
                <c:pt idx="2">
                  <c:v>7552050.2081183884</c:v>
                </c:pt>
                <c:pt idx="3">
                  <c:v>6718611.2273491574</c:v>
                </c:pt>
                <c:pt idx="4">
                  <c:v>6484978.2465799265</c:v>
                </c:pt>
                <c:pt idx="5">
                  <c:v>6791535.2658106964</c:v>
                </c:pt>
                <c:pt idx="6">
                  <c:v>8887832.2850414645</c:v>
                </c:pt>
                <c:pt idx="7">
                  <c:v>6981508.3042722344</c:v>
                </c:pt>
                <c:pt idx="8">
                  <c:v>5593018.3235030035</c:v>
                </c:pt>
                <c:pt idx="9">
                  <c:v>6282108.3427337734</c:v>
                </c:pt>
                <c:pt idx="10">
                  <c:v>6779288.3619645424</c:v>
                </c:pt>
                <c:pt idx="11">
                  <c:v>8783121.3811953124</c:v>
                </c:pt>
                <c:pt idx="12">
                  <c:v>8947694.596042579</c:v>
                </c:pt>
                <c:pt idx="13">
                  <c:v>8282825.1054581115</c:v>
                </c:pt>
                <c:pt idx="14">
                  <c:v>7841494.614873644</c:v>
                </c:pt>
                <c:pt idx="15">
                  <c:v>6176221.1242891774</c:v>
                </c:pt>
                <c:pt idx="16">
                  <c:v>6246538.6337047098</c:v>
                </c:pt>
                <c:pt idx="17">
                  <c:v>7011045.1431202432</c:v>
                </c:pt>
                <c:pt idx="18">
                  <c:v>7147666.6525357757</c:v>
                </c:pt>
                <c:pt idx="19">
                  <c:v>8365336.1619513091</c:v>
                </c:pt>
                <c:pt idx="20">
                  <c:v>5638411.6713668425</c:v>
                </c:pt>
                <c:pt idx="21">
                  <c:v>5991389.1807823749</c:v>
                </c:pt>
                <c:pt idx="22">
                  <c:v>7003129.6901979083</c:v>
                </c:pt>
                <c:pt idx="23">
                  <c:v>8633204.8396134414</c:v>
                </c:pt>
                <c:pt idx="24">
                  <c:v>10532825.528697059</c:v>
                </c:pt>
                <c:pt idx="25">
                  <c:v>8586318.012812933</c:v>
                </c:pt>
                <c:pt idx="26">
                  <c:v>8070371.4969288055</c:v>
                </c:pt>
                <c:pt idx="27">
                  <c:v>6548410.9810446789</c:v>
                </c:pt>
                <c:pt idx="28">
                  <c:v>6080494.4651605524</c:v>
                </c:pt>
                <c:pt idx="29">
                  <c:v>6310089.9492764249</c:v>
                </c:pt>
                <c:pt idx="30">
                  <c:v>7465233.4333922984</c:v>
                </c:pt>
                <c:pt idx="31">
                  <c:v>7425747.9175081719</c:v>
                </c:pt>
                <c:pt idx="32">
                  <c:v>5812994.4016240453</c:v>
                </c:pt>
                <c:pt idx="33">
                  <c:v>6059998.8857399179</c:v>
                </c:pt>
                <c:pt idx="34">
                  <c:v>6806096.3698557913</c:v>
                </c:pt>
                <c:pt idx="35">
                  <c:v>8382575.8539716648</c:v>
                </c:pt>
                <c:pt idx="36">
                  <c:v>8740554.5448313784</c:v>
                </c:pt>
                <c:pt idx="37">
                  <c:v>8231333.1919643153</c:v>
                </c:pt>
                <c:pt idx="38">
                  <c:v>7931351.8390972503</c:v>
                </c:pt>
                <c:pt idx="39">
                  <c:v>6481760.4862301862</c:v>
                </c:pt>
                <c:pt idx="40">
                  <c:v>5935915.1333631221</c:v>
                </c:pt>
                <c:pt idx="41">
                  <c:v>6617170.7804960571</c:v>
                </c:pt>
                <c:pt idx="42">
                  <c:v>8069819.4276289931</c:v>
                </c:pt>
                <c:pt idx="43">
                  <c:v>6590759.074761929</c:v>
                </c:pt>
                <c:pt idx="44">
                  <c:v>6146868.721894864</c:v>
                </c:pt>
                <c:pt idx="45">
                  <c:v>6311574.3690277999</c:v>
                </c:pt>
                <c:pt idx="46">
                  <c:v>7441339.0161607359</c:v>
                </c:pt>
                <c:pt idx="47">
                  <c:v>8512565.6632936709</c:v>
                </c:pt>
                <c:pt idx="48">
                  <c:v>10058510.850234345</c:v>
                </c:pt>
                <c:pt idx="49">
                  <c:v>7527358.4163905876</c:v>
                </c:pt>
                <c:pt idx="50">
                  <c:v>8124056.9825468305</c:v>
                </c:pt>
                <c:pt idx="51">
                  <c:v>5757851.5487030726</c:v>
                </c:pt>
                <c:pt idx="52">
                  <c:v>6393480.1148593156</c:v>
                </c:pt>
                <c:pt idx="53">
                  <c:v>6950866.6810155576</c:v>
                </c:pt>
                <c:pt idx="54">
                  <c:v>8232160.2471718006</c:v>
                </c:pt>
                <c:pt idx="55">
                  <c:v>7428027.8133280436</c:v>
                </c:pt>
                <c:pt idx="56">
                  <c:v>6258910.3794842856</c:v>
                </c:pt>
                <c:pt idx="57">
                  <c:v>6160614.9456405286</c:v>
                </c:pt>
                <c:pt idx="58">
                  <c:v>6834550.5117967715</c:v>
                </c:pt>
                <c:pt idx="59">
                  <c:v>9082027.0779530145</c:v>
                </c:pt>
                <c:pt idx="60">
                  <c:v>9808318.0739879906</c:v>
                </c:pt>
                <c:pt idx="61">
                  <c:v>8864275.7553072311</c:v>
                </c:pt>
                <c:pt idx="62">
                  <c:v>8273577.4366264734</c:v>
                </c:pt>
                <c:pt idx="63">
                  <c:v>6923951.1179457149</c:v>
                </c:pt>
                <c:pt idx="64">
                  <c:v>6113839.7992649563</c:v>
                </c:pt>
                <c:pt idx="65">
                  <c:v>7082189.4805841977</c:v>
                </c:pt>
                <c:pt idx="66">
                  <c:v>8777773.1619034391</c:v>
                </c:pt>
                <c:pt idx="67">
                  <c:v>7696904.8432226805</c:v>
                </c:pt>
                <c:pt idx="68">
                  <c:v>5759107.5245419219</c:v>
                </c:pt>
                <c:pt idx="69">
                  <c:v>6185821.2058611633</c:v>
                </c:pt>
                <c:pt idx="70">
                  <c:v>7688916.8871804047</c:v>
                </c:pt>
                <c:pt idx="71">
                  <c:v>9982601.5684996471</c:v>
                </c:pt>
              </c:numCache>
            </c:numRef>
          </c:val>
          <c:smooth val="0"/>
          <c:extLst>
            <c:ext xmlns:c16="http://schemas.microsoft.com/office/drawing/2014/chart" uri="{C3380CC4-5D6E-409C-BE32-E72D297353CC}">
              <c16:uniqueId val="{00000000-11F5-44EE-B2D3-2F4AF3DC20A0}"/>
            </c:ext>
          </c:extLst>
        </c:ser>
        <c:ser>
          <c:idx val="1"/>
          <c:order val="1"/>
          <c:tx>
            <c:strRef>
              <c:f>'Res Normalized Monthly WN'!$W$1</c:f>
              <c:strCache>
                <c:ptCount val="1"/>
                <c:pt idx="0">
                  <c:v>Normalized</c:v>
                </c:pt>
              </c:strCache>
            </c:strRef>
          </c:tx>
          <c:spPr>
            <a:ln w="28575" cap="rnd">
              <a:solidFill>
                <a:schemeClr val="accent2"/>
              </a:solidFill>
              <a:round/>
            </a:ln>
            <a:effectLst/>
          </c:spPr>
          <c:marker>
            <c:symbol val="none"/>
          </c:marker>
          <c:cat>
            <c:numRef>
              <c:f>'Res Normalized Monthly WN'!$A$50:$A$145</c:f>
              <c:numCache>
                <c:formatCode>mmm\-yy</c:formatCode>
                <c:ptCount val="96"/>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46235</c:v>
                </c:pt>
                <c:pt idx="80">
                  <c:v>46266</c:v>
                </c:pt>
                <c:pt idx="81">
                  <c:v>46296</c:v>
                </c:pt>
                <c:pt idx="82">
                  <c:v>46327</c:v>
                </c:pt>
                <c:pt idx="83">
                  <c:v>46357</c:v>
                </c:pt>
                <c:pt idx="84">
                  <c:v>46388</c:v>
                </c:pt>
                <c:pt idx="85">
                  <c:v>46419</c:v>
                </c:pt>
                <c:pt idx="86">
                  <c:v>46447</c:v>
                </c:pt>
                <c:pt idx="87">
                  <c:v>46478</c:v>
                </c:pt>
                <c:pt idx="88">
                  <c:v>46508</c:v>
                </c:pt>
                <c:pt idx="89">
                  <c:v>46539</c:v>
                </c:pt>
                <c:pt idx="90">
                  <c:v>46569</c:v>
                </c:pt>
                <c:pt idx="91">
                  <c:v>46600</c:v>
                </c:pt>
                <c:pt idx="92">
                  <c:v>46631</c:v>
                </c:pt>
                <c:pt idx="93">
                  <c:v>46661</c:v>
                </c:pt>
                <c:pt idx="94">
                  <c:v>46692</c:v>
                </c:pt>
                <c:pt idx="95">
                  <c:v>46722</c:v>
                </c:pt>
              </c:numCache>
            </c:numRef>
          </c:cat>
          <c:val>
            <c:numRef>
              <c:f>'Res Normalized Monthly WN'!$W$50:$W$145</c:f>
              <c:numCache>
                <c:formatCode>_(* #,##0.00_);_(* \(#,##0.00\);_(* "-"??_);_(@_)</c:formatCode>
                <c:ptCount val="96"/>
                <c:pt idx="0">
                  <c:v>8827853.1676321141</c:v>
                </c:pt>
                <c:pt idx="1">
                  <c:v>7821139.4527764656</c:v>
                </c:pt>
                <c:pt idx="2">
                  <c:v>7816888.1473139431</c:v>
                </c:pt>
                <c:pt idx="3">
                  <c:v>6598618.987340264</c:v>
                </c:pt>
                <c:pt idx="4">
                  <c:v>5979188.4468042487</c:v>
                </c:pt>
                <c:pt idx="5">
                  <c:v>6603202.1657348834</c:v>
                </c:pt>
                <c:pt idx="6">
                  <c:v>8009408.7943003513</c:v>
                </c:pt>
                <c:pt idx="7">
                  <c:v>7529650.5689683193</c:v>
                </c:pt>
                <c:pt idx="8">
                  <c:v>5768475.3905857345</c:v>
                </c:pt>
                <c:pt idx="9">
                  <c:v>6097180.9445050051</c:v>
                </c:pt>
                <c:pt idx="10">
                  <c:v>7244917.5113357892</c:v>
                </c:pt>
                <c:pt idx="11">
                  <c:v>9041616.9167430662</c:v>
                </c:pt>
                <c:pt idx="12">
                  <c:v>9376097.421313744</c:v>
                </c:pt>
                <c:pt idx="13">
                  <c:v>8166722.0377623662</c:v>
                </c:pt>
                <c:pt idx="14">
                  <c:v>8165992.7098113028</c:v>
                </c:pt>
                <c:pt idx="15">
                  <c:v>6682457.9167510523</c:v>
                </c:pt>
                <c:pt idx="16">
                  <c:v>6011646.1535475068</c:v>
                </c:pt>
                <c:pt idx="17">
                  <c:v>6445081.9914994007</c:v>
                </c:pt>
                <c:pt idx="18">
                  <c:v>8007568.4434908424</c:v>
                </c:pt>
                <c:pt idx="19">
                  <c:v>7404645.6620662371</c:v>
                </c:pt>
                <c:pt idx="20">
                  <c:v>5890482.3521541143</c:v>
                </c:pt>
                <c:pt idx="21">
                  <c:v>6211264.0975680016</c:v>
                </c:pt>
                <c:pt idx="22">
                  <c:v>7052464.3881879719</c:v>
                </c:pt>
                <c:pt idx="23">
                  <c:v>8968244.5823214855</c:v>
                </c:pt>
                <c:pt idx="24">
                  <c:v>9140576.2301935069</c:v>
                </c:pt>
                <c:pt idx="25">
                  <c:v>8323410.1368961409</c:v>
                </c:pt>
                <c:pt idx="26">
                  <c:v>8026967.8132247739</c:v>
                </c:pt>
                <c:pt idx="27">
                  <c:v>6642850.3334076032</c:v>
                </c:pt>
                <c:pt idx="28">
                  <c:v>5952303.6690527117</c:v>
                </c:pt>
                <c:pt idx="29">
                  <c:v>6567806.0845349776</c:v>
                </c:pt>
                <c:pt idx="30">
                  <c:v>7748212.7623838279</c:v>
                </c:pt>
                <c:pt idx="31">
                  <c:v>7396367.1995697357</c:v>
                </c:pt>
                <c:pt idx="32">
                  <c:v>6029437.9417103389</c:v>
                </c:pt>
                <c:pt idx="33">
                  <c:v>6137241.2543630116</c:v>
                </c:pt>
                <c:pt idx="34">
                  <c:v>7117515.2507296903</c:v>
                </c:pt>
                <c:pt idx="35">
                  <c:v>8989116.0050004311</c:v>
                </c:pt>
                <c:pt idx="36">
                  <c:v>9360879.1552258171</c:v>
                </c:pt>
                <c:pt idx="37">
                  <c:v>8299339.4856565446</c:v>
                </c:pt>
                <c:pt idx="38">
                  <c:v>7986157.2470523873</c:v>
                </c:pt>
                <c:pt idx="39">
                  <c:v>6736607.1991617866</c:v>
                </c:pt>
                <c:pt idx="40">
                  <c:v>6093716.2319282573</c:v>
                </c:pt>
                <c:pt idx="41">
                  <c:v>6610679.6001698636</c:v>
                </c:pt>
                <c:pt idx="42">
                  <c:v>8227591.2826529788</c:v>
                </c:pt>
                <c:pt idx="43">
                  <c:v>7266444.6752788713</c:v>
                </c:pt>
                <c:pt idx="44">
                  <c:v>6034928.5790301273</c:v>
                </c:pt>
                <c:pt idx="45">
                  <c:v>6278521.4445167789</c:v>
                </c:pt>
                <c:pt idx="46">
                  <c:v>7274036.0982236573</c:v>
                </c:pt>
                <c:pt idx="47">
                  <c:v>9175903.2061510067</c:v>
                </c:pt>
                <c:pt idx="48">
                  <c:v>10630049.578556925</c:v>
                </c:pt>
                <c:pt idx="49">
                  <c:v>8151568.3444634499</c:v>
                </c:pt>
                <c:pt idx="50">
                  <c:v>8804218.8285961114</c:v>
                </c:pt>
                <c:pt idx="51">
                  <c:v>6133597.5988846309</c:v>
                </c:pt>
                <c:pt idx="52">
                  <c:v>6540797.3568653837</c:v>
                </c:pt>
                <c:pt idx="53">
                  <c:v>6738351.6749222754</c:v>
                </c:pt>
                <c:pt idx="54">
                  <c:v>8137758.7774447789</c:v>
                </c:pt>
                <c:pt idx="55">
                  <c:v>7465083.9001680277</c:v>
                </c:pt>
                <c:pt idx="56">
                  <c:v>6068146.9641665053</c:v>
                </c:pt>
                <c:pt idx="57">
                  <c:v>6206729.0442712214</c:v>
                </c:pt>
                <c:pt idx="58">
                  <c:v>7361726.1797024077</c:v>
                </c:pt>
                <c:pt idx="59">
                  <c:v>9187113.1495751869</c:v>
                </c:pt>
                <c:pt idx="60">
                  <c:v>9701186.9516838789</c:v>
                </c:pt>
                <c:pt idx="61">
                  <c:v>8544502.5477566775</c:v>
                </c:pt>
                <c:pt idx="62">
                  <c:v>8381320.1238143509</c:v>
                </c:pt>
                <c:pt idx="63">
                  <c:v>6823114.8560992954</c:v>
                </c:pt>
                <c:pt idx="64">
                  <c:v>6308196.0801435132</c:v>
                </c:pt>
                <c:pt idx="65">
                  <c:v>6789513.9086164478</c:v>
                </c:pt>
                <c:pt idx="66">
                  <c:v>8467605.6488486249</c:v>
                </c:pt>
                <c:pt idx="67">
                  <c:v>7631611.7019306505</c:v>
                </c:pt>
                <c:pt idx="68">
                  <c:v>6064144.0044249995</c:v>
                </c:pt>
                <c:pt idx="69">
                  <c:v>6035099.9920736831</c:v>
                </c:pt>
                <c:pt idx="70">
                  <c:v>7582087.8453352554</c:v>
                </c:pt>
                <c:pt idx="71">
                  <c:v>9289964.6346732844</c:v>
                </c:pt>
                <c:pt idx="72">
                  <c:v>9882506.2364310641</c:v>
                </c:pt>
                <c:pt idx="73">
                  <c:v>8769634.140884988</c:v>
                </c:pt>
                <c:pt idx="74">
                  <c:v>8459682.2130461168</c:v>
                </c:pt>
                <c:pt idx="75">
                  <c:v>6781205.8263278622</c:v>
                </c:pt>
                <c:pt idx="76">
                  <c:v>6549181.2699128902</c:v>
                </c:pt>
                <c:pt idx="77">
                  <c:v>6945815.9330749894</c:v>
                </c:pt>
                <c:pt idx="78">
                  <c:v>8320856.5372308344</c:v>
                </c:pt>
                <c:pt idx="79">
                  <c:v>7724864.5778279202</c:v>
                </c:pt>
                <c:pt idx="80">
                  <c:v>6271615.8476247368</c:v>
                </c:pt>
                <c:pt idx="81">
                  <c:v>6638765.3960210243</c:v>
                </c:pt>
                <c:pt idx="82">
                  <c:v>7640507.6426378945</c:v>
                </c:pt>
                <c:pt idx="83">
                  <c:v>9327471.9650290161</c:v>
                </c:pt>
                <c:pt idx="84">
                  <c:v>10022506.017427273</c:v>
                </c:pt>
                <c:pt idx="85">
                  <c:v>8699644.5971270502</c:v>
                </c:pt>
                <c:pt idx="86">
                  <c:v>8599913.1559090242</c:v>
                </c:pt>
                <c:pt idx="87">
                  <c:v>6921552.4932166077</c:v>
                </c:pt>
                <c:pt idx="88">
                  <c:v>6689643.7563274382</c:v>
                </c:pt>
                <c:pt idx="89">
                  <c:v>7086394.3345941147</c:v>
                </c:pt>
                <c:pt idx="90">
                  <c:v>8461550.9495121893</c:v>
                </c:pt>
                <c:pt idx="91">
                  <c:v>7865675.0966080939</c:v>
                </c:pt>
                <c:pt idx="92">
                  <c:v>6412542.5687193247</c:v>
                </c:pt>
                <c:pt idx="93">
                  <c:v>6779808.4153246945</c:v>
                </c:pt>
                <c:pt idx="94">
                  <c:v>7781667.0561244516</c:v>
                </c:pt>
                <c:pt idx="95">
                  <c:v>9468747.8687514644</c:v>
                </c:pt>
              </c:numCache>
            </c:numRef>
          </c:val>
          <c:smooth val="0"/>
          <c:extLst>
            <c:ext xmlns:c16="http://schemas.microsoft.com/office/drawing/2014/chart" uri="{C3380CC4-5D6E-409C-BE32-E72D297353CC}">
              <c16:uniqueId val="{00000001-11F5-44EE-B2D3-2F4AF3DC20A0}"/>
            </c:ext>
          </c:extLst>
        </c:ser>
        <c:dLbls>
          <c:showLegendKey val="0"/>
          <c:showVal val="0"/>
          <c:showCatName val="0"/>
          <c:showSerName val="0"/>
          <c:showPercent val="0"/>
          <c:showBubbleSize val="0"/>
        </c:dLbls>
        <c:smooth val="0"/>
        <c:axId val="176750976"/>
        <c:axId val="176752512"/>
      </c:lineChart>
      <c:dateAx>
        <c:axId val="176750976"/>
        <c:scaling>
          <c:orientation val="minMax"/>
        </c:scaling>
        <c:delete val="0"/>
        <c:axPos val="b"/>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6752512"/>
        <c:crosses val="autoZero"/>
        <c:auto val="1"/>
        <c:lblOffset val="100"/>
        <c:baseTimeUnit val="months"/>
      </c:dateAx>
      <c:valAx>
        <c:axId val="176752512"/>
        <c:scaling>
          <c:orientation val="minMax"/>
        </c:scaling>
        <c:delete val="0"/>
        <c:axPos val="l"/>
        <c:majorGridlines>
          <c:spPr>
            <a:ln w="9525" cap="flat" cmpd="sng" algn="ctr">
              <a:solidFill>
                <a:schemeClr val="tx1">
                  <a:lumMod val="15000"/>
                  <a:lumOff val="85000"/>
                </a:schemeClr>
              </a:solidFill>
              <a:round/>
            </a:ln>
            <a:effectLst/>
          </c:spPr>
        </c:majorGridlines>
        <c:numFmt formatCode="_(* #,##0.00_);_(* \(#,##0.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675097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GS &lt; 50</a:t>
            </a:r>
          </a:p>
        </c:rich>
      </c:tx>
      <c:overlay val="0"/>
      <c:spPr>
        <a:noFill/>
        <a:ln>
          <a:noFill/>
        </a:ln>
        <a:effectLst/>
      </c:spPr>
    </c:title>
    <c:autoTitleDeleted val="0"/>
    <c:plotArea>
      <c:layout/>
      <c:lineChart>
        <c:grouping val="standard"/>
        <c:varyColors val="0"/>
        <c:ser>
          <c:idx val="0"/>
          <c:order val="0"/>
          <c:tx>
            <c:strRef>
              <c:f>'GS&lt;50 Normalized Monthly WN'!$D$1</c:f>
              <c:strCache>
                <c:ptCount val="1"/>
                <c:pt idx="0">
                  <c:v> GS_lt_50_NoCDM </c:v>
                </c:pt>
              </c:strCache>
            </c:strRef>
          </c:tx>
          <c:spPr>
            <a:ln w="28575" cap="rnd">
              <a:solidFill>
                <a:schemeClr val="accent1"/>
              </a:solidFill>
              <a:round/>
            </a:ln>
            <a:effectLst/>
          </c:spPr>
          <c:marker>
            <c:symbol val="none"/>
          </c:marker>
          <c:cat>
            <c:numRef>
              <c:f>'GS&lt;50 Normalized Monthly WN'!$A$50:$A$145</c:f>
              <c:numCache>
                <c:formatCode>mmm\-yy</c:formatCode>
                <c:ptCount val="96"/>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46235</c:v>
                </c:pt>
                <c:pt idx="80">
                  <c:v>46266</c:v>
                </c:pt>
                <c:pt idx="81">
                  <c:v>46296</c:v>
                </c:pt>
                <c:pt idx="82">
                  <c:v>46327</c:v>
                </c:pt>
                <c:pt idx="83">
                  <c:v>46357</c:v>
                </c:pt>
                <c:pt idx="84">
                  <c:v>46388</c:v>
                </c:pt>
                <c:pt idx="85">
                  <c:v>46419</c:v>
                </c:pt>
                <c:pt idx="86">
                  <c:v>46447</c:v>
                </c:pt>
                <c:pt idx="87">
                  <c:v>46478</c:v>
                </c:pt>
                <c:pt idx="88">
                  <c:v>46508</c:v>
                </c:pt>
                <c:pt idx="89">
                  <c:v>46539</c:v>
                </c:pt>
                <c:pt idx="90">
                  <c:v>46569</c:v>
                </c:pt>
                <c:pt idx="91">
                  <c:v>46600</c:v>
                </c:pt>
                <c:pt idx="92">
                  <c:v>46631</c:v>
                </c:pt>
                <c:pt idx="93">
                  <c:v>46661</c:v>
                </c:pt>
                <c:pt idx="94">
                  <c:v>46692</c:v>
                </c:pt>
                <c:pt idx="95">
                  <c:v>46722</c:v>
                </c:pt>
              </c:numCache>
            </c:numRef>
          </c:cat>
          <c:val>
            <c:numRef>
              <c:f>'GS&lt;50 Normalized Monthly WN'!$D$50:$D$145</c:f>
              <c:numCache>
                <c:formatCode>_(* #,##0.00_);_(* \(#,##0.00\);_(* "-"??_);_(@_)</c:formatCode>
                <c:ptCount val="96"/>
                <c:pt idx="0">
                  <c:v>3010167.2574951407</c:v>
                </c:pt>
                <c:pt idx="1">
                  <c:v>2813125.8986844411</c:v>
                </c:pt>
                <c:pt idx="2">
                  <c:v>2549801.539873742</c:v>
                </c:pt>
                <c:pt idx="3">
                  <c:v>2013068.1810630427</c:v>
                </c:pt>
                <c:pt idx="4">
                  <c:v>1942219.8222523434</c:v>
                </c:pt>
                <c:pt idx="5">
                  <c:v>2049006.4634416441</c:v>
                </c:pt>
                <c:pt idx="6">
                  <c:v>2479208.1046309448</c:v>
                </c:pt>
                <c:pt idx="7">
                  <c:v>2169068.7458202457</c:v>
                </c:pt>
                <c:pt idx="8">
                  <c:v>1937707.3870095464</c:v>
                </c:pt>
                <c:pt idx="9">
                  <c:v>2079800.0281988471</c:v>
                </c:pt>
                <c:pt idx="10">
                  <c:v>2308536.669388148</c:v>
                </c:pt>
                <c:pt idx="11">
                  <c:v>2757605.3105774485</c:v>
                </c:pt>
                <c:pt idx="12">
                  <c:v>2771093.6241201404</c:v>
                </c:pt>
                <c:pt idx="13">
                  <c:v>2684641.5361313201</c:v>
                </c:pt>
                <c:pt idx="14">
                  <c:v>2687386.4481424992</c:v>
                </c:pt>
                <c:pt idx="15">
                  <c:v>2030798.3601536788</c:v>
                </c:pt>
                <c:pt idx="16">
                  <c:v>2061848.2721648582</c:v>
                </c:pt>
                <c:pt idx="17">
                  <c:v>2202367.1841760376</c:v>
                </c:pt>
                <c:pt idx="18">
                  <c:v>2304019.0961872172</c:v>
                </c:pt>
                <c:pt idx="19">
                  <c:v>2586724.0081983968</c:v>
                </c:pt>
                <c:pt idx="20">
                  <c:v>2084247.9202095759</c:v>
                </c:pt>
                <c:pt idx="21">
                  <c:v>2150223.8322207555</c:v>
                </c:pt>
                <c:pt idx="22">
                  <c:v>2496393.7442319351</c:v>
                </c:pt>
                <c:pt idx="23">
                  <c:v>2949612.3062431142</c:v>
                </c:pt>
                <c:pt idx="24">
                  <c:v>3512426.4695312781</c:v>
                </c:pt>
                <c:pt idx="25">
                  <c:v>3065402.7801112318</c:v>
                </c:pt>
                <c:pt idx="26">
                  <c:v>2990160.0906911851</c:v>
                </c:pt>
                <c:pt idx="27">
                  <c:v>2398890.4012711388</c:v>
                </c:pt>
                <c:pt idx="28">
                  <c:v>2192493.7118510921</c:v>
                </c:pt>
                <c:pt idx="29">
                  <c:v>2254321.0224310458</c:v>
                </c:pt>
                <c:pt idx="30">
                  <c:v>2434782.333010999</c:v>
                </c:pt>
                <c:pt idx="31">
                  <c:v>2456843.6435909523</c:v>
                </c:pt>
                <c:pt idx="32">
                  <c:v>2148681.954170906</c:v>
                </c:pt>
                <c:pt idx="33">
                  <c:v>2255916.2647508592</c:v>
                </c:pt>
                <c:pt idx="34">
                  <c:v>2549219.5753308129</c:v>
                </c:pt>
                <c:pt idx="35">
                  <c:v>2940389.8859107662</c:v>
                </c:pt>
                <c:pt idx="36">
                  <c:v>3128498.5438320525</c:v>
                </c:pt>
                <c:pt idx="37">
                  <c:v>2958044.9926468567</c:v>
                </c:pt>
                <c:pt idx="38">
                  <c:v>2961710.4414616609</c:v>
                </c:pt>
                <c:pt idx="39">
                  <c:v>2410896.8902764646</c:v>
                </c:pt>
                <c:pt idx="40">
                  <c:v>2314837.3390912688</c:v>
                </c:pt>
                <c:pt idx="41">
                  <c:v>2409548.787906073</c:v>
                </c:pt>
                <c:pt idx="42">
                  <c:v>2678974.2367208768</c:v>
                </c:pt>
                <c:pt idx="43">
                  <c:v>2408674.685535681</c:v>
                </c:pt>
                <c:pt idx="44">
                  <c:v>2316057.1343504852</c:v>
                </c:pt>
                <c:pt idx="45">
                  <c:v>2359883.5831652894</c:v>
                </c:pt>
                <c:pt idx="46">
                  <c:v>2726100.0319800931</c:v>
                </c:pt>
                <c:pt idx="47">
                  <c:v>3054970.4807948973</c:v>
                </c:pt>
                <c:pt idx="48">
                  <c:v>3455439.2672890546</c:v>
                </c:pt>
                <c:pt idx="49">
                  <c:v>2840878.0346191321</c:v>
                </c:pt>
                <c:pt idx="50">
                  <c:v>2906094.8019492091</c:v>
                </c:pt>
                <c:pt idx="51">
                  <c:v>2316820.5692792865</c:v>
                </c:pt>
                <c:pt idx="52">
                  <c:v>2431046.3366093636</c:v>
                </c:pt>
                <c:pt idx="53">
                  <c:v>2461796.103939441</c:v>
                </c:pt>
                <c:pt idx="54">
                  <c:v>2743681.8712695185</c:v>
                </c:pt>
                <c:pt idx="55">
                  <c:v>2609738.6385995955</c:v>
                </c:pt>
                <c:pt idx="56">
                  <c:v>2334104.405929673</c:v>
                </c:pt>
                <c:pt idx="57">
                  <c:v>2395002.17325975</c:v>
                </c:pt>
                <c:pt idx="58">
                  <c:v>2598939.9405898275</c:v>
                </c:pt>
                <c:pt idx="59">
                  <c:v>3229266.7079199045</c:v>
                </c:pt>
                <c:pt idx="60">
                  <c:v>3521304.201942143</c:v>
                </c:pt>
                <c:pt idx="61">
                  <c:v>3248937.8305204986</c:v>
                </c:pt>
                <c:pt idx="62">
                  <c:v>3122756.4590988536</c:v>
                </c:pt>
                <c:pt idx="63">
                  <c:v>2652049.0876772087</c:v>
                </c:pt>
                <c:pt idx="64">
                  <c:v>2377775.7162555638</c:v>
                </c:pt>
                <c:pt idx="65">
                  <c:v>2523449.3448339188</c:v>
                </c:pt>
                <c:pt idx="66">
                  <c:v>2937793.9734122739</c:v>
                </c:pt>
                <c:pt idx="67">
                  <c:v>2631549.601990629</c:v>
                </c:pt>
                <c:pt idx="68">
                  <c:v>2310858.2305689845</c:v>
                </c:pt>
                <c:pt idx="69">
                  <c:v>2422413.8591473396</c:v>
                </c:pt>
                <c:pt idx="70">
                  <c:v>2843005.4877256947</c:v>
                </c:pt>
                <c:pt idx="71">
                  <c:v>3449857.1163040497</c:v>
                </c:pt>
              </c:numCache>
            </c:numRef>
          </c:val>
          <c:smooth val="0"/>
          <c:extLst>
            <c:ext xmlns:c16="http://schemas.microsoft.com/office/drawing/2014/chart" uri="{C3380CC4-5D6E-409C-BE32-E72D297353CC}">
              <c16:uniqueId val="{00000000-AC6C-43ED-9461-070103A744F8}"/>
            </c:ext>
          </c:extLst>
        </c:ser>
        <c:ser>
          <c:idx val="1"/>
          <c:order val="1"/>
          <c:tx>
            <c:strRef>
              <c:f>'GS&lt;50 Normalized Monthly WN'!$S$1</c:f>
              <c:strCache>
                <c:ptCount val="1"/>
                <c:pt idx="0">
                  <c:v>Normalized</c:v>
                </c:pt>
              </c:strCache>
            </c:strRef>
          </c:tx>
          <c:spPr>
            <a:ln w="28575" cap="rnd">
              <a:solidFill>
                <a:schemeClr val="accent2"/>
              </a:solidFill>
              <a:round/>
            </a:ln>
            <a:effectLst/>
          </c:spPr>
          <c:marker>
            <c:symbol val="none"/>
          </c:marker>
          <c:cat>
            <c:numRef>
              <c:f>'GS&lt;50 Normalized Monthly WN'!$A$50:$A$145</c:f>
              <c:numCache>
                <c:formatCode>mmm\-yy</c:formatCode>
                <c:ptCount val="96"/>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46235</c:v>
                </c:pt>
                <c:pt idx="80">
                  <c:v>46266</c:v>
                </c:pt>
                <c:pt idx="81">
                  <c:v>46296</c:v>
                </c:pt>
                <c:pt idx="82">
                  <c:v>46327</c:v>
                </c:pt>
                <c:pt idx="83">
                  <c:v>46357</c:v>
                </c:pt>
                <c:pt idx="84">
                  <c:v>46388</c:v>
                </c:pt>
                <c:pt idx="85">
                  <c:v>46419</c:v>
                </c:pt>
                <c:pt idx="86">
                  <c:v>46447</c:v>
                </c:pt>
                <c:pt idx="87">
                  <c:v>46478</c:v>
                </c:pt>
                <c:pt idx="88">
                  <c:v>46508</c:v>
                </c:pt>
                <c:pt idx="89">
                  <c:v>46539</c:v>
                </c:pt>
                <c:pt idx="90">
                  <c:v>46569</c:v>
                </c:pt>
                <c:pt idx="91">
                  <c:v>46600</c:v>
                </c:pt>
                <c:pt idx="92">
                  <c:v>46631</c:v>
                </c:pt>
                <c:pt idx="93">
                  <c:v>46661</c:v>
                </c:pt>
                <c:pt idx="94">
                  <c:v>46692</c:v>
                </c:pt>
                <c:pt idx="95">
                  <c:v>46722</c:v>
                </c:pt>
              </c:numCache>
            </c:numRef>
          </c:cat>
          <c:val>
            <c:numRef>
              <c:f>'GS&lt;50 Normalized Monthly WN'!$S$50:$S$145</c:f>
              <c:numCache>
                <c:formatCode>_(* #,##0.0_);_(* \(#,##0.0\);_(* "-"??_);_(@_)</c:formatCode>
                <c:ptCount val="96"/>
                <c:pt idx="0">
                  <c:v>3129105.8483220921</c:v>
                </c:pt>
                <c:pt idx="1">
                  <c:v>2812126.7812044825</c:v>
                </c:pt>
                <c:pt idx="2">
                  <c:v>2623012.9241965832</c:v>
                </c:pt>
                <c:pt idx="3">
                  <c:v>1979058.4823718383</c:v>
                </c:pt>
                <c:pt idx="4">
                  <c:v>1821617.082428108</c:v>
                </c:pt>
                <c:pt idx="5">
                  <c:v>2013579.9803137395</c:v>
                </c:pt>
                <c:pt idx="6">
                  <c:v>2315285.0270403721</c:v>
                </c:pt>
                <c:pt idx="7">
                  <c:v>2270101.2307796478</c:v>
                </c:pt>
                <c:pt idx="8">
                  <c:v>1961467.1724900112</c:v>
                </c:pt>
                <c:pt idx="9">
                  <c:v>2015654.0190821614</c:v>
                </c:pt>
                <c:pt idx="10">
                  <c:v>2434269.8130922373</c:v>
                </c:pt>
                <c:pt idx="11">
                  <c:v>2826338.9355927436</c:v>
                </c:pt>
                <c:pt idx="12">
                  <c:v>2887219.1275870828</c:v>
                </c:pt>
                <c:pt idx="13">
                  <c:v>2654301.4460193068</c:v>
                </c:pt>
                <c:pt idx="14">
                  <c:v>2775346.8966405853</c:v>
                </c:pt>
                <c:pt idx="15">
                  <c:v>2172332.185056767</c:v>
                </c:pt>
                <c:pt idx="16">
                  <c:v>2010196.4899977117</c:v>
                </c:pt>
                <c:pt idx="17">
                  <c:v>2101359.7379645081</c:v>
                </c:pt>
                <c:pt idx="18">
                  <c:v>2464747.6067200121</c:v>
                </c:pt>
                <c:pt idx="19">
                  <c:v>2395576.6804516325</c:v>
                </c:pt>
                <c:pt idx="20">
                  <c:v>2130413.8306204188</c:v>
                </c:pt>
                <c:pt idx="21">
                  <c:v>2219279.6282279226</c:v>
                </c:pt>
                <c:pt idx="22">
                  <c:v>2508031.7035908364</c:v>
                </c:pt>
                <c:pt idx="23">
                  <c:v>3040430.2385916687</c:v>
                </c:pt>
                <c:pt idx="24">
                  <c:v>3127555.2581951767</c:v>
                </c:pt>
                <c:pt idx="25">
                  <c:v>2993856.4606252233</c:v>
                </c:pt>
                <c:pt idx="26">
                  <c:v>2978161.6444778708</c:v>
                </c:pt>
                <c:pt idx="27">
                  <c:v>2423248.3364071716</c:v>
                </c:pt>
                <c:pt idx="28">
                  <c:v>2190820.5080760191</c:v>
                </c:pt>
                <c:pt idx="29">
                  <c:v>2303855.3412488876</c:v>
                </c:pt>
                <c:pt idx="30">
                  <c:v>2499691.5552301863</c:v>
                </c:pt>
                <c:pt idx="31">
                  <c:v>2459130.0463585332</c:v>
                </c:pt>
                <c:pt idx="32">
                  <c:v>2188983.1816583602</c:v>
                </c:pt>
                <c:pt idx="33">
                  <c:v>2266443.3144933553</c:v>
                </c:pt>
                <c:pt idx="34">
                  <c:v>2644802.1788654025</c:v>
                </c:pt>
                <c:pt idx="35">
                  <c:v>3108060.893467627</c:v>
                </c:pt>
                <c:pt idx="36">
                  <c:v>3303447.4327096972</c:v>
                </c:pt>
                <c:pt idx="37">
                  <c:v>2978356.1905868589</c:v>
                </c:pt>
                <c:pt idx="38">
                  <c:v>2977167.0992591656</c:v>
                </c:pt>
                <c:pt idx="39">
                  <c:v>2485170.9067885294</c:v>
                </c:pt>
                <c:pt idx="40">
                  <c:v>2348072.1456059003</c:v>
                </c:pt>
                <c:pt idx="41">
                  <c:v>2410970.3962133573</c:v>
                </c:pt>
                <c:pt idx="42">
                  <c:v>2714570.6167880567</c:v>
                </c:pt>
                <c:pt idx="43">
                  <c:v>2541947.7310828385</c:v>
                </c:pt>
                <c:pt idx="44">
                  <c:v>2293755.5457396139</c:v>
                </c:pt>
                <c:pt idx="45">
                  <c:v>2370190.0354728149</c:v>
                </c:pt>
                <c:pt idx="46">
                  <c:v>2677480.5599975605</c:v>
                </c:pt>
                <c:pt idx="47">
                  <c:v>3242050.2195786391</c:v>
                </c:pt>
                <c:pt idx="48">
                  <c:v>3616629.1730176019</c:v>
                </c:pt>
                <c:pt idx="49">
                  <c:v>3014282.4756738446</c:v>
                </c:pt>
                <c:pt idx="50">
                  <c:v>3097919.4647618388</c:v>
                </c:pt>
                <c:pt idx="51">
                  <c:v>2421638.2515802877</c:v>
                </c:pt>
                <c:pt idx="52">
                  <c:v>2484121.1749129756</c:v>
                </c:pt>
                <c:pt idx="53">
                  <c:v>2416659.058707613</c:v>
                </c:pt>
                <c:pt idx="54">
                  <c:v>2729088.5282107936</c:v>
                </c:pt>
                <c:pt idx="55">
                  <c:v>2614876.7275163778</c:v>
                </c:pt>
                <c:pt idx="56">
                  <c:v>2300902.8735175859</c:v>
                </c:pt>
                <c:pt idx="57">
                  <c:v>2407641.0731323287</c:v>
                </c:pt>
                <c:pt idx="58">
                  <c:v>2747647.2124414933</c:v>
                </c:pt>
                <c:pt idx="59">
                  <c:v>3258903.919081212</c:v>
                </c:pt>
                <c:pt idx="60">
                  <c:v>3491090.2292941744</c:v>
                </c:pt>
                <c:pt idx="61">
                  <c:v>3159884.3640006874</c:v>
                </c:pt>
                <c:pt idx="62">
                  <c:v>3153142.9101478057</c:v>
                </c:pt>
                <c:pt idx="63">
                  <c:v>2624652.6126288744</c:v>
                </c:pt>
                <c:pt idx="64">
                  <c:v>2416374.5083736083</c:v>
                </c:pt>
                <c:pt idx="65">
                  <c:v>2456572.7119129179</c:v>
                </c:pt>
                <c:pt idx="66">
                  <c:v>2867399.8245575512</c:v>
                </c:pt>
                <c:pt idx="67">
                  <c:v>2606649.5222012661</c:v>
                </c:pt>
                <c:pt idx="68">
                  <c:v>2369947.7636051872</c:v>
                </c:pt>
                <c:pt idx="69">
                  <c:v>2394500.680938188</c:v>
                </c:pt>
                <c:pt idx="70">
                  <c:v>2811441.3400864606</c:v>
                </c:pt>
                <c:pt idx="71">
                  <c:v>3254514.1298449282</c:v>
                </c:pt>
                <c:pt idx="72">
                  <c:v>3469377.3197637321</c:v>
                </c:pt>
                <c:pt idx="73">
                  <c:v>3149417.8590672375</c:v>
                </c:pt>
                <c:pt idx="74">
                  <c:v>3061547.6224105698</c:v>
                </c:pt>
                <c:pt idx="75">
                  <c:v>2583237.7644709786</c:v>
                </c:pt>
                <c:pt idx="76">
                  <c:v>2461099.0175542282</c:v>
                </c:pt>
                <c:pt idx="77">
                  <c:v>2494397.3705379181</c:v>
                </c:pt>
                <c:pt idx="78">
                  <c:v>2780287.3563866941</c:v>
                </c:pt>
                <c:pt idx="79">
                  <c:v>2659463.7029212313</c:v>
                </c:pt>
                <c:pt idx="80">
                  <c:v>2356297.2327959184</c:v>
                </c:pt>
                <c:pt idx="81">
                  <c:v>2511113.5916598784</c:v>
                </c:pt>
                <c:pt idx="82">
                  <c:v>2802668.2159679318</c:v>
                </c:pt>
                <c:pt idx="83">
                  <c:v>3276663.5484740492</c:v>
                </c:pt>
                <c:pt idx="84">
                  <c:v>3507130.8043147149</c:v>
                </c:pt>
                <c:pt idx="85">
                  <c:v>3131596.2468112884</c:v>
                </c:pt>
                <c:pt idx="86">
                  <c:v>3099301.1069615521</c:v>
                </c:pt>
                <c:pt idx="87">
                  <c:v>2620991.2490219614</c:v>
                </c:pt>
                <c:pt idx="88">
                  <c:v>2498852.5021052109</c:v>
                </c:pt>
                <c:pt idx="89">
                  <c:v>2532150.8550888998</c:v>
                </c:pt>
                <c:pt idx="90">
                  <c:v>2818040.8409376764</c:v>
                </c:pt>
                <c:pt idx="91">
                  <c:v>2697217.1874722131</c:v>
                </c:pt>
                <c:pt idx="92">
                  <c:v>2394050.7173469001</c:v>
                </c:pt>
                <c:pt idx="93">
                  <c:v>2548867.0762108602</c:v>
                </c:pt>
                <c:pt idx="94">
                  <c:v>2840421.7005189136</c:v>
                </c:pt>
                <c:pt idx="95">
                  <c:v>3314417.0330250319</c:v>
                </c:pt>
              </c:numCache>
            </c:numRef>
          </c:val>
          <c:smooth val="0"/>
          <c:extLst>
            <c:ext xmlns:c16="http://schemas.microsoft.com/office/drawing/2014/chart" uri="{C3380CC4-5D6E-409C-BE32-E72D297353CC}">
              <c16:uniqueId val="{00000001-AC6C-43ED-9461-070103A744F8}"/>
            </c:ext>
          </c:extLst>
        </c:ser>
        <c:dLbls>
          <c:showLegendKey val="0"/>
          <c:showVal val="0"/>
          <c:showCatName val="0"/>
          <c:showSerName val="0"/>
          <c:showPercent val="0"/>
          <c:showBubbleSize val="0"/>
        </c:dLbls>
        <c:smooth val="0"/>
        <c:axId val="177107712"/>
        <c:axId val="177109248"/>
      </c:lineChart>
      <c:dateAx>
        <c:axId val="177107712"/>
        <c:scaling>
          <c:orientation val="minMax"/>
        </c:scaling>
        <c:delete val="0"/>
        <c:axPos val="b"/>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109248"/>
        <c:crosses val="autoZero"/>
        <c:auto val="1"/>
        <c:lblOffset val="100"/>
        <c:baseTimeUnit val="months"/>
      </c:dateAx>
      <c:valAx>
        <c:axId val="177109248"/>
        <c:scaling>
          <c:orientation val="minMax"/>
        </c:scaling>
        <c:delete val="0"/>
        <c:axPos val="l"/>
        <c:majorGridlines>
          <c:spPr>
            <a:ln w="9525" cap="flat" cmpd="sng" algn="ctr">
              <a:solidFill>
                <a:schemeClr val="tx1">
                  <a:lumMod val="15000"/>
                  <a:lumOff val="85000"/>
                </a:schemeClr>
              </a:solidFill>
              <a:round/>
            </a:ln>
            <a:effectLst/>
          </c:spPr>
        </c:majorGridlines>
        <c:numFmt formatCode="_(* #,##0.00_);_(* \(#,##0.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10771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GS &gt; 50</a:t>
            </a:r>
          </a:p>
        </c:rich>
      </c:tx>
      <c:overlay val="0"/>
      <c:spPr>
        <a:noFill/>
        <a:ln>
          <a:noFill/>
        </a:ln>
        <a:effectLst/>
      </c:spPr>
    </c:title>
    <c:autoTitleDeleted val="0"/>
    <c:plotArea>
      <c:layout/>
      <c:lineChart>
        <c:grouping val="standard"/>
        <c:varyColors val="0"/>
        <c:ser>
          <c:idx val="0"/>
          <c:order val="0"/>
          <c:tx>
            <c:strRef>
              <c:f>'GS&gt;50 (no LC) Norm Monthly WN'!$D$1</c:f>
              <c:strCache>
                <c:ptCount val="1"/>
                <c:pt idx="0">
                  <c:v> GS_gt_50_NoCDM </c:v>
                </c:pt>
              </c:strCache>
            </c:strRef>
          </c:tx>
          <c:marker>
            <c:symbol val="none"/>
          </c:marker>
          <c:cat>
            <c:numRef>
              <c:f>'GS&gt;50 (no LC) Norm Monthly WN'!$A$50:$A$145</c:f>
              <c:numCache>
                <c:formatCode>mmm\-yy</c:formatCode>
                <c:ptCount val="96"/>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46235</c:v>
                </c:pt>
                <c:pt idx="80">
                  <c:v>46266</c:v>
                </c:pt>
                <c:pt idx="81">
                  <c:v>46296</c:v>
                </c:pt>
                <c:pt idx="82">
                  <c:v>46327</c:v>
                </c:pt>
                <c:pt idx="83">
                  <c:v>46357</c:v>
                </c:pt>
                <c:pt idx="84">
                  <c:v>46388</c:v>
                </c:pt>
                <c:pt idx="85">
                  <c:v>46419</c:v>
                </c:pt>
                <c:pt idx="86">
                  <c:v>46447</c:v>
                </c:pt>
                <c:pt idx="87">
                  <c:v>46478</c:v>
                </c:pt>
                <c:pt idx="88">
                  <c:v>46508</c:v>
                </c:pt>
                <c:pt idx="89">
                  <c:v>46539</c:v>
                </c:pt>
                <c:pt idx="90">
                  <c:v>46569</c:v>
                </c:pt>
                <c:pt idx="91">
                  <c:v>46600</c:v>
                </c:pt>
                <c:pt idx="92">
                  <c:v>46631</c:v>
                </c:pt>
                <c:pt idx="93">
                  <c:v>46661</c:v>
                </c:pt>
                <c:pt idx="94">
                  <c:v>46692</c:v>
                </c:pt>
                <c:pt idx="95">
                  <c:v>46722</c:v>
                </c:pt>
              </c:numCache>
            </c:numRef>
          </c:cat>
          <c:val>
            <c:numRef>
              <c:f>'GS&gt;50 (no LC) Norm Monthly WN'!$D$50:$D$145</c:f>
              <c:numCache>
                <c:formatCode>_(* #,##0.00_);_(* \(#,##0.00\);_(* "-"??_);_(@_)</c:formatCode>
                <c:ptCount val="96"/>
                <c:pt idx="0">
                  <c:v>6576915.9627391547</c:v>
                </c:pt>
                <c:pt idx="1">
                  <c:v>6044045.580237926</c:v>
                </c:pt>
                <c:pt idx="2">
                  <c:v>5746554.1977366973</c:v>
                </c:pt>
                <c:pt idx="3">
                  <c:v>5135085.8152354676</c:v>
                </c:pt>
                <c:pt idx="4">
                  <c:v>4880397.4327342389</c:v>
                </c:pt>
                <c:pt idx="5">
                  <c:v>5172414.0502330102</c:v>
                </c:pt>
                <c:pt idx="6">
                  <c:v>5878605.6677317806</c:v>
                </c:pt>
                <c:pt idx="7">
                  <c:v>5677799.2852305518</c:v>
                </c:pt>
                <c:pt idx="8">
                  <c:v>4853861.9027293231</c:v>
                </c:pt>
                <c:pt idx="9">
                  <c:v>5147410.5202280935</c:v>
                </c:pt>
                <c:pt idx="10">
                  <c:v>5346134.1377268648</c:v>
                </c:pt>
                <c:pt idx="11">
                  <c:v>6328103.7552256361</c:v>
                </c:pt>
                <c:pt idx="12">
                  <c:v>5892807.3511189306</c:v>
                </c:pt>
                <c:pt idx="13">
                  <c:v>5662759.9500704687</c:v>
                </c:pt>
                <c:pt idx="14">
                  <c:v>5830922.5490220068</c:v>
                </c:pt>
                <c:pt idx="15">
                  <c:v>4671495.1705421582</c:v>
                </c:pt>
                <c:pt idx="16">
                  <c:v>4967977.1562202908</c:v>
                </c:pt>
                <c:pt idx="17">
                  <c:v>5386931.1568166604</c:v>
                </c:pt>
                <c:pt idx="18">
                  <c:v>5505749.9418636365</c:v>
                </c:pt>
                <c:pt idx="19">
                  <c:v>7520564.8088652845</c:v>
                </c:pt>
                <c:pt idx="20">
                  <c:v>7138503.3877345817</c:v>
                </c:pt>
                <c:pt idx="21">
                  <c:v>5536607.3747515306</c:v>
                </c:pt>
                <c:pt idx="22">
                  <c:v>5589896.3406343106</c:v>
                </c:pt>
                <c:pt idx="23">
                  <c:v>6040034.3795858482</c:v>
                </c:pt>
                <c:pt idx="24">
                  <c:v>7168571.6108332537</c:v>
                </c:pt>
                <c:pt idx="25">
                  <c:v>6519634.1395640364</c:v>
                </c:pt>
                <c:pt idx="26">
                  <c:v>6029488.6682948181</c:v>
                </c:pt>
                <c:pt idx="27">
                  <c:v>5243870.1970255999</c:v>
                </c:pt>
                <c:pt idx="28">
                  <c:v>5283935.7257563816</c:v>
                </c:pt>
                <c:pt idx="29">
                  <c:v>5270216.2544871643</c:v>
                </c:pt>
                <c:pt idx="30">
                  <c:v>5765089.7832179461</c:v>
                </c:pt>
                <c:pt idx="31">
                  <c:v>5800196.3119487278</c:v>
                </c:pt>
                <c:pt idx="32">
                  <c:v>5197018.8406795096</c:v>
                </c:pt>
                <c:pt idx="33">
                  <c:v>5276473.3694102913</c:v>
                </c:pt>
                <c:pt idx="34">
                  <c:v>6491309.6581410738</c:v>
                </c:pt>
                <c:pt idx="35">
                  <c:v>6383842.9468718553</c:v>
                </c:pt>
                <c:pt idx="36">
                  <c:v>6116806.1173214633</c:v>
                </c:pt>
                <c:pt idx="37">
                  <c:v>5696520.6104506506</c:v>
                </c:pt>
                <c:pt idx="38">
                  <c:v>5718312.5835798392</c:v>
                </c:pt>
                <c:pt idx="39">
                  <c:v>5301267.4367090268</c:v>
                </c:pt>
                <c:pt idx="40">
                  <c:v>5199018.4498382146</c:v>
                </c:pt>
                <c:pt idx="41">
                  <c:v>5434895.9029674027</c:v>
                </c:pt>
                <c:pt idx="42">
                  <c:v>5911244.9160965905</c:v>
                </c:pt>
                <c:pt idx="43">
                  <c:v>5504128.6492257779</c:v>
                </c:pt>
                <c:pt idx="44">
                  <c:v>5342063.3823549664</c:v>
                </c:pt>
                <c:pt idx="45">
                  <c:v>5340766.1154841539</c:v>
                </c:pt>
                <c:pt idx="46">
                  <c:v>5612278.8486133423</c:v>
                </c:pt>
                <c:pt idx="47">
                  <c:v>6027285.5817425298</c:v>
                </c:pt>
                <c:pt idx="48">
                  <c:v>6253607.9586970024</c:v>
                </c:pt>
                <c:pt idx="49">
                  <c:v>5644985.0132523365</c:v>
                </c:pt>
                <c:pt idx="50">
                  <c:v>5687000.0678076707</c:v>
                </c:pt>
                <c:pt idx="51">
                  <c:v>5089288.1223630048</c:v>
                </c:pt>
                <c:pt idx="52">
                  <c:v>5269158.176918339</c:v>
                </c:pt>
                <c:pt idx="53">
                  <c:v>5374172.2314736731</c:v>
                </c:pt>
                <c:pt idx="54">
                  <c:v>5847813.2860290073</c:v>
                </c:pt>
                <c:pt idx="55">
                  <c:v>5588978.3405843414</c:v>
                </c:pt>
                <c:pt idx="56">
                  <c:v>5358949.3951396765</c:v>
                </c:pt>
                <c:pt idx="57">
                  <c:v>5365372.4496950107</c:v>
                </c:pt>
                <c:pt idx="58">
                  <c:v>5333654.5042503448</c:v>
                </c:pt>
                <c:pt idx="59">
                  <c:v>6275377.558805679</c:v>
                </c:pt>
                <c:pt idx="60">
                  <c:v>6397150.1120626032</c:v>
                </c:pt>
                <c:pt idx="61">
                  <c:v>6043124.5591707714</c:v>
                </c:pt>
                <c:pt idx="62">
                  <c:v>5823009.0062789395</c:v>
                </c:pt>
                <c:pt idx="63">
                  <c:v>5161102.4533871077</c:v>
                </c:pt>
                <c:pt idx="64">
                  <c:v>5020546.9004952768</c:v>
                </c:pt>
                <c:pt idx="65">
                  <c:v>5552991.3476034449</c:v>
                </c:pt>
                <c:pt idx="66">
                  <c:v>6041461.7947116131</c:v>
                </c:pt>
                <c:pt idx="67">
                  <c:v>5593918.2418197813</c:v>
                </c:pt>
                <c:pt idx="68">
                  <c:v>5145149.6889279494</c:v>
                </c:pt>
                <c:pt idx="69">
                  <c:v>5977730.1360361176</c:v>
                </c:pt>
                <c:pt idx="70">
                  <c:v>8021249.5831442866</c:v>
                </c:pt>
                <c:pt idx="71">
                  <c:v>10556903.030252455</c:v>
                </c:pt>
              </c:numCache>
            </c:numRef>
          </c:val>
          <c:smooth val="0"/>
          <c:extLst>
            <c:ext xmlns:c16="http://schemas.microsoft.com/office/drawing/2014/chart" uri="{C3380CC4-5D6E-409C-BE32-E72D297353CC}">
              <c16:uniqueId val="{00000000-B561-4D82-AE55-0896A5AB78B0}"/>
            </c:ext>
          </c:extLst>
        </c:ser>
        <c:ser>
          <c:idx val="1"/>
          <c:order val="1"/>
          <c:tx>
            <c:strRef>
              <c:f>'GS&gt;50 (no LC) Norm Monthly WN'!$AE$1</c:f>
              <c:strCache>
                <c:ptCount val="1"/>
                <c:pt idx="0">
                  <c:v>Normalized</c:v>
                </c:pt>
              </c:strCache>
            </c:strRef>
          </c:tx>
          <c:spPr>
            <a:ln w="28575" cap="rnd">
              <a:solidFill>
                <a:schemeClr val="accent2"/>
              </a:solidFill>
              <a:round/>
            </a:ln>
            <a:effectLst/>
          </c:spPr>
          <c:marker>
            <c:symbol val="none"/>
          </c:marker>
          <c:cat>
            <c:numRef>
              <c:f>'GS&gt;50 (no LC) Norm Monthly WN'!$A$50:$A$145</c:f>
              <c:numCache>
                <c:formatCode>mmm\-yy</c:formatCode>
                <c:ptCount val="96"/>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46235</c:v>
                </c:pt>
                <c:pt idx="80">
                  <c:v>46266</c:v>
                </c:pt>
                <c:pt idx="81">
                  <c:v>46296</c:v>
                </c:pt>
                <c:pt idx="82">
                  <c:v>46327</c:v>
                </c:pt>
                <c:pt idx="83">
                  <c:v>46357</c:v>
                </c:pt>
                <c:pt idx="84">
                  <c:v>46388</c:v>
                </c:pt>
                <c:pt idx="85">
                  <c:v>46419</c:v>
                </c:pt>
                <c:pt idx="86">
                  <c:v>46447</c:v>
                </c:pt>
                <c:pt idx="87">
                  <c:v>46478</c:v>
                </c:pt>
                <c:pt idx="88">
                  <c:v>46508</c:v>
                </c:pt>
                <c:pt idx="89">
                  <c:v>46539</c:v>
                </c:pt>
                <c:pt idx="90">
                  <c:v>46569</c:v>
                </c:pt>
                <c:pt idx="91">
                  <c:v>46600</c:v>
                </c:pt>
                <c:pt idx="92">
                  <c:v>46631</c:v>
                </c:pt>
                <c:pt idx="93">
                  <c:v>46661</c:v>
                </c:pt>
                <c:pt idx="94">
                  <c:v>46692</c:v>
                </c:pt>
                <c:pt idx="95">
                  <c:v>46722</c:v>
                </c:pt>
              </c:numCache>
            </c:numRef>
          </c:cat>
          <c:val>
            <c:numRef>
              <c:f>'GS&gt;50 (no LC) Norm Monthly WN'!$AE$50:$AE$145</c:f>
              <c:numCache>
                <c:formatCode>_(* #,##0_);_(* \(#,##0\);_(* "-"??_);_(@_)</c:formatCode>
                <c:ptCount val="96"/>
                <c:pt idx="0">
                  <c:v>6735862.6090051066</c:v>
                </c:pt>
                <c:pt idx="1">
                  <c:v>6042710.3838852458</c:v>
                </c:pt>
                <c:pt idx="2">
                  <c:v>5844986.3593904721</c:v>
                </c:pt>
                <c:pt idx="3">
                  <c:v>5113315.5915942481</c:v>
                </c:pt>
                <c:pt idx="4">
                  <c:v>4747748.2752930569</c:v>
                </c:pt>
                <c:pt idx="5">
                  <c:v>5139729.7170404512</c:v>
                </c:pt>
                <c:pt idx="6">
                  <c:v>5635262.6785142673</c:v>
                </c:pt>
                <c:pt idx="7">
                  <c:v>5829989.1751239914</c:v>
                </c:pt>
                <c:pt idx="8">
                  <c:v>4936726.1702589169</c:v>
                </c:pt>
                <c:pt idx="9">
                  <c:v>5136080.8331384081</c:v>
                </c:pt>
                <c:pt idx="10">
                  <c:v>5480403.8061125912</c:v>
                </c:pt>
                <c:pt idx="11">
                  <c:v>6419957.7036028942</c:v>
                </c:pt>
                <c:pt idx="12">
                  <c:v>6047994.6557076545</c:v>
                </c:pt>
                <c:pt idx="13">
                  <c:v>5622214.1899670241</c:v>
                </c:pt>
                <c:pt idx="14">
                  <c:v>5943122.5580107523</c:v>
                </c:pt>
                <c:pt idx="15">
                  <c:v>4787081.3288669223</c:v>
                </c:pt>
                <c:pt idx="16">
                  <c:v>4928206.770258354</c:v>
                </c:pt>
                <c:pt idx="17">
                  <c:v>5220828.3771289717</c:v>
                </c:pt>
                <c:pt idx="18">
                  <c:v>5747066.6615290241</c:v>
                </c:pt>
                <c:pt idx="19">
                  <c:v>7235873.5620230418</c:v>
                </c:pt>
                <c:pt idx="20">
                  <c:v>7185053.1228945153</c:v>
                </c:pt>
                <c:pt idx="21">
                  <c:v>5546982.5539139584</c:v>
                </c:pt>
                <c:pt idx="22">
                  <c:v>5618945.6542933434</c:v>
                </c:pt>
                <c:pt idx="23">
                  <c:v>6161401.260320236</c:v>
                </c:pt>
                <c:pt idx="24">
                  <c:v>6654239.0644253995</c:v>
                </c:pt>
                <c:pt idx="25">
                  <c:v>6424021.3745572688</c:v>
                </c:pt>
                <c:pt idx="26">
                  <c:v>6014048.4803735297</c:v>
                </c:pt>
                <c:pt idx="27">
                  <c:v>5301001.4330255101</c:v>
                </c:pt>
                <c:pt idx="28">
                  <c:v>5238431.4026726168</c:v>
                </c:pt>
                <c:pt idx="29">
                  <c:v>5330827.855454728</c:v>
                </c:pt>
                <c:pt idx="30">
                  <c:v>5859376.2986824438</c:v>
                </c:pt>
                <c:pt idx="31">
                  <c:v>5800590.457287509</c:v>
                </c:pt>
                <c:pt idx="32">
                  <c:v>5271425.4750671787</c:v>
                </c:pt>
                <c:pt idx="33">
                  <c:v>5315611.5705372263</c:v>
                </c:pt>
                <c:pt idx="34">
                  <c:v>6567598.4782326901</c:v>
                </c:pt>
                <c:pt idx="35">
                  <c:v>6607914.4121708795</c:v>
                </c:pt>
                <c:pt idx="36">
                  <c:v>6350603.566591016</c:v>
                </c:pt>
                <c:pt idx="37">
                  <c:v>5723664.0024461411</c:v>
                </c:pt>
                <c:pt idx="38">
                  <c:v>5739562.7303519547</c:v>
                </c:pt>
                <c:pt idx="39">
                  <c:v>5363777.1712173792</c:v>
                </c:pt>
                <c:pt idx="40">
                  <c:v>5244352.5630773893</c:v>
                </c:pt>
                <c:pt idx="41">
                  <c:v>5420624.0914482847</c:v>
                </c:pt>
                <c:pt idx="42">
                  <c:v>5963384.6637620293</c:v>
                </c:pt>
                <c:pt idx="43">
                  <c:v>5702872.4011250753</c:v>
                </c:pt>
                <c:pt idx="44">
                  <c:v>5296369.8683967041</c:v>
                </c:pt>
                <c:pt idx="45">
                  <c:v>5320231.0647391975</c:v>
                </c:pt>
                <c:pt idx="46">
                  <c:v>5560801.5934125092</c:v>
                </c:pt>
                <c:pt idx="47">
                  <c:v>6277294.4044235535</c:v>
                </c:pt>
                <c:pt idx="48">
                  <c:v>6469018.2368022315</c:v>
                </c:pt>
                <c:pt idx="49">
                  <c:v>5876718.4999334561</c:v>
                </c:pt>
                <c:pt idx="50">
                  <c:v>5943944.1362150041</c:v>
                </c:pt>
                <c:pt idx="51">
                  <c:v>5218438.8622206766</c:v>
                </c:pt>
                <c:pt idx="52">
                  <c:v>5245061.5709945094</c:v>
                </c:pt>
                <c:pt idx="53">
                  <c:v>5303614.6252053129</c:v>
                </c:pt>
                <c:pt idx="54">
                  <c:v>5824723.6385630118</c:v>
                </c:pt>
                <c:pt idx="55">
                  <c:v>5598068.4748506555</c:v>
                </c:pt>
                <c:pt idx="56">
                  <c:v>5271382.3699384732</c:v>
                </c:pt>
                <c:pt idx="57">
                  <c:v>5375533.2936591348</c:v>
                </c:pt>
                <c:pt idx="58">
                  <c:v>5523109.4079234432</c:v>
                </c:pt>
                <c:pt idx="59">
                  <c:v>6314984.0085375374</c:v>
                </c:pt>
                <c:pt idx="60">
                  <c:v>6356772.8922773693</c:v>
                </c:pt>
                <c:pt idx="61">
                  <c:v>5924115.6677481756</c:v>
                </c:pt>
                <c:pt idx="62">
                  <c:v>5864210.966421823</c:v>
                </c:pt>
                <c:pt idx="63">
                  <c:v>5128008.0384059884</c:v>
                </c:pt>
                <c:pt idx="64">
                  <c:v>5102331.4250083799</c:v>
                </c:pt>
                <c:pt idx="65">
                  <c:v>5456390.3931351211</c:v>
                </c:pt>
                <c:pt idx="66">
                  <c:v>5938647.3961198041</c:v>
                </c:pt>
                <c:pt idx="67">
                  <c:v>5560174.9065355333</c:v>
                </c:pt>
                <c:pt idx="68">
                  <c:v>5216145.4887423879</c:v>
                </c:pt>
                <c:pt idx="69">
                  <c:v>5927692.2299857261</c:v>
                </c:pt>
                <c:pt idx="70">
                  <c:v>7992564.6494809575</c:v>
                </c:pt>
                <c:pt idx="71">
                  <c:v>10295851.403918432</c:v>
                </c:pt>
                <c:pt idx="72">
                  <c:v>6403224.3198527442</c:v>
                </c:pt>
                <c:pt idx="73">
                  <c:v>6124176.6829060065</c:v>
                </c:pt>
                <c:pt idx="74">
                  <c:v>5858804.8543185759</c:v>
                </c:pt>
                <c:pt idx="75">
                  <c:v>5321121.8594835037</c:v>
                </c:pt>
                <c:pt idx="76">
                  <c:v>5287277.3796212515</c:v>
                </c:pt>
                <c:pt idx="77">
                  <c:v>5560129.8606575085</c:v>
                </c:pt>
                <c:pt idx="78">
                  <c:v>5934430.7912260136</c:v>
                </c:pt>
                <c:pt idx="79">
                  <c:v>5751693.6037359284</c:v>
                </c:pt>
                <c:pt idx="80">
                  <c:v>5393886.7128946781</c:v>
                </c:pt>
                <c:pt idx="81">
                  <c:v>5328598.4829153102</c:v>
                </c:pt>
                <c:pt idx="82">
                  <c:v>5697986.5197771974</c:v>
                </c:pt>
                <c:pt idx="83">
                  <c:v>6145686.3128628563</c:v>
                </c:pt>
                <c:pt idx="84">
                  <c:v>6403224.3198527442</c:v>
                </c:pt>
                <c:pt idx="85">
                  <c:v>6124176.6829060065</c:v>
                </c:pt>
                <c:pt idx="86">
                  <c:v>5858804.8543185759</c:v>
                </c:pt>
                <c:pt idx="87">
                  <c:v>5321121.8594835037</c:v>
                </c:pt>
                <c:pt idx="88">
                  <c:v>5287277.3796212515</c:v>
                </c:pt>
                <c:pt idx="89">
                  <c:v>5560129.8606575085</c:v>
                </c:pt>
                <c:pt idx="90">
                  <c:v>5934430.7912260136</c:v>
                </c:pt>
                <c:pt idx="91">
                  <c:v>5751693.6037359284</c:v>
                </c:pt>
                <c:pt idx="92">
                  <c:v>5393886.7128946781</c:v>
                </c:pt>
                <c:pt idx="93">
                  <c:v>5328598.4829153102</c:v>
                </c:pt>
                <c:pt idx="94">
                  <c:v>5697986.5197771974</c:v>
                </c:pt>
                <c:pt idx="95">
                  <c:v>6145686.3128628563</c:v>
                </c:pt>
              </c:numCache>
            </c:numRef>
          </c:val>
          <c:smooth val="0"/>
          <c:extLst>
            <c:ext xmlns:c16="http://schemas.microsoft.com/office/drawing/2014/chart" uri="{C3380CC4-5D6E-409C-BE32-E72D297353CC}">
              <c16:uniqueId val="{00000001-B561-4D82-AE55-0896A5AB78B0}"/>
            </c:ext>
          </c:extLst>
        </c:ser>
        <c:dLbls>
          <c:showLegendKey val="0"/>
          <c:showVal val="0"/>
          <c:showCatName val="0"/>
          <c:showSerName val="0"/>
          <c:showPercent val="0"/>
          <c:showBubbleSize val="0"/>
        </c:dLbls>
        <c:smooth val="0"/>
        <c:axId val="177120384"/>
        <c:axId val="177121920"/>
      </c:lineChart>
      <c:dateAx>
        <c:axId val="177120384"/>
        <c:scaling>
          <c:orientation val="minMax"/>
        </c:scaling>
        <c:delete val="0"/>
        <c:axPos val="b"/>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121920"/>
        <c:crosses val="autoZero"/>
        <c:auto val="1"/>
        <c:lblOffset val="100"/>
        <c:baseTimeUnit val="months"/>
      </c:dateAx>
      <c:valAx>
        <c:axId val="177121920"/>
        <c:scaling>
          <c:orientation val="minMax"/>
        </c:scaling>
        <c:delete val="0"/>
        <c:axPos val="l"/>
        <c:majorGridlines>
          <c:spPr>
            <a:ln w="9525" cap="flat" cmpd="sng" algn="ctr">
              <a:solidFill>
                <a:schemeClr val="tx1">
                  <a:lumMod val="15000"/>
                  <a:lumOff val="85000"/>
                </a:schemeClr>
              </a:solidFill>
              <a:round/>
            </a:ln>
            <a:effectLst/>
          </c:spPr>
        </c:majorGridlines>
        <c:numFmt formatCode="_(* #,##0.00_);_(* \(#,##0.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12038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GS &gt; 50 (No LC)</a:t>
            </a:r>
          </a:p>
        </c:rich>
      </c:tx>
      <c:overlay val="0"/>
      <c:spPr>
        <a:noFill/>
        <a:ln>
          <a:noFill/>
        </a:ln>
        <a:effectLst/>
      </c:spPr>
    </c:title>
    <c:autoTitleDeleted val="0"/>
    <c:plotArea>
      <c:layout/>
      <c:lineChart>
        <c:grouping val="standard"/>
        <c:varyColors val="0"/>
        <c:ser>
          <c:idx val="0"/>
          <c:order val="0"/>
          <c:tx>
            <c:strRef>
              <c:f>'GS&gt;50 (no LC) Norm Monthly WN'!$F$1</c:f>
              <c:strCache>
                <c:ptCount val="1"/>
                <c:pt idx="0">
                  <c:v> GSgtxLCkWh_NoCDM </c:v>
                </c:pt>
              </c:strCache>
            </c:strRef>
          </c:tx>
          <c:spPr>
            <a:ln w="28575" cap="rnd">
              <a:solidFill>
                <a:schemeClr val="accent1"/>
              </a:solidFill>
              <a:round/>
            </a:ln>
            <a:effectLst/>
          </c:spPr>
          <c:marker>
            <c:symbol val="none"/>
          </c:marker>
          <c:cat>
            <c:numRef>
              <c:f>'GS&gt;50 (no LC) Norm Monthly WN'!$A$50:$A$145</c:f>
              <c:numCache>
                <c:formatCode>mmm\-yy</c:formatCode>
                <c:ptCount val="96"/>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46235</c:v>
                </c:pt>
                <c:pt idx="80">
                  <c:v>46266</c:v>
                </c:pt>
                <c:pt idx="81">
                  <c:v>46296</c:v>
                </c:pt>
                <c:pt idx="82">
                  <c:v>46327</c:v>
                </c:pt>
                <c:pt idx="83">
                  <c:v>46357</c:v>
                </c:pt>
                <c:pt idx="84">
                  <c:v>46388</c:v>
                </c:pt>
                <c:pt idx="85">
                  <c:v>46419</c:v>
                </c:pt>
                <c:pt idx="86">
                  <c:v>46447</c:v>
                </c:pt>
                <c:pt idx="87">
                  <c:v>46478</c:v>
                </c:pt>
                <c:pt idx="88">
                  <c:v>46508</c:v>
                </c:pt>
                <c:pt idx="89">
                  <c:v>46539</c:v>
                </c:pt>
                <c:pt idx="90">
                  <c:v>46569</c:v>
                </c:pt>
                <c:pt idx="91">
                  <c:v>46600</c:v>
                </c:pt>
                <c:pt idx="92">
                  <c:v>46631</c:v>
                </c:pt>
                <c:pt idx="93">
                  <c:v>46661</c:v>
                </c:pt>
                <c:pt idx="94">
                  <c:v>46692</c:v>
                </c:pt>
                <c:pt idx="95">
                  <c:v>46722</c:v>
                </c:pt>
              </c:numCache>
            </c:numRef>
          </c:cat>
          <c:val>
            <c:numRef>
              <c:f>'GS&gt;50 (no LC) Norm Monthly WN'!$F$50:$F$145</c:f>
              <c:numCache>
                <c:formatCode>_(* #,##0.00_);_(* \(#,##0.00\);_(* "-"??_);_(@_)</c:formatCode>
                <c:ptCount val="96"/>
                <c:pt idx="0">
                  <c:v>6499104.5027391547</c:v>
                </c:pt>
                <c:pt idx="1">
                  <c:v>5826037.580237926</c:v>
                </c:pt>
                <c:pt idx="2">
                  <c:v>5729872.4377366975</c:v>
                </c:pt>
                <c:pt idx="3">
                  <c:v>5131116.3752354672</c:v>
                </c:pt>
                <c:pt idx="4">
                  <c:v>4879869.4327342389</c:v>
                </c:pt>
                <c:pt idx="5">
                  <c:v>5169273.0902330102</c:v>
                </c:pt>
                <c:pt idx="6">
                  <c:v>5834268.8677317807</c:v>
                </c:pt>
                <c:pt idx="7">
                  <c:v>5670245.6852305522</c:v>
                </c:pt>
                <c:pt idx="8">
                  <c:v>4852010.7027293229</c:v>
                </c:pt>
                <c:pt idx="9">
                  <c:v>5145419.3202280933</c:v>
                </c:pt>
                <c:pt idx="10">
                  <c:v>5342094.1377268648</c:v>
                </c:pt>
                <c:pt idx="11">
                  <c:v>6319796.5552256359</c:v>
                </c:pt>
                <c:pt idx="12">
                  <c:v>5884963.3511189306</c:v>
                </c:pt>
                <c:pt idx="13">
                  <c:v>5632137.5500704683</c:v>
                </c:pt>
                <c:pt idx="14">
                  <c:v>5796811.3490220066</c:v>
                </c:pt>
                <c:pt idx="15">
                  <c:v>4671495.1705421582</c:v>
                </c:pt>
                <c:pt idx="16">
                  <c:v>4966693.1562202908</c:v>
                </c:pt>
                <c:pt idx="17">
                  <c:v>5384669.5568166608</c:v>
                </c:pt>
                <c:pt idx="18">
                  <c:v>5489211.7018636363</c:v>
                </c:pt>
                <c:pt idx="19">
                  <c:v>7520564.3288652841</c:v>
                </c:pt>
                <c:pt idx="20">
                  <c:v>7128334.4277345818</c:v>
                </c:pt>
                <c:pt idx="21">
                  <c:v>5534871.3747515306</c:v>
                </c:pt>
                <c:pt idx="22">
                  <c:v>5539307.5406343108</c:v>
                </c:pt>
                <c:pt idx="23">
                  <c:v>6020987.6595858485</c:v>
                </c:pt>
                <c:pt idx="24">
                  <c:v>6617393.2108332533</c:v>
                </c:pt>
                <c:pt idx="25">
                  <c:v>5876978.9395640362</c:v>
                </c:pt>
                <c:pt idx="26">
                  <c:v>6015307.8682948183</c:v>
                </c:pt>
                <c:pt idx="27">
                  <c:v>5243000.5970256003</c:v>
                </c:pt>
                <c:pt idx="28">
                  <c:v>5279093.3257563813</c:v>
                </c:pt>
                <c:pt idx="29">
                  <c:v>5269658.6544871647</c:v>
                </c:pt>
                <c:pt idx="30">
                  <c:v>5762288.9832179463</c:v>
                </c:pt>
                <c:pt idx="31">
                  <c:v>5786992.3119487278</c:v>
                </c:pt>
                <c:pt idx="32">
                  <c:v>5197002.8406795096</c:v>
                </c:pt>
                <c:pt idx="33">
                  <c:v>5264967.7694102917</c:v>
                </c:pt>
                <c:pt idx="34">
                  <c:v>5411251.898141074</c:v>
                </c:pt>
                <c:pt idx="35">
                  <c:v>5865795.4268718548</c:v>
                </c:pt>
                <c:pt idx="36">
                  <c:v>6111484.5173214637</c:v>
                </c:pt>
                <c:pt idx="37">
                  <c:v>5612165.2504506502</c:v>
                </c:pt>
                <c:pt idx="38">
                  <c:v>5717034.9835798396</c:v>
                </c:pt>
                <c:pt idx="39">
                  <c:v>5295320.7167090271</c:v>
                </c:pt>
                <c:pt idx="40">
                  <c:v>5193932.0498382142</c:v>
                </c:pt>
                <c:pt idx="41">
                  <c:v>5415159.1029674029</c:v>
                </c:pt>
                <c:pt idx="42">
                  <c:v>5909359.3160965908</c:v>
                </c:pt>
                <c:pt idx="43">
                  <c:v>5453866.5692257779</c:v>
                </c:pt>
                <c:pt idx="44">
                  <c:v>5341587.0623549661</c:v>
                </c:pt>
                <c:pt idx="45">
                  <c:v>5332068.0354841538</c:v>
                </c:pt>
                <c:pt idx="46">
                  <c:v>5500255.8086133422</c:v>
                </c:pt>
                <c:pt idx="47">
                  <c:v>5870549.5817425298</c:v>
                </c:pt>
                <c:pt idx="48">
                  <c:v>6249528.2786970027</c:v>
                </c:pt>
                <c:pt idx="49">
                  <c:v>5606591.5732523361</c:v>
                </c:pt>
                <c:pt idx="50">
                  <c:v>5626603.7478076704</c:v>
                </c:pt>
                <c:pt idx="51">
                  <c:v>5088750.3623630051</c:v>
                </c:pt>
                <c:pt idx="52">
                  <c:v>5269132.5769183394</c:v>
                </c:pt>
                <c:pt idx="53">
                  <c:v>5374140.2314736731</c:v>
                </c:pt>
                <c:pt idx="54">
                  <c:v>5841560.4860290075</c:v>
                </c:pt>
                <c:pt idx="55">
                  <c:v>5588607.1405843413</c:v>
                </c:pt>
                <c:pt idx="56">
                  <c:v>5358645.3951396765</c:v>
                </c:pt>
                <c:pt idx="57">
                  <c:v>5216942.0496950103</c:v>
                </c:pt>
                <c:pt idx="58">
                  <c:v>5269712.9042503452</c:v>
                </c:pt>
                <c:pt idx="59">
                  <c:v>5848692.7588056792</c:v>
                </c:pt>
                <c:pt idx="60">
                  <c:v>6253700.5120626036</c:v>
                </c:pt>
                <c:pt idx="61">
                  <c:v>5650064.5591707714</c:v>
                </c:pt>
                <c:pt idx="62">
                  <c:v>5728253.8062789394</c:v>
                </c:pt>
                <c:pt idx="63">
                  <c:v>5156675.2533871075</c:v>
                </c:pt>
                <c:pt idx="64">
                  <c:v>5014022.9004952768</c:v>
                </c:pt>
                <c:pt idx="65">
                  <c:v>5552694.7476034453</c:v>
                </c:pt>
                <c:pt idx="66">
                  <c:v>6038806.5947116129</c:v>
                </c:pt>
                <c:pt idx="67">
                  <c:v>5593679.8418197809</c:v>
                </c:pt>
                <c:pt idx="68">
                  <c:v>5118840.8889279496</c:v>
                </c:pt>
                <c:pt idx="69">
                  <c:v>5192044.5360361179</c:v>
                </c:pt>
                <c:pt idx="70">
                  <c:v>5479491.1831442863</c:v>
                </c:pt>
                <c:pt idx="71">
                  <c:v>6114849.4302524552</c:v>
                </c:pt>
              </c:numCache>
            </c:numRef>
          </c:val>
          <c:smooth val="0"/>
          <c:extLst>
            <c:ext xmlns:c16="http://schemas.microsoft.com/office/drawing/2014/chart" uri="{C3380CC4-5D6E-409C-BE32-E72D297353CC}">
              <c16:uniqueId val="{00000000-107D-4944-99DE-0FB9187510F5}"/>
            </c:ext>
          </c:extLst>
        </c:ser>
        <c:ser>
          <c:idx val="1"/>
          <c:order val="1"/>
          <c:tx>
            <c:strRef>
              <c:f>'GS&gt;50 (no LC) Norm Monthly WN'!$AE$1</c:f>
              <c:strCache>
                <c:ptCount val="1"/>
                <c:pt idx="0">
                  <c:v>Normalized</c:v>
                </c:pt>
              </c:strCache>
            </c:strRef>
          </c:tx>
          <c:marker>
            <c:symbol val="none"/>
          </c:marker>
          <c:cat>
            <c:numRef>
              <c:f>'GS&gt;50 (no LC) Norm Monthly WN'!$A$50:$A$145</c:f>
              <c:numCache>
                <c:formatCode>mmm\-yy</c:formatCode>
                <c:ptCount val="96"/>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pt idx="43">
                  <c:v>45139</c:v>
                </c:pt>
                <c:pt idx="44">
                  <c:v>45170</c:v>
                </c:pt>
                <c:pt idx="45">
                  <c:v>45200</c:v>
                </c:pt>
                <c:pt idx="46">
                  <c:v>45231</c:v>
                </c:pt>
                <c:pt idx="47">
                  <c:v>45261</c:v>
                </c:pt>
                <c:pt idx="48">
                  <c:v>45292</c:v>
                </c:pt>
                <c:pt idx="49">
                  <c:v>45323</c:v>
                </c:pt>
                <c:pt idx="50">
                  <c:v>45352</c:v>
                </c:pt>
                <c:pt idx="51">
                  <c:v>45383</c:v>
                </c:pt>
                <c:pt idx="52">
                  <c:v>45413</c:v>
                </c:pt>
                <c:pt idx="53">
                  <c:v>45444</c:v>
                </c:pt>
                <c:pt idx="54">
                  <c:v>45474</c:v>
                </c:pt>
                <c:pt idx="55">
                  <c:v>45505</c:v>
                </c:pt>
                <c:pt idx="56">
                  <c:v>45536</c:v>
                </c:pt>
                <c:pt idx="57">
                  <c:v>45566</c:v>
                </c:pt>
                <c:pt idx="58">
                  <c:v>45597</c:v>
                </c:pt>
                <c:pt idx="59">
                  <c:v>45627</c:v>
                </c:pt>
                <c:pt idx="60">
                  <c:v>45658</c:v>
                </c:pt>
                <c:pt idx="61">
                  <c:v>45689</c:v>
                </c:pt>
                <c:pt idx="62">
                  <c:v>45717</c:v>
                </c:pt>
                <c:pt idx="63">
                  <c:v>45748</c:v>
                </c:pt>
                <c:pt idx="64">
                  <c:v>45778</c:v>
                </c:pt>
                <c:pt idx="65">
                  <c:v>45809</c:v>
                </c:pt>
                <c:pt idx="66">
                  <c:v>45839</c:v>
                </c:pt>
                <c:pt idx="67">
                  <c:v>45870</c:v>
                </c:pt>
                <c:pt idx="68">
                  <c:v>45901</c:v>
                </c:pt>
                <c:pt idx="69">
                  <c:v>45931</c:v>
                </c:pt>
                <c:pt idx="70">
                  <c:v>45962</c:v>
                </c:pt>
                <c:pt idx="71">
                  <c:v>45992</c:v>
                </c:pt>
                <c:pt idx="72">
                  <c:v>46023</c:v>
                </c:pt>
                <c:pt idx="73">
                  <c:v>46054</c:v>
                </c:pt>
                <c:pt idx="74">
                  <c:v>46082</c:v>
                </c:pt>
                <c:pt idx="75">
                  <c:v>46113</c:v>
                </c:pt>
                <c:pt idx="76">
                  <c:v>46143</c:v>
                </c:pt>
                <c:pt idx="77">
                  <c:v>46174</c:v>
                </c:pt>
                <c:pt idx="78">
                  <c:v>46204</c:v>
                </c:pt>
                <c:pt idx="79">
                  <c:v>46235</c:v>
                </c:pt>
                <c:pt idx="80">
                  <c:v>46266</c:v>
                </c:pt>
                <c:pt idx="81">
                  <c:v>46296</c:v>
                </c:pt>
                <c:pt idx="82">
                  <c:v>46327</c:v>
                </c:pt>
                <c:pt idx="83">
                  <c:v>46357</c:v>
                </c:pt>
                <c:pt idx="84">
                  <c:v>46388</c:v>
                </c:pt>
                <c:pt idx="85">
                  <c:v>46419</c:v>
                </c:pt>
                <c:pt idx="86">
                  <c:v>46447</c:v>
                </c:pt>
                <c:pt idx="87">
                  <c:v>46478</c:v>
                </c:pt>
                <c:pt idx="88">
                  <c:v>46508</c:v>
                </c:pt>
                <c:pt idx="89">
                  <c:v>46539</c:v>
                </c:pt>
                <c:pt idx="90">
                  <c:v>46569</c:v>
                </c:pt>
                <c:pt idx="91">
                  <c:v>46600</c:v>
                </c:pt>
                <c:pt idx="92">
                  <c:v>46631</c:v>
                </c:pt>
                <c:pt idx="93">
                  <c:v>46661</c:v>
                </c:pt>
                <c:pt idx="94">
                  <c:v>46692</c:v>
                </c:pt>
                <c:pt idx="95">
                  <c:v>46722</c:v>
                </c:pt>
              </c:numCache>
            </c:numRef>
          </c:cat>
          <c:val>
            <c:numRef>
              <c:f>'GS&gt;50 (no LC) Norm Monthly WN'!$O$50:$O$145</c:f>
              <c:numCache>
                <c:formatCode>_(* #,##0_);_(* \(#,##0\);_(* "-"??_);_(@_)</c:formatCode>
                <c:ptCount val="96"/>
                <c:pt idx="0">
                  <c:v>6645138.9596975483</c:v>
                </c:pt>
                <c:pt idx="1">
                  <c:v>5824810.8498923844</c:v>
                </c:pt>
                <c:pt idx="2">
                  <c:v>5820356.6386212017</c:v>
                </c:pt>
                <c:pt idx="3">
                  <c:v>5114171.1188217578</c:v>
                </c:pt>
                <c:pt idx="4">
                  <c:v>4756499.9410072304</c:v>
                </c:pt>
                <c:pt idx="5">
                  <c:v>5136515.1383505883</c:v>
                </c:pt>
                <c:pt idx="6">
                  <c:v>5586500.5677896636</c:v>
                </c:pt>
                <c:pt idx="7">
                  <c:v>5827492.5307953982</c:v>
                </c:pt>
                <c:pt idx="8">
                  <c:v>4943098.8518304611</c:v>
                </c:pt>
                <c:pt idx="9">
                  <c:v>5148173.2809147304</c:v>
                </c:pt>
                <c:pt idx="10">
                  <c:v>5461587.2213516133</c:v>
                </c:pt>
                <c:pt idx="11">
                  <c:v>6404188.6565117054</c:v>
                </c:pt>
                <c:pt idx="12">
                  <c:v>6027543.8602699796</c:v>
                </c:pt>
                <c:pt idx="13">
                  <c:v>5594885.5652203783</c:v>
                </c:pt>
                <c:pt idx="14">
                  <c:v>5899462.2120633489</c:v>
                </c:pt>
                <c:pt idx="15">
                  <c:v>4769186.0158416964</c:v>
                </c:pt>
                <c:pt idx="16">
                  <c:v>4930769.3254773077</c:v>
                </c:pt>
                <c:pt idx="17">
                  <c:v>5210868.5483580492</c:v>
                </c:pt>
                <c:pt idx="18">
                  <c:v>5737353.2067709696</c:v>
                </c:pt>
                <c:pt idx="19">
                  <c:v>7230167.036419807</c:v>
                </c:pt>
                <c:pt idx="20">
                  <c:v>7174463.1800040472</c:v>
                </c:pt>
                <c:pt idx="21">
                  <c:v>5531171.6926093111</c:v>
                </c:pt>
                <c:pt idx="22">
                  <c:v>5568012.2625231212</c:v>
                </c:pt>
                <c:pt idx="23">
                  <c:v>6132495.1807393609</c:v>
                </c:pt>
                <c:pt idx="24">
                  <c:v>6144842.9817140866</c:v>
                </c:pt>
                <c:pt idx="25">
                  <c:v>5789133.3728655661</c:v>
                </c:pt>
                <c:pt idx="26">
                  <c:v>6001170.2534730239</c:v>
                </c:pt>
                <c:pt idx="27">
                  <c:v>5298620.3039806876</c:v>
                </c:pt>
                <c:pt idx="28">
                  <c:v>5221442.4733312987</c:v>
                </c:pt>
                <c:pt idx="29">
                  <c:v>5331987.2002645461</c:v>
                </c:pt>
                <c:pt idx="30">
                  <c:v>5856432.5265802303</c:v>
                </c:pt>
                <c:pt idx="31">
                  <c:v>5785011.5934214126</c:v>
                </c:pt>
                <c:pt idx="32">
                  <c:v>5275410.731901505</c:v>
                </c:pt>
                <c:pt idx="33">
                  <c:v>5308841.8361175042</c:v>
                </c:pt>
                <c:pt idx="34">
                  <c:v>5472003.2079635113</c:v>
                </c:pt>
                <c:pt idx="35">
                  <c:v>6071664.2232481139</c:v>
                </c:pt>
                <c:pt idx="36">
                  <c:v>6326289.1976618655</c:v>
                </c:pt>
                <c:pt idx="37">
                  <c:v>5637103.6219305862</c:v>
                </c:pt>
                <c:pt idx="38">
                  <c:v>5736607.1275258251</c:v>
                </c:pt>
                <c:pt idx="39">
                  <c:v>5348024.6635220591</c:v>
                </c:pt>
                <c:pt idx="40">
                  <c:v>5239688.9800371872</c:v>
                </c:pt>
                <c:pt idx="41">
                  <c:v>5398138.4907026822</c:v>
                </c:pt>
                <c:pt idx="42">
                  <c:v>5961816.7416311484</c:v>
                </c:pt>
                <c:pt idx="43">
                  <c:v>5657341.4095945386</c:v>
                </c:pt>
                <c:pt idx="44">
                  <c:v>5295013.6216459079</c:v>
                </c:pt>
                <c:pt idx="45">
                  <c:v>5300369.6018644739</c:v>
                </c:pt>
                <c:pt idx="46">
                  <c:v>5454975.6177629642</c:v>
                </c:pt>
                <c:pt idx="47">
                  <c:v>6100248.6884096917</c:v>
                </c:pt>
                <c:pt idx="48">
                  <c:v>6447439.4880579021</c:v>
                </c:pt>
                <c:pt idx="49">
                  <c:v>5819499.9590633148</c:v>
                </c:pt>
                <c:pt idx="50">
                  <c:v>5862722.9826359767</c:v>
                </c:pt>
                <c:pt idx="51">
                  <c:v>5207359.1276267264</c:v>
                </c:pt>
                <c:pt idx="52">
                  <c:v>5230585.338741025</c:v>
                </c:pt>
                <c:pt idx="53">
                  <c:v>5301430.9633114375</c:v>
                </c:pt>
                <c:pt idx="54">
                  <c:v>5816771.8932242962</c:v>
                </c:pt>
                <c:pt idx="55">
                  <c:v>5599483.6157255983</c:v>
                </c:pt>
                <c:pt idx="56">
                  <c:v>5261758.3120462578</c:v>
                </c:pt>
                <c:pt idx="57">
                  <c:v>5226403.0895776851</c:v>
                </c:pt>
                <c:pt idx="58">
                  <c:v>5442879.6088120928</c:v>
                </c:pt>
                <c:pt idx="59">
                  <c:v>5885081.7390988786</c:v>
                </c:pt>
                <c:pt idx="60">
                  <c:v>6216603.3759899102</c:v>
                </c:pt>
                <c:pt idx="61">
                  <c:v>5540723.4737159722</c:v>
                </c:pt>
                <c:pt idx="62">
                  <c:v>5766156.9581410037</c:v>
                </c:pt>
                <c:pt idx="63">
                  <c:v>5125798.4414902041</c:v>
                </c:pt>
                <c:pt idx="64">
                  <c:v>5096716.9101323364</c:v>
                </c:pt>
                <c:pt idx="65">
                  <c:v>5454668.0814738469</c:v>
                </c:pt>
                <c:pt idx="66">
                  <c:v>5935634.2540309681</c:v>
                </c:pt>
                <c:pt idx="67">
                  <c:v>5562520.8808330353</c:v>
                </c:pt>
                <c:pt idx="68">
                  <c:v>5192334.0087258639</c:v>
                </c:pt>
                <c:pt idx="69">
                  <c:v>5138646.9988475814</c:v>
                </c:pt>
                <c:pt idx="70">
                  <c:v>5455151.7568633044</c:v>
                </c:pt>
                <c:pt idx="71">
                  <c:v>5875004.5930986879</c:v>
                </c:pt>
                <c:pt idx="72">
                  <c:v>6238679.9022360891</c:v>
                </c:pt>
                <c:pt idx="73">
                  <c:v>5982300.9783369629</c:v>
                </c:pt>
                <c:pt idx="74">
                  <c:v>5738535.1689049443</c:v>
                </c:pt>
                <c:pt idx="75">
                  <c:v>5247877.8396572554</c:v>
                </c:pt>
                <c:pt idx="76">
                  <c:v>5262292.4583334047</c:v>
                </c:pt>
                <c:pt idx="77">
                  <c:v>5563835.3712091958</c:v>
                </c:pt>
                <c:pt idx="78">
                  <c:v>5951912.0391704077</c:v>
                </c:pt>
                <c:pt idx="79">
                  <c:v>5763133.2140424168</c:v>
                </c:pt>
                <c:pt idx="80">
                  <c:v>5284521.8893176802</c:v>
                </c:pt>
                <c:pt idx="81">
                  <c:v>5178907.294528462</c:v>
                </c:pt>
                <c:pt idx="82">
                  <c:v>5502736.5373922354</c:v>
                </c:pt>
                <c:pt idx="83">
                  <c:v>6002063.2520553321</c:v>
                </c:pt>
                <c:pt idx="84">
                  <c:v>6238679.9022360891</c:v>
                </c:pt>
                <c:pt idx="85">
                  <c:v>5982300.9783369629</c:v>
                </c:pt>
                <c:pt idx="86">
                  <c:v>5738535.1689049443</c:v>
                </c:pt>
                <c:pt idx="87">
                  <c:v>5247877.8396572554</c:v>
                </c:pt>
                <c:pt idx="88">
                  <c:v>5262292.4583334047</c:v>
                </c:pt>
                <c:pt idx="89">
                  <c:v>5563835.3712091958</c:v>
                </c:pt>
                <c:pt idx="90">
                  <c:v>5951912.0391704077</c:v>
                </c:pt>
                <c:pt idx="91">
                  <c:v>5763133.2140424168</c:v>
                </c:pt>
                <c:pt idx="92">
                  <c:v>5284521.8893176802</c:v>
                </c:pt>
                <c:pt idx="93">
                  <c:v>5178907.294528462</c:v>
                </c:pt>
                <c:pt idx="94">
                  <c:v>5502736.5373922354</c:v>
                </c:pt>
                <c:pt idx="95">
                  <c:v>6002063.2520553321</c:v>
                </c:pt>
              </c:numCache>
            </c:numRef>
          </c:val>
          <c:smooth val="0"/>
          <c:extLst>
            <c:ext xmlns:c16="http://schemas.microsoft.com/office/drawing/2014/chart" uri="{C3380CC4-5D6E-409C-BE32-E72D297353CC}">
              <c16:uniqueId val="{00000001-107D-4944-99DE-0FB9187510F5}"/>
            </c:ext>
          </c:extLst>
        </c:ser>
        <c:dLbls>
          <c:showLegendKey val="0"/>
          <c:showVal val="0"/>
          <c:showCatName val="0"/>
          <c:showSerName val="0"/>
          <c:showPercent val="0"/>
          <c:showBubbleSize val="0"/>
        </c:dLbls>
        <c:smooth val="0"/>
        <c:axId val="177120384"/>
        <c:axId val="177121920"/>
      </c:lineChart>
      <c:dateAx>
        <c:axId val="177120384"/>
        <c:scaling>
          <c:orientation val="minMax"/>
        </c:scaling>
        <c:delete val="0"/>
        <c:axPos val="b"/>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121920"/>
        <c:crosses val="autoZero"/>
        <c:auto val="1"/>
        <c:lblOffset val="100"/>
        <c:baseTimeUnit val="months"/>
      </c:dateAx>
      <c:valAx>
        <c:axId val="177121920"/>
        <c:scaling>
          <c:orientation val="minMax"/>
        </c:scaling>
        <c:delete val="0"/>
        <c:axPos val="l"/>
        <c:majorGridlines>
          <c:spPr>
            <a:ln w="9525" cap="flat" cmpd="sng" algn="ctr">
              <a:solidFill>
                <a:schemeClr val="tx1">
                  <a:lumMod val="15000"/>
                  <a:lumOff val="85000"/>
                </a:schemeClr>
              </a:solidFill>
              <a:round/>
            </a:ln>
            <a:effectLst/>
          </c:spPr>
        </c:majorGridlines>
        <c:numFmt formatCode="_(* #,##0.00_);_(* \(#,##0.0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12038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'Normalized Annual Summary'!$C$3</c:f>
              <c:strCache>
                <c:ptCount val="1"/>
                <c:pt idx="0">
                  <c:v>Actual</c:v>
                </c:pt>
              </c:strCache>
            </c:strRef>
          </c:tx>
          <c:spPr>
            <a:ln w="28575" cap="rnd">
              <a:solidFill>
                <a:schemeClr val="accent1"/>
              </a:solidFill>
              <a:round/>
            </a:ln>
            <a:effectLst/>
          </c:spPr>
          <c:marker>
            <c:symbol val="none"/>
          </c:marker>
          <c:cat>
            <c:numRef>
              <c:f>'Normalized Annual Summary'!$B$5:$B$16</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'Normalized Annual Summary'!$C$5:$C$16</c:f>
              <c:numCache>
                <c:formatCode>#,##0</c:formatCode>
                <c:ptCount val="12"/>
                <c:pt idx="0">
                  <c:v>76635115</c:v>
                </c:pt>
                <c:pt idx="1">
                  <c:v>76119517.019999996</c:v>
                </c:pt>
                <c:pt idx="2">
                  <c:v>81716499</c:v>
                </c:pt>
                <c:pt idx="3">
                  <c:v>85932903</c:v>
                </c:pt>
                <c:pt idx="4">
                  <c:v>85141857</c:v>
                </c:pt>
                <c:pt idx="5">
                  <c:v>85333074.640000001</c:v>
                </c:pt>
                <c:pt idx="6">
                  <c:v>86112039</c:v>
                </c:pt>
                <c:pt idx="7">
                  <c:v>85022917</c:v>
                </c:pt>
                <c:pt idx="8">
                  <c:v>86752528</c:v>
                </c:pt>
                <c:pt idx="9">
                  <c:v>90973051</c:v>
                </c:pt>
              </c:numCache>
            </c:numRef>
          </c:val>
          <c:smooth val="0"/>
          <c:extLst>
            <c:ext xmlns:c16="http://schemas.microsoft.com/office/drawing/2014/chart" uri="{C3380CC4-5D6E-409C-BE32-E72D297353CC}">
              <c16:uniqueId val="{00000000-8DE2-4E16-B54F-952CEB5448A4}"/>
            </c:ext>
          </c:extLst>
        </c:ser>
        <c:ser>
          <c:idx val="1"/>
          <c:order val="1"/>
          <c:tx>
            <c:strRef>
              <c:f>'Normalized Annual Summary'!$E$3</c:f>
              <c:strCache>
                <c:ptCount val="1"/>
                <c:pt idx="0">
                  <c:v>Actual No CDM</c:v>
                </c:pt>
              </c:strCache>
            </c:strRef>
          </c:tx>
          <c:spPr>
            <a:ln w="28575" cap="rnd">
              <a:solidFill>
                <a:schemeClr val="accent2"/>
              </a:solidFill>
              <a:round/>
            </a:ln>
            <a:effectLst/>
          </c:spPr>
          <c:marker>
            <c:symbol val="none"/>
          </c:marker>
          <c:cat>
            <c:numRef>
              <c:f>'Normalized Annual Summary'!$B$5:$B$16</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'Normalized Annual Summary'!$E$5:$E$16</c:f>
              <c:numCache>
                <c:formatCode>#,##0</c:formatCode>
                <c:ptCount val="12"/>
                <c:pt idx="0">
                  <c:v>77024706.5</c:v>
                </c:pt>
                <c:pt idx="1">
                  <c:v>77499466.519999996</c:v>
                </c:pt>
                <c:pt idx="2">
                  <c:v>83578765.401635692</c:v>
                </c:pt>
                <c:pt idx="3">
                  <c:v>87874875.305112973</c:v>
                </c:pt>
                <c:pt idx="4">
                  <c:v>87084144.305112973</c:v>
                </c:pt>
                <c:pt idx="5">
                  <c:v>87284957.413936108</c:v>
                </c:pt>
                <c:pt idx="6">
                  <c:v>88081157.296012342</c:v>
                </c:pt>
                <c:pt idx="7">
                  <c:v>87011012.248750299</c:v>
                </c:pt>
                <c:pt idx="8">
                  <c:v>88808415.569124147</c:v>
                </c:pt>
                <c:pt idx="9">
                  <c:v>93157276.854925826</c:v>
                </c:pt>
              </c:numCache>
            </c:numRef>
          </c:val>
          <c:smooth val="0"/>
          <c:extLst>
            <c:ext xmlns:c16="http://schemas.microsoft.com/office/drawing/2014/chart" uri="{C3380CC4-5D6E-409C-BE32-E72D297353CC}">
              <c16:uniqueId val="{00000001-8DE2-4E16-B54F-952CEB5448A4}"/>
            </c:ext>
          </c:extLst>
        </c:ser>
        <c:ser>
          <c:idx val="2"/>
          <c:order val="2"/>
          <c:tx>
            <c:v>Normal No CDM</c:v>
          </c:tx>
          <c:spPr>
            <a:ln w="28575" cap="rnd">
              <a:solidFill>
                <a:schemeClr val="accent3"/>
              </a:solidFill>
              <a:round/>
            </a:ln>
            <a:effectLst/>
          </c:spPr>
          <c:marker>
            <c:symbol val="none"/>
          </c:marker>
          <c:cat>
            <c:numRef>
              <c:f>'Normalized Annual Summary'!$B$5:$B$16</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'Normalized Annual Summary'!$F$5:$F$16</c:f>
              <c:numCache>
                <c:formatCode>#,##0</c:formatCode>
                <c:ptCount val="12"/>
                <c:pt idx="0">
                  <c:v>76024917.630102694</c:v>
                </c:pt>
                <c:pt idx="1">
                  <c:v>77544372.29779838</c:v>
                </c:pt>
                <c:pt idx="2">
                  <c:v>80030965.088798404</c:v>
                </c:pt>
                <c:pt idx="3">
                  <c:v>81702667.119763464</c:v>
                </c:pt>
                <c:pt idx="4">
                  <c:v>86678262.004335776</c:v>
                </c:pt>
                <c:pt idx="5">
                  <c:v>88518951.755734608</c:v>
                </c:pt>
                <c:pt idx="6">
                  <c:v>89113628.4238666</c:v>
                </c:pt>
                <c:pt idx="7">
                  <c:v>89614079.217402667</c:v>
                </c:pt>
                <c:pt idx="8">
                  <c:v>90734970.964648008</c:v>
                </c:pt>
                <c:pt idx="9">
                  <c:v>91467484.21404013</c:v>
                </c:pt>
                <c:pt idx="10">
                  <c:v>93312107.586049333</c:v>
                </c:pt>
                <c:pt idx="11">
                  <c:v>94789646.309641719</c:v>
                </c:pt>
              </c:numCache>
            </c:numRef>
          </c:val>
          <c:smooth val="0"/>
          <c:extLst>
            <c:ext xmlns:c16="http://schemas.microsoft.com/office/drawing/2014/chart" uri="{C3380CC4-5D6E-409C-BE32-E72D297353CC}">
              <c16:uniqueId val="{00000002-8DE2-4E16-B54F-952CEB5448A4}"/>
            </c:ext>
          </c:extLst>
        </c:ser>
        <c:ser>
          <c:idx val="3"/>
          <c:order val="3"/>
          <c:tx>
            <c:strRef>
              <c:f>'Normalized Annual Summary'!$J$3</c:f>
              <c:strCache>
                <c:ptCount val="1"/>
                <c:pt idx="0">
                  <c:v>Normalized with Additional Loads</c:v>
                </c:pt>
              </c:strCache>
            </c:strRef>
          </c:tx>
          <c:marker>
            <c:symbol val="none"/>
          </c:marker>
          <c:cat>
            <c:numRef>
              <c:f>'Normalized Annual Summary'!$B$5:$B$16</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'Normalized Annual Summary'!$J$5:$J$16</c:f>
              <c:numCache>
                <c:formatCode>#,##0</c:formatCode>
                <c:ptCount val="12"/>
                <c:pt idx="0">
                  <c:v>75635326.130102694</c:v>
                </c:pt>
                <c:pt idx="1">
                  <c:v>76164422.79779838</c:v>
                </c:pt>
                <c:pt idx="2">
                  <c:v>78168698.687162712</c:v>
                </c:pt>
                <c:pt idx="3">
                  <c:v>79760694.814650491</c:v>
                </c:pt>
                <c:pt idx="4">
                  <c:v>84735974.699222803</c:v>
                </c:pt>
                <c:pt idx="5">
                  <c:v>86567068.9817985</c:v>
                </c:pt>
                <c:pt idx="6">
                  <c:v>87144510.127854258</c:v>
                </c:pt>
                <c:pt idx="7">
                  <c:v>87625983.968652368</c:v>
                </c:pt>
                <c:pt idx="8">
                  <c:v>88679083.395523861</c:v>
                </c:pt>
                <c:pt idx="9">
                  <c:v>89283258.359114304</c:v>
                </c:pt>
                <c:pt idx="10">
                  <c:v>91407174.748566478</c:v>
                </c:pt>
                <c:pt idx="11">
                  <c:v>93232928.198050857</c:v>
                </c:pt>
              </c:numCache>
            </c:numRef>
          </c:val>
          <c:smooth val="0"/>
          <c:extLst>
            <c:ext xmlns:c16="http://schemas.microsoft.com/office/drawing/2014/chart" uri="{C3380CC4-5D6E-409C-BE32-E72D297353CC}">
              <c16:uniqueId val="{00000003-8DE2-4E16-B54F-952CEB5448A4}"/>
            </c:ext>
          </c:extLst>
        </c:ser>
        <c:dLbls>
          <c:showLegendKey val="0"/>
          <c:showVal val="0"/>
          <c:showCatName val="0"/>
          <c:showSerName val="0"/>
          <c:showPercent val="0"/>
          <c:showBubbleSize val="0"/>
        </c:dLbls>
        <c:smooth val="0"/>
        <c:axId val="177840896"/>
        <c:axId val="177842432"/>
      </c:lineChart>
      <c:catAx>
        <c:axId val="1778408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842432"/>
        <c:crosses val="autoZero"/>
        <c:auto val="1"/>
        <c:lblAlgn val="ctr"/>
        <c:lblOffset val="100"/>
        <c:noMultiLvlLbl val="0"/>
      </c:catAx>
      <c:valAx>
        <c:axId val="177842432"/>
        <c:scaling>
          <c:orientation val="minMax"/>
          <c:min val="60000000"/>
        </c:scaling>
        <c:delete val="0"/>
        <c:axPos val="l"/>
        <c:majorGridlines>
          <c:spPr>
            <a:ln w="9525" cap="flat" cmpd="sng" algn="ctr">
              <a:solidFill>
                <a:schemeClr val="tx1">
                  <a:lumMod val="15000"/>
                  <a:lumOff val="85000"/>
                </a:schemeClr>
              </a:solidFill>
              <a:round/>
            </a:ln>
            <a:effectLst/>
          </c:spPr>
        </c:majorGridlines>
        <c:title>
          <c:tx>
            <c:rich>
              <a:bodyPr/>
              <a:lstStyle/>
              <a:p>
                <a:pPr>
                  <a:defRPr/>
                </a:pPr>
                <a:r>
                  <a:rPr lang="en-US"/>
                  <a:t>Annual Consumption (kWh)</a:t>
                </a:r>
              </a:p>
            </c:rich>
          </c:tx>
          <c:overlay val="0"/>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8408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'Normalized Annual Summary'!$M$3</c:f>
              <c:strCache>
                <c:ptCount val="1"/>
                <c:pt idx="0">
                  <c:v>Actual</c:v>
                </c:pt>
              </c:strCache>
            </c:strRef>
          </c:tx>
          <c:spPr>
            <a:ln w="28575" cap="rnd">
              <a:solidFill>
                <a:schemeClr val="accent1"/>
              </a:solidFill>
              <a:round/>
            </a:ln>
            <a:effectLst/>
          </c:spPr>
          <c:marker>
            <c:symbol val="none"/>
          </c:marker>
          <c:cat>
            <c:numRef>
              <c:f>'Normalized Annual Summary'!$L$5:$L$16</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'Normalized Annual Summary'!$M$5:$M$16</c:f>
              <c:numCache>
                <c:formatCode>#,##0</c:formatCode>
                <c:ptCount val="12"/>
                <c:pt idx="0">
                  <c:v>29514061</c:v>
                </c:pt>
                <c:pt idx="1">
                  <c:v>28872534</c:v>
                </c:pt>
                <c:pt idx="2">
                  <c:v>30060062</c:v>
                </c:pt>
                <c:pt idx="3">
                  <c:v>30767208</c:v>
                </c:pt>
                <c:pt idx="4">
                  <c:v>26233400</c:v>
                </c:pt>
                <c:pt idx="5">
                  <c:v>27003038.649999999</c:v>
                </c:pt>
                <c:pt idx="6">
                  <c:v>28785066</c:v>
                </c:pt>
                <c:pt idx="7">
                  <c:v>29063129</c:v>
                </c:pt>
                <c:pt idx="8">
                  <c:v>29356697</c:v>
                </c:pt>
                <c:pt idx="9">
                  <c:v>30749969</c:v>
                </c:pt>
              </c:numCache>
            </c:numRef>
          </c:val>
          <c:smooth val="0"/>
          <c:extLst>
            <c:ext xmlns:c16="http://schemas.microsoft.com/office/drawing/2014/chart" uri="{C3380CC4-5D6E-409C-BE32-E72D297353CC}">
              <c16:uniqueId val="{00000000-5FF4-4DA4-9875-10FB45B051C5}"/>
            </c:ext>
          </c:extLst>
        </c:ser>
        <c:ser>
          <c:idx val="1"/>
          <c:order val="1"/>
          <c:tx>
            <c:strRef>
              <c:f>'Normalized Annual Summary'!$O$3</c:f>
              <c:strCache>
                <c:ptCount val="1"/>
                <c:pt idx="0">
                  <c:v>Actual No CDM</c:v>
                </c:pt>
              </c:strCache>
            </c:strRef>
          </c:tx>
          <c:spPr>
            <a:ln w="28575" cap="rnd">
              <a:solidFill>
                <a:schemeClr val="accent2"/>
              </a:solidFill>
              <a:round/>
            </a:ln>
            <a:effectLst/>
          </c:spPr>
          <c:marker>
            <c:symbol val="none"/>
          </c:marker>
          <c:cat>
            <c:numRef>
              <c:f>'Normalized Annual Summary'!$L$5:$L$16</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'Normalized Annual Summary'!$O$5:$O$16</c:f>
              <c:numCache>
                <c:formatCode>#,##0</c:formatCode>
                <c:ptCount val="12"/>
                <c:pt idx="0">
                  <c:v>29877372.5</c:v>
                </c:pt>
                <c:pt idx="1">
                  <c:v>29920648.25</c:v>
                </c:pt>
                <c:pt idx="2">
                  <c:v>31714630.431263771</c:v>
                </c:pt>
                <c:pt idx="3">
                  <c:v>32703083.382904623</c:v>
                </c:pt>
                <c:pt idx="4">
                  <c:v>28109315.408435535</c:v>
                </c:pt>
                <c:pt idx="5">
                  <c:v>29009356.332179528</c:v>
                </c:pt>
                <c:pt idx="6">
                  <c:v>31199528.132652268</c:v>
                </c:pt>
                <c:pt idx="7">
                  <c:v>31728197.147761699</c:v>
                </c:pt>
                <c:pt idx="8">
                  <c:v>32322808.851253755</c:v>
                </c:pt>
                <c:pt idx="9">
                  <c:v>34041750.909477159</c:v>
                </c:pt>
              </c:numCache>
            </c:numRef>
          </c:val>
          <c:smooth val="0"/>
          <c:extLst>
            <c:ext xmlns:c16="http://schemas.microsoft.com/office/drawing/2014/chart" uri="{C3380CC4-5D6E-409C-BE32-E72D297353CC}">
              <c16:uniqueId val="{00000001-5FF4-4DA4-9875-10FB45B051C5}"/>
            </c:ext>
          </c:extLst>
        </c:ser>
        <c:ser>
          <c:idx val="2"/>
          <c:order val="2"/>
          <c:tx>
            <c:v>Normal No CDM</c:v>
          </c:tx>
          <c:spPr>
            <a:ln w="28575" cap="rnd">
              <a:solidFill>
                <a:schemeClr val="accent3"/>
              </a:solidFill>
              <a:round/>
            </a:ln>
            <a:effectLst/>
          </c:spPr>
          <c:marker>
            <c:symbol val="none"/>
          </c:marker>
          <c:cat>
            <c:numRef>
              <c:f>'Normalized Annual Summary'!$L$5:$L$16</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'Normalized Annual Summary'!$P$5:$P$16</c:f>
              <c:numCache>
                <c:formatCode>#,##0</c:formatCode>
                <c:ptCount val="12"/>
                <c:pt idx="0">
                  <c:v>29173352.512958936</c:v>
                </c:pt>
                <c:pt idx="1">
                  <c:v>29765763.552042037</c:v>
                </c:pt>
                <c:pt idx="2">
                  <c:v>30546124.580268793</c:v>
                </c:pt>
                <c:pt idx="3">
                  <c:v>31003570.862440787</c:v>
                </c:pt>
                <c:pt idx="4">
                  <c:v>28056155.246278159</c:v>
                </c:pt>
                <c:pt idx="5">
                  <c:v>29424475.375913627</c:v>
                </c:pt>
                <c:pt idx="6">
                  <c:v>31373885.632574722</c:v>
                </c:pt>
                <c:pt idx="7">
                  <c:v>32697510.905478738</c:v>
                </c:pt>
                <c:pt idx="8">
                  <c:v>33008630.358327545</c:v>
                </c:pt>
                <c:pt idx="9">
                  <c:v>33331801.274779182</c:v>
                </c:pt>
                <c:pt idx="10">
                  <c:v>33605570.602010362</c:v>
                </c:pt>
                <c:pt idx="11">
                  <c:v>34003037.319815226</c:v>
                </c:pt>
              </c:numCache>
            </c:numRef>
          </c:val>
          <c:smooth val="0"/>
          <c:extLst>
            <c:ext xmlns:c16="http://schemas.microsoft.com/office/drawing/2014/chart" uri="{C3380CC4-5D6E-409C-BE32-E72D297353CC}">
              <c16:uniqueId val="{00000002-5FF4-4DA4-9875-10FB45B051C5}"/>
            </c:ext>
          </c:extLst>
        </c:ser>
        <c:ser>
          <c:idx val="3"/>
          <c:order val="3"/>
          <c:tx>
            <c:strRef>
              <c:f>'Normalized Annual Summary'!$T$3</c:f>
              <c:strCache>
                <c:ptCount val="1"/>
                <c:pt idx="0">
                  <c:v>Normalized with Additional Loads</c:v>
                </c:pt>
              </c:strCache>
            </c:strRef>
          </c:tx>
          <c:marker>
            <c:symbol val="none"/>
          </c:marker>
          <c:cat>
            <c:numRef>
              <c:f>'Normalized Annual Summary'!$L$5:$L$16</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'Normalized Annual Summary'!$T$5:$T$16</c:f>
              <c:numCache>
                <c:formatCode>#,##0</c:formatCode>
                <c:ptCount val="12"/>
                <c:pt idx="0">
                  <c:v>28810041.012958936</c:v>
                </c:pt>
                <c:pt idx="1">
                  <c:v>28717649.302042037</c:v>
                </c:pt>
                <c:pt idx="2">
                  <c:v>28891556.149005022</c:v>
                </c:pt>
                <c:pt idx="3">
                  <c:v>29067695.479536165</c:v>
                </c:pt>
                <c:pt idx="4">
                  <c:v>26180239.837842625</c:v>
                </c:pt>
                <c:pt idx="5">
                  <c:v>27418157.693734098</c:v>
                </c:pt>
                <c:pt idx="6">
                  <c:v>28959423.499922454</c:v>
                </c:pt>
                <c:pt idx="7">
                  <c:v>30032442.757717039</c:v>
                </c:pt>
                <c:pt idx="8">
                  <c:v>30042518.50707379</c:v>
                </c:pt>
                <c:pt idx="9">
                  <c:v>30040019.365302023</c:v>
                </c:pt>
                <c:pt idx="10">
                  <c:v>30478150.521457553</c:v>
                </c:pt>
                <c:pt idx="11">
                  <c:v>31033620.084669221</c:v>
                </c:pt>
              </c:numCache>
            </c:numRef>
          </c:val>
          <c:smooth val="0"/>
          <c:extLst>
            <c:ext xmlns:c16="http://schemas.microsoft.com/office/drawing/2014/chart" uri="{C3380CC4-5D6E-409C-BE32-E72D297353CC}">
              <c16:uniqueId val="{00000003-5FF4-4DA4-9875-10FB45B051C5}"/>
            </c:ext>
          </c:extLst>
        </c:ser>
        <c:dLbls>
          <c:showLegendKey val="0"/>
          <c:showVal val="0"/>
          <c:showCatName val="0"/>
          <c:showSerName val="0"/>
          <c:showPercent val="0"/>
          <c:showBubbleSize val="0"/>
        </c:dLbls>
        <c:smooth val="0"/>
        <c:axId val="177875968"/>
        <c:axId val="177885952"/>
      </c:lineChart>
      <c:catAx>
        <c:axId val="1778759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885952"/>
        <c:crosses val="autoZero"/>
        <c:auto val="1"/>
        <c:lblAlgn val="ctr"/>
        <c:lblOffset val="100"/>
        <c:noMultiLvlLbl val="0"/>
      </c:catAx>
      <c:valAx>
        <c:axId val="177885952"/>
        <c:scaling>
          <c:orientation val="minMax"/>
          <c:min val="20000000"/>
        </c:scaling>
        <c:delete val="0"/>
        <c:axPos val="l"/>
        <c:majorGridlines>
          <c:spPr>
            <a:ln w="9525" cap="flat" cmpd="sng" algn="ctr">
              <a:solidFill>
                <a:schemeClr val="tx1">
                  <a:lumMod val="15000"/>
                  <a:lumOff val="85000"/>
                </a:schemeClr>
              </a:solidFill>
              <a:round/>
            </a:ln>
            <a:effectLst/>
          </c:spPr>
        </c:majorGridlines>
        <c:title>
          <c:tx>
            <c:rich>
              <a:bodyPr/>
              <a:lstStyle/>
              <a:p>
                <a:pPr>
                  <a:defRPr sz="1000"/>
                </a:pPr>
                <a:r>
                  <a:rPr lang="en-US" sz="1000" b="1" i="0" baseline="0">
                    <a:effectLst/>
                  </a:rPr>
                  <a:t>Annual Consumption (kWh)</a:t>
                </a:r>
                <a:endParaRPr lang="en-US" sz="1000">
                  <a:effectLst/>
                </a:endParaRPr>
              </a:p>
            </c:rich>
          </c:tx>
          <c:overlay val="0"/>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875968"/>
        <c:crosses val="autoZero"/>
        <c:crossBetween val="between"/>
      </c:valAx>
      <c:spPr>
        <a:noFill/>
        <a:ln>
          <a:noFill/>
        </a:ln>
        <a:effectLst/>
      </c:spPr>
    </c:plotArea>
    <c:legend>
      <c:legendPos val="b"/>
      <c:layout>
        <c:manualLayout>
          <c:xMode val="edge"/>
          <c:yMode val="edge"/>
          <c:x val="1.4684973423548187E-2"/>
          <c:y val="0.87216009711610176"/>
          <c:w val="0.9620622153021775"/>
          <c:h val="0.1225175992073838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'Normalized Annual Summary'!$W$3</c:f>
              <c:strCache>
                <c:ptCount val="1"/>
                <c:pt idx="0">
                  <c:v>Actual</c:v>
                </c:pt>
              </c:strCache>
            </c:strRef>
          </c:tx>
          <c:spPr>
            <a:ln w="28575" cap="rnd">
              <a:solidFill>
                <a:schemeClr val="accent1"/>
              </a:solidFill>
              <a:round/>
            </a:ln>
            <a:effectLst/>
          </c:spPr>
          <c:marker>
            <c:symbol val="none"/>
          </c:marker>
          <c:cat>
            <c:numRef>
              <c:f>'Normalized Annual Summary'!$V$5:$V$16</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'Normalized Annual Summary'!$W$5:$W$15</c:f>
              <c:numCache>
                <c:formatCode>#,##0</c:formatCode>
                <c:ptCount val="11"/>
                <c:pt idx="0">
                  <c:v>75048053</c:v>
                </c:pt>
                <c:pt idx="1">
                  <c:v>70829349</c:v>
                </c:pt>
                <c:pt idx="2">
                  <c:v>71502339</c:v>
                </c:pt>
                <c:pt idx="3">
                  <c:v>73532152</c:v>
                </c:pt>
                <c:pt idx="4">
                  <c:v>65161090</c:v>
                </c:pt>
                <c:pt idx="5">
                  <c:v>67961293.822997034</c:v>
                </c:pt>
                <c:pt idx="6">
                  <c:v>68211369.280000001</c:v>
                </c:pt>
                <c:pt idx="7">
                  <c:v>64679344</c:v>
                </c:pt>
                <c:pt idx="8">
                  <c:v>64215692</c:v>
                </c:pt>
                <c:pt idx="9">
                  <c:v>72102178</c:v>
                </c:pt>
              </c:numCache>
            </c:numRef>
          </c:val>
          <c:smooth val="0"/>
          <c:extLst>
            <c:ext xmlns:c16="http://schemas.microsoft.com/office/drawing/2014/chart" uri="{C3380CC4-5D6E-409C-BE32-E72D297353CC}">
              <c16:uniqueId val="{00000000-0347-4CD5-B9F2-06D34607F46F}"/>
            </c:ext>
          </c:extLst>
        </c:ser>
        <c:ser>
          <c:idx val="1"/>
          <c:order val="1"/>
          <c:tx>
            <c:strRef>
              <c:f>'Normalized Annual Summary'!$Y$3</c:f>
              <c:strCache>
                <c:ptCount val="1"/>
                <c:pt idx="0">
                  <c:v>Actual No CDM</c:v>
                </c:pt>
              </c:strCache>
            </c:strRef>
          </c:tx>
          <c:spPr>
            <a:ln w="28575" cap="rnd">
              <a:solidFill>
                <a:schemeClr val="accent2"/>
              </a:solidFill>
              <a:round/>
            </a:ln>
            <a:effectLst/>
          </c:spPr>
          <c:marker>
            <c:symbol val="none"/>
          </c:marker>
          <c:cat>
            <c:numRef>
              <c:f>'Normalized Annual Summary'!$V$5:$V$16</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'Normalized Annual Summary'!$Y$5:$Y$15</c:f>
              <c:numCache>
                <c:formatCode>#,##0</c:formatCode>
                <c:ptCount val="11"/>
                <c:pt idx="0">
                  <c:v>75379981.5</c:v>
                </c:pt>
                <c:pt idx="1">
                  <c:v>71747031.75</c:v>
                </c:pt>
                <c:pt idx="2">
                  <c:v>72911994.353801697</c:v>
                </c:pt>
                <c:pt idx="3">
                  <c:v>75178729.977980465</c:v>
                </c:pt>
                <c:pt idx="4">
                  <c:v>66787328.307788745</c:v>
                </c:pt>
                <c:pt idx="5">
                  <c:v>69744249.56722571</c:v>
                </c:pt>
                <c:pt idx="6">
                  <c:v>70429647.506230652</c:v>
                </c:pt>
                <c:pt idx="7">
                  <c:v>67204588.594383955</c:v>
                </c:pt>
                <c:pt idx="8">
                  <c:v>67088357.10501609</c:v>
                </c:pt>
                <c:pt idx="9">
                  <c:v>75334336.853890345</c:v>
                </c:pt>
              </c:numCache>
            </c:numRef>
          </c:val>
          <c:smooth val="0"/>
          <c:extLst>
            <c:ext xmlns:c16="http://schemas.microsoft.com/office/drawing/2014/chart" uri="{C3380CC4-5D6E-409C-BE32-E72D297353CC}">
              <c16:uniqueId val="{00000001-0347-4CD5-B9F2-06D34607F46F}"/>
            </c:ext>
          </c:extLst>
        </c:ser>
        <c:ser>
          <c:idx val="2"/>
          <c:order val="2"/>
          <c:tx>
            <c:v>Normal No CDM</c:v>
          </c:tx>
          <c:spPr>
            <a:ln w="28575" cap="rnd">
              <a:solidFill>
                <a:schemeClr val="accent3"/>
              </a:solidFill>
              <a:round/>
            </a:ln>
            <a:effectLst/>
          </c:spPr>
          <c:marker>
            <c:symbol val="none"/>
          </c:marker>
          <c:cat>
            <c:numRef>
              <c:f>'Normalized Annual Summary'!$V$5:$V$16</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'Normalized Annual Summary'!$Z$5:$Z$16</c:f>
              <c:numCache>
                <c:formatCode>#,##0</c:formatCode>
                <c:ptCount val="12"/>
                <c:pt idx="0">
                  <c:v>68807017.380251586</c:v>
                </c:pt>
                <c:pt idx="1">
                  <c:v>68807017.380251586</c:v>
                </c:pt>
                <c:pt idx="2">
                  <c:v>68807017.380251586</c:v>
                </c:pt>
                <c:pt idx="3">
                  <c:v>68807017.380251586</c:v>
                </c:pt>
                <c:pt idx="4">
                  <c:v>68807017.380251586</c:v>
                </c:pt>
                <c:pt idx="5">
                  <c:v>68807017.380251586</c:v>
                </c:pt>
                <c:pt idx="6">
                  <c:v>68807017.380251586</c:v>
                </c:pt>
                <c:pt idx="7">
                  <c:v>68807017.380251586</c:v>
                </c:pt>
                <c:pt idx="8">
                  <c:v>68807017.380251586</c:v>
                </c:pt>
                <c:pt idx="9">
                  <c:v>75144657.425577551</c:v>
                </c:pt>
                <c:pt idx="10">
                  <c:v>68807017.380251586</c:v>
                </c:pt>
                <c:pt idx="11">
                  <c:v>68807017.380251586</c:v>
                </c:pt>
              </c:numCache>
            </c:numRef>
          </c:val>
          <c:smooth val="0"/>
          <c:extLst>
            <c:ext xmlns:c16="http://schemas.microsoft.com/office/drawing/2014/chart" uri="{C3380CC4-5D6E-409C-BE32-E72D297353CC}">
              <c16:uniqueId val="{00000002-0347-4CD5-B9F2-06D34607F46F}"/>
            </c:ext>
          </c:extLst>
        </c:ser>
        <c:ser>
          <c:idx val="3"/>
          <c:order val="3"/>
          <c:tx>
            <c:strRef>
              <c:f>'Normalized Annual Summary'!$AD$3</c:f>
              <c:strCache>
                <c:ptCount val="1"/>
                <c:pt idx="0">
                  <c:v>Normalized with Additional Loads</c:v>
                </c:pt>
              </c:strCache>
            </c:strRef>
          </c:tx>
          <c:marker>
            <c:symbol val="none"/>
          </c:marker>
          <c:cat>
            <c:numRef>
              <c:f>'Normalized Annual Summary'!$V$5:$V$16</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'Normalized Annual Summary'!$AD$5:$AD$16</c:f>
              <c:numCache>
                <c:formatCode>#,##0</c:formatCode>
                <c:ptCount val="12"/>
                <c:pt idx="0">
                  <c:v>68475088.880251586</c:v>
                </c:pt>
                <c:pt idx="1">
                  <c:v>67889334.630251586</c:v>
                </c:pt>
                <c:pt idx="2">
                  <c:v>67397362.026449889</c:v>
                </c:pt>
                <c:pt idx="3">
                  <c:v>67160439.402271122</c:v>
                </c:pt>
                <c:pt idx="4">
                  <c:v>67180779.072462842</c:v>
                </c:pt>
                <c:pt idx="5">
                  <c:v>67024061.63602291</c:v>
                </c:pt>
                <c:pt idx="6">
                  <c:v>66588739.154020928</c:v>
                </c:pt>
                <c:pt idx="7">
                  <c:v>66281772.785867624</c:v>
                </c:pt>
                <c:pt idx="8">
                  <c:v>65934352.275235496</c:v>
                </c:pt>
                <c:pt idx="9">
                  <c:v>71912498.571687207</c:v>
                </c:pt>
                <c:pt idx="10">
                  <c:v>65642348.581128612</c:v>
                </c:pt>
                <c:pt idx="11">
                  <c:v>65700091.783353448</c:v>
                </c:pt>
              </c:numCache>
            </c:numRef>
          </c:val>
          <c:smooth val="0"/>
          <c:extLst>
            <c:ext xmlns:c16="http://schemas.microsoft.com/office/drawing/2014/chart" uri="{C3380CC4-5D6E-409C-BE32-E72D297353CC}">
              <c16:uniqueId val="{00000003-0347-4CD5-B9F2-06D34607F46F}"/>
            </c:ext>
          </c:extLst>
        </c:ser>
        <c:dLbls>
          <c:showLegendKey val="0"/>
          <c:showVal val="0"/>
          <c:showCatName val="0"/>
          <c:showSerName val="0"/>
          <c:showPercent val="0"/>
          <c:showBubbleSize val="0"/>
        </c:dLbls>
        <c:smooth val="0"/>
        <c:axId val="178001408"/>
        <c:axId val="178002944"/>
      </c:lineChart>
      <c:catAx>
        <c:axId val="1780014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8002944"/>
        <c:crosses val="autoZero"/>
        <c:auto val="1"/>
        <c:lblAlgn val="ctr"/>
        <c:lblOffset val="100"/>
        <c:noMultiLvlLbl val="0"/>
      </c:catAx>
      <c:valAx>
        <c:axId val="178002944"/>
        <c:scaling>
          <c:orientation val="minMax"/>
        </c:scaling>
        <c:delete val="0"/>
        <c:axPos val="l"/>
        <c:majorGridlines>
          <c:spPr>
            <a:ln w="9525" cap="flat" cmpd="sng" algn="ctr">
              <a:solidFill>
                <a:schemeClr val="tx1">
                  <a:lumMod val="15000"/>
                  <a:lumOff val="85000"/>
                </a:schemeClr>
              </a:solidFill>
              <a:round/>
            </a:ln>
            <a:effectLst/>
          </c:spPr>
        </c:majorGridlines>
        <c:title>
          <c:tx>
            <c:rich>
              <a:bodyPr/>
              <a:lstStyle/>
              <a:p>
                <a:pPr>
                  <a:defRPr sz="1000"/>
                </a:pPr>
                <a:r>
                  <a:rPr lang="en-US" sz="1000" b="1" i="0" baseline="0">
                    <a:effectLst/>
                  </a:rPr>
                  <a:t>Annual Consumption (kWh)</a:t>
                </a:r>
                <a:endParaRPr lang="en-US" sz="1000">
                  <a:effectLst/>
                </a:endParaRPr>
              </a:p>
            </c:rich>
          </c:tx>
          <c:overlay val="0"/>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80014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Street Light</a:t>
            </a:r>
          </a:p>
        </c:rich>
      </c:tx>
      <c:overlay val="0"/>
    </c:title>
    <c:autoTitleDeleted val="0"/>
    <c:plotArea>
      <c:layout/>
      <c:lineChart>
        <c:grouping val="standard"/>
        <c:varyColors val="0"/>
        <c:ser>
          <c:idx val="0"/>
          <c:order val="0"/>
          <c:tx>
            <c:strRef>
              <c:f>'Normalized Annual Summary'!$AG$3</c:f>
              <c:strCache>
                <c:ptCount val="1"/>
                <c:pt idx="0">
                  <c:v>Actual</c:v>
                </c:pt>
              </c:strCache>
            </c:strRef>
          </c:tx>
          <c:spPr>
            <a:ln w="28575" cap="rnd">
              <a:solidFill>
                <a:schemeClr val="accent1"/>
              </a:solidFill>
              <a:round/>
            </a:ln>
            <a:effectLst/>
          </c:spPr>
          <c:marker>
            <c:symbol val="none"/>
          </c:marker>
          <c:cat>
            <c:numRef>
              <c:f>'Normalized Annual Summary'!$AF$5:$AF$16</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'Normalized Annual Summary'!$AG$5:$AG$16</c:f>
              <c:numCache>
                <c:formatCode>#,##0</c:formatCode>
                <c:ptCount val="12"/>
                <c:pt idx="0">
                  <c:v>1307703</c:v>
                </c:pt>
                <c:pt idx="1">
                  <c:v>1297582</c:v>
                </c:pt>
                <c:pt idx="2">
                  <c:v>1110658</c:v>
                </c:pt>
                <c:pt idx="3">
                  <c:v>1053969</c:v>
                </c:pt>
                <c:pt idx="4">
                  <c:v>1015667</c:v>
                </c:pt>
                <c:pt idx="5">
                  <c:v>1011635.55</c:v>
                </c:pt>
                <c:pt idx="6">
                  <c:v>1002092</c:v>
                </c:pt>
                <c:pt idx="7">
                  <c:v>998543</c:v>
                </c:pt>
                <c:pt idx="8">
                  <c:v>996845</c:v>
                </c:pt>
                <c:pt idx="9">
                  <c:v>1016652</c:v>
                </c:pt>
              </c:numCache>
            </c:numRef>
          </c:val>
          <c:smooth val="0"/>
          <c:extLst>
            <c:ext xmlns:c16="http://schemas.microsoft.com/office/drawing/2014/chart" uri="{C3380CC4-5D6E-409C-BE32-E72D297353CC}">
              <c16:uniqueId val="{00000000-7887-4806-AF2F-9B2AB721F4D7}"/>
            </c:ext>
          </c:extLst>
        </c:ser>
        <c:ser>
          <c:idx val="3"/>
          <c:order val="1"/>
          <c:tx>
            <c:strRef>
              <c:f>'Normalized Annual Summary'!$AJ$3</c:f>
              <c:strCache>
                <c:ptCount val="1"/>
                <c:pt idx="0">
                  <c:v>Normal Forecast</c:v>
                </c:pt>
              </c:strCache>
            </c:strRef>
          </c:tx>
          <c:marker>
            <c:symbol val="none"/>
          </c:marker>
          <c:cat>
            <c:numRef>
              <c:f>'Normalized Annual Summary'!$AF$5:$AF$16</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'Normalized Annual Summary'!$AJ$5:$AJ$16</c:f>
              <c:numCache>
                <c:formatCode>#,##0</c:formatCode>
                <c:ptCount val="12"/>
                <c:pt idx="0">
                  <c:v>1307703</c:v>
                </c:pt>
                <c:pt idx="1">
                  <c:v>1297582</c:v>
                </c:pt>
                <c:pt idx="2">
                  <c:v>1110658</c:v>
                </c:pt>
                <c:pt idx="3">
                  <c:v>1053969</c:v>
                </c:pt>
                <c:pt idx="4">
                  <c:v>1015667</c:v>
                </c:pt>
                <c:pt idx="5">
                  <c:v>1011635.55</c:v>
                </c:pt>
                <c:pt idx="6">
                  <c:v>1002092.0000000001</c:v>
                </c:pt>
                <c:pt idx="7">
                  <c:v>998543.00000000012</c:v>
                </c:pt>
                <c:pt idx="8">
                  <c:v>996845</c:v>
                </c:pt>
                <c:pt idx="9">
                  <c:v>1016652</c:v>
                </c:pt>
                <c:pt idx="10">
                  <c:v>1012496.4456910954</c:v>
                </c:pt>
                <c:pt idx="11">
                  <c:v>1016551.0227896626</c:v>
                </c:pt>
              </c:numCache>
            </c:numRef>
          </c:val>
          <c:smooth val="0"/>
          <c:extLst>
            <c:ext xmlns:c16="http://schemas.microsoft.com/office/drawing/2014/chart" uri="{C3380CC4-5D6E-409C-BE32-E72D297353CC}">
              <c16:uniqueId val="{00000003-7887-4806-AF2F-9B2AB721F4D7}"/>
            </c:ext>
          </c:extLst>
        </c:ser>
        <c:dLbls>
          <c:showLegendKey val="0"/>
          <c:showVal val="0"/>
          <c:showCatName val="0"/>
          <c:showSerName val="0"/>
          <c:showPercent val="0"/>
          <c:showBubbleSize val="0"/>
        </c:dLbls>
        <c:smooth val="0"/>
        <c:axId val="178042752"/>
        <c:axId val="178044288"/>
      </c:lineChart>
      <c:catAx>
        <c:axId val="1780427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8044288"/>
        <c:crosses val="autoZero"/>
        <c:auto val="1"/>
        <c:lblAlgn val="ctr"/>
        <c:lblOffset val="100"/>
        <c:noMultiLvlLbl val="0"/>
      </c:catAx>
      <c:valAx>
        <c:axId val="178044288"/>
        <c:scaling>
          <c:orientation val="minMax"/>
        </c:scaling>
        <c:delete val="0"/>
        <c:axPos val="l"/>
        <c:majorGridlines>
          <c:spPr>
            <a:ln w="9525" cap="flat" cmpd="sng" algn="ctr">
              <a:solidFill>
                <a:schemeClr val="tx1">
                  <a:lumMod val="15000"/>
                  <a:lumOff val="85000"/>
                </a:schemeClr>
              </a:solidFill>
              <a:round/>
            </a:ln>
            <a:effectLst/>
          </c:spPr>
        </c:majorGridlines>
        <c:title>
          <c:tx>
            <c:rich>
              <a:bodyPr/>
              <a:lstStyle/>
              <a:p>
                <a:pPr>
                  <a:defRPr/>
                </a:pPr>
                <a:r>
                  <a:rPr lang="en-US"/>
                  <a:t>Annual Consumption</a:t>
                </a:r>
              </a:p>
            </c:rich>
          </c:tx>
          <c:overlay val="0"/>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80427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 Per Streetlight Connection</a:t>
            </a:r>
          </a:p>
        </c:rich>
      </c:tx>
      <c:overlay val="0"/>
      <c:spPr>
        <a:noFill/>
        <a:ln>
          <a:noFill/>
        </a:ln>
        <a:effectLst/>
      </c:spPr>
    </c:title>
    <c:autoTitleDeleted val="0"/>
    <c:plotArea>
      <c:layout/>
      <c:lineChart>
        <c:grouping val="standard"/>
        <c:varyColors val="0"/>
        <c:ser>
          <c:idx val="0"/>
          <c:order val="0"/>
          <c:tx>
            <c:strRef>
              <c:f>'Normalized Annual Summary'!$AI$3</c:f>
              <c:strCache>
                <c:ptCount val="1"/>
                <c:pt idx="0">
                  <c:v>Average per Connection</c:v>
                </c:pt>
              </c:strCache>
            </c:strRef>
          </c:tx>
          <c:spPr>
            <a:ln w="28575" cap="rnd">
              <a:solidFill>
                <a:schemeClr val="accent1"/>
              </a:solidFill>
              <a:round/>
            </a:ln>
            <a:effectLst/>
          </c:spPr>
          <c:marker>
            <c:symbol val="none"/>
          </c:marker>
          <c:cat>
            <c:numRef>
              <c:f>'Normalized Annual Summary'!$AF$5:$AF$16</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'Normalized Annual Summary'!$AI$5:$AI$14</c:f>
              <c:numCache>
                <c:formatCode>#,##0</c:formatCode>
                <c:ptCount val="10"/>
                <c:pt idx="0">
                  <c:v>463.47793726741094</c:v>
                </c:pt>
                <c:pt idx="1">
                  <c:v>456.89507042253518</c:v>
                </c:pt>
                <c:pt idx="2">
                  <c:v>385.98019113814075</c:v>
                </c:pt>
                <c:pt idx="3">
                  <c:v>363.81394546082151</c:v>
                </c:pt>
                <c:pt idx="4">
                  <c:v>349.62719449225472</c:v>
                </c:pt>
                <c:pt idx="5">
                  <c:v>346.45053082191782</c:v>
                </c:pt>
                <c:pt idx="6">
                  <c:v>343.18219178082194</c:v>
                </c:pt>
                <c:pt idx="7">
                  <c:v>343.89036849959825</c:v>
                </c:pt>
                <c:pt idx="8">
                  <c:v>342.89227770452334</c:v>
                </c:pt>
                <c:pt idx="9">
                  <c:v>347.5931392102114</c:v>
                </c:pt>
              </c:numCache>
            </c:numRef>
          </c:val>
          <c:smooth val="0"/>
          <c:extLst>
            <c:ext xmlns:c16="http://schemas.microsoft.com/office/drawing/2014/chart" uri="{C3380CC4-5D6E-409C-BE32-E72D297353CC}">
              <c16:uniqueId val="{00000000-CA5A-47C0-92B0-3D2135012DDA}"/>
            </c:ext>
          </c:extLst>
        </c:ser>
        <c:ser>
          <c:idx val="1"/>
          <c:order val="1"/>
          <c:tx>
            <c:v>Forecast per Connection</c:v>
          </c:tx>
          <c:spPr>
            <a:ln w="28575" cap="rnd">
              <a:solidFill>
                <a:schemeClr val="accent2"/>
              </a:solidFill>
              <a:round/>
            </a:ln>
            <a:effectLst/>
          </c:spPr>
          <c:marker>
            <c:symbol val="none"/>
          </c:marker>
          <c:cat>
            <c:numRef>
              <c:f>'Normalized Annual Summary'!$AF$5:$AF$16</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('Normalized Annual Summary'!$AK$5:$AK$13,'Normalized Annual Summary'!$AI$14:$AI$16)</c:f>
              <c:numCache>
                <c:formatCode>General</c:formatCode>
                <c:ptCount val="12"/>
                <c:pt idx="9" formatCode="#,##0">
                  <c:v>347.5931392102114</c:v>
                </c:pt>
                <c:pt idx="10" formatCode="#,##0">
                  <c:v>344.79192847144435</c:v>
                </c:pt>
                <c:pt idx="11" formatCode="#,##0">
                  <c:v>344.79192847144435</c:v>
                </c:pt>
              </c:numCache>
            </c:numRef>
          </c:val>
          <c:smooth val="0"/>
          <c:extLst>
            <c:ext xmlns:c16="http://schemas.microsoft.com/office/drawing/2014/chart" uri="{C3380CC4-5D6E-409C-BE32-E72D297353CC}">
              <c16:uniqueId val="{00000001-CA5A-47C0-92B0-3D2135012DDA}"/>
            </c:ext>
          </c:extLst>
        </c:ser>
        <c:dLbls>
          <c:showLegendKey val="0"/>
          <c:showVal val="0"/>
          <c:showCatName val="0"/>
          <c:showSerName val="0"/>
          <c:showPercent val="0"/>
          <c:showBubbleSize val="0"/>
        </c:dLbls>
        <c:smooth val="0"/>
        <c:axId val="177608192"/>
        <c:axId val="177609728"/>
      </c:lineChart>
      <c:catAx>
        <c:axId val="177608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609728"/>
        <c:crosses val="autoZero"/>
        <c:auto val="1"/>
        <c:lblAlgn val="ctr"/>
        <c:lblOffset val="100"/>
        <c:noMultiLvlLbl val="0"/>
      </c:catAx>
      <c:valAx>
        <c:axId val="177609728"/>
        <c:scaling>
          <c:orientation val="minMax"/>
        </c:scaling>
        <c:delete val="0"/>
        <c:axPos val="l"/>
        <c:majorGridlines>
          <c:spPr>
            <a:ln w="9525" cap="flat" cmpd="sng" algn="ctr">
              <a:solidFill>
                <a:schemeClr val="tx1">
                  <a:lumMod val="15000"/>
                  <a:lumOff val="85000"/>
                </a:schemeClr>
              </a:solidFill>
              <a:round/>
            </a:ln>
            <a:effectLst/>
          </c:spPr>
        </c:majorGridlines>
        <c:title>
          <c:tx>
            <c:rich>
              <a:bodyPr/>
              <a:lstStyle/>
              <a:p>
                <a:pPr>
                  <a:defRPr/>
                </a:pPr>
                <a:r>
                  <a:rPr lang="en-US"/>
                  <a:t>Annual Consumption per Connection</a:t>
                </a:r>
              </a:p>
            </c:rich>
          </c:tx>
          <c:overlay val="0"/>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608192"/>
        <c:crosses val="autoZero"/>
        <c:crossBetween val="between"/>
      </c:valAx>
      <c:spPr>
        <a:noFill/>
        <a:ln>
          <a:noFill/>
        </a:ln>
        <a:effectLst/>
      </c:spPr>
    </c:plotArea>
    <c:legend>
      <c:legendPos val="b"/>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USL</a:t>
            </a:r>
          </a:p>
        </c:rich>
      </c:tx>
      <c:overlay val="0"/>
    </c:title>
    <c:autoTitleDeleted val="0"/>
    <c:plotArea>
      <c:layout/>
      <c:lineChart>
        <c:grouping val="standard"/>
        <c:varyColors val="0"/>
        <c:ser>
          <c:idx val="0"/>
          <c:order val="0"/>
          <c:tx>
            <c:strRef>
              <c:f>'Normalized Annual Summary'!$AV$3</c:f>
              <c:strCache>
                <c:ptCount val="1"/>
                <c:pt idx="0">
                  <c:v>Actual</c:v>
                </c:pt>
              </c:strCache>
            </c:strRef>
          </c:tx>
          <c:spPr>
            <a:ln w="28575" cap="rnd">
              <a:solidFill>
                <a:schemeClr val="accent1"/>
              </a:solidFill>
              <a:round/>
            </a:ln>
            <a:effectLst/>
          </c:spPr>
          <c:marker>
            <c:symbol val="none"/>
          </c:marker>
          <c:cat>
            <c:numRef>
              <c:f>'Normalized Annual Summary'!$AU$5:$AU$16</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'Normalized Annual Summary'!$AV$5:$AV$16</c:f>
              <c:numCache>
                <c:formatCode>#,##0</c:formatCode>
                <c:ptCount val="12"/>
                <c:pt idx="0">
                  <c:v>594265</c:v>
                </c:pt>
                <c:pt idx="1">
                  <c:v>606897.73</c:v>
                </c:pt>
                <c:pt idx="2">
                  <c:v>605298.17000000004</c:v>
                </c:pt>
                <c:pt idx="3">
                  <c:v>613238</c:v>
                </c:pt>
                <c:pt idx="4">
                  <c:v>602100</c:v>
                </c:pt>
                <c:pt idx="5">
                  <c:v>613643.61</c:v>
                </c:pt>
                <c:pt idx="6">
                  <c:v>588782</c:v>
                </c:pt>
                <c:pt idx="7">
                  <c:v>589689</c:v>
                </c:pt>
                <c:pt idx="8">
                  <c:v>591629</c:v>
                </c:pt>
                <c:pt idx="9">
                  <c:v>587172</c:v>
                </c:pt>
              </c:numCache>
            </c:numRef>
          </c:val>
          <c:smooth val="0"/>
          <c:extLst>
            <c:ext xmlns:c16="http://schemas.microsoft.com/office/drawing/2014/chart" uri="{C3380CC4-5D6E-409C-BE32-E72D297353CC}">
              <c16:uniqueId val="{00000000-9168-43A7-9AA7-1FFDC34E62D4}"/>
            </c:ext>
          </c:extLst>
        </c:ser>
        <c:ser>
          <c:idx val="3"/>
          <c:order val="1"/>
          <c:tx>
            <c:strRef>
              <c:f>'Normalized Annual Summary'!$AY$3</c:f>
              <c:strCache>
                <c:ptCount val="1"/>
                <c:pt idx="0">
                  <c:v>Normal Forecast</c:v>
                </c:pt>
              </c:strCache>
            </c:strRef>
          </c:tx>
          <c:spPr>
            <a:ln w="28575" cap="rnd">
              <a:solidFill>
                <a:schemeClr val="accent4"/>
              </a:solidFill>
              <a:round/>
            </a:ln>
            <a:effectLst/>
          </c:spPr>
          <c:marker>
            <c:symbol val="none"/>
          </c:marker>
          <c:cat>
            <c:numRef>
              <c:f>'Normalized Annual Summary'!$AU$5:$AU$16</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('Normalized Annual Summary'!$AZ$5:$AZ$13,'Normalized Annual Summary'!$AY$14:$AY$16)</c:f>
              <c:numCache>
                <c:formatCode>General</c:formatCode>
                <c:ptCount val="12"/>
                <c:pt idx="9" formatCode="#,##0">
                  <c:v>587172</c:v>
                </c:pt>
                <c:pt idx="10" formatCode="#,##0">
                  <c:v>598467.08981554129</c:v>
                </c:pt>
                <c:pt idx="11" formatCode="#,##0">
                  <c:v>598467.08981554129</c:v>
                </c:pt>
              </c:numCache>
            </c:numRef>
          </c:val>
          <c:smooth val="0"/>
          <c:extLst>
            <c:ext xmlns:c16="http://schemas.microsoft.com/office/drawing/2014/chart" uri="{C3380CC4-5D6E-409C-BE32-E72D297353CC}">
              <c16:uniqueId val="{00000001-9168-43A7-9AA7-1FFDC34E62D4}"/>
            </c:ext>
          </c:extLst>
        </c:ser>
        <c:dLbls>
          <c:showLegendKey val="0"/>
          <c:showVal val="0"/>
          <c:showCatName val="0"/>
          <c:showSerName val="0"/>
          <c:showPercent val="0"/>
          <c:showBubbleSize val="0"/>
        </c:dLbls>
        <c:smooth val="0"/>
        <c:axId val="177661440"/>
        <c:axId val="177662976"/>
      </c:lineChart>
      <c:catAx>
        <c:axId val="1776614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662976"/>
        <c:crosses val="autoZero"/>
        <c:auto val="1"/>
        <c:lblAlgn val="ctr"/>
        <c:lblOffset val="100"/>
        <c:noMultiLvlLbl val="0"/>
      </c:catAx>
      <c:valAx>
        <c:axId val="177662976"/>
        <c:scaling>
          <c:orientation val="minMax"/>
        </c:scaling>
        <c:delete val="0"/>
        <c:axPos val="l"/>
        <c:majorGridlines>
          <c:spPr>
            <a:ln w="9525" cap="flat" cmpd="sng" algn="ctr">
              <a:solidFill>
                <a:schemeClr val="tx1">
                  <a:lumMod val="15000"/>
                  <a:lumOff val="85000"/>
                </a:schemeClr>
              </a:solidFill>
              <a:round/>
            </a:ln>
            <a:effectLst/>
          </c:spPr>
        </c:majorGridlines>
        <c:title>
          <c:tx>
            <c:rich>
              <a:bodyPr/>
              <a:lstStyle/>
              <a:p>
                <a:pPr>
                  <a:defRPr/>
                </a:pPr>
                <a:r>
                  <a:rPr lang="en-US"/>
                  <a:t>Annual Consumption</a:t>
                </a:r>
              </a:p>
            </c:rich>
          </c:tx>
          <c:overlay val="0"/>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6614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 Per USL Customer</a:t>
            </a:r>
          </a:p>
        </c:rich>
      </c:tx>
      <c:overlay val="0"/>
      <c:spPr>
        <a:noFill/>
        <a:ln>
          <a:noFill/>
        </a:ln>
        <a:effectLst/>
      </c:spPr>
    </c:title>
    <c:autoTitleDeleted val="0"/>
    <c:plotArea>
      <c:layout/>
      <c:lineChart>
        <c:grouping val="standard"/>
        <c:varyColors val="0"/>
        <c:ser>
          <c:idx val="0"/>
          <c:order val="0"/>
          <c:tx>
            <c:strRef>
              <c:f>'Normalized Annual Summary'!$AX$3</c:f>
              <c:strCache>
                <c:ptCount val="1"/>
                <c:pt idx="0">
                  <c:v>Average per Customer</c:v>
                </c:pt>
              </c:strCache>
            </c:strRef>
          </c:tx>
          <c:spPr>
            <a:ln w="28575" cap="rnd">
              <a:solidFill>
                <a:schemeClr val="accent1"/>
              </a:solidFill>
              <a:round/>
            </a:ln>
            <a:effectLst/>
          </c:spPr>
          <c:marker>
            <c:symbol val="none"/>
          </c:marker>
          <c:cat>
            <c:numRef>
              <c:f>'Normalized Annual Summary'!$AU$5:$AU$16</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'Normalized Annual Summary'!$AX$5:$AX$14</c:f>
              <c:numCache>
                <c:formatCode>#,##0</c:formatCode>
                <c:ptCount val="10"/>
                <c:pt idx="0">
                  <c:v>31277.105263157893</c:v>
                </c:pt>
                <c:pt idx="1">
                  <c:v>31941.985789473682</c:v>
                </c:pt>
                <c:pt idx="2">
                  <c:v>31857.798421052634</c:v>
                </c:pt>
                <c:pt idx="3">
                  <c:v>32275.684210526317</c:v>
                </c:pt>
                <c:pt idx="4">
                  <c:v>31689.473684210527</c:v>
                </c:pt>
                <c:pt idx="5">
                  <c:v>32297.032105263159</c:v>
                </c:pt>
                <c:pt idx="6">
                  <c:v>30988.526315789473</c:v>
                </c:pt>
                <c:pt idx="7">
                  <c:v>31172.986784140969</c:v>
                </c:pt>
                <c:pt idx="8">
                  <c:v>32418.027397260274</c:v>
                </c:pt>
                <c:pt idx="9">
                  <c:v>30903.78947368421</c:v>
                </c:pt>
              </c:numCache>
            </c:numRef>
          </c:val>
          <c:smooth val="0"/>
          <c:extLst>
            <c:ext xmlns:c16="http://schemas.microsoft.com/office/drawing/2014/chart" uri="{C3380CC4-5D6E-409C-BE32-E72D297353CC}">
              <c16:uniqueId val="{00000000-AC2D-4DDA-B3EA-029F51E8F94F}"/>
            </c:ext>
          </c:extLst>
        </c:ser>
        <c:ser>
          <c:idx val="1"/>
          <c:order val="1"/>
          <c:tx>
            <c:v>Forecast per Customer</c:v>
          </c:tx>
          <c:spPr>
            <a:ln w="28575" cap="rnd">
              <a:solidFill>
                <a:schemeClr val="accent2"/>
              </a:solidFill>
              <a:round/>
            </a:ln>
            <a:effectLst/>
          </c:spPr>
          <c:marker>
            <c:symbol val="none"/>
          </c:marker>
          <c:cat>
            <c:numRef>
              <c:f>'Normalized Annual Summary'!$AU$5:$AU$16</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('Normalized Annual Summary'!$AK$5:$AK$13,'Normalized Annual Summary'!$AX$14:$AX$16)</c:f>
              <c:numCache>
                <c:formatCode>General</c:formatCode>
                <c:ptCount val="12"/>
                <c:pt idx="9" formatCode="#,##0">
                  <c:v>30903.78947368421</c:v>
                </c:pt>
                <c:pt idx="10" formatCode="#,##0">
                  <c:v>31498.267885028486</c:v>
                </c:pt>
                <c:pt idx="11" formatCode="#,##0">
                  <c:v>31498.267885028486</c:v>
                </c:pt>
              </c:numCache>
            </c:numRef>
          </c:val>
          <c:smooth val="0"/>
          <c:extLst>
            <c:ext xmlns:c16="http://schemas.microsoft.com/office/drawing/2014/chart" uri="{C3380CC4-5D6E-409C-BE32-E72D297353CC}">
              <c16:uniqueId val="{00000001-AC2D-4DDA-B3EA-029F51E8F94F}"/>
            </c:ext>
          </c:extLst>
        </c:ser>
        <c:dLbls>
          <c:showLegendKey val="0"/>
          <c:showVal val="0"/>
          <c:showCatName val="0"/>
          <c:showSerName val="0"/>
          <c:showPercent val="0"/>
          <c:showBubbleSize val="0"/>
        </c:dLbls>
        <c:smooth val="0"/>
        <c:axId val="177702400"/>
        <c:axId val="177703936"/>
      </c:lineChart>
      <c:catAx>
        <c:axId val="1777024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703936"/>
        <c:crosses val="autoZero"/>
        <c:auto val="1"/>
        <c:lblAlgn val="ctr"/>
        <c:lblOffset val="100"/>
        <c:noMultiLvlLbl val="0"/>
      </c:catAx>
      <c:valAx>
        <c:axId val="177703936"/>
        <c:scaling>
          <c:orientation val="minMax"/>
        </c:scaling>
        <c:delete val="0"/>
        <c:axPos val="l"/>
        <c:majorGridlines>
          <c:spPr>
            <a:ln w="9525" cap="flat" cmpd="sng" algn="ctr">
              <a:solidFill>
                <a:schemeClr val="tx1">
                  <a:lumMod val="15000"/>
                  <a:lumOff val="85000"/>
                </a:schemeClr>
              </a:solidFill>
              <a:round/>
            </a:ln>
            <a:effectLst/>
          </c:spPr>
        </c:majorGridlines>
        <c:title>
          <c:tx>
            <c:rich>
              <a:bodyPr/>
              <a:lstStyle/>
              <a:p>
                <a:pPr>
                  <a:defRPr sz="1000"/>
                </a:pPr>
                <a:r>
                  <a:rPr lang="en-US" sz="1000" b="1" i="0" baseline="0">
                    <a:effectLst/>
                  </a:rPr>
                  <a:t>Annual Consumption per Customer</a:t>
                </a:r>
                <a:endParaRPr lang="en-US" sz="1000">
                  <a:effectLst/>
                </a:endParaRPr>
              </a:p>
            </c:rich>
          </c:tx>
          <c:overlay val="0"/>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702400"/>
        <c:crosses val="autoZero"/>
        <c:crossBetween val="between"/>
      </c:valAx>
      <c:spPr>
        <a:noFill/>
        <a:ln>
          <a:noFill/>
        </a:ln>
        <a:effectLst/>
      </c:spPr>
    </c:plotArea>
    <c:legend>
      <c:legendPos val="b"/>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Residential</a:t>
            </a:r>
          </a:p>
        </c:rich>
      </c:tx>
      <c:overlay val="0"/>
    </c:title>
    <c:autoTitleDeleted val="0"/>
    <c:plotArea>
      <c:layout/>
      <c:lineChart>
        <c:grouping val="standard"/>
        <c:varyColors val="0"/>
        <c:ser>
          <c:idx val="0"/>
          <c:order val="0"/>
          <c:tx>
            <c:strRef>
              <c:f>'Normalized Annual Summary'!$C$3</c:f>
              <c:strCache>
                <c:ptCount val="1"/>
                <c:pt idx="0">
                  <c:v>Actual</c:v>
                </c:pt>
              </c:strCache>
            </c:strRef>
          </c:tx>
          <c:spPr>
            <a:ln w="28575" cap="rnd">
              <a:solidFill>
                <a:schemeClr val="accent1"/>
              </a:solidFill>
              <a:round/>
            </a:ln>
            <a:effectLst/>
          </c:spPr>
          <c:marker>
            <c:symbol val="none"/>
          </c:marker>
          <c:cat>
            <c:numRef>
              <c:f>'Normalized Annual Summary'!$B$5:$B$16</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'Normalized Annual Summary'!$C$5:$C$16</c:f>
              <c:numCache>
                <c:formatCode>#,##0</c:formatCode>
                <c:ptCount val="12"/>
                <c:pt idx="0">
                  <c:v>76635115</c:v>
                </c:pt>
                <c:pt idx="1">
                  <c:v>76119517.019999996</c:v>
                </c:pt>
                <c:pt idx="2">
                  <c:v>81716499</c:v>
                </c:pt>
                <c:pt idx="3">
                  <c:v>85932903</c:v>
                </c:pt>
                <c:pt idx="4">
                  <c:v>85141857</c:v>
                </c:pt>
                <c:pt idx="5">
                  <c:v>85333074.640000001</c:v>
                </c:pt>
                <c:pt idx="6">
                  <c:v>86112039</c:v>
                </c:pt>
                <c:pt idx="7">
                  <c:v>85022917</c:v>
                </c:pt>
                <c:pt idx="8">
                  <c:v>86752528</c:v>
                </c:pt>
                <c:pt idx="9">
                  <c:v>90973051</c:v>
                </c:pt>
              </c:numCache>
            </c:numRef>
          </c:val>
          <c:smooth val="0"/>
          <c:extLst>
            <c:ext xmlns:c16="http://schemas.microsoft.com/office/drawing/2014/chart" uri="{C3380CC4-5D6E-409C-BE32-E72D297353CC}">
              <c16:uniqueId val="{00000000-E8EE-4137-99CE-2F19F9AB6A5E}"/>
            </c:ext>
          </c:extLst>
        </c:ser>
        <c:ser>
          <c:idx val="1"/>
          <c:order val="1"/>
          <c:tx>
            <c:strRef>
              <c:f>'Normalized Annual Summary'!$E$3</c:f>
              <c:strCache>
                <c:ptCount val="1"/>
                <c:pt idx="0">
                  <c:v>Actual No CDM</c:v>
                </c:pt>
              </c:strCache>
            </c:strRef>
          </c:tx>
          <c:spPr>
            <a:ln w="28575" cap="rnd">
              <a:solidFill>
                <a:schemeClr val="accent2"/>
              </a:solidFill>
              <a:round/>
            </a:ln>
            <a:effectLst/>
          </c:spPr>
          <c:marker>
            <c:symbol val="none"/>
          </c:marker>
          <c:cat>
            <c:numRef>
              <c:f>'Normalized Annual Summary'!$B$5:$B$16</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'Normalized Annual Summary'!$E$5:$E$16</c:f>
              <c:numCache>
                <c:formatCode>#,##0</c:formatCode>
                <c:ptCount val="12"/>
                <c:pt idx="0">
                  <c:v>77024706.5</c:v>
                </c:pt>
                <c:pt idx="1">
                  <c:v>77499466.519999996</c:v>
                </c:pt>
                <c:pt idx="2">
                  <c:v>83578765.401635692</c:v>
                </c:pt>
                <c:pt idx="3">
                  <c:v>87874875.305112973</c:v>
                </c:pt>
                <c:pt idx="4">
                  <c:v>87084144.305112973</c:v>
                </c:pt>
                <c:pt idx="5">
                  <c:v>87284957.413936108</c:v>
                </c:pt>
                <c:pt idx="6">
                  <c:v>88081157.296012342</c:v>
                </c:pt>
                <c:pt idx="7">
                  <c:v>87011012.248750299</c:v>
                </c:pt>
                <c:pt idx="8">
                  <c:v>88808415.569124147</c:v>
                </c:pt>
                <c:pt idx="9">
                  <c:v>93157276.854925826</c:v>
                </c:pt>
              </c:numCache>
            </c:numRef>
          </c:val>
          <c:smooth val="0"/>
          <c:extLst>
            <c:ext xmlns:c16="http://schemas.microsoft.com/office/drawing/2014/chart" uri="{C3380CC4-5D6E-409C-BE32-E72D297353CC}">
              <c16:uniqueId val="{00000001-E8EE-4137-99CE-2F19F9AB6A5E}"/>
            </c:ext>
          </c:extLst>
        </c:ser>
        <c:ser>
          <c:idx val="2"/>
          <c:order val="2"/>
          <c:tx>
            <c:v>Normal No CDM</c:v>
          </c:tx>
          <c:spPr>
            <a:ln w="28575" cap="rnd">
              <a:solidFill>
                <a:schemeClr val="accent3"/>
              </a:solidFill>
              <a:round/>
            </a:ln>
            <a:effectLst/>
          </c:spPr>
          <c:marker>
            <c:symbol val="none"/>
          </c:marker>
          <c:cat>
            <c:numRef>
              <c:f>'Normalized Annual Summary'!$B$5:$B$16</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'Normalized Annual Summary'!$F$5:$F$16</c:f>
              <c:numCache>
                <c:formatCode>#,##0</c:formatCode>
                <c:ptCount val="12"/>
                <c:pt idx="0">
                  <c:v>76024917.630102694</c:v>
                </c:pt>
                <c:pt idx="1">
                  <c:v>77544372.29779838</c:v>
                </c:pt>
                <c:pt idx="2">
                  <c:v>80030965.088798404</c:v>
                </c:pt>
                <c:pt idx="3">
                  <c:v>81702667.119763464</c:v>
                </c:pt>
                <c:pt idx="4">
                  <c:v>86678262.004335776</c:v>
                </c:pt>
                <c:pt idx="5">
                  <c:v>88518951.755734608</c:v>
                </c:pt>
                <c:pt idx="6">
                  <c:v>89113628.4238666</c:v>
                </c:pt>
                <c:pt idx="7">
                  <c:v>89614079.217402667</c:v>
                </c:pt>
                <c:pt idx="8">
                  <c:v>90734970.964648008</c:v>
                </c:pt>
                <c:pt idx="9">
                  <c:v>91467484.21404013</c:v>
                </c:pt>
                <c:pt idx="10">
                  <c:v>93312107.586049333</c:v>
                </c:pt>
                <c:pt idx="11">
                  <c:v>94789646.309641719</c:v>
                </c:pt>
              </c:numCache>
            </c:numRef>
          </c:val>
          <c:smooth val="0"/>
          <c:extLst>
            <c:ext xmlns:c16="http://schemas.microsoft.com/office/drawing/2014/chart" uri="{C3380CC4-5D6E-409C-BE32-E72D297353CC}">
              <c16:uniqueId val="{00000002-E8EE-4137-99CE-2F19F9AB6A5E}"/>
            </c:ext>
          </c:extLst>
        </c:ser>
        <c:ser>
          <c:idx val="3"/>
          <c:order val="3"/>
          <c:tx>
            <c:strRef>
              <c:f>'Normalized Annual Summary'!$J$3</c:f>
              <c:strCache>
                <c:ptCount val="1"/>
                <c:pt idx="0">
                  <c:v>Normalized with Additional Loads</c:v>
                </c:pt>
              </c:strCache>
            </c:strRef>
          </c:tx>
          <c:marker>
            <c:symbol val="none"/>
          </c:marker>
          <c:cat>
            <c:numRef>
              <c:f>'Normalized Annual Summary'!$B$5:$B$16</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'Normalized Annual Summary'!$J$5:$J$16</c:f>
              <c:numCache>
                <c:formatCode>#,##0</c:formatCode>
                <c:ptCount val="12"/>
                <c:pt idx="0">
                  <c:v>75635326.130102694</c:v>
                </c:pt>
                <c:pt idx="1">
                  <c:v>76164422.79779838</c:v>
                </c:pt>
                <c:pt idx="2">
                  <c:v>78168698.687162712</c:v>
                </c:pt>
                <c:pt idx="3">
                  <c:v>79760694.814650491</c:v>
                </c:pt>
                <c:pt idx="4">
                  <c:v>84735974.699222803</c:v>
                </c:pt>
                <c:pt idx="5">
                  <c:v>86567068.9817985</c:v>
                </c:pt>
                <c:pt idx="6">
                  <c:v>87144510.127854258</c:v>
                </c:pt>
                <c:pt idx="7">
                  <c:v>87625983.968652368</c:v>
                </c:pt>
                <c:pt idx="8">
                  <c:v>88679083.395523861</c:v>
                </c:pt>
                <c:pt idx="9">
                  <c:v>89283258.359114304</c:v>
                </c:pt>
                <c:pt idx="10">
                  <c:v>91407174.748566478</c:v>
                </c:pt>
                <c:pt idx="11">
                  <c:v>93232928.198050857</c:v>
                </c:pt>
              </c:numCache>
            </c:numRef>
          </c:val>
          <c:smooth val="0"/>
          <c:extLst>
            <c:ext xmlns:c16="http://schemas.microsoft.com/office/drawing/2014/chart" uri="{C3380CC4-5D6E-409C-BE32-E72D297353CC}">
              <c16:uniqueId val="{00000003-E8EE-4137-99CE-2F19F9AB6A5E}"/>
            </c:ext>
          </c:extLst>
        </c:ser>
        <c:dLbls>
          <c:showLegendKey val="0"/>
          <c:showVal val="0"/>
          <c:showCatName val="0"/>
          <c:showSerName val="0"/>
          <c:showPercent val="0"/>
          <c:showBubbleSize val="0"/>
        </c:dLbls>
        <c:smooth val="0"/>
        <c:axId val="177840896"/>
        <c:axId val="177842432"/>
      </c:lineChart>
      <c:catAx>
        <c:axId val="1778408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842432"/>
        <c:crosses val="autoZero"/>
        <c:auto val="1"/>
        <c:lblAlgn val="ctr"/>
        <c:lblOffset val="100"/>
        <c:noMultiLvlLbl val="0"/>
      </c:catAx>
      <c:valAx>
        <c:axId val="177842432"/>
        <c:scaling>
          <c:orientation val="minMax"/>
        </c:scaling>
        <c:delete val="0"/>
        <c:axPos val="l"/>
        <c:majorGridlines>
          <c:spPr>
            <a:ln w="9525" cap="flat" cmpd="sng" algn="ctr">
              <a:solidFill>
                <a:schemeClr val="tx1">
                  <a:lumMod val="15000"/>
                  <a:lumOff val="85000"/>
                </a:schemeClr>
              </a:solidFill>
              <a:round/>
            </a:ln>
            <a:effectLst/>
          </c:spPr>
        </c:majorGridlines>
        <c:title>
          <c:tx>
            <c:rich>
              <a:bodyPr/>
              <a:lstStyle/>
              <a:p>
                <a:pPr>
                  <a:defRPr/>
                </a:pPr>
                <a:r>
                  <a:rPr lang="en-US"/>
                  <a:t>Annual Consumption (kWh)</a:t>
                </a:r>
              </a:p>
            </c:rich>
          </c:tx>
          <c:overlay val="0"/>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8408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GS &lt; 50 kW</a:t>
            </a:r>
          </a:p>
        </c:rich>
      </c:tx>
      <c:overlay val="0"/>
    </c:title>
    <c:autoTitleDeleted val="0"/>
    <c:plotArea>
      <c:layout/>
      <c:lineChart>
        <c:grouping val="standard"/>
        <c:varyColors val="0"/>
        <c:ser>
          <c:idx val="0"/>
          <c:order val="0"/>
          <c:tx>
            <c:strRef>
              <c:f>'Normalized Annual Summary'!$M$3</c:f>
              <c:strCache>
                <c:ptCount val="1"/>
                <c:pt idx="0">
                  <c:v>Actual</c:v>
                </c:pt>
              </c:strCache>
            </c:strRef>
          </c:tx>
          <c:spPr>
            <a:ln w="28575" cap="rnd">
              <a:solidFill>
                <a:schemeClr val="accent1"/>
              </a:solidFill>
              <a:round/>
            </a:ln>
            <a:effectLst/>
          </c:spPr>
          <c:marker>
            <c:symbol val="none"/>
          </c:marker>
          <c:cat>
            <c:numRef>
              <c:f>'Normalized Annual Summary'!$L$5:$L$16</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'Normalized Annual Summary'!$M$5:$M$16</c:f>
              <c:numCache>
                <c:formatCode>#,##0</c:formatCode>
                <c:ptCount val="12"/>
                <c:pt idx="0">
                  <c:v>29514061</c:v>
                </c:pt>
                <c:pt idx="1">
                  <c:v>28872534</c:v>
                </c:pt>
                <c:pt idx="2">
                  <c:v>30060062</c:v>
                </c:pt>
                <c:pt idx="3">
                  <c:v>30767208</c:v>
                </c:pt>
                <c:pt idx="4">
                  <c:v>26233400</c:v>
                </c:pt>
                <c:pt idx="5">
                  <c:v>27003038.649999999</c:v>
                </c:pt>
                <c:pt idx="6">
                  <c:v>28785066</c:v>
                </c:pt>
                <c:pt idx="7">
                  <c:v>29063129</c:v>
                </c:pt>
                <c:pt idx="8">
                  <c:v>29356697</c:v>
                </c:pt>
                <c:pt idx="9">
                  <c:v>30749969</c:v>
                </c:pt>
              </c:numCache>
            </c:numRef>
          </c:val>
          <c:smooth val="0"/>
          <c:extLst>
            <c:ext xmlns:c16="http://schemas.microsoft.com/office/drawing/2014/chart" uri="{C3380CC4-5D6E-409C-BE32-E72D297353CC}">
              <c16:uniqueId val="{00000000-F832-41D6-B493-115199E61CAA}"/>
            </c:ext>
          </c:extLst>
        </c:ser>
        <c:ser>
          <c:idx val="1"/>
          <c:order val="1"/>
          <c:tx>
            <c:strRef>
              <c:f>'Normalized Annual Summary'!$O$3</c:f>
              <c:strCache>
                <c:ptCount val="1"/>
                <c:pt idx="0">
                  <c:v>Actual No CDM</c:v>
                </c:pt>
              </c:strCache>
            </c:strRef>
          </c:tx>
          <c:spPr>
            <a:ln w="28575" cap="rnd">
              <a:solidFill>
                <a:schemeClr val="accent2"/>
              </a:solidFill>
              <a:round/>
            </a:ln>
            <a:effectLst/>
          </c:spPr>
          <c:marker>
            <c:symbol val="none"/>
          </c:marker>
          <c:cat>
            <c:numRef>
              <c:f>'Normalized Annual Summary'!$L$5:$L$16</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'Normalized Annual Summary'!$O$5:$O$16</c:f>
              <c:numCache>
                <c:formatCode>#,##0</c:formatCode>
                <c:ptCount val="12"/>
                <c:pt idx="0">
                  <c:v>29877372.5</c:v>
                </c:pt>
                <c:pt idx="1">
                  <c:v>29920648.25</c:v>
                </c:pt>
                <c:pt idx="2">
                  <c:v>31714630.431263771</c:v>
                </c:pt>
                <c:pt idx="3">
                  <c:v>32703083.382904623</c:v>
                </c:pt>
                <c:pt idx="4">
                  <c:v>28109315.408435535</c:v>
                </c:pt>
                <c:pt idx="5">
                  <c:v>29009356.332179528</c:v>
                </c:pt>
                <c:pt idx="6">
                  <c:v>31199528.132652268</c:v>
                </c:pt>
                <c:pt idx="7">
                  <c:v>31728197.147761699</c:v>
                </c:pt>
                <c:pt idx="8">
                  <c:v>32322808.851253755</c:v>
                </c:pt>
                <c:pt idx="9">
                  <c:v>34041750.909477159</c:v>
                </c:pt>
              </c:numCache>
            </c:numRef>
          </c:val>
          <c:smooth val="0"/>
          <c:extLst>
            <c:ext xmlns:c16="http://schemas.microsoft.com/office/drawing/2014/chart" uri="{C3380CC4-5D6E-409C-BE32-E72D297353CC}">
              <c16:uniqueId val="{00000001-F832-41D6-B493-115199E61CAA}"/>
            </c:ext>
          </c:extLst>
        </c:ser>
        <c:ser>
          <c:idx val="2"/>
          <c:order val="2"/>
          <c:tx>
            <c:v>Normal No CDM</c:v>
          </c:tx>
          <c:spPr>
            <a:ln w="28575" cap="rnd">
              <a:solidFill>
                <a:schemeClr val="accent3"/>
              </a:solidFill>
              <a:round/>
            </a:ln>
            <a:effectLst/>
          </c:spPr>
          <c:marker>
            <c:symbol val="none"/>
          </c:marker>
          <c:cat>
            <c:numRef>
              <c:f>'Normalized Annual Summary'!$L$5:$L$16</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'Normalized Annual Summary'!$P$5:$P$16</c:f>
              <c:numCache>
                <c:formatCode>#,##0</c:formatCode>
                <c:ptCount val="12"/>
                <c:pt idx="0">
                  <c:v>29173352.512958936</c:v>
                </c:pt>
                <c:pt idx="1">
                  <c:v>29765763.552042037</c:v>
                </c:pt>
                <c:pt idx="2">
                  <c:v>30546124.580268793</c:v>
                </c:pt>
                <c:pt idx="3">
                  <c:v>31003570.862440787</c:v>
                </c:pt>
                <c:pt idx="4">
                  <c:v>28056155.246278159</c:v>
                </c:pt>
                <c:pt idx="5">
                  <c:v>29424475.375913627</c:v>
                </c:pt>
                <c:pt idx="6">
                  <c:v>31373885.632574722</c:v>
                </c:pt>
                <c:pt idx="7">
                  <c:v>32697510.905478738</c:v>
                </c:pt>
                <c:pt idx="8">
                  <c:v>33008630.358327545</c:v>
                </c:pt>
                <c:pt idx="9">
                  <c:v>33331801.274779182</c:v>
                </c:pt>
                <c:pt idx="10">
                  <c:v>33605570.602010362</c:v>
                </c:pt>
                <c:pt idx="11">
                  <c:v>34003037.319815226</c:v>
                </c:pt>
              </c:numCache>
            </c:numRef>
          </c:val>
          <c:smooth val="0"/>
          <c:extLst>
            <c:ext xmlns:c16="http://schemas.microsoft.com/office/drawing/2014/chart" uri="{C3380CC4-5D6E-409C-BE32-E72D297353CC}">
              <c16:uniqueId val="{00000002-F832-41D6-B493-115199E61CAA}"/>
            </c:ext>
          </c:extLst>
        </c:ser>
        <c:ser>
          <c:idx val="3"/>
          <c:order val="3"/>
          <c:tx>
            <c:strRef>
              <c:f>'Normalized Annual Summary'!$T$3</c:f>
              <c:strCache>
                <c:ptCount val="1"/>
                <c:pt idx="0">
                  <c:v>Normalized with Additional Loads</c:v>
                </c:pt>
              </c:strCache>
            </c:strRef>
          </c:tx>
          <c:marker>
            <c:symbol val="none"/>
          </c:marker>
          <c:cat>
            <c:numRef>
              <c:f>'Normalized Annual Summary'!$L$5:$L$16</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'Normalized Annual Summary'!$T$5:$T$16</c:f>
              <c:numCache>
                <c:formatCode>#,##0</c:formatCode>
                <c:ptCount val="12"/>
                <c:pt idx="0">
                  <c:v>28810041.012958936</c:v>
                </c:pt>
                <c:pt idx="1">
                  <c:v>28717649.302042037</c:v>
                </c:pt>
                <c:pt idx="2">
                  <c:v>28891556.149005022</c:v>
                </c:pt>
                <c:pt idx="3">
                  <c:v>29067695.479536165</c:v>
                </c:pt>
                <c:pt idx="4">
                  <c:v>26180239.837842625</c:v>
                </c:pt>
                <c:pt idx="5">
                  <c:v>27418157.693734098</c:v>
                </c:pt>
                <c:pt idx="6">
                  <c:v>28959423.499922454</c:v>
                </c:pt>
                <c:pt idx="7">
                  <c:v>30032442.757717039</c:v>
                </c:pt>
                <c:pt idx="8">
                  <c:v>30042518.50707379</c:v>
                </c:pt>
                <c:pt idx="9">
                  <c:v>30040019.365302023</c:v>
                </c:pt>
                <c:pt idx="10">
                  <c:v>30478150.521457553</c:v>
                </c:pt>
                <c:pt idx="11">
                  <c:v>31033620.084669221</c:v>
                </c:pt>
              </c:numCache>
            </c:numRef>
          </c:val>
          <c:smooth val="0"/>
          <c:extLst>
            <c:ext xmlns:c16="http://schemas.microsoft.com/office/drawing/2014/chart" uri="{C3380CC4-5D6E-409C-BE32-E72D297353CC}">
              <c16:uniqueId val="{00000003-F832-41D6-B493-115199E61CAA}"/>
            </c:ext>
          </c:extLst>
        </c:ser>
        <c:dLbls>
          <c:showLegendKey val="0"/>
          <c:showVal val="0"/>
          <c:showCatName val="0"/>
          <c:showSerName val="0"/>
          <c:showPercent val="0"/>
          <c:showBubbleSize val="0"/>
        </c:dLbls>
        <c:smooth val="0"/>
        <c:axId val="177875968"/>
        <c:axId val="177885952"/>
      </c:lineChart>
      <c:catAx>
        <c:axId val="1778759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885952"/>
        <c:crosses val="autoZero"/>
        <c:auto val="1"/>
        <c:lblAlgn val="ctr"/>
        <c:lblOffset val="100"/>
        <c:noMultiLvlLbl val="0"/>
      </c:catAx>
      <c:valAx>
        <c:axId val="177885952"/>
        <c:scaling>
          <c:orientation val="minMax"/>
        </c:scaling>
        <c:delete val="0"/>
        <c:axPos val="l"/>
        <c:majorGridlines>
          <c:spPr>
            <a:ln w="9525" cap="flat" cmpd="sng" algn="ctr">
              <a:solidFill>
                <a:schemeClr val="tx1">
                  <a:lumMod val="15000"/>
                  <a:lumOff val="85000"/>
                </a:schemeClr>
              </a:solidFill>
              <a:round/>
            </a:ln>
            <a:effectLst/>
          </c:spPr>
        </c:majorGridlines>
        <c:title>
          <c:tx>
            <c:rich>
              <a:bodyPr/>
              <a:lstStyle/>
              <a:p>
                <a:pPr>
                  <a:defRPr sz="1000"/>
                </a:pPr>
                <a:r>
                  <a:rPr lang="en-US" sz="1000" b="1" i="0" baseline="0">
                    <a:effectLst/>
                  </a:rPr>
                  <a:t>Annual Consumption (kWh)</a:t>
                </a:r>
                <a:endParaRPr lang="en-US" sz="1000">
                  <a:effectLst/>
                </a:endParaRPr>
              </a:p>
            </c:rich>
          </c:tx>
          <c:overlay val="0"/>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875968"/>
        <c:crosses val="autoZero"/>
        <c:crossBetween val="between"/>
      </c:valAx>
      <c:spPr>
        <a:noFill/>
        <a:ln>
          <a:noFill/>
        </a:ln>
        <a:effectLst/>
      </c:spPr>
    </c:plotArea>
    <c:legend>
      <c:legendPos val="b"/>
      <c:layout>
        <c:manualLayout>
          <c:xMode val="edge"/>
          <c:yMode val="edge"/>
          <c:x val="1.4685006509185803E-2"/>
          <c:y val="0.8509923345674506"/>
          <c:w val="0.9620622153021775"/>
          <c:h val="0.1225175992073838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GS &gt; 50 kW</a:t>
            </a:r>
          </a:p>
        </c:rich>
      </c:tx>
      <c:overlay val="0"/>
    </c:title>
    <c:autoTitleDeleted val="0"/>
    <c:plotArea>
      <c:layout/>
      <c:lineChart>
        <c:grouping val="standard"/>
        <c:varyColors val="0"/>
        <c:ser>
          <c:idx val="0"/>
          <c:order val="0"/>
          <c:tx>
            <c:strRef>
              <c:f>'Normalized Annual Summary'!$W$3</c:f>
              <c:strCache>
                <c:ptCount val="1"/>
                <c:pt idx="0">
                  <c:v>Actual</c:v>
                </c:pt>
              </c:strCache>
            </c:strRef>
          </c:tx>
          <c:spPr>
            <a:ln w="28575" cap="rnd">
              <a:solidFill>
                <a:schemeClr val="accent1"/>
              </a:solidFill>
              <a:round/>
            </a:ln>
            <a:effectLst/>
          </c:spPr>
          <c:marker>
            <c:symbol val="none"/>
          </c:marker>
          <c:cat>
            <c:numRef>
              <c:f>'Normalized Annual Summary'!$V$5:$V$16</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'Normalized Annual Summary'!$W$5:$W$15</c:f>
              <c:numCache>
                <c:formatCode>#,##0</c:formatCode>
                <c:ptCount val="11"/>
                <c:pt idx="0">
                  <c:v>75048053</c:v>
                </c:pt>
                <c:pt idx="1">
                  <c:v>70829349</c:v>
                </c:pt>
                <c:pt idx="2">
                  <c:v>71502339</c:v>
                </c:pt>
                <c:pt idx="3">
                  <c:v>73532152</c:v>
                </c:pt>
                <c:pt idx="4">
                  <c:v>65161090</c:v>
                </c:pt>
                <c:pt idx="5">
                  <c:v>67961293.822997034</c:v>
                </c:pt>
                <c:pt idx="6">
                  <c:v>68211369.280000001</c:v>
                </c:pt>
                <c:pt idx="7">
                  <c:v>64679344</c:v>
                </c:pt>
                <c:pt idx="8">
                  <c:v>64215692</c:v>
                </c:pt>
                <c:pt idx="9">
                  <c:v>72102178</c:v>
                </c:pt>
              </c:numCache>
            </c:numRef>
          </c:val>
          <c:smooth val="0"/>
          <c:extLst>
            <c:ext xmlns:c16="http://schemas.microsoft.com/office/drawing/2014/chart" uri="{C3380CC4-5D6E-409C-BE32-E72D297353CC}">
              <c16:uniqueId val="{00000000-9C43-4FC0-AEEC-BAE23406DD23}"/>
            </c:ext>
          </c:extLst>
        </c:ser>
        <c:ser>
          <c:idx val="1"/>
          <c:order val="1"/>
          <c:tx>
            <c:strRef>
              <c:f>'Normalized Annual Summary'!$Y$3</c:f>
              <c:strCache>
                <c:ptCount val="1"/>
                <c:pt idx="0">
                  <c:v>Actual No CDM</c:v>
                </c:pt>
              </c:strCache>
            </c:strRef>
          </c:tx>
          <c:spPr>
            <a:ln w="28575" cap="rnd">
              <a:solidFill>
                <a:schemeClr val="accent2"/>
              </a:solidFill>
              <a:round/>
            </a:ln>
            <a:effectLst/>
          </c:spPr>
          <c:marker>
            <c:symbol val="none"/>
          </c:marker>
          <c:cat>
            <c:numRef>
              <c:f>'Normalized Annual Summary'!$V$5:$V$16</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'Normalized Annual Summary'!$Y$5:$Y$15</c:f>
              <c:numCache>
                <c:formatCode>#,##0</c:formatCode>
                <c:ptCount val="11"/>
                <c:pt idx="0">
                  <c:v>75379981.5</c:v>
                </c:pt>
                <c:pt idx="1">
                  <c:v>71747031.75</c:v>
                </c:pt>
                <c:pt idx="2">
                  <c:v>72911994.353801697</c:v>
                </c:pt>
                <c:pt idx="3">
                  <c:v>75178729.977980465</c:v>
                </c:pt>
                <c:pt idx="4">
                  <c:v>66787328.307788745</c:v>
                </c:pt>
                <c:pt idx="5">
                  <c:v>69744249.56722571</c:v>
                </c:pt>
                <c:pt idx="6">
                  <c:v>70429647.506230652</c:v>
                </c:pt>
                <c:pt idx="7">
                  <c:v>67204588.594383955</c:v>
                </c:pt>
                <c:pt idx="8">
                  <c:v>67088357.10501609</c:v>
                </c:pt>
                <c:pt idx="9">
                  <c:v>75334336.853890345</c:v>
                </c:pt>
              </c:numCache>
            </c:numRef>
          </c:val>
          <c:smooth val="0"/>
          <c:extLst>
            <c:ext xmlns:c16="http://schemas.microsoft.com/office/drawing/2014/chart" uri="{C3380CC4-5D6E-409C-BE32-E72D297353CC}">
              <c16:uniqueId val="{00000001-9C43-4FC0-AEEC-BAE23406DD23}"/>
            </c:ext>
          </c:extLst>
        </c:ser>
        <c:ser>
          <c:idx val="2"/>
          <c:order val="2"/>
          <c:tx>
            <c:v>Normal No CDM</c:v>
          </c:tx>
          <c:spPr>
            <a:ln w="28575" cap="rnd">
              <a:solidFill>
                <a:schemeClr val="accent3"/>
              </a:solidFill>
              <a:round/>
            </a:ln>
            <a:effectLst/>
          </c:spPr>
          <c:marker>
            <c:symbol val="none"/>
          </c:marker>
          <c:cat>
            <c:numRef>
              <c:f>'Normalized Annual Summary'!$V$5:$V$16</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'Normalized Annual Summary'!$Z$5:$Z$16</c:f>
              <c:numCache>
                <c:formatCode>#,##0</c:formatCode>
                <c:ptCount val="12"/>
                <c:pt idx="0">
                  <c:v>68807017.380251586</c:v>
                </c:pt>
                <c:pt idx="1">
                  <c:v>68807017.380251586</c:v>
                </c:pt>
                <c:pt idx="2">
                  <c:v>68807017.380251586</c:v>
                </c:pt>
                <c:pt idx="3">
                  <c:v>68807017.380251586</c:v>
                </c:pt>
                <c:pt idx="4">
                  <c:v>68807017.380251586</c:v>
                </c:pt>
                <c:pt idx="5">
                  <c:v>68807017.380251586</c:v>
                </c:pt>
                <c:pt idx="6">
                  <c:v>68807017.380251586</c:v>
                </c:pt>
                <c:pt idx="7">
                  <c:v>68807017.380251586</c:v>
                </c:pt>
                <c:pt idx="8">
                  <c:v>68807017.380251586</c:v>
                </c:pt>
                <c:pt idx="9">
                  <c:v>75144657.425577551</c:v>
                </c:pt>
                <c:pt idx="10">
                  <c:v>68807017.380251586</c:v>
                </c:pt>
                <c:pt idx="11">
                  <c:v>68807017.380251586</c:v>
                </c:pt>
              </c:numCache>
            </c:numRef>
          </c:val>
          <c:smooth val="0"/>
          <c:extLst>
            <c:ext xmlns:c16="http://schemas.microsoft.com/office/drawing/2014/chart" uri="{C3380CC4-5D6E-409C-BE32-E72D297353CC}">
              <c16:uniqueId val="{00000002-9C43-4FC0-AEEC-BAE23406DD23}"/>
            </c:ext>
          </c:extLst>
        </c:ser>
        <c:ser>
          <c:idx val="3"/>
          <c:order val="3"/>
          <c:tx>
            <c:strRef>
              <c:f>'Normalized Annual Summary'!$AD$3</c:f>
              <c:strCache>
                <c:ptCount val="1"/>
                <c:pt idx="0">
                  <c:v>Normalized with Additional Loads</c:v>
                </c:pt>
              </c:strCache>
            </c:strRef>
          </c:tx>
          <c:marker>
            <c:symbol val="none"/>
          </c:marker>
          <c:cat>
            <c:numRef>
              <c:f>'Normalized Annual Summary'!$V$5:$V$16</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'Normalized Annual Summary'!$AD$5:$AD$16</c:f>
              <c:numCache>
                <c:formatCode>#,##0</c:formatCode>
                <c:ptCount val="12"/>
                <c:pt idx="0">
                  <c:v>68475088.880251586</c:v>
                </c:pt>
                <c:pt idx="1">
                  <c:v>67889334.630251586</c:v>
                </c:pt>
                <c:pt idx="2">
                  <c:v>67397362.026449889</c:v>
                </c:pt>
                <c:pt idx="3">
                  <c:v>67160439.402271122</c:v>
                </c:pt>
                <c:pt idx="4">
                  <c:v>67180779.072462842</c:v>
                </c:pt>
                <c:pt idx="5">
                  <c:v>67024061.63602291</c:v>
                </c:pt>
                <c:pt idx="6">
                  <c:v>66588739.154020928</c:v>
                </c:pt>
                <c:pt idx="7">
                  <c:v>66281772.785867624</c:v>
                </c:pt>
                <c:pt idx="8">
                  <c:v>65934352.275235496</c:v>
                </c:pt>
                <c:pt idx="9">
                  <c:v>71912498.571687207</c:v>
                </c:pt>
                <c:pt idx="10">
                  <c:v>65642348.581128612</c:v>
                </c:pt>
                <c:pt idx="11">
                  <c:v>65700091.783353448</c:v>
                </c:pt>
              </c:numCache>
            </c:numRef>
          </c:val>
          <c:smooth val="0"/>
          <c:extLst>
            <c:ext xmlns:c16="http://schemas.microsoft.com/office/drawing/2014/chart" uri="{C3380CC4-5D6E-409C-BE32-E72D297353CC}">
              <c16:uniqueId val="{00000003-9C43-4FC0-AEEC-BAE23406DD23}"/>
            </c:ext>
          </c:extLst>
        </c:ser>
        <c:dLbls>
          <c:showLegendKey val="0"/>
          <c:showVal val="0"/>
          <c:showCatName val="0"/>
          <c:showSerName val="0"/>
          <c:showPercent val="0"/>
          <c:showBubbleSize val="0"/>
        </c:dLbls>
        <c:smooth val="0"/>
        <c:axId val="178001408"/>
        <c:axId val="178002944"/>
      </c:lineChart>
      <c:catAx>
        <c:axId val="1780014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8002944"/>
        <c:crosses val="autoZero"/>
        <c:auto val="1"/>
        <c:lblAlgn val="ctr"/>
        <c:lblOffset val="100"/>
        <c:noMultiLvlLbl val="0"/>
      </c:catAx>
      <c:valAx>
        <c:axId val="178002944"/>
        <c:scaling>
          <c:orientation val="minMax"/>
        </c:scaling>
        <c:delete val="0"/>
        <c:axPos val="l"/>
        <c:majorGridlines>
          <c:spPr>
            <a:ln w="9525" cap="flat" cmpd="sng" algn="ctr">
              <a:solidFill>
                <a:schemeClr val="tx1">
                  <a:lumMod val="15000"/>
                  <a:lumOff val="85000"/>
                </a:schemeClr>
              </a:solidFill>
              <a:round/>
            </a:ln>
            <a:effectLst/>
          </c:spPr>
        </c:majorGridlines>
        <c:title>
          <c:tx>
            <c:rich>
              <a:bodyPr/>
              <a:lstStyle/>
              <a:p>
                <a:pPr>
                  <a:defRPr sz="1000"/>
                </a:pPr>
                <a:r>
                  <a:rPr lang="en-US" sz="1000" b="1" i="0" baseline="0">
                    <a:effectLst/>
                  </a:rPr>
                  <a:t>Annual Consumption (kWh)</a:t>
                </a:r>
                <a:endParaRPr lang="en-US" sz="1000">
                  <a:effectLst/>
                </a:endParaRPr>
              </a:p>
            </c:rich>
          </c:tx>
          <c:overlay val="0"/>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80014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Sentinel Light</a:t>
            </a:r>
          </a:p>
        </c:rich>
      </c:tx>
      <c:overlay val="0"/>
    </c:title>
    <c:autoTitleDeleted val="0"/>
    <c:plotArea>
      <c:layout/>
      <c:lineChart>
        <c:grouping val="standard"/>
        <c:varyColors val="0"/>
        <c:ser>
          <c:idx val="0"/>
          <c:order val="0"/>
          <c:tx>
            <c:strRef>
              <c:f>'Normalized Annual Summary'!$AN$3</c:f>
              <c:strCache>
                <c:ptCount val="1"/>
                <c:pt idx="0">
                  <c:v>Actual</c:v>
                </c:pt>
              </c:strCache>
            </c:strRef>
          </c:tx>
          <c:marker>
            <c:symbol val="none"/>
          </c:marker>
          <c:cat>
            <c:numRef>
              <c:f>'Normalized Annual Summary'!$AF$5:$AF$16</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'Normalized Annual Summary'!$AN$5:$AN$16</c:f>
              <c:numCache>
                <c:formatCode>#,##0</c:formatCode>
                <c:ptCount val="12"/>
                <c:pt idx="0">
                  <c:v>217806</c:v>
                </c:pt>
                <c:pt idx="1">
                  <c:v>203681</c:v>
                </c:pt>
                <c:pt idx="2">
                  <c:v>203849</c:v>
                </c:pt>
                <c:pt idx="3">
                  <c:v>211785</c:v>
                </c:pt>
                <c:pt idx="4">
                  <c:v>199124</c:v>
                </c:pt>
                <c:pt idx="5">
                  <c:v>189809.41692454813</c:v>
                </c:pt>
                <c:pt idx="6">
                  <c:v>190718</c:v>
                </c:pt>
                <c:pt idx="7">
                  <c:v>175555</c:v>
                </c:pt>
                <c:pt idx="8">
                  <c:v>164745</c:v>
                </c:pt>
                <c:pt idx="9">
                  <c:v>162265</c:v>
                </c:pt>
              </c:numCache>
            </c:numRef>
          </c:val>
          <c:smooth val="0"/>
          <c:extLst>
            <c:ext xmlns:c16="http://schemas.microsoft.com/office/drawing/2014/chart" uri="{C3380CC4-5D6E-409C-BE32-E72D297353CC}">
              <c16:uniqueId val="{00000000-2C4A-437C-8D2C-8F86941236B0}"/>
            </c:ext>
          </c:extLst>
        </c:ser>
        <c:ser>
          <c:idx val="3"/>
          <c:order val="1"/>
          <c:tx>
            <c:strRef>
              <c:f>'Normalized Annual Summary'!$AQ$3</c:f>
              <c:strCache>
                <c:ptCount val="1"/>
                <c:pt idx="0">
                  <c:v>Normal Forecast</c:v>
                </c:pt>
              </c:strCache>
            </c:strRef>
          </c:tx>
          <c:marker>
            <c:symbol val="none"/>
          </c:marker>
          <c:cat>
            <c:numRef>
              <c:f>'Normalized Annual Summary'!$AF$5:$AF$16</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'Normalized Annual Summary'!$AQ$5:$AQ$16</c:f>
              <c:numCache>
                <c:formatCode>#,##0</c:formatCode>
                <c:ptCount val="12"/>
                <c:pt idx="0">
                  <c:v>217806</c:v>
                </c:pt>
                <c:pt idx="1">
                  <c:v>203681</c:v>
                </c:pt>
                <c:pt idx="2">
                  <c:v>203849</c:v>
                </c:pt>
                <c:pt idx="3">
                  <c:v>211785</c:v>
                </c:pt>
                <c:pt idx="4">
                  <c:v>199124</c:v>
                </c:pt>
                <c:pt idx="5">
                  <c:v>189809.41692454813</c:v>
                </c:pt>
                <c:pt idx="6">
                  <c:v>190718</c:v>
                </c:pt>
                <c:pt idx="7">
                  <c:v>175555</c:v>
                </c:pt>
                <c:pt idx="8">
                  <c:v>164745</c:v>
                </c:pt>
                <c:pt idx="9">
                  <c:v>162265</c:v>
                </c:pt>
                <c:pt idx="10">
                  <c:v>157402.60281308927</c:v>
                </c:pt>
                <c:pt idx="11">
                  <c:v>149812.20333023078</c:v>
                </c:pt>
              </c:numCache>
            </c:numRef>
          </c:val>
          <c:smooth val="0"/>
          <c:extLst>
            <c:ext xmlns:c16="http://schemas.microsoft.com/office/drawing/2014/chart" uri="{C3380CC4-5D6E-409C-BE32-E72D297353CC}">
              <c16:uniqueId val="{00000001-2C4A-437C-8D2C-8F86941236B0}"/>
            </c:ext>
          </c:extLst>
        </c:ser>
        <c:dLbls>
          <c:showLegendKey val="0"/>
          <c:showVal val="0"/>
          <c:showCatName val="0"/>
          <c:showSerName val="0"/>
          <c:showPercent val="0"/>
          <c:showBubbleSize val="0"/>
        </c:dLbls>
        <c:smooth val="0"/>
        <c:axId val="178042752"/>
        <c:axId val="178044288"/>
      </c:lineChart>
      <c:catAx>
        <c:axId val="1780427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8044288"/>
        <c:crosses val="autoZero"/>
        <c:auto val="1"/>
        <c:lblAlgn val="ctr"/>
        <c:lblOffset val="100"/>
        <c:noMultiLvlLbl val="0"/>
      </c:catAx>
      <c:valAx>
        <c:axId val="178044288"/>
        <c:scaling>
          <c:orientation val="minMax"/>
        </c:scaling>
        <c:delete val="0"/>
        <c:axPos val="l"/>
        <c:majorGridlines>
          <c:spPr>
            <a:ln w="9525" cap="flat" cmpd="sng" algn="ctr">
              <a:solidFill>
                <a:schemeClr val="tx1">
                  <a:lumMod val="15000"/>
                  <a:lumOff val="85000"/>
                </a:schemeClr>
              </a:solidFill>
              <a:round/>
            </a:ln>
            <a:effectLst/>
          </c:spPr>
        </c:majorGridlines>
        <c:title>
          <c:tx>
            <c:rich>
              <a:bodyPr/>
              <a:lstStyle/>
              <a:p>
                <a:pPr>
                  <a:defRPr/>
                </a:pPr>
                <a:r>
                  <a:rPr lang="en-US"/>
                  <a:t>Annual Consumption</a:t>
                </a:r>
              </a:p>
            </c:rich>
          </c:tx>
          <c:overlay val="0"/>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80427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Average Per Sentinel Connection</a:t>
            </a:r>
          </a:p>
        </c:rich>
      </c:tx>
      <c:overlay val="0"/>
      <c:spPr>
        <a:noFill/>
        <a:ln>
          <a:noFill/>
        </a:ln>
        <a:effectLst/>
      </c:spPr>
    </c:title>
    <c:autoTitleDeleted val="0"/>
    <c:plotArea>
      <c:layout/>
      <c:lineChart>
        <c:grouping val="standard"/>
        <c:varyColors val="0"/>
        <c:ser>
          <c:idx val="0"/>
          <c:order val="0"/>
          <c:tx>
            <c:strRef>
              <c:f>'Normalized Annual Summary'!$AP$3</c:f>
              <c:strCache>
                <c:ptCount val="1"/>
                <c:pt idx="0">
                  <c:v>Average per Connection</c:v>
                </c:pt>
              </c:strCache>
            </c:strRef>
          </c:tx>
          <c:marker>
            <c:symbol val="none"/>
          </c:marker>
          <c:cat>
            <c:numRef>
              <c:f>'Normalized Annual Summary'!$AF$5:$AF$16</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'Normalized Annual Summary'!$AP$5:$AP$14</c:f>
              <c:numCache>
                <c:formatCode>#,##0</c:formatCode>
                <c:ptCount val="10"/>
                <c:pt idx="0">
                  <c:v>1195.0946502057614</c:v>
                </c:pt>
                <c:pt idx="1">
                  <c:v>1144.2752808988764</c:v>
                </c:pt>
                <c:pt idx="2">
                  <c:v>1145.2191011235955</c:v>
                </c:pt>
                <c:pt idx="3">
                  <c:v>1210.2</c:v>
                </c:pt>
                <c:pt idx="4">
                  <c:v>1164.46783625731</c:v>
                </c:pt>
                <c:pt idx="5">
                  <c:v>1109.9965902020358</c:v>
                </c:pt>
                <c:pt idx="6">
                  <c:v>1077.5028248587571</c:v>
                </c:pt>
                <c:pt idx="7">
                  <c:v>1009.4202204120749</c:v>
                </c:pt>
                <c:pt idx="8">
                  <c:v>953.20154291224685</c:v>
                </c:pt>
                <c:pt idx="9">
                  <c:v>916.75141242937855</c:v>
                </c:pt>
              </c:numCache>
            </c:numRef>
          </c:val>
          <c:smooth val="0"/>
          <c:extLst>
            <c:ext xmlns:c16="http://schemas.microsoft.com/office/drawing/2014/chart" uri="{C3380CC4-5D6E-409C-BE32-E72D297353CC}">
              <c16:uniqueId val="{00000000-9803-40DB-92A6-9BE9DD727067}"/>
            </c:ext>
          </c:extLst>
        </c:ser>
        <c:ser>
          <c:idx val="1"/>
          <c:order val="1"/>
          <c:tx>
            <c:v>Forecast per Connection</c:v>
          </c:tx>
          <c:spPr>
            <a:ln w="28575" cap="rnd">
              <a:solidFill>
                <a:schemeClr val="accent2"/>
              </a:solidFill>
              <a:round/>
            </a:ln>
            <a:effectLst/>
          </c:spPr>
          <c:marker>
            <c:symbol val="none"/>
          </c:marker>
          <c:cat>
            <c:numRef>
              <c:f>'Normalized Annual Summary'!$AF$5:$AF$16</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('Normalized Annual Summary'!$AK$5:$AK$13,'Normalized Annual Summary'!$AP$14:$AP$16)</c:f>
              <c:numCache>
                <c:formatCode>General</c:formatCode>
                <c:ptCount val="12"/>
                <c:pt idx="9" formatCode="#,##0">
                  <c:v>916.75141242937855</c:v>
                </c:pt>
                <c:pt idx="10" formatCode="#,##0">
                  <c:v>892.1715810684982</c:v>
                </c:pt>
                <c:pt idx="11" formatCode="#,##0">
                  <c:v>851.91083441162482</c:v>
                </c:pt>
              </c:numCache>
            </c:numRef>
          </c:val>
          <c:smooth val="0"/>
          <c:extLst>
            <c:ext xmlns:c16="http://schemas.microsoft.com/office/drawing/2014/chart" uri="{C3380CC4-5D6E-409C-BE32-E72D297353CC}">
              <c16:uniqueId val="{00000001-9803-40DB-92A6-9BE9DD727067}"/>
            </c:ext>
          </c:extLst>
        </c:ser>
        <c:dLbls>
          <c:showLegendKey val="0"/>
          <c:showVal val="0"/>
          <c:showCatName val="0"/>
          <c:showSerName val="0"/>
          <c:showPercent val="0"/>
          <c:showBubbleSize val="0"/>
        </c:dLbls>
        <c:smooth val="0"/>
        <c:axId val="177608192"/>
        <c:axId val="177609728"/>
      </c:lineChart>
      <c:catAx>
        <c:axId val="1776081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609728"/>
        <c:crosses val="autoZero"/>
        <c:auto val="1"/>
        <c:lblAlgn val="ctr"/>
        <c:lblOffset val="100"/>
        <c:noMultiLvlLbl val="0"/>
      </c:catAx>
      <c:valAx>
        <c:axId val="177609728"/>
        <c:scaling>
          <c:orientation val="minMax"/>
        </c:scaling>
        <c:delete val="0"/>
        <c:axPos val="l"/>
        <c:majorGridlines>
          <c:spPr>
            <a:ln w="9525" cap="flat" cmpd="sng" algn="ctr">
              <a:solidFill>
                <a:schemeClr val="tx1">
                  <a:lumMod val="15000"/>
                  <a:lumOff val="85000"/>
                </a:schemeClr>
              </a:solidFill>
              <a:round/>
            </a:ln>
            <a:effectLst/>
          </c:spPr>
        </c:majorGridlines>
        <c:title>
          <c:tx>
            <c:rich>
              <a:bodyPr/>
              <a:lstStyle/>
              <a:p>
                <a:pPr>
                  <a:defRPr/>
                </a:pPr>
                <a:r>
                  <a:rPr lang="en-US"/>
                  <a:t>Annual Consumption per Connection</a:t>
                </a:r>
              </a:p>
            </c:rich>
          </c:tx>
          <c:overlay val="0"/>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608192"/>
        <c:crosses val="autoZero"/>
        <c:crossBetween val="between"/>
      </c:valAx>
      <c:spPr>
        <a:noFill/>
        <a:ln>
          <a:noFill/>
        </a:ln>
        <a:effectLst/>
      </c:spPr>
    </c:plotArea>
    <c:legend>
      <c:legendPos val="b"/>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GS &gt;</a:t>
            </a:r>
            <a:r>
              <a:rPr lang="en-US" baseline="0"/>
              <a:t> 50 - </a:t>
            </a:r>
            <a:r>
              <a:rPr lang="en-US"/>
              <a:t>kW/kWh Ratio</a:t>
            </a:r>
          </a:p>
        </c:rich>
      </c:tx>
      <c:overlay val="0"/>
    </c:title>
    <c:autoTitleDeleted val="0"/>
    <c:plotArea>
      <c:layout/>
      <c:lineChart>
        <c:grouping val="standard"/>
        <c:varyColors val="0"/>
        <c:ser>
          <c:idx val="0"/>
          <c:order val="0"/>
          <c:tx>
            <c:strRef>
              <c:f>'kW Forecast'!$E$3</c:f>
              <c:strCache>
                <c:ptCount val="1"/>
                <c:pt idx="0">
                  <c:v>Ratio</c:v>
                </c:pt>
              </c:strCache>
            </c:strRef>
          </c:tx>
          <c:spPr>
            <a:ln w="28575" cap="rnd">
              <a:solidFill>
                <a:schemeClr val="accent1"/>
              </a:solidFill>
              <a:round/>
            </a:ln>
            <a:effectLst/>
          </c:spPr>
          <c:marker>
            <c:symbol val="none"/>
          </c:marker>
          <c:cat>
            <c:numRef>
              <c:f>'kW Forecast'!$B$5:$B$14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'kW Forecast'!$E$5:$E$14</c:f>
              <c:numCache>
                <c:formatCode>0.000000</c:formatCode>
                <c:ptCount val="10"/>
                <c:pt idx="0">
                  <c:v>2.9737480331435114E-3</c:v>
                </c:pt>
                <c:pt idx="1">
                  <c:v>3.0872654215698073E-3</c:v>
                </c:pt>
                <c:pt idx="2">
                  <c:v>3.2042867856392782E-3</c:v>
                </c:pt>
                <c:pt idx="3">
                  <c:v>3.1346967786282116E-3</c:v>
                </c:pt>
                <c:pt idx="4">
                  <c:v>2.9654641863206513E-3</c:v>
                </c:pt>
                <c:pt idx="5">
                  <c:v>2.7124321747038619E-3</c:v>
                </c:pt>
                <c:pt idx="6">
                  <c:v>2.998446771540899E-3</c:v>
                </c:pt>
                <c:pt idx="7">
                  <c:v>3.1736614397325984E-3</c:v>
                </c:pt>
                <c:pt idx="8">
                  <c:v>2.9582678950185576E-3</c:v>
                </c:pt>
                <c:pt idx="9">
                  <c:v>2.9704595053980203E-3</c:v>
                </c:pt>
              </c:numCache>
            </c:numRef>
          </c:val>
          <c:smooth val="0"/>
          <c:extLst>
            <c:ext xmlns:c16="http://schemas.microsoft.com/office/drawing/2014/chart" uri="{C3380CC4-5D6E-409C-BE32-E72D297353CC}">
              <c16:uniqueId val="{00000000-D4F6-4A91-BE35-5F8396D72999}"/>
            </c:ext>
          </c:extLst>
        </c:ser>
        <c:ser>
          <c:idx val="2"/>
          <c:order val="1"/>
          <c:tx>
            <c:v>Forecast Trend</c:v>
          </c:tx>
          <c:spPr>
            <a:ln w="28575" cap="rnd">
              <a:solidFill>
                <a:schemeClr val="accent3"/>
              </a:solidFill>
              <a:round/>
            </a:ln>
            <a:effectLst/>
          </c:spPr>
          <c:marker>
            <c:symbol val="none"/>
          </c:marker>
          <c:cat>
            <c:numRef>
              <c:f>'kW Forecast'!$B$5:$B$14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('kW Forecast'!$I$5:$I$13,'kW Forecast'!$F$18:$F$20)</c:f>
              <c:numCache>
                <c:formatCode>General</c:formatCode>
                <c:ptCount val="12"/>
                <c:pt idx="9" formatCode="_-* #,##0.000000_-;\-* #,##0.000000_-;_-* &quot;-&quot;??_-;_-@_-">
                  <c:v>2.9498177667866346E-3</c:v>
                </c:pt>
                <c:pt idx="10" formatCode="_-* #,##0.000000_-;\-* #,##0.000000_-;_-* &quot;-&quot;??_-;_-@_-">
                  <c:v>2.9315782929679665E-3</c:v>
                </c:pt>
                <c:pt idx="11" formatCode="_-* #,##0.000000_-;\-* #,##0.000000_-;_-* &quot;-&quot;??_-;_-@_-">
                  <c:v>2.9133388191492915E-3</c:v>
                </c:pt>
              </c:numCache>
            </c:numRef>
          </c:val>
          <c:smooth val="0"/>
          <c:extLst>
            <c:ext xmlns:c16="http://schemas.microsoft.com/office/drawing/2014/chart" uri="{C3380CC4-5D6E-409C-BE32-E72D297353CC}">
              <c16:uniqueId val="{00000002-D4F6-4A91-BE35-5F8396D72999}"/>
            </c:ext>
          </c:extLst>
        </c:ser>
        <c:ser>
          <c:idx val="3"/>
          <c:order val="2"/>
          <c:tx>
            <c:v>Forecast Avg</c:v>
          </c:tx>
          <c:marker>
            <c:symbol val="none"/>
          </c:marker>
          <c:cat>
            <c:numRef>
              <c:f>'kW Forecast'!$B$5:$B$14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('kW Forecast'!$I$5:$I$13,'kW Forecast'!$E$18:$E$20)</c:f>
              <c:numCache>
                <c:formatCode>General</c:formatCode>
                <c:ptCount val="12"/>
                <c:pt idx="9" formatCode="_-* #,##0.000000_-;\-* #,##0.000000_-;_-* &quot;-&quot;??_-;_-@_-">
                  <c:v>3.0178728991695396E-3</c:v>
                </c:pt>
                <c:pt idx="10" formatCode="_-* #,##0.000000_-;\-* #,##0.000000_-;_-* &quot;-&quot;??_-;_-@_-">
                  <c:v>3.0178728991695396E-3</c:v>
                </c:pt>
                <c:pt idx="11" formatCode="_-* #,##0.000000_-;\-* #,##0.000000_-;_-* &quot;-&quot;??_-;_-@_-">
                  <c:v>3.0178728991695396E-3</c:v>
                </c:pt>
              </c:numCache>
            </c:numRef>
          </c:val>
          <c:smooth val="0"/>
          <c:extLst>
            <c:ext xmlns:c16="http://schemas.microsoft.com/office/drawing/2014/chart" uri="{C3380CC4-5D6E-409C-BE32-E72D297353CC}">
              <c16:uniqueId val="{00000003-D4F6-4A91-BE35-5F8396D72999}"/>
            </c:ext>
          </c:extLst>
        </c:ser>
        <c:ser>
          <c:idx val="1"/>
          <c:order val="3"/>
          <c:tx>
            <c:strRef>
              <c:f>'kW Forecast'!$F$3</c:f>
              <c:strCache>
                <c:ptCount val="1"/>
                <c:pt idx="0">
                  <c:v>3-Yr MA</c:v>
                </c:pt>
              </c:strCache>
            </c:strRef>
          </c:tx>
          <c:marker>
            <c:symbol val="none"/>
          </c:marker>
          <c:cat>
            <c:numRef>
              <c:f>'kW Forecast'!$B$5:$B$14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'kW Forecast'!$F$5:$F$14</c:f>
              <c:numCache>
                <c:formatCode>0.000000</c:formatCode>
                <c:ptCount val="10"/>
                <c:pt idx="2">
                  <c:v>3.0884334134508654E-3</c:v>
                </c:pt>
                <c:pt idx="3">
                  <c:v>3.1420829952790992E-3</c:v>
                </c:pt>
                <c:pt idx="4">
                  <c:v>3.1014825835293802E-3</c:v>
                </c:pt>
                <c:pt idx="5">
                  <c:v>2.9375310465509078E-3</c:v>
                </c:pt>
                <c:pt idx="6">
                  <c:v>2.8921143775218045E-3</c:v>
                </c:pt>
                <c:pt idx="7">
                  <c:v>2.9615134619924532E-3</c:v>
                </c:pt>
                <c:pt idx="8">
                  <c:v>3.0434587020973518E-3</c:v>
                </c:pt>
                <c:pt idx="9">
                  <c:v>3.0341296133830583E-3</c:v>
                </c:pt>
              </c:numCache>
            </c:numRef>
          </c:val>
          <c:smooth val="0"/>
          <c:extLst>
            <c:ext xmlns:c16="http://schemas.microsoft.com/office/drawing/2014/chart" uri="{C3380CC4-5D6E-409C-BE32-E72D297353CC}">
              <c16:uniqueId val="{00000000-FA98-4A81-AC0D-69D31D7D2EA0}"/>
            </c:ext>
          </c:extLst>
        </c:ser>
        <c:dLbls>
          <c:showLegendKey val="0"/>
          <c:showVal val="0"/>
          <c:showCatName val="0"/>
          <c:showSerName val="0"/>
          <c:showPercent val="0"/>
          <c:showBubbleSize val="0"/>
        </c:dLbls>
        <c:smooth val="0"/>
        <c:axId val="177295360"/>
        <c:axId val="177296896"/>
      </c:lineChart>
      <c:catAx>
        <c:axId val="1772953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296896"/>
        <c:crosses val="autoZero"/>
        <c:auto val="1"/>
        <c:lblAlgn val="ctr"/>
        <c:lblOffset val="100"/>
        <c:noMultiLvlLbl val="0"/>
      </c:catAx>
      <c:valAx>
        <c:axId val="177296896"/>
        <c:scaling>
          <c:orientation val="minMax"/>
        </c:scaling>
        <c:delete val="0"/>
        <c:axPos val="l"/>
        <c:majorGridlines>
          <c:spPr>
            <a:ln w="9525" cap="flat" cmpd="sng" algn="ctr">
              <a:solidFill>
                <a:schemeClr val="tx1">
                  <a:lumMod val="15000"/>
                  <a:lumOff val="85000"/>
                </a:schemeClr>
              </a:solidFill>
              <a:round/>
            </a:ln>
            <a:effectLst/>
          </c:spPr>
        </c:majorGridlines>
        <c:title>
          <c:tx>
            <c:rich>
              <a:bodyPr/>
              <a:lstStyle/>
              <a:p>
                <a:pPr>
                  <a:defRPr/>
                </a:pPr>
                <a:r>
                  <a:rPr lang="en-US"/>
                  <a:t>kW/kWh Ratio</a:t>
                </a:r>
              </a:p>
            </c:rich>
          </c:tx>
          <c:overlay val="0"/>
        </c:title>
        <c:numFmt formatCode="0.00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2953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CA"/>
              <a:t>Street Light kW/kWh Ratio</a:t>
            </a:r>
          </a:p>
        </c:rich>
      </c:tx>
      <c:overlay val="0"/>
    </c:title>
    <c:autoTitleDeleted val="0"/>
    <c:plotArea>
      <c:layout/>
      <c:lineChart>
        <c:grouping val="standard"/>
        <c:varyColors val="0"/>
        <c:ser>
          <c:idx val="0"/>
          <c:order val="0"/>
          <c:tx>
            <c:strRef>
              <c:f>'kW Forecast'!$M$3</c:f>
              <c:strCache>
                <c:ptCount val="1"/>
                <c:pt idx="0">
                  <c:v>Ratio</c:v>
                </c:pt>
              </c:strCache>
            </c:strRef>
          </c:tx>
          <c:spPr>
            <a:ln w="28575" cap="rnd">
              <a:solidFill>
                <a:schemeClr val="accent1"/>
              </a:solidFill>
              <a:round/>
            </a:ln>
            <a:effectLst/>
          </c:spPr>
          <c:marker>
            <c:symbol val="none"/>
          </c:marker>
          <c:cat>
            <c:numRef>
              <c:f>('kW Forecast'!$J$5:$J$13,'kW Forecast'!$J$18:$J$20)</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'kW Forecast'!$M$5:$M$14</c:f>
              <c:numCache>
                <c:formatCode>0.000000</c:formatCode>
                <c:ptCount val="10"/>
                <c:pt idx="0">
                  <c:v>2.9960931495913064E-3</c:v>
                </c:pt>
                <c:pt idx="1">
                  <c:v>2.781327114586978E-3</c:v>
                </c:pt>
                <c:pt idx="2">
                  <c:v>2.837957318994686E-3</c:v>
                </c:pt>
                <c:pt idx="3">
                  <c:v>2.7733263502057459E-3</c:v>
                </c:pt>
                <c:pt idx="4">
                  <c:v>2.7883154616621391E-3</c:v>
                </c:pt>
                <c:pt idx="5">
                  <c:v>2.7902340917141544E-3</c:v>
                </c:pt>
                <c:pt idx="6">
                  <c:v>2.8163082830718134E-3</c:v>
                </c:pt>
                <c:pt idx="7">
                  <c:v>2.788362644372851E-3</c:v>
                </c:pt>
                <c:pt idx="8">
                  <c:v>2.7824787203627444E-3</c:v>
                </c:pt>
                <c:pt idx="9">
                  <c:v>2.7777449904195341E-3</c:v>
                </c:pt>
              </c:numCache>
            </c:numRef>
          </c:val>
          <c:smooth val="0"/>
          <c:extLst>
            <c:ext xmlns:c16="http://schemas.microsoft.com/office/drawing/2014/chart" uri="{C3380CC4-5D6E-409C-BE32-E72D297353CC}">
              <c16:uniqueId val="{00000000-28B5-4533-8DD9-03E0BE3E3248}"/>
            </c:ext>
          </c:extLst>
        </c:ser>
        <c:ser>
          <c:idx val="1"/>
          <c:order val="1"/>
          <c:tx>
            <c:strRef>
              <c:f>'kW Forecast'!$N$3</c:f>
              <c:strCache>
                <c:ptCount val="1"/>
                <c:pt idx="0">
                  <c:v>3-Yr MA</c:v>
                </c:pt>
              </c:strCache>
            </c:strRef>
          </c:tx>
          <c:spPr>
            <a:ln w="28575" cap="rnd">
              <a:solidFill>
                <a:schemeClr val="accent2"/>
              </a:solidFill>
              <a:round/>
            </a:ln>
            <a:effectLst/>
          </c:spPr>
          <c:marker>
            <c:symbol val="none"/>
          </c:marker>
          <c:cat>
            <c:numRef>
              <c:f>('kW Forecast'!$J$5:$J$13,'kW Forecast'!$J$18:$J$20)</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'kW Forecast'!$N$5:$N$14</c:f>
              <c:numCache>
                <c:formatCode>0.000000</c:formatCode>
                <c:ptCount val="10"/>
                <c:pt idx="2">
                  <c:v>2.8717925277243236E-3</c:v>
                </c:pt>
                <c:pt idx="3">
                  <c:v>2.7975369279291365E-3</c:v>
                </c:pt>
                <c:pt idx="4">
                  <c:v>2.7998663769541903E-3</c:v>
                </c:pt>
                <c:pt idx="5">
                  <c:v>2.7839586345273465E-3</c:v>
                </c:pt>
                <c:pt idx="6">
                  <c:v>2.7982859454827023E-3</c:v>
                </c:pt>
                <c:pt idx="7">
                  <c:v>2.7983016730529393E-3</c:v>
                </c:pt>
                <c:pt idx="8">
                  <c:v>2.795716549269136E-3</c:v>
                </c:pt>
                <c:pt idx="9">
                  <c:v>2.7828621183850432E-3</c:v>
                </c:pt>
              </c:numCache>
            </c:numRef>
          </c:val>
          <c:smooth val="0"/>
          <c:extLst>
            <c:ext xmlns:c16="http://schemas.microsoft.com/office/drawing/2014/chart" uri="{C3380CC4-5D6E-409C-BE32-E72D297353CC}">
              <c16:uniqueId val="{00000001-28B5-4533-8DD9-03E0BE3E3248}"/>
            </c:ext>
          </c:extLst>
        </c:ser>
        <c:ser>
          <c:idx val="2"/>
          <c:order val="2"/>
          <c:tx>
            <c:v>Forecast Trend</c:v>
          </c:tx>
          <c:spPr>
            <a:ln w="28575" cap="rnd">
              <a:solidFill>
                <a:schemeClr val="accent3"/>
              </a:solidFill>
              <a:round/>
            </a:ln>
            <a:effectLst/>
          </c:spPr>
          <c:marker>
            <c:symbol val="none"/>
          </c:marker>
          <c:cat>
            <c:numRef>
              <c:f>('kW Forecast'!$J$5:$J$13,'kW Forecast'!$J$18:$J$20)</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('kW Forecast'!$O$5:$O$13,'kW Forecast'!$N$18:$N$20)</c:f>
              <c:numCache>
                <c:formatCode>0.000000</c:formatCode>
                <c:ptCount val="12"/>
                <c:pt idx="9" formatCode="_-* #,##0.000000_-;\-* #,##0.000000_-;_-* &quot;-&quot;??_-;_-@_-">
                  <c:v>2.7776241958562941E-3</c:v>
                </c:pt>
                <c:pt idx="10" formatCode="_-* #,##0.000000_-;\-* #,##0.000000_-;_-* &quot;-&quot;??_-;_-@_-">
                  <c:v>2.7702196534822067E-3</c:v>
                </c:pt>
                <c:pt idx="11" formatCode="_-* #,##0.000000_-;\-* #,##0.000000_-;_-* &quot;-&quot;??_-;_-@_-">
                  <c:v>2.7628151111081193E-3</c:v>
                </c:pt>
              </c:numCache>
            </c:numRef>
          </c:val>
          <c:smooth val="0"/>
          <c:extLst>
            <c:ext xmlns:c16="http://schemas.microsoft.com/office/drawing/2014/chart" uri="{C3380CC4-5D6E-409C-BE32-E72D297353CC}">
              <c16:uniqueId val="{00000002-28B5-4533-8DD9-03E0BE3E3248}"/>
            </c:ext>
          </c:extLst>
        </c:ser>
        <c:ser>
          <c:idx val="3"/>
          <c:order val="3"/>
          <c:tx>
            <c:v>Forecast Average</c:v>
          </c:tx>
          <c:spPr>
            <a:ln w="28575" cap="rnd">
              <a:solidFill>
                <a:schemeClr val="accent4"/>
              </a:solidFill>
              <a:round/>
            </a:ln>
            <a:effectLst/>
          </c:spPr>
          <c:marker>
            <c:symbol val="none"/>
          </c:marker>
          <c:cat>
            <c:numRef>
              <c:f>('kW Forecast'!$J$5:$J$13,'kW Forecast'!$J$18:$J$20)</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('kW Forecast'!$O$5:$O$13,'kW Forecast'!$M$18:$M$20)</c:f>
              <c:numCache>
                <c:formatCode>0.000000</c:formatCode>
                <c:ptCount val="12"/>
                <c:pt idx="9" formatCode="_-* #,##0.000000_-;\-* #,##0.000000_-;_-* &quot;-&quot;??_-;_-@_-">
                  <c:v>2.7910257459882195E-3</c:v>
                </c:pt>
                <c:pt idx="10" formatCode="_-* #,##0.000000_-;\-* #,##0.000000_-;_-* &quot;-&quot;??_-;_-@_-">
                  <c:v>2.7910257459882195E-3</c:v>
                </c:pt>
                <c:pt idx="11" formatCode="_-* #,##0.000000_-;\-* #,##0.000000_-;_-* &quot;-&quot;??_-;_-@_-">
                  <c:v>2.7910257459882195E-3</c:v>
                </c:pt>
              </c:numCache>
            </c:numRef>
          </c:val>
          <c:smooth val="0"/>
          <c:extLst>
            <c:ext xmlns:c16="http://schemas.microsoft.com/office/drawing/2014/chart" uri="{C3380CC4-5D6E-409C-BE32-E72D297353CC}">
              <c16:uniqueId val="{00000003-28B5-4533-8DD9-03E0BE3E3248}"/>
            </c:ext>
          </c:extLst>
        </c:ser>
        <c:dLbls>
          <c:showLegendKey val="0"/>
          <c:showVal val="0"/>
          <c:showCatName val="0"/>
          <c:showSerName val="0"/>
          <c:showPercent val="0"/>
          <c:showBubbleSize val="0"/>
        </c:dLbls>
        <c:smooth val="0"/>
        <c:axId val="177330432"/>
        <c:axId val="177340416"/>
      </c:lineChart>
      <c:catAx>
        <c:axId val="1773304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340416"/>
        <c:crosses val="autoZero"/>
        <c:auto val="1"/>
        <c:lblAlgn val="ctr"/>
        <c:lblOffset val="100"/>
        <c:noMultiLvlLbl val="0"/>
      </c:catAx>
      <c:valAx>
        <c:axId val="177340416"/>
        <c:scaling>
          <c:orientation val="minMax"/>
        </c:scaling>
        <c:delete val="0"/>
        <c:axPos val="l"/>
        <c:majorGridlines>
          <c:spPr>
            <a:ln w="9525" cap="flat" cmpd="sng" algn="ctr">
              <a:solidFill>
                <a:schemeClr val="tx1">
                  <a:lumMod val="15000"/>
                  <a:lumOff val="85000"/>
                </a:schemeClr>
              </a:solidFill>
              <a:round/>
            </a:ln>
            <a:effectLst/>
          </c:spPr>
        </c:majorGridlines>
        <c:numFmt formatCode="0.00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3304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CA"/>
              <a:t>Sentinel Light kW/kWh Ratio</a:t>
            </a:r>
          </a:p>
        </c:rich>
      </c:tx>
      <c:overlay val="0"/>
    </c:title>
    <c:autoTitleDeleted val="0"/>
    <c:plotArea>
      <c:layout/>
      <c:lineChart>
        <c:grouping val="standard"/>
        <c:varyColors val="0"/>
        <c:ser>
          <c:idx val="0"/>
          <c:order val="0"/>
          <c:tx>
            <c:strRef>
              <c:f>'kW Forecast'!$U$3</c:f>
              <c:strCache>
                <c:ptCount val="1"/>
                <c:pt idx="0">
                  <c:v>Ratio</c:v>
                </c:pt>
              </c:strCache>
            </c:strRef>
          </c:tx>
          <c:marker>
            <c:symbol val="none"/>
          </c:marker>
          <c:cat>
            <c:numRef>
              <c:f>('kW Forecast'!$J$5:$J$13,'kW Forecast'!$J$18:$J$20)</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'kW Forecast'!$U$5:$U$14</c:f>
              <c:numCache>
                <c:formatCode>0.000000</c:formatCode>
                <c:ptCount val="10"/>
                <c:pt idx="0">
                  <c:v>2.8878910590158214E-3</c:v>
                </c:pt>
                <c:pt idx="1">
                  <c:v>2.6806624083738789E-3</c:v>
                </c:pt>
                <c:pt idx="2">
                  <c:v>2.5950581067358683E-3</c:v>
                </c:pt>
                <c:pt idx="3">
                  <c:v>2.4411549448733385E-3</c:v>
                </c:pt>
                <c:pt idx="4">
                  <c:v>2.5913501134971172E-3</c:v>
                </c:pt>
                <c:pt idx="5">
                  <c:v>2.6974425626286342E-3</c:v>
                </c:pt>
                <c:pt idx="6">
                  <c:v>2.7700584108474291E-3</c:v>
                </c:pt>
                <c:pt idx="7">
                  <c:v>2.7284896471191367E-3</c:v>
                </c:pt>
                <c:pt idx="8">
                  <c:v>2.9166287292482322E-3</c:v>
                </c:pt>
                <c:pt idx="9">
                  <c:v>2.7337996487227681E-3</c:v>
                </c:pt>
              </c:numCache>
            </c:numRef>
          </c:val>
          <c:smooth val="0"/>
          <c:extLst>
            <c:ext xmlns:c16="http://schemas.microsoft.com/office/drawing/2014/chart" uri="{C3380CC4-5D6E-409C-BE32-E72D297353CC}">
              <c16:uniqueId val="{00000000-C75B-47DF-A66E-42B5C79BE91E}"/>
            </c:ext>
          </c:extLst>
        </c:ser>
        <c:ser>
          <c:idx val="1"/>
          <c:order val="1"/>
          <c:tx>
            <c:strRef>
              <c:f>'kW Forecast'!$V$3</c:f>
              <c:strCache>
                <c:ptCount val="1"/>
                <c:pt idx="0">
                  <c:v>3-Yr MA</c:v>
                </c:pt>
              </c:strCache>
            </c:strRef>
          </c:tx>
          <c:marker>
            <c:symbol val="none"/>
          </c:marker>
          <c:cat>
            <c:numRef>
              <c:f>('kW Forecast'!$J$5:$J$13,'kW Forecast'!$J$18:$J$20)</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'kW Forecast'!$V$5:$V$14</c:f>
              <c:numCache>
                <c:formatCode>0.000000</c:formatCode>
                <c:ptCount val="10"/>
                <c:pt idx="2">
                  <c:v>2.721203858041856E-3</c:v>
                </c:pt>
                <c:pt idx="3">
                  <c:v>2.5722918199943619E-3</c:v>
                </c:pt>
                <c:pt idx="4">
                  <c:v>2.5425210550354413E-3</c:v>
                </c:pt>
                <c:pt idx="5">
                  <c:v>2.5766492069996968E-3</c:v>
                </c:pt>
                <c:pt idx="6">
                  <c:v>2.686283695657727E-3</c:v>
                </c:pt>
                <c:pt idx="7">
                  <c:v>2.7319968735317335E-3</c:v>
                </c:pt>
                <c:pt idx="8">
                  <c:v>2.8050589290715996E-3</c:v>
                </c:pt>
                <c:pt idx="9">
                  <c:v>2.7929726750300457E-3</c:v>
                </c:pt>
              </c:numCache>
            </c:numRef>
          </c:val>
          <c:smooth val="0"/>
          <c:extLst>
            <c:ext xmlns:c16="http://schemas.microsoft.com/office/drawing/2014/chart" uri="{C3380CC4-5D6E-409C-BE32-E72D297353CC}">
              <c16:uniqueId val="{00000001-C75B-47DF-A66E-42B5C79BE91E}"/>
            </c:ext>
          </c:extLst>
        </c:ser>
        <c:ser>
          <c:idx val="2"/>
          <c:order val="2"/>
          <c:tx>
            <c:v>Forecast Trend</c:v>
          </c:tx>
          <c:spPr>
            <a:ln w="28575" cap="rnd">
              <a:solidFill>
                <a:schemeClr val="accent3"/>
              </a:solidFill>
              <a:round/>
            </a:ln>
            <a:effectLst/>
          </c:spPr>
          <c:marker>
            <c:symbol val="none"/>
          </c:marker>
          <c:cat>
            <c:numRef>
              <c:f>('kW Forecast'!$J$5:$J$13,'kW Forecast'!$J$18:$J$20)</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('kW Forecast'!$O$5:$O$13,'kW Forecast'!$V$18:$V$20)</c:f>
              <c:numCache>
                <c:formatCode>0.000000</c:formatCode>
                <c:ptCount val="12"/>
                <c:pt idx="9" formatCode="_-* #,##0.000000_-;\-* #,##0.000000_-;_-* &quot;-&quot;??_-;_-@_-">
                  <c:v>2.7776241958562941E-3</c:v>
                </c:pt>
                <c:pt idx="10" formatCode="_-* #,##0.000000_-;\-* #,##0.000000_-;_-* &quot;-&quot;??_-;_-@_-">
                  <c:v>2.7702196534822067E-3</c:v>
                </c:pt>
                <c:pt idx="11" formatCode="_-* #,##0.000000_-;\-* #,##0.000000_-;_-* &quot;-&quot;??_-;_-@_-">
                  <c:v>2.7628151111081193E-3</c:v>
                </c:pt>
              </c:numCache>
            </c:numRef>
          </c:val>
          <c:smooth val="0"/>
          <c:extLst>
            <c:ext xmlns:c16="http://schemas.microsoft.com/office/drawing/2014/chart" uri="{C3380CC4-5D6E-409C-BE32-E72D297353CC}">
              <c16:uniqueId val="{00000002-C75B-47DF-A66E-42B5C79BE91E}"/>
            </c:ext>
          </c:extLst>
        </c:ser>
        <c:ser>
          <c:idx val="3"/>
          <c:order val="3"/>
          <c:tx>
            <c:v>Forecast Average</c:v>
          </c:tx>
          <c:spPr>
            <a:ln w="28575" cap="rnd">
              <a:solidFill>
                <a:schemeClr val="accent4"/>
              </a:solidFill>
              <a:round/>
            </a:ln>
            <a:effectLst/>
          </c:spPr>
          <c:marker>
            <c:symbol val="none"/>
          </c:marker>
          <c:cat>
            <c:numRef>
              <c:f>('kW Forecast'!$J$5:$J$13,'kW Forecast'!$J$18:$J$20)</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('kW Forecast'!$O$5:$O$13,'kW Forecast'!$U$18:$U$20)</c:f>
              <c:numCache>
                <c:formatCode>0.000000</c:formatCode>
                <c:ptCount val="12"/>
                <c:pt idx="9" formatCode="_-* #,##0.000000_-;\-* #,##0.000000_-;_-* &quot;-&quot;??_-;_-@_-">
                  <c:v>2.7692837997132401E-3</c:v>
                </c:pt>
                <c:pt idx="10" formatCode="_-* #,##0.000000_-;\-* #,##0.000000_-;_-* &quot;-&quot;??_-;_-@_-">
                  <c:v>2.7692837997132401E-3</c:v>
                </c:pt>
                <c:pt idx="11" formatCode="_-* #,##0.000000_-;\-* #,##0.000000_-;_-* &quot;-&quot;??_-;_-@_-">
                  <c:v>2.7692837997132401E-3</c:v>
                </c:pt>
              </c:numCache>
            </c:numRef>
          </c:val>
          <c:smooth val="0"/>
          <c:extLst>
            <c:ext xmlns:c16="http://schemas.microsoft.com/office/drawing/2014/chart" uri="{C3380CC4-5D6E-409C-BE32-E72D297353CC}">
              <c16:uniqueId val="{00000003-C75B-47DF-A66E-42B5C79BE91E}"/>
            </c:ext>
          </c:extLst>
        </c:ser>
        <c:dLbls>
          <c:showLegendKey val="0"/>
          <c:showVal val="0"/>
          <c:showCatName val="0"/>
          <c:showSerName val="0"/>
          <c:showPercent val="0"/>
          <c:showBubbleSize val="0"/>
        </c:dLbls>
        <c:smooth val="0"/>
        <c:axId val="177330432"/>
        <c:axId val="177340416"/>
      </c:lineChart>
      <c:catAx>
        <c:axId val="1773304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340416"/>
        <c:crosses val="autoZero"/>
        <c:auto val="1"/>
        <c:lblAlgn val="ctr"/>
        <c:lblOffset val="100"/>
        <c:noMultiLvlLbl val="0"/>
      </c:catAx>
      <c:valAx>
        <c:axId val="177340416"/>
        <c:scaling>
          <c:orientation val="minMax"/>
        </c:scaling>
        <c:delete val="0"/>
        <c:axPos val="l"/>
        <c:majorGridlines>
          <c:spPr>
            <a:ln w="9525" cap="flat" cmpd="sng" algn="ctr">
              <a:solidFill>
                <a:schemeClr val="tx1">
                  <a:lumMod val="15000"/>
                  <a:lumOff val="85000"/>
                </a:schemeClr>
              </a:solidFill>
              <a:round/>
            </a:ln>
            <a:effectLst/>
          </c:spPr>
        </c:majorGridlines>
        <c:numFmt formatCode="0.00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3304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'kW Forecast (Weather Normal)'!$E$3</c:f>
              <c:strCache>
                <c:ptCount val="1"/>
                <c:pt idx="0">
                  <c:v>Ratio</c:v>
                </c:pt>
              </c:strCache>
            </c:strRef>
          </c:tx>
          <c:spPr>
            <a:ln w="28575" cap="rnd">
              <a:solidFill>
                <a:schemeClr val="accent1"/>
              </a:solidFill>
              <a:round/>
            </a:ln>
            <a:effectLst/>
          </c:spPr>
          <c:marker>
            <c:symbol val="none"/>
          </c:marker>
          <c:cat>
            <c:numRef>
              <c:f>('kW Forecast (Weather Normal)'!$B$5:$B$13,'kW Forecast (Weather Normal)'!$B$27:$B$29)</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'kW Forecast (Weather Normal)'!$E$5:$E$14</c:f>
              <c:numCache>
                <c:formatCode>0.000000</c:formatCode>
                <c:ptCount val="10"/>
                <c:pt idx="0">
                  <c:v>2.9737480331435114E-3</c:v>
                </c:pt>
                <c:pt idx="1">
                  <c:v>3.0872654215698073E-3</c:v>
                </c:pt>
                <c:pt idx="2">
                  <c:v>3.2042867856392782E-3</c:v>
                </c:pt>
                <c:pt idx="3">
                  <c:v>3.1346967786282116E-3</c:v>
                </c:pt>
                <c:pt idx="4">
                  <c:v>2.9654641863206513E-3</c:v>
                </c:pt>
                <c:pt idx="5">
                  <c:v>2.7124321747038619E-3</c:v>
                </c:pt>
                <c:pt idx="6">
                  <c:v>2.998446771540899E-3</c:v>
                </c:pt>
                <c:pt idx="7">
                  <c:v>3.1736614397325984E-3</c:v>
                </c:pt>
                <c:pt idx="8">
                  <c:v>2.9582678950185576E-3</c:v>
                </c:pt>
                <c:pt idx="9">
                  <c:v>2.9704595053980203E-3</c:v>
                </c:pt>
              </c:numCache>
            </c:numRef>
          </c:val>
          <c:smooth val="0"/>
          <c:extLst>
            <c:ext xmlns:c16="http://schemas.microsoft.com/office/drawing/2014/chart" uri="{C3380CC4-5D6E-409C-BE32-E72D297353CC}">
              <c16:uniqueId val="{00000000-F001-4D6E-BEA4-A655F889F03B}"/>
            </c:ext>
          </c:extLst>
        </c:ser>
        <c:ser>
          <c:idx val="1"/>
          <c:order val="1"/>
          <c:tx>
            <c:strRef>
              <c:f>'kW Forecast (Weather Normal)'!$F$3</c:f>
              <c:strCache>
                <c:ptCount val="1"/>
                <c:pt idx="0">
                  <c:v>3-Yr MA</c:v>
                </c:pt>
              </c:strCache>
            </c:strRef>
          </c:tx>
          <c:marker>
            <c:symbol val="none"/>
          </c:marker>
          <c:cat>
            <c:numRef>
              <c:f>('kW Forecast (Weather Normal)'!$B$5:$B$13,'kW Forecast (Weather Normal)'!$B$27:$B$29)</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'kW Forecast (Weather Normal)'!$F$5:$F$14</c:f>
              <c:numCache>
                <c:formatCode>0.000000</c:formatCode>
                <c:ptCount val="10"/>
                <c:pt idx="2">
                  <c:v>3.0884334134508654E-3</c:v>
                </c:pt>
                <c:pt idx="3">
                  <c:v>3.1420829952790992E-3</c:v>
                </c:pt>
                <c:pt idx="4">
                  <c:v>3.1014825835293802E-3</c:v>
                </c:pt>
                <c:pt idx="5">
                  <c:v>2.9375310465509078E-3</c:v>
                </c:pt>
                <c:pt idx="6">
                  <c:v>2.8921143775218045E-3</c:v>
                </c:pt>
                <c:pt idx="7">
                  <c:v>2.9615134619924532E-3</c:v>
                </c:pt>
                <c:pt idx="8">
                  <c:v>3.0434587020973518E-3</c:v>
                </c:pt>
                <c:pt idx="9">
                  <c:v>3.0341296133830583E-3</c:v>
                </c:pt>
              </c:numCache>
            </c:numRef>
          </c:val>
          <c:smooth val="0"/>
          <c:extLst>
            <c:ext xmlns:c16="http://schemas.microsoft.com/office/drawing/2014/chart" uri="{C3380CC4-5D6E-409C-BE32-E72D297353CC}">
              <c16:uniqueId val="{00000001-F001-4D6E-BEA4-A655F889F03B}"/>
            </c:ext>
          </c:extLst>
        </c:ser>
        <c:ser>
          <c:idx val="2"/>
          <c:order val="2"/>
          <c:tx>
            <c:v>Forecast Trend</c:v>
          </c:tx>
          <c:marker>
            <c:symbol val="none"/>
          </c:marker>
          <c:cat>
            <c:numRef>
              <c:f>('kW Forecast (Weather Normal)'!$B$5:$B$13,'kW Forecast (Weather Normal)'!$B$27:$B$29)</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('kW Forecast (Weather Normal)'!$G$5:$G$13,'kW Forecast (Weather Normal)'!$F$27:$F$29)</c:f>
              <c:numCache>
                <c:formatCode>0.000000</c:formatCode>
                <c:ptCount val="12"/>
                <c:pt idx="9" formatCode="_-* #,##0.000000_-;\-* #,##0.000000_-;_-* &quot;-&quot;??_-;_-@_-">
                  <c:v>2.9693194367246475E-3</c:v>
                </c:pt>
                <c:pt idx="10" formatCode="_-* #,##0.000000_-;\-* #,##0.000000_-;_-* &quot;-&quot;??_-;_-@_-">
                  <c:v>2.9533840545815093E-3</c:v>
                </c:pt>
                <c:pt idx="11" formatCode="_-* #,##0.000000_-;\-* #,##0.000000_-;_-* &quot;-&quot;??_-;_-@_-">
                  <c:v>2.937448672438378E-3</c:v>
                </c:pt>
              </c:numCache>
            </c:numRef>
          </c:val>
          <c:smooth val="0"/>
          <c:extLst>
            <c:ext xmlns:c16="http://schemas.microsoft.com/office/drawing/2014/chart" uri="{C3380CC4-5D6E-409C-BE32-E72D297353CC}">
              <c16:uniqueId val="{00000000-45EC-4B09-AB09-CADBEEDAE2F9}"/>
            </c:ext>
          </c:extLst>
        </c:ser>
        <c:ser>
          <c:idx val="3"/>
          <c:order val="3"/>
          <c:tx>
            <c:v>Forecast Average</c:v>
          </c:tx>
          <c:marker>
            <c:symbol val="none"/>
          </c:marker>
          <c:cat>
            <c:numRef>
              <c:f>('kW Forecast (Weather Normal)'!$B$5:$B$13,'kW Forecast (Weather Normal)'!$B$27:$B$29)</c:f>
              <c:numCache>
                <c:formatCode>General</c:formatCode>
                <c:ptCount val="12"/>
                <c:pt idx="0">
                  <c:v>2016</c:v>
                </c:pt>
                <c:pt idx="1">
                  <c:v>2017</c:v>
                </c:pt>
                <c:pt idx="2">
                  <c:v>2018</c:v>
                </c:pt>
                <c:pt idx="3">
                  <c:v>2019</c:v>
                </c:pt>
                <c:pt idx="4">
                  <c:v>2020</c:v>
                </c:pt>
                <c:pt idx="5">
                  <c:v>2021</c:v>
                </c:pt>
                <c:pt idx="6">
                  <c:v>2022</c:v>
                </c:pt>
                <c:pt idx="7">
                  <c:v>2023</c:v>
                </c:pt>
                <c:pt idx="8">
                  <c:v>2024</c:v>
                </c:pt>
                <c:pt idx="9">
                  <c:v>2025</c:v>
                </c:pt>
                <c:pt idx="10">
                  <c:v>2026</c:v>
                </c:pt>
                <c:pt idx="11">
                  <c:v>2027</c:v>
                </c:pt>
              </c:numCache>
            </c:numRef>
          </c:cat>
          <c:val>
            <c:numRef>
              <c:f>('kW Forecast (Weather Normal)'!$G$5:$G$13,'kW Forecast (Weather Normal)'!$E$27:$E$29)</c:f>
              <c:numCache>
                <c:formatCode>0.000000</c:formatCode>
                <c:ptCount val="12"/>
                <c:pt idx="9" formatCode="_-* #,##0.000000_-;\-* #,##0.000000_-;_-* &quot;-&quot;??_-;_-@_-">
                  <c:v>3.0178728991695396E-3</c:v>
                </c:pt>
                <c:pt idx="10" formatCode="_-* #,##0.000000_-;\-* #,##0.000000_-;_-* &quot;-&quot;??_-;_-@_-">
                  <c:v>3.0178728991695396E-3</c:v>
                </c:pt>
                <c:pt idx="11" formatCode="_-* #,##0.000000_-;\-* #,##0.000000_-;_-* &quot;-&quot;??_-;_-@_-">
                  <c:v>3.0178728991695396E-3</c:v>
                </c:pt>
              </c:numCache>
            </c:numRef>
          </c:val>
          <c:smooth val="0"/>
          <c:extLst>
            <c:ext xmlns:c16="http://schemas.microsoft.com/office/drawing/2014/chart" uri="{C3380CC4-5D6E-409C-BE32-E72D297353CC}">
              <c16:uniqueId val="{00000001-D77D-4307-B9D4-0692F1697E6B}"/>
            </c:ext>
          </c:extLst>
        </c:ser>
        <c:dLbls>
          <c:showLegendKey val="0"/>
          <c:showVal val="0"/>
          <c:showCatName val="0"/>
          <c:showSerName val="0"/>
          <c:showPercent val="0"/>
          <c:showBubbleSize val="0"/>
        </c:dLbls>
        <c:smooth val="0"/>
        <c:axId val="177420544"/>
        <c:axId val="177426432"/>
      </c:lineChart>
      <c:catAx>
        <c:axId val="1774205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426432"/>
        <c:crosses val="autoZero"/>
        <c:auto val="1"/>
        <c:lblAlgn val="ctr"/>
        <c:lblOffset val="100"/>
        <c:noMultiLvlLbl val="0"/>
      </c:catAx>
      <c:valAx>
        <c:axId val="177426432"/>
        <c:scaling>
          <c:orientation val="minMax"/>
        </c:scaling>
        <c:delete val="0"/>
        <c:axPos val="l"/>
        <c:majorGridlines>
          <c:spPr>
            <a:ln w="9525" cap="flat" cmpd="sng" algn="ctr">
              <a:solidFill>
                <a:schemeClr val="tx1">
                  <a:lumMod val="15000"/>
                  <a:lumOff val="85000"/>
                </a:schemeClr>
              </a:solidFill>
              <a:round/>
            </a:ln>
            <a:effectLst/>
          </c:spPr>
        </c:majorGridlines>
        <c:title>
          <c:tx>
            <c:rich>
              <a:bodyPr/>
              <a:lstStyle/>
              <a:p>
                <a:pPr>
                  <a:defRPr/>
                </a:pPr>
                <a:r>
                  <a:rPr lang="en-US" b="0"/>
                  <a:t>kW/kWh Ratio</a:t>
                </a:r>
              </a:p>
            </c:rich>
          </c:tx>
          <c:overlay val="0"/>
        </c:title>
        <c:numFmt formatCode="0.00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4205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'kW Forecast (Weather Normal)'!$M$3</c:f>
              <c:strCache>
                <c:ptCount val="1"/>
                <c:pt idx="0">
                  <c:v>Ratio</c:v>
                </c:pt>
              </c:strCache>
            </c:strRef>
          </c:tx>
          <c:spPr>
            <a:ln w="28575" cap="rnd">
              <a:solidFill>
                <a:schemeClr val="accent1"/>
              </a:solidFill>
              <a:round/>
            </a:ln>
            <a:effectLst/>
          </c:spPr>
          <c:marker>
            <c:symbol val="none"/>
          </c:marker>
          <c:cat>
            <c:numRef>
              <c:f>('kW Forecast (Weather Normal)'!$J$5:$J$13,'kW Forecast (Weather Normal)'!$J$27:$J$29)</c:f>
              <c:numCache>
                <c:formatCode>General</c:formatCode>
                <c:ptCount val="12"/>
                <c:pt idx="0">
                  <c:v>2016</c:v>
                </c:pt>
                <c:pt idx="1">
                  <c:v>2017</c:v>
                </c:pt>
                <c:pt idx="2">
                  <c:v>2018</c:v>
                </c:pt>
                <c:pt idx="3">
                  <c:v>2019</c:v>
                </c:pt>
                <c:pt idx="4">
                  <c:v>2020</c:v>
                </c:pt>
                <c:pt idx="5">
                  <c:v>2021</c:v>
                </c:pt>
                <c:pt idx="6">
                  <c:v>2022</c:v>
                </c:pt>
                <c:pt idx="7">
                  <c:v>2023</c:v>
                </c:pt>
                <c:pt idx="8">
                  <c:v>2024</c:v>
                </c:pt>
                <c:pt idx="9">
                  <c:v>2024</c:v>
                </c:pt>
                <c:pt idx="10">
                  <c:v>2025</c:v>
                </c:pt>
                <c:pt idx="11">
                  <c:v>2026</c:v>
                </c:pt>
              </c:numCache>
            </c:numRef>
          </c:cat>
          <c:val>
            <c:numRef>
              <c:f>'kW Forecast (Weather Normal)'!$M$5:$M$14</c:f>
              <c:numCache>
                <c:formatCode>0.000000</c:formatCode>
                <c:ptCount val="10"/>
                <c:pt idx="0">
                  <c:v>2.9960931495913064E-3</c:v>
                </c:pt>
                <c:pt idx="1">
                  <c:v>2.781327114586978E-3</c:v>
                </c:pt>
                <c:pt idx="2">
                  <c:v>2.837957318994686E-3</c:v>
                </c:pt>
                <c:pt idx="3">
                  <c:v>2.7733263502057459E-3</c:v>
                </c:pt>
                <c:pt idx="4">
                  <c:v>2.7883154616621391E-3</c:v>
                </c:pt>
                <c:pt idx="5">
                  <c:v>2.7902340917141544E-3</c:v>
                </c:pt>
                <c:pt idx="6">
                  <c:v>2.8163082830718134E-3</c:v>
                </c:pt>
                <c:pt idx="7">
                  <c:v>2.788362644372851E-3</c:v>
                </c:pt>
                <c:pt idx="8">
                  <c:v>2.7824787203627444E-3</c:v>
                </c:pt>
                <c:pt idx="9">
                  <c:v>2.7777449904195341E-3</c:v>
                </c:pt>
              </c:numCache>
            </c:numRef>
          </c:val>
          <c:smooth val="0"/>
          <c:extLst>
            <c:ext xmlns:c16="http://schemas.microsoft.com/office/drawing/2014/chart" uri="{C3380CC4-5D6E-409C-BE32-E72D297353CC}">
              <c16:uniqueId val="{00000000-0165-4A83-A7CD-6920A66E18C1}"/>
            </c:ext>
          </c:extLst>
        </c:ser>
        <c:ser>
          <c:idx val="1"/>
          <c:order val="1"/>
          <c:tx>
            <c:strRef>
              <c:f>'kW Forecast (Weather Normal)'!$N$3</c:f>
              <c:strCache>
                <c:ptCount val="1"/>
                <c:pt idx="0">
                  <c:v>3-Yr MA</c:v>
                </c:pt>
              </c:strCache>
            </c:strRef>
          </c:tx>
          <c:spPr>
            <a:ln w="28575" cap="rnd">
              <a:solidFill>
                <a:schemeClr val="accent2"/>
              </a:solidFill>
              <a:round/>
            </a:ln>
            <a:effectLst/>
          </c:spPr>
          <c:marker>
            <c:symbol val="none"/>
          </c:marker>
          <c:cat>
            <c:numRef>
              <c:f>('kW Forecast (Weather Normal)'!$J$5:$J$13,'kW Forecast (Weather Normal)'!$J$27:$J$29)</c:f>
              <c:numCache>
                <c:formatCode>General</c:formatCode>
                <c:ptCount val="12"/>
                <c:pt idx="0">
                  <c:v>2016</c:v>
                </c:pt>
                <c:pt idx="1">
                  <c:v>2017</c:v>
                </c:pt>
                <c:pt idx="2">
                  <c:v>2018</c:v>
                </c:pt>
                <c:pt idx="3">
                  <c:v>2019</c:v>
                </c:pt>
                <c:pt idx="4">
                  <c:v>2020</c:v>
                </c:pt>
                <c:pt idx="5">
                  <c:v>2021</c:v>
                </c:pt>
                <c:pt idx="6">
                  <c:v>2022</c:v>
                </c:pt>
                <c:pt idx="7">
                  <c:v>2023</c:v>
                </c:pt>
                <c:pt idx="8">
                  <c:v>2024</c:v>
                </c:pt>
                <c:pt idx="9">
                  <c:v>2024</c:v>
                </c:pt>
                <c:pt idx="10">
                  <c:v>2025</c:v>
                </c:pt>
                <c:pt idx="11">
                  <c:v>2026</c:v>
                </c:pt>
              </c:numCache>
            </c:numRef>
          </c:cat>
          <c:val>
            <c:numRef>
              <c:f>'kW Forecast (Weather Normal)'!$N$5:$N$14</c:f>
              <c:numCache>
                <c:formatCode>0.000000</c:formatCode>
                <c:ptCount val="10"/>
                <c:pt idx="2">
                  <c:v>2.8717925277243236E-3</c:v>
                </c:pt>
                <c:pt idx="3">
                  <c:v>2.7975369279291365E-3</c:v>
                </c:pt>
                <c:pt idx="4">
                  <c:v>2.7998663769541903E-3</c:v>
                </c:pt>
                <c:pt idx="5">
                  <c:v>2.7839586345273465E-3</c:v>
                </c:pt>
                <c:pt idx="6">
                  <c:v>2.7982859454827023E-3</c:v>
                </c:pt>
                <c:pt idx="7">
                  <c:v>2.7983016730529393E-3</c:v>
                </c:pt>
                <c:pt idx="8">
                  <c:v>2.795716549269136E-3</c:v>
                </c:pt>
                <c:pt idx="9">
                  <c:v>2.7828621183850432E-3</c:v>
                </c:pt>
              </c:numCache>
            </c:numRef>
          </c:val>
          <c:smooth val="0"/>
          <c:extLst>
            <c:ext xmlns:c16="http://schemas.microsoft.com/office/drawing/2014/chart" uri="{C3380CC4-5D6E-409C-BE32-E72D297353CC}">
              <c16:uniqueId val="{00000001-0165-4A83-A7CD-6920A66E18C1}"/>
            </c:ext>
          </c:extLst>
        </c:ser>
        <c:ser>
          <c:idx val="2"/>
          <c:order val="2"/>
          <c:tx>
            <c:v>Forecast Trend</c:v>
          </c:tx>
          <c:spPr>
            <a:ln w="28575" cap="rnd">
              <a:solidFill>
                <a:schemeClr val="accent3"/>
              </a:solidFill>
              <a:round/>
            </a:ln>
            <a:effectLst/>
          </c:spPr>
          <c:marker>
            <c:symbol val="none"/>
          </c:marker>
          <c:cat>
            <c:numRef>
              <c:f>('kW Forecast (Weather Normal)'!$J$5:$J$13,'kW Forecast (Weather Normal)'!$J$27:$J$29)</c:f>
              <c:numCache>
                <c:formatCode>General</c:formatCode>
                <c:ptCount val="12"/>
                <c:pt idx="0">
                  <c:v>2016</c:v>
                </c:pt>
                <c:pt idx="1">
                  <c:v>2017</c:v>
                </c:pt>
                <c:pt idx="2">
                  <c:v>2018</c:v>
                </c:pt>
                <c:pt idx="3">
                  <c:v>2019</c:v>
                </c:pt>
                <c:pt idx="4">
                  <c:v>2020</c:v>
                </c:pt>
                <c:pt idx="5">
                  <c:v>2021</c:v>
                </c:pt>
                <c:pt idx="6">
                  <c:v>2022</c:v>
                </c:pt>
                <c:pt idx="7">
                  <c:v>2023</c:v>
                </c:pt>
                <c:pt idx="8">
                  <c:v>2024</c:v>
                </c:pt>
                <c:pt idx="9">
                  <c:v>2024</c:v>
                </c:pt>
                <c:pt idx="10">
                  <c:v>2025</c:v>
                </c:pt>
                <c:pt idx="11">
                  <c:v>2026</c:v>
                </c:pt>
              </c:numCache>
            </c:numRef>
          </c:cat>
          <c:val>
            <c:numRef>
              <c:f>('kW Forecast (Weather Normal)'!$O$5:$O$13,'kW Forecast (Weather Normal)'!$N$27:$N$29)</c:f>
              <c:numCache>
                <c:formatCode>0.000000</c:formatCode>
                <c:ptCount val="12"/>
                <c:pt idx="9" formatCode="_-* #,##0.000000_-;\-* #,##0.000000_-;_-* &quot;-&quot;??_-;_-@_-">
                  <c:v>2.7820356396425286E-3</c:v>
                </c:pt>
                <c:pt idx="10" formatCode="_-* #,##0.000000_-;\-* #,##0.000000_-;_-* &quot;-&quot;??_-;_-@_-">
                  <c:v>2.7738828226214762E-3</c:v>
                </c:pt>
                <c:pt idx="11" formatCode="_-* #,##0.000000_-;\-* #,##0.000000_-;_-* &quot;-&quot;??_-;_-@_-">
                  <c:v>2.7657300056004239E-3</c:v>
                </c:pt>
              </c:numCache>
            </c:numRef>
          </c:val>
          <c:smooth val="0"/>
          <c:extLst>
            <c:ext xmlns:c16="http://schemas.microsoft.com/office/drawing/2014/chart" uri="{C3380CC4-5D6E-409C-BE32-E72D297353CC}">
              <c16:uniqueId val="{00000002-0165-4A83-A7CD-6920A66E18C1}"/>
            </c:ext>
          </c:extLst>
        </c:ser>
        <c:ser>
          <c:idx val="3"/>
          <c:order val="3"/>
          <c:tx>
            <c:v>Forecast Average</c:v>
          </c:tx>
          <c:spPr>
            <a:ln w="28575" cap="rnd">
              <a:solidFill>
                <a:schemeClr val="accent4"/>
              </a:solidFill>
              <a:round/>
            </a:ln>
            <a:effectLst/>
          </c:spPr>
          <c:marker>
            <c:symbol val="none"/>
          </c:marker>
          <c:cat>
            <c:numRef>
              <c:f>('kW Forecast (Weather Normal)'!$J$5:$J$13,'kW Forecast (Weather Normal)'!$J$27:$J$29)</c:f>
              <c:numCache>
                <c:formatCode>General</c:formatCode>
                <c:ptCount val="12"/>
                <c:pt idx="0">
                  <c:v>2016</c:v>
                </c:pt>
                <c:pt idx="1">
                  <c:v>2017</c:v>
                </c:pt>
                <c:pt idx="2">
                  <c:v>2018</c:v>
                </c:pt>
                <c:pt idx="3">
                  <c:v>2019</c:v>
                </c:pt>
                <c:pt idx="4">
                  <c:v>2020</c:v>
                </c:pt>
                <c:pt idx="5">
                  <c:v>2021</c:v>
                </c:pt>
                <c:pt idx="6">
                  <c:v>2022</c:v>
                </c:pt>
                <c:pt idx="7">
                  <c:v>2023</c:v>
                </c:pt>
                <c:pt idx="8">
                  <c:v>2024</c:v>
                </c:pt>
                <c:pt idx="9">
                  <c:v>2024</c:v>
                </c:pt>
                <c:pt idx="10">
                  <c:v>2025</c:v>
                </c:pt>
                <c:pt idx="11">
                  <c:v>2026</c:v>
                </c:pt>
              </c:numCache>
            </c:numRef>
          </c:cat>
          <c:val>
            <c:numRef>
              <c:f>('kW Forecast (Weather Normal)'!$O$5:$O$13,'kW Forecast (Weather Normal)'!$M$27:$M$29)</c:f>
              <c:numCache>
                <c:formatCode>0.000000</c:formatCode>
                <c:ptCount val="12"/>
                <c:pt idx="9" formatCode="_-* #,##0.000000_-;\-* #,##0.000000_-;_-* &quot;-&quot;??_-;_-@_-">
                  <c:v>2.7910257459882195E-3</c:v>
                </c:pt>
                <c:pt idx="10" formatCode="_-* #,##0.000000_-;\-* #,##0.000000_-;_-* &quot;-&quot;??_-;_-@_-">
                  <c:v>2.7910257459882195E-3</c:v>
                </c:pt>
                <c:pt idx="11" formatCode="_-* #,##0.000000_-;\-* #,##0.000000_-;_-* &quot;-&quot;??_-;_-@_-">
                  <c:v>2.7910257459882195E-3</c:v>
                </c:pt>
              </c:numCache>
            </c:numRef>
          </c:val>
          <c:smooth val="0"/>
          <c:extLst>
            <c:ext xmlns:c16="http://schemas.microsoft.com/office/drawing/2014/chart" uri="{C3380CC4-5D6E-409C-BE32-E72D297353CC}">
              <c16:uniqueId val="{00000003-0165-4A83-A7CD-6920A66E18C1}"/>
            </c:ext>
          </c:extLst>
        </c:ser>
        <c:dLbls>
          <c:showLegendKey val="0"/>
          <c:showVal val="0"/>
          <c:showCatName val="0"/>
          <c:showSerName val="0"/>
          <c:showPercent val="0"/>
          <c:showBubbleSize val="0"/>
        </c:dLbls>
        <c:smooth val="0"/>
        <c:axId val="178594176"/>
        <c:axId val="178595712"/>
      </c:lineChart>
      <c:catAx>
        <c:axId val="1785941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8595712"/>
        <c:crosses val="autoZero"/>
        <c:auto val="1"/>
        <c:lblAlgn val="ctr"/>
        <c:lblOffset val="100"/>
        <c:noMultiLvlLbl val="0"/>
      </c:catAx>
      <c:valAx>
        <c:axId val="178595712"/>
        <c:scaling>
          <c:orientation val="minMax"/>
        </c:scaling>
        <c:delete val="0"/>
        <c:axPos val="l"/>
        <c:majorGridlines>
          <c:spPr>
            <a:ln w="9525" cap="flat" cmpd="sng" algn="ctr">
              <a:solidFill>
                <a:schemeClr val="tx1">
                  <a:lumMod val="15000"/>
                  <a:lumOff val="85000"/>
                </a:schemeClr>
              </a:solidFill>
              <a:round/>
            </a:ln>
            <a:effectLst/>
          </c:spPr>
        </c:majorGridlines>
        <c:numFmt formatCode="0.00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85941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'kW Forecast (Weather Normal)'!$M$3</c:f>
              <c:strCache>
                <c:ptCount val="1"/>
                <c:pt idx="0">
                  <c:v>Ratio</c:v>
                </c:pt>
              </c:strCache>
            </c:strRef>
          </c:tx>
          <c:spPr>
            <a:ln w="28575" cap="rnd">
              <a:solidFill>
                <a:schemeClr val="accent1"/>
              </a:solidFill>
              <a:round/>
            </a:ln>
            <a:effectLst/>
          </c:spPr>
          <c:marker>
            <c:symbol val="none"/>
          </c:marker>
          <c:cat>
            <c:numRef>
              <c:f>('kW Forecast (Weather Normal)'!$J$5:$J$13,'kW Forecast (Weather Normal)'!$J$27:$J$29)</c:f>
              <c:numCache>
                <c:formatCode>General</c:formatCode>
                <c:ptCount val="12"/>
                <c:pt idx="0">
                  <c:v>2016</c:v>
                </c:pt>
                <c:pt idx="1">
                  <c:v>2017</c:v>
                </c:pt>
                <c:pt idx="2">
                  <c:v>2018</c:v>
                </c:pt>
                <c:pt idx="3">
                  <c:v>2019</c:v>
                </c:pt>
                <c:pt idx="4">
                  <c:v>2020</c:v>
                </c:pt>
                <c:pt idx="5">
                  <c:v>2021</c:v>
                </c:pt>
                <c:pt idx="6">
                  <c:v>2022</c:v>
                </c:pt>
                <c:pt idx="7">
                  <c:v>2023</c:v>
                </c:pt>
                <c:pt idx="8">
                  <c:v>2024</c:v>
                </c:pt>
                <c:pt idx="9">
                  <c:v>2024</c:v>
                </c:pt>
                <c:pt idx="10">
                  <c:v>2025</c:v>
                </c:pt>
                <c:pt idx="11">
                  <c:v>2026</c:v>
                </c:pt>
              </c:numCache>
            </c:numRef>
          </c:cat>
          <c:val>
            <c:numRef>
              <c:f>'kW Forecast (Weather Normal)'!$M$5:$M$14</c:f>
              <c:numCache>
                <c:formatCode>0.000000</c:formatCode>
                <c:ptCount val="10"/>
                <c:pt idx="0">
                  <c:v>2.9960931495913064E-3</c:v>
                </c:pt>
                <c:pt idx="1">
                  <c:v>2.781327114586978E-3</c:v>
                </c:pt>
                <c:pt idx="2">
                  <c:v>2.837957318994686E-3</c:v>
                </c:pt>
                <c:pt idx="3">
                  <c:v>2.7733263502057459E-3</c:v>
                </c:pt>
                <c:pt idx="4">
                  <c:v>2.7883154616621391E-3</c:v>
                </c:pt>
                <c:pt idx="5">
                  <c:v>2.7902340917141544E-3</c:v>
                </c:pt>
                <c:pt idx="6">
                  <c:v>2.8163082830718134E-3</c:v>
                </c:pt>
                <c:pt idx="7">
                  <c:v>2.788362644372851E-3</c:v>
                </c:pt>
                <c:pt idx="8">
                  <c:v>2.7824787203627444E-3</c:v>
                </c:pt>
                <c:pt idx="9">
                  <c:v>2.7777449904195341E-3</c:v>
                </c:pt>
              </c:numCache>
            </c:numRef>
          </c:val>
          <c:smooth val="0"/>
          <c:extLst>
            <c:ext xmlns:c16="http://schemas.microsoft.com/office/drawing/2014/chart" uri="{C3380CC4-5D6E-409C-BE32-E72D297353CC}">
              <c16:uniqueId val="{00000000-8372-4EED-86EB-009CA23BFA06}"/>
            </c:ext>
          </c:extLst>
        </c:ser>
        <c:ser>
          <c:idx val="1"/>
          <c:order val="1"/>
          <c:tx>
            <c:strRef>
              <c:f>'kW Forecast (Weather Normal)'!$N$3</c:f>
              <c:strCache>
                <c:ptCount val="1"/>
                <c:pt idx="0">
                  <c:v>3-Yr MA</c:v>
                </c:pt>
              </c:strCache>
            </c:strRef>
          </c:tx>
          <c:spPr>
            <a:ln w="28575" cap="rnd">
              <a:solidFill>
                <a:schemeClr val="accent2"/>
              </a:solidFill>
              <a:round/>
            </a:ln>
            <a:effectLst/>
          </c:spPr>
          <c:marker>
            <c:symbol val="none"/>
          </c:marker>
          <c:cat>
            <c:numRef>
              <c:f>('kW Forecast (Weather Normal)'!$J$5:$J$13,'kW Forecast (Weather Normal)'!$J$27:$J$29)</c:f>
              <c:numCache>
                <c:formatCode>General</c:formatCode>
                <c:ptCount val="12"/>
                <c:pt idx="0">
                  <c:v>2016</c:v>
                </c:pt>
                <c:pt idx="1">
                  <c:v>2017</c:v>
                </c:pt>
                <c:pt idx="2">
                  <c:v>2018</c:v>
                </c:pt>
                <c:pt idx="3">
                  <c:v>2019</c:v>
                </c:pt>
                <c:pt idx="4">
                  <c:v>2020</c:v>
                </c:pt>
                <c:pt idx="5">
                  <c:v>2021</c:v>
                </c:pt>
                <c:pt idx="6">
                  <c:v>2022</c:v>
                </c:pt>
                <c:pt idx="7">
                  <c:v>2023</c:v>
                </c:pt>
                <c:pt idx="8">
                  <c:v>2024</c:v>
                </c:pt>
                <c:pt idx="9">
                  <c:v>2024</c:v>
                </c:pt>
                <c:pt idx="10">
                  <c:v>2025</c:v>
                </c:pt>
                <c:pt idx="11">
                  <c:v>2026</c:v>
                </c:pt>
              </c:numCache>
            </c:numRef>
          </c:cat>
          <c:val>
            <c:numRef>
              <c:f>'kW Forecast (Weather Normal)'!$N$5:$N$14</c:f>
              <c:numCache>
                <c:formatCode>0.000000</c:formatCode>
                <c:ptCount val="10"/>
                <c:pt idx="2">
                  <c:v>2.8717925277243236E-3</c:v>
                </c:pt>
                <c:pt idx="3">
                  <c:v>2.7975369279291365E-3</c:v>
                </c:pt>
                <c:pt idx="4">
                  <c:v>2.7998663769541903E-3</c:v>
                </c:pt>
                <c:pt idx="5">
                  <c:v>2.7839586345273465E-3</c:v>
                </c:pt>
                <c:pt idx="6">
                  <c:v>2.7982859454827023E-3</c:v>
                </c:pt>
                <c:pt idx="7">
                  <c:v>2.7983016730529393E-3</c:v>
                </c:pt>
                <c:pt idx="8">
                  <c:v>2.795716549269136E-3</c:v>
                </c:pt>
                <c:pt idx="9">
                  <c:v>2.7828621183850432E-3</c:v>
                </c:pt>
              </c:numCache>
            </c:numRef>
          </c:val>
          <c:smooth val="0"/>
          <c:extLst>
            <c:ext xmlns:c16="http://schemas.microsoft.com/office/drawing/2014/chart" uri="{C3380CC4-5D6E-409C-BE32-E72D297353CC}">
              <c16:uniqueId val="{00000001-8372-4EED-86EB-009CA23BFA06}"/>
            </c:ext>
          </c:extLst>
        </c:ser>
        <c:ser>
          <c:idx val="2"/>
          <c:order val="2"/>
          <c:tx>
            <c:v>Forecast Trend</c:v>
          </c:tx>
          <c:spPr>
            <a:ln w="28575" cap="rnd">
              <a:solidFill>
                <a:schemeClr val="accent3"/>
              </a:solidFill>
              <a:round/>
            </a:ln>
            <a:effectLst/>
          </c:spPr>
          <c:marker>
            <c:symbol val="none"/>
          </c:marker>
          <c:cat>
            <c:numRef>
              <c:f>('kW Forecast (Weather Normal)'!$J$5:$J$13,'kW Forecast (Weather Normal)'!$J$27:$J$29)</c:f>
              <c:numCache>
                <c:formatCode>General</c:formatCode>
                <c:ptCount val="12"/>
                <c:pt idx="0">
                  <c:v>2016</c:v>
                </c:pt>
                <c:pt idx="1">
                  <c:v>2017</c:v>
                </c:pt>
                <c:pt idx="2">
                  <c:v>2018</c:v>
                </c:pt>
                <c:pt idx="3">
                  <c:v>2019</c:v>
                </c:pt>
                <c:pt idx="4">
                  <c:v>2020</c:v>
                </c:pt>
                <c:pt idx="5">
                  <c:v>2021</c:v>
                </c:pt>
                <c:pt idx="6">
                  <c:v>2022</c:v>
                </c:pt>
                <c:pt idx="7">
                  <c:v>2023</c:v>
                </c:pt>
                <c:pt idx="8">
                  <c:v>2024</c:v>
                </c:pt>
                <c:pt idx="9">
                  <c:v>2024</c:v>
                </c:pt>
                <c:pt idx="10">
                  <c:v>2025</c:v>
                </c:pt>
                <c:pt idx="11">
                  <c:v>2026</c:v>
                </c:pt>
              </c:numCache>
            </c:numRef>
          </c:cat>
          <c:val>
            <c:numRef>
              <c:f>('kW Forecast (Weather Normal)'!$O$5:$O$13,'kW Forecast (Weather Normal)'!$N$27:$N$29)</c:f>
              <c:numCache>
                <c:formatCode>0.000000</c:formatCode>
                <c:ptCount val="12"/>
                <c:pt idx="9" formatCode="_-* #,##0.000000_-;\-* #,##0.000000_-;_-* &quot;-&quot;??_-;_-@_-">
                  <c:v>2.7820356396425286E-3</c:v>
                </c:pt>
                <c:pt idx="10" formatCode="_-* #,##0.000000_-;\-* #,##0.000000_-;_-* &quot;-&quot;??_-;_-@_-">
                  <c:v>2.7738828226214762E-3</c:v>
                </c:pt>
                <c:pt idx="11" formatCode="_-* #,##0.000000_-;\-* #,##0.000000_-;_-* &quot;-&quot;??_-;_-@_-">
                  <c:v>2.7657300056004239E-3</c:v>
                </c:pt>
              </c:numCache>
            </c:numRef>
          </c:val>
          <c:smooth val="0"/>
          <c:extLst>
            <c:ext xmlns:c16="http://schemas.microsoft.com/office/drawing/2014/chart" uri="{C3380CC4-5D6E-409C-BE32-E72D297353CC}">
              <c16:uniqueId val="{00000002-8372-4EED-86EB-009CA23BFA06}"/>
            </c:ext>
          </c:extLst>
        </c:ser>
        <c:ser>
          <c:idx val="3"/>
          <c:order val="3"/>
          <c:tx>
            <c:v>Forecast Average</c:v>
          </c:tx>
          <c:spPr>
            <a:ln w="28575" cap="rnd">
              <a:solidFill>
                <a:schemeClr val="accent4"/>
              </a:solidFill>
              <a:round/>
            </a:ln>
            <a:effectLst/>
          </c:spPr>
          <c:marker>
            <c:symbol val="none"/>
          </c:marker>
          <c:cat>
            <c:numRef>
              <c:f>('kW Forecast (Weather Normal)'!$J$5:$J$13,'kW Forecast (Weather Normal)'!$J$27:$J$29)</c:f>
              <c:numCache>
                <c:formatCode>General</c:formatCode>
                <c:ptCount val="12"/>
                <c:pt idx="0">
                  <c:v>2016</c:v>
                </c:pt>
                <c:pt idx="1">
                  <c:v>2017</c:v>
                </c:pt>
                <c:pt idx="2">
                  <c:v>2018</c:v>
                </c:pt>
                <c:pt idx="3">
                  <c:v>2019</c:v>
                </c:pt>
                <c:pt idx="4">
                  <c:v>2020</c:v>
                </c:pt>
                <c:pt idx="5">
                  <c:v>2021</c:v>
                </c:pt>
                <c:pt idx="6">
                  <c:v>2022</c:v>
                </c:pt>
                <c:pt idx="7">
                  <c:v>2023</c:v>
                </c:pt>
                <c:pt idx="8">
                  <c:v>2024</c:v>
                </c:pt>
                <c:pt idx="9">
                  <c:v>2024</c:v>
                </c:pt>
                <c:pt idx="10">
                  <c:v>2025</c:v>
                </c:pt>
                <c:pt idx="11">
                  <c:v>2026</c:v>
                </c:pt>
              </c:numCache>
            </c:numRef>
          </c:cat>
          <c:val>
            <c:numRef>
              <c:f>('kW Forecast (Weather Normal)'!$O$5:$O$13,'kW Forecast (Weather Normal)'!$M$27:$M$29)</c:f>
              <c:numCache>
                <c:formatCode>0.000000</c:formatCode>
                <c:ptCount val="12"/>
                <c:pt idx="9" formatCode="_-* #,##0.000000_-;\-* #,##0.000000_-;_-* &quot;-&quot;??_-;_-@_-">
                  <c:v>2.7910257459882195E-3</c:v>
                </c:pt>
                <c:pt idx="10" formatCode="_-* #,##0.000000_-;\-* #,##0.000000_-;_-* &quot;-&quot;??_-;_-@_-">
                  <c:v>2.7910257459882195E-3</c:v>
                </c:pt>
                <c:pt idx="11" formatCode="_-* #,##0.000000_-;\-* #,##0.000000_-;_-* &quot;-&quot;??_-;_-@_-">
                  <c:v>2.7910257459882195E-3</c:v>
                </c:pt>
              </c:numCache>
            </c:numRef>
          </c:val>
          <c:smooth val="0"/>
          <c:extLst>
            <c:ext xmlns:c16="http://schemas.microsoft.com/office/drawing/2014/chart" uri="{C3380CC4-5D6E-409C-BE32-E72D297353CC}">
              <c16:uniqueId val="{00000003-8372-4EED-86EB-009CA23BFA06}"/>
            </c:ext>
          </c:extLst>
        </c:ser>
        <c:dLbls>
          <c:showLegendKey val="0"/>
          <c:showVal val="0"/>
          <c:showCatName val="0"/>
          <c:showSerName val="0"/>
          <c:showPercent val="0"/>
          <c:showBubbleSize val="0"/>
        </c:dLbls>
        <c:smooth val="0"/>
        <c:axId val="178594176"/>
        <c:axId val="178595712"/>
      </c:lineChart>
      <c:catAx>
        <c:axId val="1785941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8595712"/>
        <c:crosses val="autoZero"/>
        <c:auto val="1"/>
        <c:lblAlgn val="ctr"/>
        <c:lblOffset val="100"/>
        <c:noMultiLvlLbl val="0"/>
      </c:catAx>
      <c:valAx>
        <c:axId val="178595712"/>
        <c:scaling>
          <c:orientation val="minMax"/>
        </c:scaling>
        <c:delete val="0"/>
        <c:axPos val="l"/>
        <c:majorGridlines>
          <c:spPr>
            <a:ln w="9525" cap="flat" cmpd="sng" algn="ctr">
              <a:solidFill>
                <a:schemeClr val="tx1">
                  <a:lumMod val="15000"/>
                  <a:lumOff val="85000"/>
                </a:schemeClr>
              </a:solidFill>
              <a:round/>
            </a:ln>
            <a:effectLst/>
          </c:spPr>
        </c:majorGridlines>
        <c:numFmt formatCode="0.00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859417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CA"/>
              <a:t>Consumption by Class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'Summary Tables'!$Q$4</c:f>
              <c:strCache>
                <c:ptCount val="1"/>
                <c:pt idx="0">
                  <c:v>Residential</c:v>
                </c:pt>
              </c:strCache>
            </c:strRef>
          </c:tx>
          <c:spPr>
            <a:ln w="28575" cap="rnd">
              <a:solidFill>
                <a:schemeClr val="accent1"/>
              </a:solidFill>
              <a:round/>
            </a:ln>
            <a:effectLst/>
          </c:spPr>
          <c:marker>
            <c:symbol val="none"/>
          </c:marker>
          <c:cat>
            <c:strRef>
              <c:f>'Summary Tables'!$R$2:$X$2</c:f>
              <c:strCache>
                <c:ptCount val="7"/>
                <c:pt idx="0">
                  <c:v>2021 Actual</c:v>
                </c:pt>
                <c:pt idx="1">
                  <c:v>2022 Actual</c:v>
                </c:pt>
                <c:pt idx="2">
                  <c:v>2023 Actual</c:v>
                </c:pt>
                <c:pt idx="3">
                  <c:v>2024 Actual</c:v>
                </c:pt>
                <c:pt idx="4">
                  <c:v>2025 Actual</c:v>
                </c:pt>
                <c:pt idx="5">
                  <c:v>2026 Forecast</c:v>
                </c:pt>
                <c:pt idx="6">
                  <c:v>2027 Forecast</c:v>
                </c:pt>
              </c:strCache>
            </c:strRef>
          </c:cat>
          <c:val>
            <c:numRef>
              <c:f>'Summary Tables'!$R$4:$X$4</c:f>
              <c:numCache>
                <c:formatCode>#,##0</c:formatCode>
                <c:ptCount val="7"/>
                <c:pt idx="0">
                  <c:v>85333074.640000001</c:v>
                </c:pt>
                <c:pt idx="1">
                  <c:v>86112039</c:v>
                </c:pt>
                <c:pt idx="2">
                  <c:v>85022917</c:v>
                </c:pt>
                <c:pt idx="3">
                  <c:v>86752528</c:v>
                </c:pt>
                <c:pt idx="4">
                  <c:v>90973051</c:v>
                </c:pt>
                <c:pt idx="5">
                  <c:v>91218659.053820208</c:v>
                </c:pt>
                <c:pt idx="6">
                  <c:v>92256254.464997321</c:v>
                </c:pt>
              </c:numCache>
            </c:numRef>
          </c:val>
          <c:smooth val="0"/>
          <c:extLst>
            <c:ext xmlns:c16="http://schemas.microsoft.com/office/drawing/2014/chart" uri="{C3380CC4-5D6E-409C-BE32-E72D297353CC}">
              <c16:uniqueId val="{00000000-249A-4CC9-A143-46E6A984B3C2}"/>
            </c:ext>
          </c:extLst>
        </c:ser>
        <c:ser>
          <c:idx val="1"/>
          <c:order val="1"/>
          <c:tx>
            <c:strRef>
              <c:f>'Summary Tables'!$Q$5</c:f>
              <c:strCache>
                <c:ptCount val="1"/>
                <c:pt idx="0">
                  <c:v>GS &lt; 50</c:v>
                </c:pt>
              </c:strCache>
            </c:strRef>
          </c:tx>
          <c:spPr>
            <a:ln w="28575" cap="rnd">
              <a:solidFill>
                <a:schemeClr val="accent2"/>
              </a:solidFill>
              <a:round/>
            </a:ln>
            <a:effectLst/>
          </c:spPr>
          <c:marker>
            <c:symbol val="none"/>
          </c:marker>
          <c:cat>
            <c:strRef>
              <c:f>'Summary Tables'!$R$2:$X$2</c:f>
              <c:strCache>
                <c:ptCount val="7"/>
                <c:pt idx="0">
                  <c:v>2021 Actual</c:v>
                </c:pt>
                <c:pt idx="1">
                  <c:v>2022 Actual</c:v>
                </c:pt>
                <c:pt idx="2">
                  <c:v>2023 Actual</c:v>
                </c:pt>
                <c:pt idx="3">
                  <c:v>2024 Actual</c:v>
                </c:pt>
                <c:pt idx="4">
                  <c:v>2025 Actual</c:v>
                </c:pt>
                <c:pt idx="5">
                  <c:v>2026 Forecast</c:v>
                </c:pt>
                <c:pt idx="6">
                  <c:v>2027 Forecast</c:v>
                </c:pt>
              </c:strCache>
            </c:strRef>
          </c:cat>
          <c:val>
            <c:numRef>
              <c:f>'Summary Tables'!$R$5:$X$5</c:f>
              <c:numCache>
                <c:formatCode>#,##0</c:formatCode>
                <c:ptCount val="7"/>
                <c:pt idx="0">
                  <c:v>27003038.649999999</c:v>
                </c:pt>
                <c:pt idx="1">
                  <c:v>28785066</c:v>
                </c:pt>
                <c:pt idx="2">
                  <c:v>29063129</c:v>
                </c:pt>
                <c:pt idx="3">
                  <c:v>29356697</c:v>
                </c:pt>
                <c:pt idx="4">
                  <c:v>30749969</c:v>
                </c:pt>
                <c:pt idx="5">
                  <c:v>30138183.335336193</c:v>
                </c:pt>
                <c:pt idx="6">
                  <c:v>30112270.08050023</c:v>
                </c:pt>
              </c:numCache>
            </c:numRef>
          </c:val>
          <c:smooth val="0"/>
          <c:extLst>
            <c:ext xmlns:c16="http://schemas.microsoft.com/office/drawing/2014/chart" uri="{C3380CC4-5D6E-409C-BE32-E72D297353CC}">
              <c16:uniqueId val="{00000001-249A-4CC9-A143-46E6A984B3C2}"/>
            </c:ext>
          </c:extLst>
        </c:ser>
        <c:ser>
          <c:idx val="2"/>
          <c:order val="2"/>
          <c:tx>
            <c:strRef>
              <c:f>'Summary Tables'!$Q$6</c:f>
              <c:strCache>
                <c:ptCount val="1"/>
                <c:pt idx="0">
                  <c:v>GS &gt; 50</c:v>
                </c:pt>
              </c:strCache>
            </c:strRef>
          </c:tx>
          <c:spPr>
            <a:ln w="28575" cap="rnd">
              <a:solidFill>
                <a:schemeClr val="accent3"/>
              </a:solidFill>
              <a:round/>
            </a:ln>
            <a:effectLst/>
          </c:spPr>
          <c:marker>
            <c:symbol val="none"/>
          </c:marker>
          <c:cat>
            <c:strRef>
              <c:f>'Summary Tables'!$R$2:$X$2</c:f>
              <c:strCache>
                <c:ptCount val="7"/>
                <c:pt idx="0">
                  <c:v>2021 Actual</c:v>
                </c:pt>
                <c:pt idx="1">
                  <c:v>2022 Actual</c:v>
                </c:pt>
                <c:pt idx="2">
                  <c:v>2023 Actual</c:v>
                </c:pt>
                <c:pt idx="3">
                  <c:v>2024 Actual</c:v>
                </c:pt>
                <c:pt idx="4">
                  <c:v>2025 Actual</c:v>
                </c:pt>
                <c:pt idx="5">
                  <c:v>2026 Forecast</c:v>
                </c:pt>
                <c:pt idx="6">
                  <c:v>2027 Forecast</c:v>
                </c:pt>
              </c:strCache>
            </c:strRef>
          </c:cat>
          <c:val>
            <c:numRef>
              <c:f>'Summary Tables'!$R$6:$X$6</c:f>
              <c:numCache>
                <c:formatCode>#,##0</c:formatCode>
                <c:ptCount val="7"/>
                <c:pt idx="0">
                  <c:v>67961293.822997034</c:v>
                </c:pt>
                <c:pt idx="1">
                  <c:v>68211369.280000001</c:v>
                </c:pt>
                <c:pt idx="2">
                  <c:v>64679344</c:v>
                </c:pt>
                <c:pt idx="3">
                  <c:v>64215692</c:v>
                </c:pt>
                <c:pt idx="4">
                  <c:v>72102178</c:v>
                </c:pt>
                <c:pt idx="5">
                  <c:v>65316237.074867412</c:v>
                </c:pt>
                <c:pt idx="6">
                  <c:v>64921164.300896965</c:v>
                </c:pt>
              </c:numCache>
            </c:numRef>
          </c:val>
          <c:smooth val="0"/>
          <c:extLst>
            <c:ext xmlns:c16="http://schemas.microsoft.com/office/drawing/2014/chart" uri="{C3380CC4-5D6E-409C-BE32-E72D297353CC}">
              <c16:uniqueId val="{00000002-249A-4CC9-A143-46E6A984B3C2}"/>
            </c:ext>
          </c:extLst>
        </c:ser>
        <c:ser>
          <c:idx val="3"/>
          <c:order val="3"/>
          <c:tx>
            <c:strRef>
              <c:f>'Summary Tables'!$Q$7</c:f>
              <c:strCache>
                <c:ptCount val="1"/>
                <c:pt idx="0">
                  <c:v>Street Light</c:v>
                </c:pt>
              </c:strCache>
            </c:strRef>
          </c:tx>
          <c:spPr>
            <a:ln w="28575" cap="rnd">
              <a:solidFill>
                <a:schemeClr val="accent4"/>
              </a:solidFill>
              <a:round/>
            </a:ln>
            <a:effectLst/>
          </c:spPr>
          <c:marker>
            <c:symbol val="none"/>
          </c:marker>
          <c:cat>
            <c:strRef>
              <c:f>'Summary Tables'!$R$2:$X$2</c:f>
              <c:strCache>
                <c:ptCount val="7"/>
                <c:pt idx="0">
                  <c:v>2021 Actual</c:v>
                </c:pt>
                <c:pt idx="1">
                  <c:v>2022 Actual</c:v>
                </c:pt>
                <c:pt idx="2">
                  <c:v>2023 Actual</c:v>
                </c:pt>
                <c:pt idx="3">
                  <c:v>2024 Actual</c:v>
                </c:pt>
                <c:pt idx="4">
                  <c:v>2025 Actual</c:v>
                </c:pt>
                <c:pt idx="5">
                  <c:v>2026 Forecast</c:v>
                </c:pt>
                <c:pt idx="6">
                  <c:v>2027 Forecast</c:v>
                </c:pt>
              </c:strCache>
            </c:strRef>
          </c:cat>
          <c:val>
            <c:numRef>
              <c:f>'Summary Tables'!$R$7:$X$7</c:f>
              <c:numCache>
                <c:formatCode>#,##0</c:formatCode>
                <c:ptCount val="7"/>
                <c:pt idx="0">
                  <c:v>1011635.55</c:v>
                </c:pt>
                <c:pt idx="1">
                  <c:v>1002092</c:v>
                </c:pt>
                <c:pt idx="2">
                  <c:v>998543</c:v>
                </c:pt>
                <c:pt idx="3">
                  <c:v>996845</c:v>
                </c:pt>
                <c:pt idx="4">
                  <c:v>1016652</c:v>
                </c:pt>
                <c:pt idx="5">
                  <c:v>1012496.4456910954</c:v>
                </c:pt>
                <c:pt idx="6">
                  <c:v>1016551.0227896626</c:v>
                </c:pt>
              </c:numCache>
            </c:numRef>
          </c:val>
          <c:smooth val="0"/>
          <c:extLst>
            <c:ext xmlns:c16="http://schemas.microsoft.com/office/drawing/2014/chart" uri="{C3380CC4-5D6E-409C-BE32-E72D297353CC}">
              <c16:uniqueId val="{00000003-249A-4CC9-A143-46E6A984B3C2}"/>
            </c:ext>
          </c:extLst>
        </c:ser>
        <c:ser>
          <c:idx val="6"/>
          <c:order val="4"/>
          <c:tx>
            <c:strRef>
              <c:f>'Summary Tables'!$Q$8</c:f>
              <c:strCache>
                <c:ptCount val="1"/>
                <c:pt idx="0">
                  <c:v>Sentinel Light</c:v>
                </c:pt>
              </c:strCache>
            </c:strRef>
          </c:tx>
          <c:spPr>
            <a:ln w="28575" cap="rnd">
              <a:solidFill>
                <a:schemeClr val="accent1">
                  <a:lumMod val="60000"/>
                </a:schemeClr>
              </a:solidFill>
              <a:round/>
            </a:ln>
            <a:effectLst/>
          </c:spPr>
          <c:marker>
            <c:symbol val="none"/>
          </c:marker>
          <c:cat>
            <c:strRef>
              <c:f>'Summary Tables'!$R$2:$X$2</c:f>
              <c:strCache>
                <c:ptCount val="7"/>
                <c:pt idx="0">
                  <c:v>2021 Actual</c:v>
                </c:pt>
                <c:pt idx="1">
                  <c:v>2022 Actual</c:v>
                </c:pt>
                <c:pt idx="2">
                  <c:v>2023 Actual</c:v>
                </c:pt>
                <c:pt idx="3">
                  <c:v>2024 Actual</c:v>
                </c:pt>
                <c:pt idx="4">
                  <c:v>2025 Actual</c:v>
                </c:pt>
                <c:pt idx="5">
                  <c:v>2026 Forecast</c:v>
                </c:pt>
                <c:pt idx="6">
                  <c:v>2027 Forecast</c:v>
                </c:pt>
              </c:strCache>
            </c:strRef>
          </c:cat>
          <c:val>
            <c:numRef>
              <c:f>'Summary Tables'!$R$8:$X$8</c:f>
              <c:numCache>
                <c:formatCode>#,##0</c:formatCode>
                <c:ptCount val="7"/>
                <c:pt idx="0">
                  <c:v>189809.41692454813</c:v>
                </c:pt>
                <c:pt idx="1">
                  <c:v>190718</c:v>
                </c:pt>
                <c:pt idx="2">
                  <c:v>175555</c:v>
                </c:pt>
                <c:pt idx="3">
                  <c:v>164745</c:v>
                </c:pt>
                <c:pt idx="4">
                  <c:v>162265</c:v>
                </c:pt>
                <c:pt idx="5">
                  <c:v>157402.60281308927</c:v>
                </c:pt>
                <c:pt idx="6">
                  <c:v>149812.20333023078</c:v>
                </c:pt>
              </c:numCache>
            </c:numRef>
          </c:val>
          <c:smooth val="0"/>
          <c:extLst>
            <c:ext xmlns:c16="http://schemas.microsoft.com/office/drawing/2014/chart" uri="{C3380CC4-5D6E-409C-BE32-E72D297353CC}">
              <c16:uniqueId val="{00000000-3BA3-4AE5-9006-533029ABF1AC}"/>
            </c:ext>
          </c:extLst>
        </c:ser>
        <c:ser>
          <c:idx val="4"/>
          <c:order val="5"/>
          <c:tx>
            <c:strRef>
              <c:f>'Summary Tables'!$Q$9</c:f>
              <c:strCache>
                <c:ptCount val="1"/>
                <c:pt idx="0">
                  <c:v>USL</c:v>
                </c:pt>
              </c:strCache>
            </c:strRef>
          </c:tx>
          <c:spPr>
            <a:ln w="28575" cap="rnd">
              <a:solidFill>
                <a:schemeClr val="accent5"/>
              </a:solidFill>
              <a:round/>
            </a:ln>
            <a:effectLst/>
          </c:spPr>
          <c:marker>
            <c:symbol val="none"/>
          </c:marker>
          <c:cat>
            <c:strRef>
              <c:f>'Summary Tables'!$R$2:$X$2</c:f>
              <c:strCache>
                <c:ptCount val="7"/>
                <c:pt idx="0">
                  <c:v>2021 Actual</c:v>
                </c:pt>
                <c:pt idx="1">
                  <c:v>2022 Actual</c:v>
                </c:pt>
                <c:pt idx="2">
                  <c:v>2023 Actual</c:v>
                </c:pt>
                <c:pt idx="3">
                  <c:v>2024 Actual</c:v>
                </c:pt>
                <c:pt idx="4">
                  <c:v>2025 Actual</c:v>
                </c:pt>
                <c:pt idx="5">
                  <c:v>2026 Forecast</c:v>
                </c:pt>
                <c:pt idx="6">
                  <c:v>2027 Forecast</c:v>
                </c:pt>
              </c:strCache>
            </c:strRef>
          </c:cat>
          <c:val>
            <c:numRef>
              <c:f>'Summary Tables'!$R$9:$X$9</c:f>
              <c:numCache>
                <c:formatCode>#,##0</c:formatCode>
                <c:ptCount val="7"/>
                <c:pt idx="0">
                  <c:v>613643.61</c:v>
                </c:pt>
                <c:pt idx="1">
                  <c:v>588782</c:v>
                </c:pt>
                <c:pt idx="2">
                  <c:v>589689</c:v>
                </c:pt>
                <c:pt idx="3">
                  <c:v>591629</c:v>
                </c:pt>
                <c:pt idx="4">
                  <c:v>587172</c:v>
                </c:pt>
                <c:pt idx="5">
                  <c:v>598467.08981554129</c:v>
                </c:pt>
                <c:pt idx="6">
                  <c:v>598467.08981554129</c:v>
                </c:pt>
              </c:numCache>
            </c:numRef>
          </c:val>
          <c:smooth val="0"/>
          <c:extLst>
            <c:ext xmlns:c16="http://schemas.microsoft.com/office/drawing/2014/chart" uri="{C3380CC4-5D6E-409C-BE32-E72D297353CC}">
              <c16:uniqueId val="{00000004-249A-4CC9-A143-46E6A984B3C2}"/>
            </c:ext>
          </c:extLst>
        </c:ser>
        <c:dLbls>
          <c:showLegendKey val="0"/>
          <c:showVal val="0"/>
          <c:showCatName val="0"/>
          <c:showSerName val="0"/>
          <c:showPercent val="0"/>
          <c:showBubbleSize val="0"/>
        </c:dLbls>
        <c:smooth val="0"/>
        <c:axId val="406510624"/>
        <c:axId val="406503424"/>
      </c:lineChart>
      <c:catAx>
        <c:axId val="4065106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6503424"/>
        <c:crosses val="autoZero"/>
        <c:auto val="1"/>
        <c:lblAlgn val="ctr"/>
        <c:lblOffset val="100"/>
        <c:noMultiLvlLbl val="0"/>
      </c:catAx>
      <c:valAx>
        <c:axId val="4065034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65106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CA"/>
              <a:t>Consumption by Class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3"/>
          <c:order val="0"/>
          <c:tx>
            <c:strRef>
              <c:f>'Summary Tables'!$Q$7</c:f>
              <c:strCache>
                <c:ptCount val="1"/>
                <c:pt idx="0">
                  <c:v>Street Light</c:v>
                </c:pt>
              </c:strCache>
            </c:strRef>
          </c:tx>
          <c:spPr>
            <a:ln w="28575" cap="rnd">
              <a:solidFill>
                <a:schemeClr val="accent4"/>
              </a:solidFill>
              <a:round/>
            </a:ln>
            <a:effectLst/>
          </c:spPr>
          <c:marker>
            <c:symbol val="none"/>
          </c:marker>
          <c:cat>
            <c:strRef>
              <c:f>'Summary Tables'!$R$2:$X$2</c:f>
              <c:strCache>
                <c:ptCount val="7"/>
                <c:pt idx="0">
                  <c:v>2021 Actual</c:v>
                </c:pt>
                <c:pt idx="1">
                  <c:v>2022 Actual</c:v>
                </c:pt>
                <c:pt idx="2">
                  <c:v>2023 Actual</c:v>
                </c:pt>
                <c:pt idx="3">
                  <c:v>2024 Actual</c:v>
                </c:pt>
                <c:pt idx="4">
                  <c:v>2025 Actual</c:v>
                </c:pt>
                <c:pt idx="5">
                  <c:v>2026 Forecast</c:v>
                </c:pt>
                <c:pt idx="6">
                  <c:v>2027 Forecast</c:v>
                </c:pt>
              </c:strCache>
            </c:strRef>
          </c:cat>
          <c:val>
            <c:numRef>
              <c:f>'Summary Tables'!$R$7:$X$7</c:f>
              <c:numCache>
                <c:formatCode>#,##0</c:formatCode>
                <c:ptCount val="7"/>
                <c:pt idx="0">
                  <c:v>1011635.55</c:v>
                </c:pt>
                <c:pt idx="1">
                  <c:v>1002092</c:v>
                </c:pt>
                <c:pt idx="2">
                  <c:v>998543</c:v>
                </c:pt>
                <c:pt idx="3">
                  <c:v>996845</c:v>
                </c:pt>
                <c:pt idx="4">
                  <c:v>1016652</c:v>
                </c:pt>
                <c:pt idx="5">
                  <c:v>1012496.4456910954</c:v>
                </c:pt>
                <c:pt idx="6">
                  <c:v>1016551.0227896626</c:v>
                </c:pt>
              </c:numCache>
            </c:numRef>
          </c:val>
          <c:smooth val="0"/>
          <c:extLst>
            <c:ext xmlns:c16="http://schemas.microsoft.com/office/drawing/2014/chart" uri="{C3380CC4-5D6E-409C-BE32-E72D297353CC}">
              <c16:uniqueId val="{00000003-A107-4836-82DB-31B5F8AD6BF8}"/>
            </c:ext>
          </c:extLst>
        </c:ser>
        <c:ser>
          <c:idx val="6"/>
          <c:order val="1"/>
          <c:tx>
            <c:strRef>
              <c:f>'Summary Tables'!$Q$8</c:f>
              <c:strCache>
                <c:ptCount val="1"/>
                <c:pt idx="0">
                  <c:v>Sentinel Light</c:v>
                </c:pt>
              </c:strCache>
            </c:strRef>
          </c:tx>
          <c:spPr>
            <a:ln w="28575" cap="rnd">
              <a:solidFill>
                <a:schemeClr val="accent1">
                  <a:lumMod val="60000"/>
                </a:schemeClr>
              </a:solidFill>
              <a:round/>
            </a:ln>
            <a:effectLst/>
          </c:spPr>
          <c:marker>
            <c:symbol val="none"/>
          </c:marker>
          <c:cat>
            <c:strRef>
              <c:f>'Summary Tables'!$R$2:$X$2</c:f>
              <c:strCache>
                <c:ptCount val="7"/>
                <c:pt idx="0">
                  <c:v>2021 Actual</c:v>
                </c:pt>
                <c:pt idx="1">
                  <c:v>2022 Actual</c:v>
                </c:pt>
                <c:pt idx="2">
                  <c:v>2023 Actual</c:v>
                </c:pt>
                <c:pt idx="3">
                  <c:v>2024 Actual</c:v>
                </c:pt>
                <c:pt idx="4">
                  <c:v>2025 Actual</c:v>
                </c:pt>
                <c:pt idx="5">
                  <c:v>2026 Forecast</c:v>
                </c:pt>
                <c:pt idx="6">
                  <c:v>2027 Forecast</c:v>
                </c:pt>
              </c:strCache>
            </c:strRef>
          </c:cat>
          <c:val>
            <c:numRef>
              <c:f>'Summary Tables'!$R$8:$X$8</c:f>
              <c:numCache>
                <c:formatCode>#,##0</c:formatCode>
                <c:ptCount val="7"/>
                <c:pt idx="0">
                  <c:v>189809.41692454813</c:v>
                </c:pt>
                <c:pt idx="1">
                  <c:v>190718</c:v>
                </c:pt>
                <c:pt idx="2">
                  <c:v>175555</c:v>
                </c:pt>
                <c:pt idx="3">
                  <c:v>164745</c:v>
                </c:pt>
                <c:pt idx="4">
                  <c:v>162265</c:v>
                </c:pt>
                <c:pt idx="5">
                  <c:v>157402.60281308927</c:v>
                </c:pt>
                <c:pt idx="6">
                  <c:v>149812.20333023078</c:v>
                </c:pt>
              </c:numCache>
            </c:numRef>
          </c:val>
          <c:smooth val="0"/>
          <c:extLst>
            <c:ext xmlns:c16="http://schemas.microsoft.com/office/drawing/2014/chart" uri="{C3380CC4-5D6E-409C-BE32-E72D297353CC}">
              <c16:uniqueId val="{00000004-A107-4836-82DB-31B5F8AD6BF8}"/>
            </c:ext>
          </c:extLst>
        </c:ser>
        <c:ser>
          <c:idx val="4"/>
          <c:order val="2"/>
          <c:tx>
            <c:strRef>
              <c:f>'Summary Tables'!$Q$9</c:f>
              <c:strCache>
                <c:ptCount val="1"/>
                <c:pt idx="0">
                  <c:v>USL</c:v>
                </c:pt>
              </c:strCache>
            </c:strRef>
          </c:tx>
          <c:spPr>
            <a:ln w="28575" cap="rnd">
              <a:solidFill>
                <a:schemeClr val="accent5"/>
              </a:solidFill>
              <a:round/>
            </a:ln>
            <a:effectLst/>
          </c:spPr>
          <c:marker>
            <c:symbol val="none"/>
          </c:marker>
          <c:cat>
            <c:strRef>
              <c:f>'Summary Tables'!$R$2:$X$2</c:f>
              <c:strCache>
                <c:ptCount val="7"/>
                <c:pt idx="0">
                  <c:v>2021 Actual</c:v>
                </c:pt>
                <c:pt idx="1">
                  <c:v>2022 Actual</c:v>
                </c:pt>
                <c:pt idx="2">
                  <c:v>2023 Actual</c:v>
                </c:pt>
                <c:pt idx="3">
                  <c:v>2024 Actual</c:v>
                </c:pt>
                <c:pt idx="4">
                  <c:v>2025 Actual</c:v>
                </c:pt>
                <c:pt idx="5">
                  <c:v>2026 Forecast</c:v>
                </c:pt>
                <c:pt idx="6">
                  <c:v>2027 Forecast</c:v>
                </c:pt>
              </c:strCache>
            </c:strRef>
          </c:cat>
          <c:val>
            <c:numRef>
              <c:f>'Summary Tables'!$R$9:$X$9</c:f>
              <c:numCache>
                <c:formatCode>#,##0</c:formatCode>
                <c:ptCount val="7"/>
                <c:pt idx="0">
                  <c:v>613643.61</c:v>
                </c:pt>
                <c:pt idx="1">
                  <c:v>588782</c:v>
                </c:pt>
                <c:pt idx="2">
                  <c:v>589689</c:v>
                </c:pt>
                <c:pt idx="3">
                  <c:v>591629</c:v>
                </c:pt>
                <c:pt idx="4">
                  <c:v>587172</c:v>
                </c:pt>
                <c:pt idx="5">
                  <c:v>598467.08981554129</c:v>
                </c:pt>
                <c:pt idx="6">
                  <c:v>598467.08981554129</c:v>
                </c:pt>
              </c:numCache>
            </c:numRef>
          </c:val>
          <c:smooth val="0"/>
          <c:extLst>
            <c:ext xmlns:c16="http://schemas.microsoft.com/office/drawing/2014/chart" uri="{C3380CC4-5D6E-409C-BE32-E72D297353CC}">
              <c16:uniqueId val="{00000005-A107-4836-82DB-31B5F8AD6BF8}"/>
            </c:ext>
          </c:extLst>
        </c:ser>
        <c:dLbls>
          <c:showLegendKey val="0"/>
          <c:showVal val="0"/>
          <c:showCatName val="0"/>
          <c:showSerName val="0"/>
          <c:showPercent val="0"/>
          <c:showBubbleSize val="0"/>
        </c:dLbls>
        <c:smooth val="0"/>
        <c:axId val="406510624"/>
        <c:axId val="406503424"/>
      </c:lineChart>
      <c:catAx>
        <c:axId val="4065106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6503424"/>
        <c:crosses val="autoZero"/>
        <c:auto val="1"/>
        <c:lblAlgn val="ctr"/>
        <c:lblOffset val="100"/>
        <c:noMultiLvlLbl val="0"/>
      </c:catAx>
      <c:valAx>
        <c:axId val="4065034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65106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CA"/>
              <a:t>Consumption by Class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'Summary Tables (Weather Normal)'!$P$4</c:f>
              <c:strCache>
                <c:ptCount val="1"/>
                <c:pt idx="0">
                  <c:v>Residential</c:v>
                </c:pt>
              </c:strCache>
            </c:strRef>
          </c:tx>
          <c:spPr>
            <a:ln w="28575" cap="rnd">
              <a:solidFill>
                <a:schemeClr val="accent1"/>
              </a:solidFill>
              <a:round/>
            </a:ln>
            <a:effectLst/>
          </c:spPr>
          <c:marker>
            <c:symbol val="none"/>
          </c:marker>
          <c:cat>
            <c:strRef>
              <c:f>'Summary Tables (Weather Normal)'!$Q$2:$U$2</c:f>
              <c:strCache>
                <c:ptCount val="5"/>
                <c:pt idx="0">
                  <c:v>2023 Normal</c:v>
                </c:pt>
                <c:pt idx="1">
                  <c:v>2024 Normal</c:v>
                </c:pt>
                <c:pt idx="2">
                  <c:v>2025 Normal</c:v>
                </c:pt>
                <c:pt idx="3">
                  <c:v>2026 Forecast</c:v>
                </c:pt>
                <c:pt idx="4">
                  <c:v>2027 Forecast</c:v>
                </c:pt>
              </c:strCache>
            </c:strRef>
          </c:cat>
          <c:val>
            <c:numRef>
              <c:f>'Summary Tables (Weather Normal)'!$Q$4:$U$4</c:f>
              <c:numCache>
                <c:formatCode>#,##0</c:formatCode>
                <c:ptCount val="5"/>
                <c:pt idx="0">
                  <c:v>85022917</c:v>
                </c:pt>
                <c:pt idx="1">
                  <c:v>86752528</c:v>
                </c:pt>
                <c:pt idx="2">
                  <c:v>90973051</c:v>
                </c:pt>
                <c:pt idx="3">
                  <c:v>91218659.053820208</c:v>
                </c:pt>
                <c:pt idx="4">
                  <c:v>92256254.464997321</c:v>
                </c:pt>
              </c:numCache>
            </c:numRef>
          </c:val>
          <c:smooth val="0"/>
          <c:extLst>
            <c:ext xmlns:c16="http://schemas.microsoft.com/office/drawing/2014/chart" uri="{C3380CC4-5D6E-409C-BE32-E72D297353CC}">
              <c16:uniqueId val="{00000000-EE97-41C8-846C-CAF9630815BB}"/>
            </c:ext>
          </c:extLst>
        </c:ser>
        <c:ser>
          <c:idx val="1"/>
          <c:order val="1"/>
          <c:tx>
            <c:strRef>
              <c:f>'Summary Tables (Weather Normal)'!$P$5</c:f>
              <c:strCache>
                <c:ptCount val="1"/>
                <c:pt idx="0">
                  <c:v>GS &lt; 50</c:v>
                </c:pt>
              </c:strCache>
            </c:strRef>
          </c:tx>
          <c:spPr>
            <a:ln w="28575" cap="rnd">
              <a:solidFill>
                <a:schemeClr val="accent2"/>
              </a:solidFill>
              <a:round/>
            </a:ln>
            <a:effectLst/>
          </c:spPr>
          <c:marker>
            <c:symbol val="none"/>
          </c:marker>
          <c:cat>
            <c:strRef>
              <c:f>'Summary Tables (Weather Normal)'!$Q$2:$U$2</c:f>
              <c:strCache>
                <c:ptCount val="5"/>
                <c:pt idx="0">
                  <c:v>2023 Normal</c:v>
                </c:pt>
                <c:pt idx="1">
                  <c:v>2024 Normal</c:v>
                </c:pt>
                <c:pt idx="2">
                  <c:v>2025 Normal</c:v>
                </c:pt>
                <c:pt idx="3">
                  <c:v>2026 Forecast</c:v>
                </c:pt>
                <c:pt idx="4">
                  <c:v>2027 Forecast</c:v>
                </c:pt>
              </c:strCache>
            </c:strRef>
          </c:cat>
          <c:val>
            <c:numRef>
              <c:f>'Summary Tables (Weather Normal)'!$Q$5:$U$5</c:f>
              <c:numCache>
                <c:formatCode>#,##0</c:formatCode>
                <c:ptCount val="5"/>
                <c:pt idx="0">
                  <c:v>29063129</c:v>
                </c:pt>
                <c:pt idx="1">
                  <c:v>29356697</c:v>
                </c:pt>
                <c:pt idx="2">
                  <c:v>30749969</c:v>
                </c:pt>
                <c:pt idx="3">
                  <c:v>30138183.335336193</c:v>
                </c:pt>
                <c:pt idx="4">
                  <c:v>30112270.08050023</c:v>
                </c:pt>
              </c:numCache>
            </c:numRef>
          </c:val>
          <c:smooth val="0"/>
          <c:extLst>
            <c:ext xmlns:c16="http://schemas.microsoft.com/office/drawing/2014/chart" uri="{C3380CC4-5D6E-409C-BE32-E72D297353CC}">
              <c16:uniqueId val="{00000001-EE97-41C8-846C-CAF9630815BB}"/>
            </c:ext>
          </c:extLst>
        </c:ser>
        <c:ser>
          <c:idx val="2"/>
          <c:order val="2"/>
          <c:tx>
            <c:strRef>
              <c:f>'Summary Tables (Weather Normal)'!$P$6</c:f>
              <c:strCache>
                <c:ptCount val="1"/>
                <c:pt idx="0">
                  <c:v>GS &gt; 50</c:v>
                </c:pt>
              </c:strCache>
            </c:strRef>
          </c:tx>
          <c:spPr>
            <a:ln w="28575" cap="rnd">
              <a:solidFill>
                <a:schemeClr val="accent3"/>
              </a:solidFill>
              <a:round/>
            </a:ln>
            <a:effectLst/>
          </c:spPr>
          <c:marker>
            <c:symbol val="none"/>
          </c:marker>
          <c:cat>
            <c:strRef>
              <c:f>'Summary Tables (Weather Normal)'!$Q$2:$U$2</c:f>
              <c:strCache>
                <c:ptCount val="5"/>
                <c:pt idx="0">
                  <c:v>2023 Normal</c:v>
                </c:pt>
                <c:pt idx="1">
                  <c:v>2024 Normal</c:v>
                </c:pt>
                <c:pt idx="2">
                  <c:v>2025 Normal</c:v>
                </c:pt>
                <c:pt idx="3">
                  <c:v>2026 Forecast</c:v>
                </c:pt>
                <c:pt idx="4">
                  <c:v>2027 Forecast</c:v>
                </c:pt>
              </c:strCache>
            </c:strRef>
          </c:cat>
          <c:val>
            <c:numRef>
              <c:f>'Summary Tables (Weather Normal)'!$Q$6:$U$6</c:f>
              <c:numCache>
                <c:formatCode>#,##0</c:formatCode>
                <c:ptCount val="5"/>
                <c:pt idx="0">
                  <c:v>64679344</c:v>
                </c:pt>
                <c:pt idx="1">
                  <c:v>64215692</c:v>
                </c:pt>
                <c:pt idx="2">
                  <c:v>72102178</c:v>
                </c:pt>
                <c:pt idx="3">
                  <c:v>65316237.074867412</c:v>
                </c:pt>
                <c:pt idx="4">
                  <c:v>64921164.300896965</c:v>
                </c:pt>
              </c:numCache>
            </c:numRef>
          </c:val>
          <c:smooth val="0"/>
          <c:extLst>
            <c:ext xmlns:c16="http://schemas.microsoft.com/office/drawing/2014/chart" uri="{C3380CC4-5D6E-409C-BE32-E72D297353CC}">
              <c16:uniqueId val="{00000002-EE97-41C8-846C-CAF9630815BB}"/>
            </c:ext>
          </c:extLst>
        </c:ser>
        <c:ser>
          <c:idx val="3"/>
          <c:order val="3"/>
          <c:tx>
            <c:strRef>
              <c:f>'Summary Tables (Weather Normal)'!$P$7</c:f>
              <c:strCache>
                <c:ptCount val="1"/>
                <c:pt idx="0">
                  <c:v>Street Light</c:v>
                </c:pt>
              </c:strCache>
            </c:strRef>
          </c:tx>
          <c:spPr>
            <a:ln w="28575" cap="rnd">
              <a:solidFill>
                <a:schemeClr val="accent4"/>
              </a:solidFill>
              <a:round/>
            </a:ln>
            <a:effectLst/>
          </c:spPr>
          <c:marker>
            <c:symbol val="none"/>
          </c:marker>
          <c:cat>
            <c:strRef>
              <c:f>'Summary Tables (Weather Normal)'!$Q$2:$U$2</c:f>
              <c:strCache>
                <c:ptCount val="5"/>
                <c:pt idx="0">
                  <c:v>2023 Normal</c:v>
                </c:pt>
                <c:pt idx="1">
                  <c:v>2024 Normal</c:v>
                </c:pt>
                <c:pt idx="2">
                  <c:v>2025 Normal</c:v>
                </c:pt>
                <c:pt idx="3">
                  <c:v>2026 Forecast</c:v>
                </c:pt>
                <c:pt idx="4">
                  <c:v>2027 Forecast</c:v>
                </c:pt>
              </c:strCache>
            </c:strRef>
          </c:cat>
          <c:val>
            <c:numRef>
              <c:f>'Summary Tables (Weather Normal)'!$Q$7:$U$7</c:f>
              <c:numCache>
                <c:formatCode>#,##0</c:formatCode>
                <c:ptCount val="5"/>
                <c:pt idx="0">
                  <c:v>998543</c:v>
                </c:pt>
                <c:pt idx="1">
                  <c:v>996845</c:v>
                </c:pt>
                <c:pt idx="2">
                  <c:v>1016652</c:v>
                </c:pt>
                <c:pt idx="3">
                  <c:v>1012496.4456910954</c:v>
                </c:pt>
                <c:pt idx="4">
                  <c:v>1016551.0227896626</c:v>
                </c:pt>
              </c:numCache>
            </c:numRef>
          </c:val>
          <c:smooth val="0"/>
          <c:extLst>
            <c:ext xmlns:c16="http://schemas.microsoft.com/office/drawing/2014/chart" uri="{C3380CC4-5D6E-409C-BE32-E72D297353CC}">
              <c16:uniqueId val="{00000003-EE97-41C8-846C-CAF9630815BB}"/>
            </c:ext>
          </c:extLst>
        </c:ser>
        <c:ser>
          <c:idx val="4"/>
          <c:order val="4"/>
          <c:tx>
            <c:strRef>
              <c:f>'Summary Tables (Weather Normal)'!$P$9</c:f>
              <c:strCache>
                <c:ptCount val="1"/>
                <c:pt idx="0">
                  <c:v>USL</c:v>
                </c:pt>
              </c:strCache>
            </c:strRef>
          </c:tx>
          <c:spPr>
            <a:ln w="28575" cap="rnd">
              <a:solidFill>
                <a:schemeClr val="accent5"/>
              </a:solidFill>
              <a:round/>
            </a:ln>
            <a:effectLst/>
          </c:spPr>
          <c:marker>
            <c:symbol val="none"/>
          </c:marker>
          <c:cat>
            <c:strRef>
              <c:f>'Summary Tables (Weather Normal)'!$Q$2:$U$2</c:f>
              <c:strCache>
                <c:ptCount val="5"/>
                <c:pt idx="0">
                  <c:v>2023 Normal</c:v>
                </c:pt>
                <c:pt idx="1">
                  <c:v>2024 Normal</c:v>
                </c:pt>
                <c:pt idx="2">
                  <c:v>2025 Normal</c:v>
                </c:pt>
                <c:pt idx="3">
                  <c:v>2026 Forecast</c:v>
                </c:pt>
                <c:pt idx="4">
                  <c:v>2027 Forecast</c:v>
                </c:pt>
              </c:strCache>
            </c:strRef>
          </c:cat>
          <c:val>
            <c:numRef>
              <c:f>'Summary Tables (Weather Normal)'!$Q$9:$U$9</c:f>
              <c:numCache>
                <c:formatCode>#,##0</c:formatCode>
                <c:ptCount val="5"/>
                <c:pt idx="0">
                  <c:v>589689</c:v>
                </c:pt>
                <c:pt idx="1">
                  <c:v>591629</c:v>
                </c:pt>
                <c:pt idx="2">
                  <c:v>587172</c:v>
                </c:pt>
                <c:pt idx="3">
                  <c:v>-256127.29731328972</c:v>
                </c:pt>
                <c:pt idx="4">
                  <c:v>598467.08981554129</c:v>
                </c:pt>
              </c:numCache>
            </c:numRef>
          </c:val>
          <c:smooth val="0"/>
          <c:extLst>
            <c:ext xmlns:c16="http://schemas.microsoft.com/office/drawing/2014/chart" uri="{C3380CC4-5D6E-409C-BE32-E72D297353CC}">
              <c16:uniqueId val="{00000004-EE97-41C8-846C-CAF9630815BB}"/>
            </c:ext>
          </c:extLst>
        </c:ser>
        <c:ser>
          <c:idx val="5"/>
          <c:order val="5"/>
          <c:tx>
            <c:strRef>
              <c:f>'Summary Tables (Weather Normal)'!$P$10</c:f>
              <c:strCache>
                <c:ptCount val="1"/>
                <c:pt idx="0">
                  <c:v>Total</c:v>
                </c:pt>
              </c:strCache>
            </c:strRef>
          </c:tx>
          <c:spPr>
            <a:ln w="28575" cap="rnd">
              <a:solidFill>
                <a:schemeClr val="accent6"/>
              </a:solidFill>
              <a:round/>
            </a:ln>
            <a:effectLst/>
          </c:spPr>
          <c:marker>
            <c:symbol val="none"/>
          </c:marker>
          <c:cat>
            <c:strRef>
              <c:f>'Summary Tables (Weather Normal)'!$Q$2:$U$2</c:f>
              <c:strCache>
                <c:ptCount val="5"/>
                <c:pt idx="0">
                  <c:v>2023 Normal</c:v>
                </c:pt>
                <c:pt idx="1">
                  <c:v>2024 Normal</c:v>
                </c:pt>
                <c:pt idx="2">
                  <c:v>2025 Normal</c:v>
                </c:pt>
                <c:pt idx="3">
                  <c:v>2026 Forecast</c:v>
                </c:pt>
                <c:pt idx="4">
                  <c:v>2027 Forecast</c:v>
                </c:pt>
              </c:strCache>
            </c:strRef>
          </c:cat>
          <c:val>
            <c:numRef>
              <c:f>'Summary Tables (Weather Normal)'!$Q$10:$U$10</c:f>
              <c:numCache>
                <c:formatCode>#,##0</c:formatCode>
                <c:ptCount val="5"/>
                <c:pt idx="0">
                  <c:v>180529177</c:v>
                </c:pt>
                <c:pt idx="1">
                  <c:v>182078136</c:v>
                </c:pt>
                <c:pt idx="2">
                  <c:v>195591287</c:v>
                </c:pt>
                <c:pt idx="3">
                  <c:v>187586851.21521473</c:v>
                </c:pt>
                <c:pt idx="4">
                  <c:v>189054519.16232991</c:v>
                </c:pt>
              </c:numCache>
            </c:numRef>
          </c:val>
          <c:smooth val="0"/>
          <c:extLst>
            <c:ext xmlns:c16="http://schemas.microsoft.com/office/drawing/2014/chart" uri="{C3380CC4-5D6E-409C-BE32-E72D297353CC}">
              <c16:uniqueId val="{00000005-EE97-41C8-846C-CAF9630815BB}"/>
            </c:ext>
          </c:extLst>
        </c:ser>
        <c:dLbls>
          <c:showLegendKey val="0"/>
          <c:showVal val="0"/>
          <c:showCatName val="0"/>
          <c:showSerName val="0"/>
          <c:showPercent val="0"/>
          <c:showBubbleSize val="0"/>
        </c:dLbls>
        <c:smooth val="0"/>
        <c:axId val="406510624"/>
        <c:axId val="406503424"/>
      </c:lineChart>
      <c:catAx>
        <c:axId val="4065106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6503424"/>
        <c:crosses val="autoZero"/>
        <c:auto val="1"/>
        <c:lblAlgn val="ctr"/>
        <c:lblOffset val="100"/>
        <c:noMultiLvlLbl val="0"/>
      </c:catAx>
      <c:valAx>
        <c:axId val="4065034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065106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3.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4.xml.rels><?xml version="1.0" encoding="UTF-8" standalone="yes"?>
<Relationships xmlns="http://schemas.openxmlformats.org/package/2006/relationships"><Relationship Id="rId1" Type="http://schemas.openxmlformats.org/officeDocument/2006/relationships/chart" Target="../charts/chart8.xml"/></Relationships>
</file>

<file path=xl/drawings/_rels/drawing5.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7.xml.rels><?xml version="1.0" encoding="UTF-8" standalone="yes"?>
<Relationships xmlns="http://schemas.openxmlformats.org/package/2006/relationships"><Relationship Id="rId3" Type="http://schemas.openxmlformats.org/officeDocument/2006/relationships/chart" Target="../charts/chart14.xml"/><Relationship Id="rId2" Type="http://schemas.openxmlformats.org/officeDocument/2006/relationships/chart" Target="../charts/chart13.xml"/><Relationship Id="rId1" Type="http://schemas.openxmlformats.org/officeDocument/2006/relationships/chart" Target="../charts/chart12.xml"/><Relationship Id="rId4" Type="http://schemas.openxmlformats.org/officeDocument/2006/relationships/chart" Target="../charts/chart15.xml"/></Relationships>
</file>

<file path=xl/drawings/_rels/drawing8.xml.rels><?xml version="1.0" encoding="UTF-8" standalone="yes"?>
<Relationships xmlns="http://schemas.openxmlformats.org/package/2006/relationships"><Relationship Id="rId3" Type="http://schemas.openxmlformats.org/officeDocument/2006/relationships/chart" Target="../charts/chart18.xml"/><Relationship Id="rId2" Type="http://schemas.openxmlformats.org/officeDocument/2006/relationships/chart" Target="../charts/chart17.xml"/><Relationship Id="rId1" Type="http://schemas.openxmlformats.org/officeDocument/2006/relationships/chart" Target="../charts/chart16.xml"/></Relationships>
</file>

<file path=xl/drawings/_rels/drawing9.xml.rels><?xml version="1.0" encoding="UTF-8" standalone="yes"?>
<Relationships xmlns="http://schemas.openxmlformats.org/package/2006/relationships"><Relationship Id="rId2" Type="http://schemas.openxmlformats.org/officeDocument/2006/relationships/chart" Target="../charts/chart20.xml"/><Relationship Id="rId1" Type="http://schemas.openxmlformats.org/officeDocument/2006/relationships/chart" Target="../charts/chart19.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22.xml"/><Relationship Id="rId1" Type="http://schemas.openxmlformats.org/officeDocument/2006/relationships/chart" Target="../charts/chart21.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26.xml"/><Relationship Id="rId1" Type="http://schemas.openxmlformats.org/officeDocument/2006/relationships/chart" Target="../charts/chart25.xml"/></Relationships>
</file>

<file path=xl/drawings/_rels/drawing14.xml.rels><?xml version="1.0" encoding="UTF-8" standalone="yes"?>
<Relationships xmlns="http://schemas.openxmlformats.org/package/2006/relationships"><Relationship Id="rId8" Type="http://schemas.openxmlformats.org/officeDocument/2006/relationships/chart" Target="../charts/chart34.xml"/><Relationship Id="rId3" Type="http://schemas.openxmlformats.org/officeDocument/2006/relationships/chart" Target="../charts/chart29.xml"/><Relationship Id="rId7" Type="http://schemas.openxmlformats.org/officeDocument/2006/relationships/chart" Target="../charts/chart33.xml"/><Relationship Id="rId12" Type="http://schemas.openxmlformats.org/officeDocument/2006/relationships/chart" Target="../charts/chart38.xml"/><Relationship Id="rId2" Type="http://schemas.openxmlformats.org/officeDocument/2006/relationships/chart" Target="../charts/chart28.xml"/><Relationship Id="rId1" Type="http://schemas.openxmlformats.org/officeDocument/2006/relationships/chart" Target="../charts/chart27.xml"/><Relationship Id="rId6" Type="http://schemas.openxmlformats.org/officeDocument/2006/relationships/chart" Target="../charts/chart32.xml"/><Relationship Id="rId11" Type="http://schemas.openxmlformats.org/officeDocument/2006/relationships/chart" Target="../charts/chart37.xml"/><Relationship Id="rId5" Type="http://schemas.openxmlformats.org/officeDocument/2006/relationships/chart" Target="../charts/chart31.xml"/><Relationship Id="rId10" Type="http://schemas.openxmlformats.org/officeDocument/2006/relationships/chart" Target="../charts/chart36.xml"/><Relationship Id="rId4" Type="http://schemas.openxmlformats.org/officeDocument/2006/relationships/chart" Target="../charts/chart30.xml"/><Relationship Id="rId9" Type="http://schemas.openxmlformats.org/officeDocument/2006/relationships/chart" Target="../charts/chart35.xml"/></Relationships>
</file>

<file path=xl/drawings/_rels/drawing15.xml.rels><?xml version="1.0" encoding="UTF-8" standalone="yes"?>
<Relationships xmlns="http://schemas.openxmlformats.org/package/2006/relationships"><Relationship Id="rId3" Type="http://schemas.openxmlformats.org/officeDocument/2006/relationships/chart" Target="../charts/chart41.xml"/><Relationship Id="rId2" Type="http://schemas.openxmlformats.org/officeDocument/2006/relationships/chart" Target="../charts/chart40.xml"/><Relationship Id="rId1" Type="http://schemas.openxmlformats.org/officeDocument/2006/relationships/chart" Target="../charts/chart39.xml"/></Relationships>
</file>

<file path=xl/drawings/_rels/drawing16.xml.rels><?xml version="1.0" encoding="UTF-8" standalone="yes"?>
<Relationships xmlns="http://schemas.openxmlformats.org/package/2006/relationships"><Relationship Id="rId3" Type="http://schemas.openxmlformats.org/officeDocument/2006/relationships/chart" Target="../charts/chart44.xml"/><Relationship Id="rId2" Type="http://schemas.openxmlformats.org/officeDocument/2006/relationships/chart" Target="../charts/chart43.xml"/><Relationship Id="rId1" Type="http://schemas.openxmlformats.org/officeDocument/2006/relationships/chart" Target="../charts/chart42.xml"/></Relationships>
</file>

<file path=xl/drawings/_rels/drawing17.xml.rels><?xml version="1.0" encoding="UTF-8" standalone="yes"?>
<Relationships xmlns="http://schemas.openxmlformats.org/package/2006/relationships"><Relationship Id="rId2" Type="http://schemas.openxmlformats.org/officeDocument/2006/relationships/chart" Target="../charts/chart46.xml"/><Relationship Id="rId1" Type="http://schemas.openxmlformats.org/officeDocument/2006/relationships/chart" Target="../charts/chart45.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47.xml"/></Relationships>
</file>

<file path=xl/drawings/drawing1.xml><?xml version="1.0" encoding="utf-8"?>
<xdr:wsDr xmlns:xdr="http://schemas.openxmlformats.org/drawingml/2006/spreadsheetDrawing" xmlns:a="http://schemas.openxmlformats.org/drawingml/2006/main">
  <xdr:twoCellAnchor>
    <xdr:from>
      <xdr:col>123</xdr:col>
      <xdr:colOff>0</xdr:colOff>
      <xdr:row>3</xdr:row>
      <xdr:rowOff>0</xdr:rowOff>
    </xdr:from>
    <xdr:to>
      <xdr:col>133</xdr:col>
      <xdr:colOff>286068</xdr:colOff>
      <xdr:row>19</xdr:row>
      <xdr:rowOff>129223</xdr:rowOff>
    </xdr:to>
    <xdr:graphicFrame macro="">
      <xdr:nvGraphicFramePr>
        <xdr:cNvPr id="2" name="Chart 1">
          <a:extLst>
            <a:ext uri="{FF2B5EF4-FFF2-40B4-BE49-F238E27FC236}">
              <a16:creationId xmlns:a16="http://schemas.microsoft.com/office/drawing/2014/main" id="{63E477DB-2444-4768-9736-29744093FB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123</xdr:col>
      <xdr:colOff>266700</xdr:colOff>
      <xdr:row>21</xdr:row>
      <xdr:rowOff>19050</xdr:rowOff>
    </xdr:from>
    <xdr:to>
      <xdr:col>133</xdr:col>
      <xdr:colOff>530860</xdr:colOff>
      <xdr:row>39</xdr:row>
      <xdr:rowOff>73660</xdr:rowOff>
    </xdr:to>
    <xdr:graphicFrame macro="">
      <xdr:nvGraphicFramePr>
        <xdr:cNvPr id="5" name="Chart 4">
          <a:extLst>
            <a:ext uri="{FF2B5EF4-FFF2-40B4-BE49-F238E27FC236}">
              <a16:creationId xmlns:a16="http://schemas.microsoft.com/office/drawing/2014/main" id="{0077339F-DE68-4669-8374-BE8FDFB9CD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123</xdr:col>
      <xdr:colOff>352425</xdr:colOff>
      <xdr:row>42</xdr:row>
      <xdr:rowOff>0</xdr:rowOff>
    </xdr:from>
    <xdr:to>
      <xdr:col>134</xdr:col>
      <xdr:colOff>45720</xdr:colOff>
      <xdr:row>60</xdr:row>
      <xdr:rowOff>64135</xdr:rowOff>
    </xdr:to>
    <xdr:graphicFrame macro="">
      <xdr:nvGraphicFramePr>
        <xdr:cNvPr id="6" name="Chart 5">
          <a:extLst>
            <a:ext uri="{FF2B5EF4-FFF2-40B4-BE49-F238E27FC236}">
              <a16:creationId xmlns:a16="http://schemas.microsoft.com/office/drawing/2014/main" id="{3A1A9C6B-E6DD-459C-A72F-42CDD8D19F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22</xdr:col>
      <xdr:colOff>802321</xdr:colOff>
      <xdr:row>27</xdr:row>
      <xdr:rowOff>161925</xdr:rowOff>
    </xdr:from>
    <xdr:to>
      <xdr:col>36</xdr:col>
      <xdr:colOff>420369</xdr:colOff>
      <xdr:row>55</xdr:row>
      <xdr:rowOff>43815</xdr:rowOff>
    </xdr:to>
    <xdr:graphicFrame macro="">
      <xdr:nvGraphicFramePr>
        <xdr:cNvPr id="2" name="Chart 1">
          <a:extLst>
            <a:ext uri="{FF2B5EF4-FFF2-40B4-BE49-F238E27FC236}">
              <a16:creationId xmlns:a16="http://schemas.microsoft.com/office/drawing/2014/main" id="{5A9C5335-E387-4EA7-94A6-7F0B39647F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22</xdr:col>
      <xdr:colOff>822960</xdr:colOff>
      <xdr:row>55</xdr:row>
      <xdr:rowOff>144780</xdr:rowOff>
    </xdr:from>
    <xdr:to>
      <xdr:col>36</xdr:col>
      <xdr:colOff>441008</xdr:colOff>
      <xdr:row>83</xdr:row>
      <xdr:rowOff>26670</xdr:rowOff>
    </xdr:to>
    <xdr:graphicFrame macro="">
      <xdr:nvGraphicFramePr>
        <xdr:cNvPr id="3" name="Chart 2">
          <a:extLst>
            <a:ext uri="{FF2B5EF4-FFF2-40B4-BE49-F238E27FC236}">
              <a16:creationId xmlns:a16="http://schemas.microsoft.com/office/drawing/2014/main" id="{6D262901-42D6-4E82-8A44-6E32E27AE9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20</xdr:col>
      <xdr:colOff>417511</xdr:colOff>
      <xdr:row>27</xdr:row>
      <xdr:rowOff>15875</xdr:rowOff>
    </xdr:from>
    <xdr:to>
      <xdr:col>34</xdr:col>
      <xdr:colOff>3174</xdr:colOff>
      <xdr:row>52</xdr:row>
      <xdr:rowOff>28575</xdr:rowOff>
    </xdr:to>
    <xdr:graphicFrame macro="">
      <xdr:nvGraphicFramePr>
        <xdr:cNvPr id="2" name="Chart 1">
          <a:extLst>
            <a:ext uri="{FF2B5EF4-FFF2-40B4-BE49-F238E27FC236}">
              <a16:creationId xmlns:a16="http://schemas.microsoft.com/office/drawing/2014/main" id="{142A0542-330B-41E3-BBDD-1231783A3E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0</xdr:colOff>
      <xdr:row>54</xdr:row>
      <xdr:rowOff>0</xdr:rowOff>
    </xdr:from>
    <xdr:to>
      <xdr:col>33</xdr:col>
      <xdr:colOff>225743</xdr:colOff>
      <xdr:row>79</xdr:row>
      <xdr:rowOff>12700</xdr:rowOff>
    </xdr:to>
    <xdr:graphicFrame macro="">
      <xdr:nvGraphicFramePr>
        <xdr:cNvPr id="3" name="Chart 2">
          <a:extLst>
            <a:ext uri="{FF2B5EF4-FFF2-40B4-BE49-F238E27FC236}">
              <a16:creationId xmlns:a16="http://schemas.microsoft.com/office/drawing/2014/main" id="{45E79248-2A97-4C80-8DA1-D1A856FFE5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13</xdr:col>
      <xdr:colOff>255586</xdr:colOff>
      <xdr:row>27</xdr:row>
      <xdr:rowOff>6350</xdr:rowOff>
    </xdr:from>
    <xdr:to>
      <xdr:col>26</xdr:col>
      <xdr:colOff>488949</xdr:colOff>
      <xdr:row>52</xdr:row>
      <xdr:rowOff>15875</xdr:rowOff>
    </xdr:to>
    <xdr:graphicFrame macro="">
      <xdr:nvGraphicFramePr>
        <xdr:cNvPr id="2" name="Chart 1">
          <a:extLst>
            <a:ext uri="{FF2B5EF4-FFF2-40B4-BE49-F238E27FC236}">
              <a16:creationId xmlns:a16="http://schemas.microsoft.com/office/drawing/2014/main" id="{523750A9-72AD-4F95-9416-A81CF6D566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13</xdr:col>
      <xdr:colOff>577531</xdr:colOff>
      <xdr:row>27</xdr:row>
      <xdr:rowOff>8255</xdr:rowOff>
    </xdr:from>
    <xdr:to>
      <xdr:col>27</xdr:col>
      <xdr:colOff>172719</xdr:colOff>
      <xdr:row>52</xdr:row>
      <xdr:rowOff>19685</xdr:rowOff>
    </xdr:to>
    <xdr:graphicFrame macro="">
      <xdr:nvGraphicFramePr>
        <xdr:cNvPr id="2" name="Chart 1">
          <a:extLst>
            <a:ext uri="{FF2B5EF4-FFF2-40B4-BE49-F238E27FC236}">
              <a16:creationId xmlns:a16="http://schemas.microsoft.com/office/drawing/2014/main" id="{38959DE0-7384-493E-8E2E-21EA6CF6D9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0</xdr:colOff>
      <xdr:row>53</xdr:row>
      <xdr:rowOff>0</xdr:rowOff>
    </xdr:from>
    <xdr:to>
      <xdr:col>27</xdr:col>
      <xdr:colOff>235268</xdr:colOff>
      <xdr:row>78</xdr:row>
      <xdr:rowOff>11430</xdr:rowOff>
    </xdr:to>
    <xdr:graphicFrame macro="">
      <xdr:nvGraphicFramePr>
        <xdr:cNvPr id="3" name="Chart 2">
          <a:extLst>
            <a:ext uri="{FF2B5EF4-FFF2-40B4-BE49-F238E27FC236}">
              <a16:creationId xmlns:a16="http://schemas.microsoft.com/office/drawing/2014/main" id="{500C9473-296A-4DE1-996B-54A146CA2F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17</xdr:col>
      <xdr:colOff>577531</xdr:colOff>
      <xdr:row>27</xdr:row>
      <xdr:rowOff>8255</xdr:rowOff>
    </xdr:from>
    <xdr:to>
      <xdr:col>31</xdr:col>
      <xdr:colOff>172719</xdr:colOff>
      <xdr:row>52</xdr:row>
      <xdr:rowOff>19685</xdr:rowOff>
    </xdr:to>
    <xdr:graphicFrame macro="">
      <xdr:nvGraphicFramePr>
        <xdr:cNvPr id="2" name="Chart 1">
          <a:extLst>
            <a:ext uri="{FF2B5EF4-FFF2-40B4-BE49-F238E27FC236}">
              <a16:creationId xmlns:a16="http://schemas.microsoft.com/office/drawing/2014/main" id="{62A5DA29-74E4-4919-9F63-C65738E597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57151</xdr:colOff>
      <xdr:row>20</xdr:row>
      <xdr:rowOff>19050</xdr:rowOff>
    </xdr:from>
    <xdr:to>
      <xdr:col>5</xdr:col>
      <xdr:colOff>1162050</xdr:colOff>
      <xdr:row>39</xdr:row>
      <xdr:rowOff>66674</xdr:rowOff>
    </xdr:to>
    <xdr:graphicFrame macro="">
      <xdr:nvGraphicFramePr>
        <xdr:cNvPr id="5" name="Chart 4">
          <a:extLst>
            <a:ext uri="{FF2B5EF4-FFF2-40B4-BE49-F238E27FC236}">
              <a16:creationId xmlns:a16="http://schemas.microsoft.com/office/drawing/2014/main" id="{67590AFF-BB6F-4DED-9880-DF110456E8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171449</xdr:colOff>
      <xdr:row>20</xdr:row>
      <xdr:rowOff>1</xdr:rowOff>
    </xdr:from>
    <xdr:to>
      <xdr:col>11</xdr:col>
      <xdr:colOff>1038225</xdr:colOff>
      <xdr:row>39</xdr:row>
      <xdr:rowOff>133350</xdr:rowOff>
    </xdr:to>
    <xdr:graphicFrame macro="">
      <xdr:nvGraphicFramePr>
        <xdr:cNvPr id="6" name="Chart 5">
          <a:extLst>
            <a:ext uri="{FF2B5EF4-FFF2-40B4-BE49-F238E27FC236}">
              <a16:creationId xmlns:a16="http://schemas.microsoft.com/office/drawing/2014/main" id="{2D0E956E-CA50-4E8E-9AC9-5C37805A2F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47625</xdr:colOff>
      <xdr:row>20</xdr:row>
      <xdr:rowOff>0</xdr:rowOff>
    </xdr:from>
    <xdr:to>
      <xdr:col>17</xdr:col>
      <xdr:colOff>1257300</xdr:colOff>
      <xdr:row>39</xdr:row>
      <xdr:rowOff>85725</xdr:rowOff>
    </xdr:to>
    <xdr:graphicFrame macro="">
      <xdr:nvGraphicFramePr>
        <xdr:cNvPr id="7" name="Chart 6">
          <a:extLst>
            <a:ext uri="{FF2B5EF4-FFF2-40B4-BE49-F238E27FC236}">
              <a16:creationId xmlns:a16="http://schemas.microsoft.com/office/drawing/2014/main" id="{93C8B755-117E-4AC4-8DC7-99FA99E081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18</xdr:col>
      <xdr:colOff>47625</xdr:colOff>
      <xdr:row>20</xdr:row>
      <xdr:rowOff>0</xdr:rowOff>
    </xdr:from>
    <xdr:to>
      <xdr:col>23</xdr:col>
      <xdr:colOff>1257300</xdr:colOff>
      <xdr:row>39</xdr:row>
      <xdr:rowOff>85725</xdr:rowOff>
    </xdr:to>
    <xdr:graphicFrame macro="">
      <xdr:nvGraphicFramePr>
        <xdr:cNvPr id="2" name="Chart 1">
          <a:extLst>
            <a:ext uri="{FF2B5EF4-FFF2-40B4-BE49-F238E27FC236}">
              <a16:creationId xmlns:a16="http://schemas.microsoft.com/office/drawing/2014/main" id="{F8422D94-C322-4E78-AC03-E00CEFE670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21</xdr:col>
      <xdr:colOff>528636</xdr:colOff>
      <xdr:row>3</xdr:row>
      <xdr:rowOff>9525</xdr:rowOff>
    </xdr:from>
    <xdr:to>
      <xdr:col>35</xdr:col>
      <xdr:colOff>352424</xdr:colOff>
      <xdr:row>28</xdr:row>
      <xdr:rowOff>19050</xdr:rowOff>
    </xdr:to>
    <xdr:graphicFrame macro="">
      <xdr:nvGraphicFramePr>
        <xdr:cNvPr id="2" name="Chart 1">
          <a:extLst>
            <a:ext uri="{FF2B5EF4-FFF2-40B4-BE49-F238E27FC236}">
              <a16:creationId xmlns:a16="http://schemas.microsoft.com/office/drawing/2014/main" id="{42F9CC11-B6D9-4D70-863D-8AAC065173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21</xdr:col>
      <xdr:colOff>514350</xdr:colOff>
      <xdr:row>28</xdr:row>
      <xdr:rowOff>114300</xdr:rowOff>
    </xdr:from>
    <xdr:to>
      <xdr:col>35</xdr:col>
      <xdr:colOff>332423</xdr:colOff>
      <xdr:row>53</xdr:row>
      <xdr:rowOff>125730</xdr:rowOff>
    </xdr:to>
    <xdr:graphicFrame macro="">
      <xdr:nvGraphicFramePr>
        <xdr:cNvPr id="3" name="Chart 2">
          <a:extLst>
            <a:ext uri="{FF2B5EF4-FFF2-40B4-BE49-F238E27FC236}">
              <a16:creationId xmlns:a16="http://schemas.microsoft.com/office/drawing/2014/main" id="{249CF0FB-D390-4FAB-83DE-4B63ECED55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21</xdr:col>
      <xdr:colOff>510540</xdr:colOff>
      <xdr:row>54</xdr:row>
      <xdr:rowOff>85725</xdr:rowOff>
    </xdr:from>
    <xdr:to>
      <xdr:col>35</xdr:col>
      <xdr:colOff>332423</xdr:colOff>
      <xdr:row>79</xdr:row>
      <xdr:rowOff>100965</xdr:rowOff>
    </xdr:to>
    <xdr:graphicFrame macro="">
      <xdr:nvGraphicFramePr>
        <xdr:cNvPr id="4" name="Chart 3">
          <a:extLst>
            <a:ext uri="{FF2B5EF4-FFF2-40B4-BE49-F238E27FC236}">
              <a16:creationId xmlns:a16="http://schemas.microsoft.com/office/drawing/2014/main" id="{FFCE6483-106B-4473-AFC6-BEC0D38764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20</xdr:col>
      <xdr:colOff>141285</xdr:colOff>
      <xdr:row>2</xdr:row>
      <xdr:rowOff>0</xdr:rowOff>
    </xdr:from>
    <xdr:to>
      <xdr:col>34</xdr:col>
      <xdr:colOff>590549</xdr:colOff>
      <xdr:row>27</xdr:row>
      <xdr:rowOff>6350</xdr:rowOff>
    </xdr:to>
    <xdr:graphicFrame macro="">
      <xdr:nvGraphicFramePr>
        <xdr:cNvPr id="2" name="Chart 1">
          <a:extLst>
            <a:ext uri="{FF2B5EF4-FFF2-40B4-BE49-F238E27FC236}">
              <a16:creationId xmlns:a16="http://schemas.microsoft.com/office/drawing/2014/main" id="{E34FA056-E3C1-4B9E-BDD3-ABE97F8A0E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38100</xdr:colOff>
      <xdr:row>28</xdr:row>
      <xdr:rowOff>0</xdr:rowOff>
    </xdr:from>
    <xdr:to>
      <xdr:col>34</xdr:col>
      <xdr:colOff>493079</xdr:colOff>
      <xdr:row>53</xdr:row>
      <xdr:rowOff>10160</xdr:rowOff>
    </xdr:to>
    <xdr:graphicFrame macro="">
      <xdr:nvGraphicFramePr>
        <xdr:cNvPr id="3" name="Chart 2">
          <a:extLst>
            <a:ext uri="{FF2B5EF4-FFF2-40B4-BE49-F238E27FC236}">
              <a16:creationId xmlns:a16="http://schemas.microsoft.com/office/drawing/2014/main" id="{238ADCB4-6142-4541-B72E-DCB0A7DC0B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26</xdr:col>
      <xdr:colOff>10476</xdr:colOff>
      <xdr:row>4</xdr:row>
      <xdr:rowOff>30480</xdr:rowOff>
    </xdr:from>
    <xdr:to>
      <xdr:col>39</xdr:col>
      <xdr:colOff>190499</xdr:colOff>
      <xdr:row>29</xdr:row>
      <xdr:rowOff>36195</xdr:rowOff>
    </xdr:to>
    <xdr:graphicFrame macro="">
      <xdr:nvGraphicFramePr>
        <xdr:cNvPr id="2" name="Chart 1">
          <a:extLst>
            <a:ext uri="{FF2B5EF4-FFF2-40B4-BE49-F238E27FC236}">
              <a16:creationId xmlns:a16="http://schemas.microsoft.com/office/drawing/2014/main" id="{84B3CE61-437C-44EB-9BA7-86F666E600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26</xdr:col>
      <xdr:colOff>0</xdr:colOff>
      <xdr:row>31</xdr:row>
      <xdr:rowOff>0</xdr:rowOff>
    </xdr:from>
    <xdr:to>
      <xdr:col>39</xdr:col>
      <xdr:colOff>178118</xdr:colOff>
      <xdr:row>56</xdr:row>
      <xdr:rowOff>7620</xdr:rowOff>
    </xdr:to>
    <xdr:graphicFrame macro="">
      <xdr:nvGraphicFramePr>
        <xdr:cNvPr id="3" name="Chart 2">
          <a:extLst>
            <a:ext uri="{FF2B5EF4-FFF2-40B4-BE49-F238E27FC236}">
              <a16:creationId xmlns:a16="http://schemas.microsoft.com/office/drawing/2014/main" id="{AD05A487-C8DE-48F9-9CB7-D7E635AB01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25</xdr:col>
      <xdr:colOff>528636</xdr:colOff>
      <xdr:row>3</xdr:row>
      <xdr:rowOff>9525</xdr:rowOff>
    </xdr:from>
    <xdr:to>
      <xdr:col>39</xdr:col>
      <xdr:colOff>352424</xdr:colOff>
      <xdr:row>28</xdr:row>
      <xdr:rowOff>19050</xdr:rowOff>
    </xdr:to>
    <xdr:graphicFrame macro="">
      <xdr:nvGraphicFramePr>
        <xdr:cNvPr id="2" name="Chart 1">
          <a:extLst>
            <a:ext uri="{FF2B5EF4-FFF2-40B4-BE49-F238E27FC236}">
              <a16:creationId xmlns:a16="http://schemas.microsoft.com/office/drawing/2014/main" id="{61C2FF30-F7B1-4067-BF48-D6F16D114F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20</xdr:col>
      <xdr:colOff>141285</xdr:colOff>
      <xdr:row>2</xdr:row>
      <xdr:rowOff>0</xdr:rowOff>
    </xdr:from>
    <xdr:to>
      <xdr:col>34</xdr:col>
      <xdr:colOff>590549</xdr:colOff>
      <xdr:row>27</xdr:row>
      <xdr:rowOff>6350</xdr:rowOff>
    </xdr:to>
    <xdr:graphicFrame macro="">
      <xdr:nvGraphicFramePr>
        <xdr:cNvPr id="2" name="Chart 1">
          <a:extLst>
            <a:ext uri="{FF2B5EF4-FFF2-40B4-BE49-F238E27FC236}">
              <a16:creationId xmlns:a16="http://schemas.microsoft.com/office/drawing/2014/main" id="{1169C4AB-0AAA-490A-85DF-1F82CBBBA3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33</xdr:col>
      <xdr:colOff>229551</xdr:colOff>
      <xdr:row>1</xdr:row>
      <xdr:rowOff>36195</xdr:rowOff>
    </xdr:from>
    <xdr:to>
      <xdr:col>47</xdr:col>
      <xdr:colOff>295274</xdr:colOff>
      <xdr:row>26</xdr:row>
      <xdr:rowOff>40005</xdr:rowOff>
    </xdr:to>
    <xdr:graphicFrame macro="">
      <xdr:nvGraphicFramePr>
        <xdr:cNvPr id="2" name="Chart 1">
          <a:extLst>
            <a:ext uri="{FF2B5EF4-FFF2-40B4-BE49-F238E27FC236}">
              <a16:creationId xmlns:a16="http://schemas.microsoft.com/office/drawing/2014/main" id="{CE1ED790-0326-418E-9571-FE68985A45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33</xdr:col>
      <xdr:colOff>228600</xdr:colOff>
      <xdr:row>26</xdr:row>
      <xdr:rowOff>114300</xdr:rowOff>
    </xdr:from>
    <xdr:to>
      <xdr:col>47</xdr:col>
      <xdr:colOff>288608</xdr:colOff>
      <xdr:row>51</xdr:row>
      <xdr:rowOff>120015</xdr:rowOff>
    </xdr:to>
    <xdr:graphicFrame macro="">
      <xdr:nvGraphicFramePr>
        <xdr:cNvPr id="4" name="Chart 3">
          <a:extLst>
            <a:ext uri="{FF2B5EF4-FFF2-40B4-BE49-F238E27FC236}">
              <a16:creationId xmlns:a16="http://schemas.microsoft.com/office/drawing/2014/main" id="{15DA980A-AFF4-4BE3-B5DD-962559A08D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1</xdr:col>
      <xdr:colOff>122236</xdr:colOff>
      <xdr:row>17</xdr:row>
      <xdr:rowOff>104774</xdr:rowOff>
    </xdr:from>
    <xdr:to>
      <xdr:col>9</xdr:col>
      <xdr:colOff>320040</xdr:colOff>
      <xdr:row>39</xdr:row>
      <xdr:rowOff>31749</xdr:rowOff>
    </xdr:to>
    <xdr:graphicFrame macro="">
      <xdr:nvGraphicFramePr>
        <xdr:cNvPr id="2" name="Chart 1">
          <a:extLst>
            <a:ext uri="{FF2B5EF4-FFF2-40B4-BE49-F238E27FC236}">
              <a16:creationId xmlns:a16="http://schemas.microsoft.com/office/drawing/2014/main" id="{77EC5470-2573-4812-8C56-A375D485568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205740</xdr:colOff>
      <xdr:row>17</xdr:row>
      <xdr:rowOff>48260</xdr:rowOff>
    </xdr:from>
    <xdr:to>
      <xdr:col>19</xdr:col>
      <xdr:colOff>899160</xdr:colOff>
      <xdr:row>38</xdr:row>
      <xdr:rowOff>127635</xdr:rowOff>
    </xdr:to>
    <xdr:graphicFrame macro="">
      <xdr:nvGraphicFramePr>
        <xdr:cNvPr id="3" name="Chart 2">
          <a:extLst>
            <a:ext uri="{FF2B5EF4-FFF2-40B4-BE49-F238E27FC236}">
              <a16:creationId xmlns:a16="http://schemas.microsoft.com/office/drawing/2014/main" id="{B207334A-4535-49F6-B963-9DF4E61F93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21</xdr:col>
      <xdr:colOff>122235</xdr:colOff>
      <xdr:row>17</xdr:row>
      <xdr:rowOff>104774</xdr:rowOff>
    </xdr:from>
    <xdr:to>
      <xdr:col>30</xdr:col>
      <xdr:colOff>31749</xdr:colOff>
      <xdr:row>37</xdr:row>
      <xdr:rowOff>133349</xdr:rowOff>
    </xdr:to>
    <xdr:graphicFrame macro="">
      <xdr:nvGraphicFramePr>
        <xdr:cNvPr id="4" name="Chart 3">
          <a:extLst>
            <a:ext uri="{FF2B5EF4-FFF2-40B4-BE49-F238E27FC236}">
              <a16:creationId xmlns:a16="http://schemas.microsoft.com/office/drawing/2014/main" id="{C179CB86-EF05-4293-9BF9-C3CE5E30A4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30</xdr:col>
      <xdr:colOff>173990</xdr:colOff>
      <xdr:row>17</xdr:row>
      <xdr:rowOff>76200</xdr:rowOff>
    </xdr:from>
    <xdr:to>
      <xdr:col>36</xdr:col>
      <xdr:colOff>381000</xdr:colOff>
      <xdr:row>35</xdr:row>
      <xdr:rowOff>38100</xdr:rowOff>
    </xdr:to>
    <xdr:graphicFrame macro="">
      <xdr:nvGraphicFramePr>
        <xdr:cNvPr id="5" name="Chart 4">
          <a:extLst>
            <a:ext uri="{FF2B5EF4-FFF2-40B4-BE49-F238E27FC236}">
              <a16:creationId xmlns:a16="http://schemas.microsoft.com/office/drawing/2014/main" id="{C1D7B650-B93B-4A6B-BC1A-C8DC8DAACA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30</xdr:col>
      <xdr:colOff>130809</xdr:colOff>
      <xdr:row>36</xdr:row>
      <xdr:rowOff>91440</xdr:rowOff>
    </xdr:from>
    <xdr:to>
      <xdr:col>36</xdr:col>
      <xdr:colOff>457201</xdr:colOff>
      <xdr:row>50</xdr:row>
      <xdr:rowOff>11430</xdr:rowOff>
    </xdr:to>
    <xdr:graphicFrame macro="">
      <xdr:nvGraphicFramePr>
        <xdr:cNvPr id="6" name="Chart 5">
          <a:extLst>
            <a:ext uri="{FF2B5EF4-FFF2-40B4-BE49-F238E27FC236}">
              <a16:creationId xmlns:a16="http://schemas.microsoft.com/office/drawing/2014/main" id="{AD65ED44-DEA9-4369-A6E4-F18A7F7798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47</xdr:col>
      <xdr:colOff>76200</xdr:colOff>
      <xdr:row>16</xdr:row>
      <xdr:rowOff>120650</xdr:rowOff>
    </xdr:from>
    <xdr:to>
      <xdr:col>54</xdr:col>
      <xdr:colOff>301625</xdr:colOff>
      <xdr:row>34</xdr:row>
      <xdr:rowOff>149225</xdr:rowOff>
    </xdr:to>
    <xdr:graphicFrame macro="">
      <xdr:nvGraphicFramePr>
        <xdr:cNvPr id="7" name="Chart 6">
          <a:extLst>
            <a:ext uri="{FF2B5EF4-FFF2-40B4-BE49-F238E27FC236}">
              <a16:creationId xmlns:a16="http://schemas.microsoft.com/office/drawing/2014/main" id="{44E4D4AA-714F-4FCE-BEC7-D02D6565B8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139700</xdr:colOff>
      <xdr:row>36</xdr:row>
      <xdr:rowOff>66675</xdr:rowOff>
    </xdr:from>
    <xdr:to>
      <xdr:col>54</xdr:col>
      <xdr:colOff>438150</xdr:colOff>
      <xdr:row>50</xdr:row>
      <xdr:rowOff>66675</xdr:rowOff>
    </xdr:to>
    <xdr:graphicFrame macro="">
      <xdr:nvGraphicFramePr>
        <xdr:cNvPr id="8" name="Chart 7">
          <a:extLst>
            <a:ext uri="{FF2B5EF4-FFF2-40B4-BE49-F238E27FC236}">
              <a16:creationId xmlns:a16="http://schemas.microsoft.com/office/drawing/2014/main" id="{E7106142-F296-4EFA-ACBE-ABB7D55E1D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xdr:col>
      <xdr:colOff>122236</xdr:colOff>
      <xdr:row>57</xdr:row>
      <xdr:rowOff>104774</xdr:rowOff>
    </xdr:from>
    <xdr:to>
      <xdr:col>9</xdr:col>
      <xdr:colOff>781050</xdr:colOff>
      <xdr:row>79</xdr:row>
      <xdr:rowOff>31749</xdr:rowOff>
    </xdr:to>
    <xdr:graphicFrame macro="">
      <xdr:nvGraphicFramePr>
        <xdr:cNvPr id="9" name="Chart 8">
          <a:extLst>
            <a:ext uri="{FF2B5EF4-FFF2-40B4-BE49-F238E27FC236}">
              <a16:creationId xmlns:a16="http://schemas.microsoft.com/office/drawing/2014/main" id="{39ACA521-3A13-442F-BB11-8D015FE586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228600</xdr:colOff>
      <xdr:row>57</xdr:row>
      <xdr:rowOff>63500</xdr:rowOff>
    </xdr:from>
    <xdr:to>
      <xdr:col>20</xdr:col>
      <xdr:colOff>196850</xdr:colOff>
      <xdr:row>78</xdr:row>
      <xdr:rowOff>142875</xdr:rowOff>
    </xdr:to>
    <xdr:graphicFrame macro="">
      <xdr:nvGraphicFramePr>
        <xdr:cNvPr id="10" name="Chart 9">
          <a:extLst>
            <a:ext uri="{FF2B5EF4-FFF2-40B4-BE49-F238E27FC236}">
              <a16:creationId xmlns:a16="http://schemas.microsoft.com/office/drawing/2014/main" id="{18F3309F-B253-4BF7-AF29-430166367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21</xdr:col>
      <xdr:colOff>122235</xdr:colOff>
      <xdr:row>57</xdr:row>
      <xdr:rowOff>104774</xdr:rowOff>
    </xdr:from>
    <xdr:to>
      <xdr:col>30</xdr:col>
      <xdr:colOff>31749</xdr:colOff>
      <xdr:row>77</xdr:row>
      <xdr:rowOff>133349</xdr:rowOff>
    </xdr:to>
    <xdr:graphicFrame macro="">
      <xdr:nvGraphicFramePr>
        <xdr:cNvPr id="11" name="Chart 10">
          <a:extLst>
            <a:ext uri="{FF2B5EF4-FFF2-40B4-BE49-F238E27FC236}">
              <a16:creationId xmlns:a16="http://schemas.microsoft.com/office/drawing/2014/main" id="{6E27C60D-1488-456F-A928-ABF86B42AC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37</xdr:col>
      <xdr:colOff>173990</xdr:colOff>
      <xdr:row>17</xdr:row>
      <xdr:rowOff>76200</xdr:rowOff>
    </xdr:from>
    <xdr:to>
      <xdr:col>43</xdr:col>
      <xdr:colOff>381000</xdr:colOff>
      <xdr:row>35</xdr:row>
      <xdr:rowOff>38100</xdr:rowOff>
    </xdr:to>
    <xdr:graphicFrame macro="">
      <xdr:nvGraphicFramePr>
        <xdr:cNvPr id="12" name="Chart 11">
          <a:extLst>
            <a:ext uri="{FF2B5EF4-FFF2-40B4-BE49-F238E27FC236}">
              <a16:creationId xmlns:a16="http://schemas.microsoft.com/office/drawing/2014/main" id="{817ABAF2-CB72-49A6-8DC3-1ADE09A61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37</xdr:col>
      <xdr:colOff>130809</xdr:colOff>
      <xdr:row>36</xdr:row>
      <xdr:rowOff>91440</xdr:rowOff>
    </xdr:from>
    <xdr:to>
      <xdr:col>43</xdr:col>
      <xdr:colOff>457201</xdr:colOff>
      <xdr:row>50</xdr:row>
      <xdr:rowOff>11430</xdr:rowOff>
    </xdr:to>
    <xdr:graphicFrame macro="">
      <xdr:nvGraphicFramePr>
        <xdr:cNvPr id="13" name="Chart 12">
          <a:extLst>
            <a:ext uri="{FF2B5EF4-FFF2-40B4-BE49-F238E27FC236}">
              <a16:creationId xmlns:a16="http://schemas.microsoft.com/office/drawing/2014/main" id="{DC0645B9-3C21-439D-A463-1A9C7D7DC6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147637</xdr:colOff>
      <xdr:row>27</xdr:row>
      <xdr:rowOff>128587</xdr:rowOff>
    </xdr:from>
    <xdr:to>
      <xdr:col>8</xdr:col>
      <xdr:colOff>395287</xdr:colOff>
      <xdr:row>44</xdr:row>
      <xdr:rowOff>119062</xdr:rowOff>
    </xdr:to>
    <xdr:graphicFrame macro="">
      <xdr:nvGraphicFramePr>
        <xdr:cNvPr id="9" name="Chart 1">
          <a:extLst>
            <a:ext uri="{FF2B5EF4-FFF2-40B4-BE49-F238E27FC236}">
              <a16:creationId xmlns:a16="http://schemas.microsoft.com/office/drawing/2014/main" id="{45864834-8FA9-40BB-B627-5873514A765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238125</xdr:colOff>
      <xdr:row>27</xdr:row>
      <xdr:rowOff>114300</xdr:rowOff>
    </xdr:from>
    <xdr:to>
      <xdr:col>16</xdr:col>
      <xdr:colOff>352425</xdr:colOff>
      <xdr:row>44</xdr:row>
      <xdr:rowOff>104775</xdr:rowOff>
    </xdr:to>
    <xdr:graphicFrame macro="">
      <xdr:nvGraphicFramePr>
        <xdr:cNvPr id="6" name="Chart 2">
          <a:extLst>
            <a:ext uri="{FF2B5EF4-FFF2-40B4-BE49-F238E27FC236}">
              <a16:creationId xmlns:a16="http://schemas.microsoft.com/office/drawing/2014/main" id="{FC1B1688-285F-41BE-B46D-6BD238C811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17</xdr:col>
      <xdr:colOff>238125</xdr:colOff>
      <xdr:row>27</xdr:row>
      <xdr:rowOff>114300</xdr:rowOff>
    </xdr:from>
    <xdr:to>
      <xdr:col>24</xdr:col>
      <xdr:colOff>352425</xdr:colOff>
      <xdr:row>44</xdr:row>
      <xdr:rowOff>104775</xdr:rowOff>
    </xdr:to>
    <xdr:graphicFrame macro="">
      <xdr:nvGraphicFramePr>
        <xdr:cNvPr id="10" name="Chart 2">
          <a:extLst>
            <a:ext uri="{FF2B5EF4-FFF2-40B4-BE49-F238E27FC236}">
              <a16:creationId xmlns:a16="http://schemas.microsoft.com/office/drawing/2014/main" id="{67D7644B-8DA4-4BF5-94F1-9E215785FB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0</xdr:col>
      <xdr:colOff>147637</xdr:colOff>
      <xdr:row>37</xdr:row>
      <xdr:rowOff>128587</xdr:rowOff>
    </xdr:from>
    <xdr:to>
      <xdr:col>8</xdr:col>
      <xdr:colOff>395287</xdr:colOff>
      <xdr:row>54</xdr:row>
      <xdr:rowOff>119062</xdr:rowOff>
    </xdr:to>
    <xdr:graphicFrame macro="">
      <xdr:nvGraphicFramePr>
        <xdr:cNvPr id="8" name="Chart 1">
          <a:extLst>
            <a:ext uri="{FF2B5EF4-FFF2-40B4-BE49-F238E27FC236}">
              <a16:creationId xmlns:a16="http://schemas.microsoft.com/office/drawing/2014/main" id="{1AD5ACD0-B008-4FED-9485-281759ECE6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240030</xdr:colOff>
      <xdr:row>37</xdr:row>
      <xdr:rowOff>114300</xdr:rowOff>
    </xdr:from>
    <xdr:to>
      <xdr:col>15</xdr:col>
      <xdr:colOff>561975</xdr:colOff>
      <xdr:row>54</xdr:row>
      <xdr:rowOff>102870</xdr:rowOff>
    </xdr:to>
    <xdr:graphicFrame macro="">
      <xdr:nvGraphicFramePr>
        <xdr:cNvPr id="7" name="Chart 2">
          <a:extLst>
            <a:ext uri="{FF2B5EF4-FFF2-40B4-BE49-F238E27FC236}">
              <a16:creationId xmlns:a16="http://schemas.microsoft.com/office/drawing/2014/main" id="{28E99C93-317F-43A6-BFF7-D169D5EDA9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238125</xdr:colOff>
      <xdr:row>37</xdr:row>
      <xdr:rowOff>114300</xdr:rowOff>
    </xdr:from>
    <xdr:to>
      <xdr:col>23</xdr:col>
      <xdr:colOff>352425</xdr:colOff>
      <xdr:row>54</xdr:row>
      <xdr:rowOff>104775</xdr:rowOff>
    </xdr:to>
    <xdr:graphicFrame macro="">
      <xdr:nvGraphicFramePr>
        <xdr:cNvPr id="9" name="Chart 2">
          <a:extLst>
            <a:ext uri="{FF2B5EF4-FFF2-40B4-BE49-F238E27FC236}">
              <a16:creationId xmlns:a16="http://schemas.microsoft.com/office/drawing/2014/main" id="{F4123F16-BC14-4F91-9300-9006DF67A4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24</xdr:col>
      <xdr:colOff>296861</xdr:colOff>
      <xdr:row>1</xdr:row>
      <xdr:rowOff>158750</xdr:rowOff>
    </xdr:from>
    <xdr:to>
      <xdr:col>34</xdr:col>
      <xdr:colOff>238124</xdr:colOff>
      <xdr:row>22</xdr:row>
      <xdr:rowOff>66675</xdr:rowOff>
    </xdr:to>
    <xdr:graphicFrame macro="">
      <xdr:nvGraphicFramePr>
        <xdr:cNvPr id="2" name="Chart 1">
          <a:extLst>
            <a:ext uri="{FF2B5EF4-FFF2-40B4-BE49-F238E27FC236}">
              <a16:creationId xmlns:a16="http://schemas.microsoft.com/office/drawing/2014/main" id="{F22CAA7B-3B25-ECDC-622A-B2CE23FA90A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24</xdr:col>
      <xdr:colOff>323850</xdr:colOff>
      <xdr:row>23</xdr:row>
      <xdr:rowOff>38100</xdr:rowOff>
    </xdr:from>
    <xdr:to>
      <xdr:col>34</xdr:col>
      <xdr:colOff>268923</xdr:colOff>
      <xdr:row>44</xdr:row>
      <xdr:rowOff>136525</xdr:rowOff>
    </xdr:to>
    <xdr:graphicFrame macro="">
      <xdr:nvGraphicFramePr>
        <xdr:cNvPr id="3" name="Chart 2">
          <a:extLst>
            <a:ext uri="{FF2B5EF4-FFF2-40B4-BE49-F238E27FC236}">
              <a16:creationId xmlns:a16="http://schemas.microsoft.com/office/drawing/2014/main" id="{FA2ECFE4-85B8-48EB-8D39-57C7D36E9A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21</xdr:col>
      <xdr:colOff>296861</xdr:colOff>
      <xdr:row>1</xdr:row>
      <xdr:rowOff>158750</xdr:rowOff>
    </xdr:from>
    <xdr:to>
      <xdr:col>31</xdr:col>
      <xdr:colOff>238124</xdr:colOff>
      <xdr:row>22</xdr:row>
      <xdr:rowOff>66675</xdr:rowOff>
    </xdr:to>
    <xdr:graphicFrame macro="">
      <xdr:nvGraphicFramePr>
        <xdr:cNvPr id="2" name="Chart 1">
          <a:extLst>
            <a:ext uri="{FF2B5EF4-FFF2-40B4-BE49-F238E27FC236}">
              <a16:creationId xmlns:a16="http://schemas.microsoft.com/office/drawing/2014/main" id="{6F221FF9-E689-4854-992D-1E868A76E6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3.xml.rels><?xml version="1.0" encoding="UTF-8" standalone="yes"?>
<Relationships xmlns="http://schemas.openxmlformats.org/package/2006/relationships"><Relationship Id="rId1" Type="http://schemas.openxmlformats.org/officeDocument/2006/relationships/hyperlink" Target="https://council.cleanairpartnership.org/wp-content/uploads/2021/11/2-21-050-EV-Charging-Performance-Requirements-in-GTHA.pdf"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s://oee.nrcan.gc.ca/pml-lmp/index.cfm?language_langue=en&amp;action=app.search-recherche&amp;appliance=ASHP1_GH&amp;_gl=1*22c7uc*_ga*MTkyNTkxMzczNi4xNjg5MDg1ODA2*_ga_C2N57Y7DX5*MTcxNTM1MDU3Ni40My4xLjE3MTUzNTA1ODAuMC4wLjA." TargetMode="Externa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6.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7.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1B06D-503E-4C72-949E-EE5D63A5E96C}">
  <sheetPr codeName="Sheet3">
    <tabColor rgb="FFFF0000"/>
  </sheetPr>
  <dimension ref="B1:R63"/>
  <sheetViews>
    <sheetView workbookViewId="0">
      <selection activeCell="G6" sqref="G6"/>
    </sheetView>
  </sheetViews>
  <sheetFormatPr defaultColWidth="9.1640625" defaultRowHeight="13.15"/>
  <cols>
    <col min="1" max="1" width="3" style="39" customWidth="1"/>
    <col min="2" max="2" width="25.5" style="39" bestFit="1" customWidth="1"/>
    <col min="3" max="3" width="16.83203125" style="39" bestFit="1" customWidth="1"/>
    <col min="4" max="4" width="13.83203125" style="39" bestFit="1" customWidth="1"/>
    <col min="5" max="5" width="15" style="39" bestFit="1" customWidth="1"/>
    <col min="6" max="6" width="13.83203125" style="39" bestFit="1" customWidth="1"/>
    <col min="7" max="7" width="16.1640625" style="39" bestFit="1" customWidth="1"/>
    <col min="8" max="8" width="15.6640625" style="39" bestFit="1" customWidth="1"/>
    <col min="9" max="9" width="13.83203125" style="39" bestFit="1" customWidth="1"/>
    <col min="10" max="10" width="14.33203125" style="39" bestFit="1" customWidth="1"/>
    <col min="11" max="11" width="14.33203125" style="39" customWidth="1"/>
    <col min="12" max="12" width="15" style="39" customWidth="1"/>
    <col min="13" max="13" width="15.6640625" style="39" customWidth="1"/>
    <col min="14" max="14" width="15.83203125" style="39" customWidth="1"/>
    <col min="15" max="15" width="10.83203125" style="39" bestFit="1" customWidth="1"/>
    <col min="16" max="16384" width="9.1640625" style="39"/>
  </cols>
  <sheetData>
    <row r="1" spans="2:18" ht="16.149999999999999" thickBot="1">
      <c r="B1" s="57" t="s">
        <v>0</v>
      </c>
      <c r="C1" s="229"/>
    </row>
    <row r="2" spans="2:18" ht="26.45">
      <c r="B2" s="230">
        <v>2027</v>
      </c>
      <c r="C2" s="231" t="s">
        <v>1</v>
      </c>
      <c r="D2" s="231" t="s">
        <v>2</v>
      </c>
      <c r="E2" s="232" t="s">
        <v>3</v>
      </c>
    </row>
    <row r="3" spans="2:18">
      <c r="B3" s="60" t="str">
        <f t="shared" ref="B3:B8" si="0">B30</f>
        <v>Residential</v>
      </c>
      <c r="C3" s="40">
        <f t="shared" ref="C3:C8" ca="1" si="1">N13</f>
        <v>92832140.363369152</v>
      </c>
      <c r="D3" s="40"/>
      <c r="E3" s="59">
        <f t="shared" ref="E3:E8" ca="1" si="2">N30</f>
        <v>10599.533931725675</v>
      </c>
    </row>
    <row r="4" spans="2:18">
      <c r="B4" s="60" t="str">
        <f t="shared" si="0"/>
        <v>GS &lt; 50</v>
      </c>
      <c r="C4" s="40">
        <f t="shared" ca="1" si="1"/>
        <v>30243420.199681815</v>
      </c>
      <c r="D4" s="40"/>
      <c r="E4" s="59">
        <f t="shared" ca="1" si="2"/>
        <v>1267.18536428947</v>
      </c>
      <c r="H4" s="218"/>
    </row>
    <row r="5" spans="2:18">
      <c r="B5" s="60" t="str">
        <f t="shared" si="0"/>
        <v>GS &gt; 50</v>
      </c>
      <c r="C5" s="40">
        <f t="shared" ca="1" si="1"/>
        <v>64938558.822214648</v>
      </c>
      <c r="D5" s="40">
        <f ca="1">N23</f>
        <v>196084.63819244891</v>
      </c>
      <c r="E5" s="59">
        <f t="shared" ca="1" si="2"/>
        <v>132.82234198416529</v>
      </c>
    </row>
    <row r="6" spans="2:18">
      <c r="B6" s="60" t="str">
        <f t="shared" si="0"/>
        <v>Street Light</v>
      </c>
      <c r="C6" s="40">
        <f t="shared" ca="1" si="1"/>
        <v>1016551.0227896626</v>
      </c>
      <c r="D6" s="40">
        <f ca="1">N24</f>
        <v>2837.2200767166055</v>
      </c>
      <c r="E6" s="59">
        <f t="shared" ca="1" si="2"/>
        <v>2948.3028425181169</v>
      </c>
    </row>
    <row r="7" spans="2:18">
      <c r="B7" s="60" t="str">
        <f t="shared" si="0"/>
        <v>Sentinel Light</v>
      </c>
      <c r="C7" s="40">
        <f t="shared" ca="1" si="1"/>
        <v>149812.20333023078</v>
      </c>
      <c r="D7" s="40">
        <f ca="1">N25</f>
        <v>414.87250768175403</v>
      </c>
      <c r="E7" s="59">
        <f t="shared" ca="1" si="2"/>
        <v>175.85432333854411</v>
      </c>
    </row>
    <row r="8" spans="2:18">
      <c r="B8" s="60" t="str">
        <f t="shared" si="0"/>
        <v>USL</v>
      </c>
      <c r="C8" s="40">
        <f t="shared" ca="1" si="1"/>
        <v>598467.08981554129</v>
      </c>
      <c r="D8" s="40"/>
      <c r="E8" s="59">
        <f t="shared" ca="1" si="2"/>
        <v>19</v>
      </c>
    </row>
    <row r="9" spans="2:18" ht="13.9" thickBot="1">
      <c r="B9" s="233" t="s">
        <v>4</v>
      </c>
      <c r="C9" s="234">
        <f ca="1">SUM(C3:C8)</f>
        <v>189778949.70120102</v>
      </c>
      <c r="D9" s="234">
        <f ca="1">SUM(D3:D8)</f>
        <v>199336.73077684725</v>
      </c>
      <c r="E9" s="235">
        <f ca="1">SUM(E3:E8)</f>
        <v>15142.69880385597</v>
      </c>
    </row>
    <row r="11" spans="2:18" ht="16.149999999999999" thickBot="1">
      <c r="B11" s="57" t="s">
        <v>5</v>
      </c>
      <c r="C11" s="57"/>
    </row>
    <row r="12" spans="2:18">
      <c r="B12" s="236" t="s">
        <v>1</v>
      </c>
      <c r="C12" s="237" t="s">
        <v>6</v>
      </c>
      <c r="D12" s="237" t="s">
        <v>7</v>
      </c>
      <c r="E12" s="237" t="s">
        <v>8</v>
      </c>
      <c r="F12" s="237" t="s">
        <v>9</v>
      </c>
      <c r="G12" s="237" t="s">
        <v>10</v>
      </c>
      <c r="H12" s="237" t="s">
        <v>11</v>
      </c>
      <c r="I12" s="237" t="s">
        <v>12</v>
      </c>
      <c r="J12" s="237" t="s">
        <v>13</v>
      </c>
      <c r="K12" s="237" t="s">
        <v>14</v>
      </c>
      <c r="L12" s="237" t="s">
        <v>15</v>
      </c>
      <c r="M12" s="237" t="s">
        <v>16</v>
      </c>
      <c r="N12" s="239" t="s">
        <v>17</v>
      </c>
    </row>
    <row r="13" spans="2:18">
      <c r="B13" s="58" t="s">
        <v>18</v>
      </c>
      <c r="C13" s="40">
        <f ca="1">'Summary Tables'!C3</f>
        <v>76635115</v>
      </c>
      <c r="D13" s="40">
        <f ca="1">'Summary Tables'!D3</f>
        <v>76119517.019999996</v>
      </c>
      <c r="E13" s="40">
        <f ca="1">'Summary Tables'!E3</f>
        <v>81716499</v>
      </c>
      <c r="F13" s="40">
        <f ca="1">'Summary Tables'!F3</f>
        <v>85932903</v>
      </c>
      <c r="G13" s="40">
        <f ca="1">'Summary Tables'!G3</f>
        <v>85141857</v>
      </c>
      <c r="H13" s="40">
        <f ca="1">'Summary Tables'!H3</f>
        <v>85333074.640000001</v>
      </c>
      <c r="I13" s="40">
        <f ca="1">'Summary Tables'!I3</f>
        <v>86112039</v>
      </c>
      <c r="J13" s="40">
        <f ca="1">'Summary Tables'!J3</f>
        <v>85022917</v>
      </c>
      <c r="K13" s="40">
        <f ca="1">'Summary Tables'!K3</f>
        <v>86752528</v>
      </c>
      <c r="L13" s="40">
        <f ca="1">'Summary Tables'!L3</f>
        <v>90973051</v>
      </c>
      <c r="M13" s="40">
        <f ca="1">'Summary Tables'!N3-'CDM Adjustment'!N7</f>
        <v>91218659.053820208</v>
      </c>
      <c r="N13" s="59">
        <f ca="1">'Summary Tables'!E13</f>
        <v>92832140.363369152</v>
      </c>
      <c r="O13" s="40"/>
      <c r="P13" s="40"/>
    </row>
    <row r="14" spans="2:18">
      <c r="B14" s="60" t="s">
        <v>19</v>
      </c>
      <c r="C14" s="40">
        <f ca="1">'Summary Tables'!C4</f>
        <v>29514061</v>
      </c>
      <c r="D14" s="40">
        <f ca="1">'Summary Tables'!D4</f>
        <v>28872534</v>
      </c>
      <c r="E14" s="40">
        <f ca="1">'Summary Tables'!E4</f>
        <v>30060062</v>
      </c>
      <c r="F14" s="40">
        <f ca="1">'Summary Tables'!F4</f>
        <v>30767208</v>
      </c>
      <c r="G14" s="40">
        <f ca="1">'Summary Tables'!G4</f>
        <v>26233400</v>
      </c>
      <c r="H14" s="40">
        <f ca="1">'Summary Tables'!H4</f>
        <v>27003038.649999999</v>
      </c>
      <c r="I14" s="40">
        <f ca="1">'Summary Tables'!I4</f>
        <v>28785066</v>
      </c>
      <c r="J14" s="40">
        <f ca="1">'Summary Tables'!J4</f>
        <v>29063129</v>
      </c>
      <c r="K14" s="40">
        <f ca="1">'Summary Tables'!K4</f>
        <v>29356697</v>
      </c>
      <c r="L14" s="40">
        <f ca="1">'Summary Tables'!L4</f>
        <v>30749969</v>
      </c>
      <c r="M14" s="40">
        <f ca="1">'Summary Tables'!N4-'CDM Adjustment'!N8</f>
        <v>30138183.335336193</v>
      </c>
      <c r="N14" s="59">
        <f ca="1">'Summary Tables'!E14</f>
        <v>30243420.199681815</v>
      </c>
      <c r="O14" s="40"/>
      <c r="P14" s="40"/>
    </row>
    <row r="15" spans="2:18">
      <c r="B15" s="60" t="s">
        <v>20</v>
      </c>
      <c r="C15" s="40">
        <f ca="1">'Summary Tables'!C5</f>
        <v>75048053</v>
      </c>
      <c r="D15" s="40">
        <f ca="1">'Summary Tables'!D5</f>
        <v>70829349</v>
      </c>
      <c r="E15" s="40">
        <f ca="1">'Summary Tables'!E5</f>
        <v>71502339</v>
      </c>
      <c r="F15" s="40">
        <f ca="1">'Summary Tables'!F5</f>
        <v>73532152</v>
      </c>
      <c r="G15" s="40">
        <f ca="1">'Summary Tables'!G5</f>
        <v>65161090</v>
      </c>
      <c r="H15" s="40">
        <f ca="1">'Summary Tables'!H5</f>
        <v>67961293.822997034</v>
      </c>
      <c r="I15" s="40">
        <f ca="1">'Summary Tables'!I5</f>
        <v>68211369.280000001</v>
      </c>
      <c r="J15" s="40">
        <f ca="1">'Summary Tables'!J5</f>
        <v>64679344</v>
      </c>
      <c r="K15" s="40">
        <f ca="1">'Summary Tables'!K5</f>
        <v>64215692</v>
      </c>
      <c r="L15" s="40">
        <f ca="1">'Summary Tables'!L5</f>
        <v>72102178</v>
      </c>
      <c r="M15" s="40">
        <f ca="1">'Summary Tables'!N5-'CDM Adjustment'!N9</f>
        <v>65316237.074867412</v>
      </c>
      <c r="N15" s="59">
        <f ca="1">'Summary Tables'!E15</f>
        <v>64938558.822214648</v>
      </c>
      <c r="O15" s="40"/>
      <c r="P15" s="40"/>
    </row>
    <row r="16" spans="2:18">
      <c r="B16" s="60" t="s">
        <v>21</v>
      </c>
      <c r="C16" s="40">
        <f ca="1">'Summary Tables'!C6</f>
        <v>1307703</v>
      </c>
      <c r="D16" s="40">
        <f ca="1">'Summary Tables'!D6</f>
        <v>1297582</v>
      </c>
      <c r="E16" s="40">
        <f ca="1">'Summary Tables'!E6</f>
        <v>1110658</v>
      </c>
      <c r="F16" s="40">
        <f ca="1">'Summary Tables'!F6</f>
        <v>1053969</v>
      </c>
      <c r="G16" s="40">
        <f ca="1">'Summary Tables'!G6</f>
        <v>1015667</v>
      </c>
      <c r="H16" s="40">
        <f ca="1">'Summary Tables'!H6</f>
        <v>1011635.55</v>
      </c>
      <c r="I16" s="40">
        <f ca="1">'Summary Tables'!I6</f>
        <v>1002092</v>
      </c>
      <c r="J16" s="40">
        <f ca="1">'Summary Tables'!J6</f>
        <v>998543</v>
      </c>
      <c r="K16" s="40">
        <f ca="1">'Summary Tables'!K6</f>
        <v>996845</v>
      </c>
      <c r="L16" s="40">
        <f ca="1">'Summary Tables'!L6</f>
        <v>1016652</v>
      </c>
      <c r="M16" s="40">
        <f ca="1">'Summary Tables'!N6-'CDM Adjustment'!N10</f>
        <v>1012496.4456910954</v>
      </c>
      <c r="N16" s="59">
        <f ca="1">'Summary Tables'!E16</f>
        <v>1016551.0227896626</v>
      </c>
      <c r="O16" s="40"/>
      <c r="P16" s="535"/>
      <c r="Q16" s="536"/>
      <c r="R16" s="536"/>
    </row>
    <row r="17" spans="2:16">
      <c r="B17" s="60" t="s">
        <v>22</v>
      </c>
      <c r="C17" s="40">
        <f ca="1">'Summary Tables'!C7</f>
        <v>217806</v>
      </c>
      <c r="D17" s="40">
        <f ca="1">'Summary Tables'!D7</f>
        <v>203681</v>
      </c>
      <c r="E17" s="40">
        <f ca="1">'Summary Tables'!E7</f>
        <v>203849</v>
      </c>
      <c r="F17" s="40">
        <f ca="1">'Summary Tables'!F7</f>
        <v>211785</v>
      </c>
      <c r="G17" s="40">
        <f ca="1">'Summary Tables'!G7</f>
        <v>199124</v>
      </c>
      <c r="H17" s="40">
        <f ca="1">'Summary Tables'!H7</f>
        <v>189809.41692454813</v>
      </c>
      <c r="I17" s="40">
        <f ca="1">'Summary Tables'!I7</f>
        <v>190718</v>
      </c>
      <c r="J17" s="40">
        <f ca="1">'Summary Tables'!J7</f>
        <v>175555</v>
      </c>
      <c r="K17" s="40">
        <f ca="1">'Summary Tables'!K7</f>
        <v>164745</v>
      </c>
      <c r="L17" s="40">
        <f ca="1">'Summary Tables'!L7</f>
        <v>162265</v>
      </c>
      <c r="M17" s="40">
        <f ca="1">'Summary Tables'!N7-'CDM Adjustment'!N11</f>
        <v>157402.60281308927</v>
      </c>
      <c r="N17" s="59">
        <f ca="1">'Summary Tables'!E17</f>
        <v>149812.20333023078</v>
      </c>
      <c r="O17" s="40"/>
      <c r="P17" s="535"/>
    </row>
    <row r="18" spans="2:16">
      <c r="B18" s="60" t="s">
        <v>23</v>
      </c>
      <c r="C18" s="40">
        <f ca="1">'Summary Tables'!C8</f>
        <v>594265</v>
      </c>
      <c r="D18" s="40">
        <f ca="1">'Summary Tables'!D8</f>
        <v>606897.73</v>
      </c>
      <c r="E18" s="40">
        <f ca="1">'Summary Tables'!E8</f>
        <v>605298.17000000004</v>
      </c>
      <c r="F18" s="40">
        <f ca="1">'Summary Tables'!F8</f>
        <v>613238</v>
      </c>
      <c r="G18" s="40">
        <f ca="1">'Summary Tables'!G8</f>
        <v>602100</v>
      </c>
      <c r="H18" s="40">
        <f ca="1">'Summary Tables'!H8</f>
        <v>613643.61</v>
      </c>
      <c r="I18" s="40">
        <f ca="1">'Summary Tables'!I8</f>
        <v>588782</v>
      </c>
      <c r="J18" s="40">
        <f ca="1">'Summary Tables'!J8</f>
        <v>589689</v>
      </c>
      <c r="K18" s="40">
        <f ca="1">'Summary Tables'!K8</f>
        <v>591629</v>
      </c>
      <c r="L18" s="40">
        <f ca="1">'Summary Tables'!L8</f>
        <v>587172</v>
      </c>
      <c r="M18" s="40">
        <f ca="1">'Summary Tables'!N8-'CDM Adjustment'!N12</f>
        <v>-256127.29731328972</v>
      </c>
      <c r="N18" s="59">
        <f ca="1">'Summary Tables'!E18</f>
        <v>598467.08981554129</v>
      </c>
      <c r="O18" s="40"/>
      <c r="P18" s="40"/>
    </row>
    <row r="19" spans="2:16" ht="13.9" thickBot="1">
      <c r="B19" s="233" t="s">
        <v>4</v>
      </c>
      <c r="C19" s="234">
        <f ca="1">SUM(C13:C18)</f>
        <v>183317003</v>
      </c>
      <c r="D19" s="234">
        <f t="shared" ref="D19:N19" ca="1" si="3">SUM(D13:D18)</f>
        <v>177929560.74999997</v>
      </c>
      <c r="E19" s="234">
        <f t="shared" ca="1" si="3"/>
        <v>185198705.16999999</v>
      </c>
      <c r="F19" s="234">
        <f t="shared" ca="1" si="3"/>
        <v>192111255</v>
      </c>
      <c r="G19" s="234">
        <f t="shared" ca="1" si="3"/>
        <v>178353238</v>
      </c>
      <c r="H19" s="234">
        <f t="shared" ca="1" si="3"/>
        <v>182112495.68992159</v>
      </c>
      <c r="I19" s="234">
        <f t="shared" ca="1" si="3"/>
        <v>184890066.28</v>
      </c>
      <c r="J19" s="234">
        <f t="shared" ca="1" si="3"/>
        <v>180529177</v>
      </c>
      <c r="K19" s="234">
        <f t="shared" ca="1" si="3"/>
        <v>182078136</v>
      </c>
      <c r="L19" s="234">
        <f t="shared" ca="1" si="3"/>
        <v>195591287</v>
      </c>
      <c r="M19" s="234">
        <f t="shared" ca="1" si="3"/>
        <v>187586851.21521473</v>
      </c>
      <c r="N19" s="235">
        <f t="shared" ca="1" si="3"/>
        <v>189778949.70120102</v>
      </c>
      <c r="P19" s="40"/>
    </row>
    <row r="20" spans="2:16">
      <c r="P20" s="40"/>
    </row>
    <row r="21" spans="2:16" ht="16.149999999999999" thickBot="1">
      <c r="B21" s="57" t="s">
        <v>24</v>
      </c>
      <c r="C21" s="57"/>
      <c r="P21" s="40"/>
    </row>
    <row r="22" spans="2:16">
      <c r="B22" s="236" t="s">
        <v>2</v>
      </c>
      <c r="C22" s="237" t="s">
        <v>6</v>
      </c>
      <c r="D22" s="237" t="s">
        <v>7</v>
      </c>
      <c r="E22" s="237" t="s">
        <v>8</v>
      </c>
      <c r="F22" s="237" t="s">
        <v>9</v>
      </c>
      <c r="G22" s="237" t="s">
        <v>10</v>
      </c>
      <c r="H22" s="237" t="s">
        <v>11</v>
      </c>
      <c r="I22" s="237" t="s">
        <v>12</v>
      </c>
      <c r="J22" s="237" t="s">
        <v>13</v>
      </c>
      <c r="K22" s="237" t="s">
        <v>14</v>
      </c>
      <c r="L22" s="237" t="s">
        <v>15</v>
      </c>
      <c r="M22" s="237" t="s">
        <v>16</v>
      </c>
      <c r="N22" s="239" t="s">
        <v>17</v>
      </c>
      <c r="P22" s="40"/>
    </row>
    <row r="23" spans="2:16">
      <c r="B23" s="60" t="s">
        <v>20</v>
      </c>
      <c r="C23" s="40">
        <f ca="1">'Summary Tables'!C23</f>
        <v>223174</v>
      </c>
      <c r="D23" s="40">
        <f ca="1">'Summary Tables'!D23</f>
        <v>218669</v>
      </c>
      <c r="E23" s="40">
        <f ca="1">'Summary Tables'!E23</f>
        <v>229114</v>
      </c>
      <c r="F23" s="40">
        <f ca="1">'Summary Tables'!F23</f>
        <v>230501</v>
      </c>
      <c r="G23" s="40">
        <f ca="1">'Summary Tables'!G23</f>
        <v>193232.87873661672</v>
      </c>
      <c r="H23" s="40">
        <f ca="1">'Summary Tables'!H23</f>
        <v>184340.4</v>
      </c>
      <c r="I23" s="40">
        <f ca="1">'Summary Tables'!I23</f>
        <v>204528.16000000006</v>
      </c>
      <c r="J23" s="40">
        <f ca="1">'Summary Tables'!J23</f>
        <v>205270.34</v>
      </c>
      <c r="K23" s="40">
        <f ca="1">'Summary Tables'!K23</f>
        <v>189967.22000000003</v>
      </c>
      <c r="L23" s="40">
        <f ca="1">'Summary Tables'!L23</f>
        <v>214176.6</v>
      </c>
      <c r="M23" s="40">
        <f ca="1">'Summary Tables'!N23-'CDM Adjustment'!N20</f>
        <v>197167.48266937432</v>
      </c>
      <c r="N23" s="59">
        <f ca="1">'Summary Tables'!E30</f>
        <v>196084.63819244891</v>
      </c>
      <c r="P23" s="40"/>
    </row>
    <row r="24" spans="2:16">
      <c r="B24" s="60" t="s">
        <v>21</v>
      </c>
      <c r="C24" s="40">
        <f ca="1">'Summary Tables'!C24</f>
        <v>3918</v>
      </c>
      <c r="D24" s="40">
        <f ca="1">'Summary Tables'!D24</f>
        <v>3609</v>
      </c>
      <c r="E24" s="40">
        <f ca="1">'Summary Tables'!E24</f>
        <v>3152</v>
      </c>
      <c r="F24" s="40">
        <f ca="1">'Summary Tables'!F24</f>
        <v>2923</v>
      </c>
      <c r="G24" s="40">
        <f ca="1">'Summary Tables'!G24</f>
        <v>2832</v>
      </c>
      <c r="H24" s="40">
        <f ca="1">'Summary Tables'!H24</f>
        <v>2822.6999999999994</v>
      </c>
      <c r="I24" s="40">
        <f ca="1">'Summary Tables'!I24</f>
        <v>2822.2</v>
      </c>
      <c r="J24" s="40">
        <f ca="1">'Summary Tables'!J24</f>
        <v>2784.2999999999997</v>
      </c>
      <c r="K24" s="40">
        <f ca="1">'Summary Tables'!K24</f>
        <v>2773.7</v>
      </c>
      <c r="L24" s="40">
        <f ca="1">'Summary Tables'!L24</f>
        <v>2824</v>
      </c>
      <c r="M24" s="40">
        <f ca="1">'Summary Tables'!N24-'CDM Adjustment'!N21</f>
        <v>2825.9036476454103</v>
      </c>
      <c r="N24" s="59">
        <f ca="1">'Summary Tables'!E31</f>
        <v>2837.2200767166055</v>
      </c>
      <c r="P24" s="40"/>
    </row>
    <row r="25" spans="2:16">
      <c r="B25" s="60" t="s">
        <v>22</v>
      </c>
      <c r="C25" s="40">
        <f ca="1">'Summary Tables'!C25</f>
        <v>629</v>
      </c>
      <c r="D25" s="40">
        <f ca="1">'Summary Tables'!D25</f>
        <v>546</v>
      </c>
      <c r="E25" s="40">
        <f ca="1">'Summary Tables'!E25</f>
        <v>529</v>
      </c>
      <c r="F25" s="40">
        <f ca="1">'Summary Tables'!F25</f>
        <v>517</v>
      </c>
      <c r="G25" s="40">
        <f ca="1">'Summary Tables'!G25</f>
        <v>516</v>
      </c>
      <c r="H25" s="40">
        <f ca="1">'Summary Tables'!H25</f>
        <v>512</v>
      </c>
      <c r="I25" s="40">
        <f ca="1">'Summary Tables'!I25</f>
        <v>528.29999999999995</v>
      </c>
      <c r="J25" s="40">
        <f ca="1">'Summary Tables'!J25</f>
        <v>479</v>
      </c>
      <c r="K25" s="40">
        <f ca="1">'Summary Tables'!K25</f>
        <v>480.5</v>
      </c>
      <c r="L25" s="40">
        <f ca="1">'Summary Tables'!L25</f>
        <v>443.59999999999997</v>
      </c>
      <c r="M25" s="40">
        <f ca="1">'Summary Tables'!N25-'CDM Adjustment'!N22</f>
        <v>435.8924780029858</v>
      </c>
      <c r="N25" s="59">
        <f ca="1">'Summary Tables'!E32</f>
        <v>414.87250768175403</v>
      </c>
      <c r="P25" s="40"/>
    </row>
    <row r="26" spans="2:16" ht="13.9" thickBot="1">
      <c r="B26" s="233" t="s">
        <v>4</v>
      </c>
      <c r="C26" s="234">
        <f ca="1">SUM(C23:C25)</f>
        <v>227721</v>
      </c>
      <c r="D26" s="234">
        <f t="shared" ref="D26:M26" ca="1" si="4">SUM(D23:D25)</f>
        <v>222824</v>
      </c>
      <c r="E26" s="234">
        <f t="shared" ca="1" si="4"/>
        <v>232795</v>
      </c>
      <c r="F26" s="234">
        <f t="shared" ca="1" si="4"/>
        <v>233941</v>
      </c>
      <c r="G26" s="234">
        <f t="shared" ca="1" si="4"/>
        <v>196580.87873661672</v>
      </c>
      <c r="H26" s="234">
        <f t="shared" ca="1" si="4"/>
        <v>187675.1</v>
      </c>
      <c r="I26" s="234">
        <f t="shared" ca="1" si="4"/>
        <v>207878.66000000006</v>
      </c>
      <c r="J26" s="234">
        <f t="shared" ca="1" si="4"/>
        <v>208533.63999999998</v>
      </c>
      <c r="K26" s="234">
        <f t="shared" ca="1" si="4"/>
        <v>193221.42000000004</v>
      </c>
      <c r="L26" s="234">
        <f t="shared" ca="1" si="4"/>
        <v>217444.2</v>
      </c>
      <c r="M26" s="234">
        <f t="shared" ca="1" si="4"/>
        <v>200429.27879502272</v>
      </c>
      <c r="N26" s="235">
        <f ca="1">SUM(N23:N25)</f>
        <v>199336.73077684725</v>
      </c>
      <c r="P26" s="40"/>
    </row>
    <row r="27" spans="2:16">
      <c r="P27" s="40"/>
    </row>
    <row r="28" spans="2:16" ht="16.149999999999999" thickBot="1">
      <c r="B28" s="57" t="s">
        <v>3</v>
      </c>
      <c r="C28" s="57"/>
      <c r="P28" s="40"/>
    </row>
    <row r="29" spans="2:16">
      <c r="B29" s="236" t="s">
        <v>25</v>
      </c>
      <c r="C29" s="237" t="s">
        <v>6</v>
      </c>
      <c r="D29" s="237" t="s">
        <v>7</v>
      </c>
      <c r="E29" s="237" t="s">
        <v>8</v>
      </c>
      <c r="F29" s="237" t="s">
        <v>9</v>
      </c>
      <c r="G29" s="237" t="s">
        <v>10</v>
      </c>
      <c r="H29" s="237" t="s">
        <v>11</v>
      </c>
      <c r="I29" s="237" t="s">
        <v>12</v>
      </c>
      <c r="J29" s="237" t="s">
        <v>13</v>
      </c>
      <c r="K29" s="237" t="s">
        <v>14</v>
      </c>
      <c r="L29" s="237" t="s">
        <v>15</v>
      </c>
      <c r="M29" s="237" t="s">
        <v>16</v>
      </c>
      <c r="N29" s="239" t="s">
        <v>17</v>
      </c>
      <c r="P29" s="40"/>
    </row>
    <row r="30" spans="2:16">
      <c r="B30" s="58" t="str">
        <f t="shared" ref="B30:B35" si="5">B13</f>
        <v>Residential</v>
      </c>
      <c r="C30" s="40">
        <f ca="1">'Summary Tables'!C37</f>
        <v>9506</v>
      </c>
      <c r="D30" s="40">
        <f ca="1">'Summary Tables'!D37</f>
        <v>9600</v>
      </c>
      <c r="E30" s="40">
        <f ca="1">'Summary Tables'!E37</f>
        <v>9740.8333333333339</v>
      </c>
      <c r="F30" s="40">
        <f ca="1">'Summary Tables'!F37</f>
        <v>9857.25</v>
      </c>
      <c r="G30" s="40">
        <f ca="1">'Summary Tables'!G37</f>
        <v>9959.0833333333339</v>
      </c>
      <c r="H30" s="40">
        <f ca="1">'Summary Tables'!H37</f>
        <v>10078.083333333334</v>
      </c>
      <c r="I30" s="40">
        <f ca="1">'Summary Tables'!I37</f>
        <v>10168.75</v>
      </c>
      <c r="J30" s="40">
        <f ca="1">'Summary Tables'!J37</f>
        <v>10282.666666666666</v>
      </c>
      <c r="K30" s="40">
        <f ca="1">'Summary Tables'!K37</f>
        <v>10350.916666666666</v>
      </c>
      <c r="L30" s="40">
        <f ca="1">'Summary Tables'!L37</f>
        <v>10391.75</v>
      </c>
      <c r="M30" s="40">
        <f ca="1">'Summary Tables'!M37</f>
        <v>10495.129042232138</v>
      </c>
      <c r="N30" s="59">
        <f ca="1">'Summary Tables'!N37</f>
        <v>10599.533931725675</v>
      </c>
      <c r="P30" s="40"/>
    </row>
    <row r="31" spans="2:16">
      <c r="B31" s="60" t="str">
        <f t="shared" si="5"/>
        <v>GS &lt; 50</v>
      </c>
      <c r="C31" s="40">
        <f ca="1">'Summary Tables'!C38</f>
        <v>1292.5</v>
      </c>
      <c r="D31" s="40">
        <f ca="1">'Summary Tables'!D38</f>
        <v>1282</v>
      </c>
      <c r="E31" s="40">
        <f ca="1">'Summary Tables'!E38</f>
        <v>1287.4166666666667</v>
      </c>
      <c r="F31" s="40">
        <f ca="1">'Summary Tables'!F38</f>
        <v>1285.75</v>
      </c>
      <c r="G31" s="40">
        <f ca="1">'Summary Tables'!G38</f>
        <v>1276.9166666666667</v>
      </c>
      <c r="H31" s="40">
        <f ca="1">'Summary Tables'!H38</f>
        <v>1278.4166666666667</v>
      </c>
      <c r="I31" s="40">
        <f ca="1">'Summary Tables'!I38</f>
        <v>1277.75</v>
      </c>
      <c r="J31" s="40">
        <f ca="1">'Summary Tables'!J38</f>
        <v>1269.5833333333333</v>
      </c>
      <c r="K31" s="40">
        <f ca="1">'Summary Tables'!K38</f>
        <v>1276.4166666666667</v>
      </c>
      <c r="L31" s="40">
        <f ca="1">'Summary Tables'!L38</f>
        <v>1271.75</v>
      </c>
      <c r="M31" s="40">
        <f ca="1">'Summary Tables'!M38</f>
        <v>1269.4661548068505</v>
      </c>
      <c r="N31" s="59">
        <f ca="1">'Summary Tables'!N38</f>
        <v>1267.18536428947</v>
      </c>
      <c r="P31" s="40"/>
    </row>
    <row r="32" spans="2:16" ht="13.5" customHeight="1">
      <c r="B32" s="60" t="str">
        <f t="shared" si="5"/>
        <v>GS &gt; 50</v>
      </c>
      <c r="C32" s="40">
        <f ca="1">'Summary Tables'!C39</f>
        <v>149.75</v>
      </c>
      <c r="D32" s="40">
        <f ca="1">'Summary Tables'!D39</f>
        <v>151.25</v>
      </c>
      <c r="E32" s="40">
        <f ca="1">'Summary Tables'!E39</f>
        <v>149.25</v>
      </c>
      <c r="F32" s="40">
        <f ca="1">'Summary Tables'!F39</f>
        <v>149.33333333333334</v>
      </c>
      <c r="G32" s="40">
        <f ca="1">'Summary Tables'!G39</f>
        <v>149.66666666666666</v>
      </c>
      <c r="H32" s="40">
        <f ca="1">'Summary Tables'!H39</f>
        <v>144.58333333333334</v>
      </c>
      <c r="I32" s="40">
        <f ca="1">'Summary Tables'!I39</f>
        <v>141.91666666666666</v>
      </c>
      <c r="J32" s="40">
        <f ca="1">'Summary Tables'!J39</f>
        <v>139.33333333333334</v>
      </c>
      <c r="K32" s="40">
        <f ca="1">'Summary Tables'!K39</f>
        <v>138.66666666666666</v>
      </c>
      <c r="L32" s="40">
        <f ca="1">'Summary Tables'!L39</f>
        <v>135.75</v>
      </c>
      <c r="M32" s="40">
        <f ca="1">'Summary Tables'!M39</f>
        <v>134.27880455069922</v>
      </c>
      <c r="N32" s="59">
        <f ca="1">'Summary Tables'!N39</f>
        <v>132.82234198416529</v>
      </c>
      <c r="P32" s="40"/>
    </row>
    <row r="33" spans="2:16">
      <c r="B33" s="60" t="str">
        <f t="shared" si="5"/>
        <v>Street Light</v>
      </c>
      <c r="C33" s="40">
        <f ca="1">'Summary Tables'!C40</f>
        <v>2821.5</v>
      </c>
      <c r="D33" s="40">
        <f ca="1">'Summary Tables'!D40</f>
        <v>2840</v>
      </c>
      <c r="E33" s="40">
        <f ca="1">'Summary Tables'!E40</f>
        <v>2877.5</v>
      </c>
      <c r="F33" s="40">
        <f ca="1">'Summary Tables'!F40</f>
        <v>2897</v>
      </c>
      <c r="G33" s="40">
        <f ca="1">'Summary Tables'!G40</f>
        <v>2905</v>
      </c>
      <c r="H33" s="40">
        <f ca="1">'Summary Tables'!H40</f>
        <v>2920</v>
      </c>
      <c r="I33" s="40">
        <f ca="1">'Summary Tables'!I40</f>
        <v>2920</v>
      </c>
      <c r="J33" s="40">
        <f ca="1">'Summary Tables'!J40</f>
        <v>2903.6666666666665</v>
      </c>
      <c r="K33" s="40">
        <f ca="1">'Summary Tables'!K40</f>
        <v>2907.1666666666665</v>
      </c>
      <c r="L33" s="40">
        <f ca="1">'Summary Tables'!L40</f>
        <v>2924.8333333333335</v>
      </c>
      <c r="M33" s="40">
        <f ca="1">'Summary Tables'!M40</f>
        <v>2936.5433529136408</v>
      </c>
      <c r="N33" s="59">
        <f ca="1">'Summary Tables'!N40</f>
        <v>2948.3028425181169</v>
      </c>
      <c r="P33" s="40"/>
    </row>
    <row r="34" spans="2:16">
      <c r="B34" s="60" t="str">
        <f t="shared" si="5"/>
        <v>Sentinel Light</v>
      </c>
      <c r="C34" s="40">
        <f ca="1">'Summary Tables'!C41</f>
        <v>182.25</v>
      </c>
      <c r="D34" s="40">
        <f ca="1">'Summary Tables'!D41</f>
        <v>178</v>
      </c>
      <c r="E34" s="40">
        <f ca="1">'Summary Tables'!E41</f>
        <v>178</v>
      </c>
      <c r="F34" s="40">
        <f ca="1">'Summary Tables'!F41</f>
        <v>175</v>
      </c>
      <c r="G34" s="40">
        <f ca="1">'Summary Tables'!G41</f>
        <v>171</v>
      </c>
      <c r="H34" s="40">
        <f ca="1">'Summary Tables'!H41</f>
        <v>171</v>
      </c>
      <c r="I34" s="40">
        <f ca="1">'Summary Tables'!I41</f>
        <v>177</v>
      </c>
      <c r="J34" s="40">
        <f ca="1">'Summary Tables'!J41</f>
        <v>173.91666666666666</v>
      </c>
      <c r="K34" s="40">
        <f ca="1">'Summary Tables'!K41</f>
        <v>172.83333333333334</v>
      </c>
      <c r="L34" s="40">
        <f ca="1">'Summary Tables'!L41</f>
        <v>177</v>
      </c>
      <c r="M34" s="40">
        <f ca="1">'Summary Tables'!M41</f>
        <v>176.4263804778202</v>
      </c>
      <c r="N34" s="59">
        <f ca="1">'Summary Tables'!N41</f>
        <v>175.85432333854411</v>
      </c>
      <c r="P34" s="40"/>
    </row>
    <row r="35" spans="2:16">
      <c r="B35" s="60" t="str">
        <f t="shared" si="5"/>
        <v>USL</v>
      </c>
      <c r="C35" s="40">
        <f ca="1">'Summary Tables'!C42</f>
        <v>19</v>
      </c>
      <c r="D35" s="40">
        <f ca="1">'Summary Tables'!D42</f>
        <v>19</v>
      </c>
      <c r="E35" s="40">
        <f ca="1">'Summary Tables'!E42</f>
        <v>19</v>
      </c>
      <c r="F35" s="40">
        <f ca="1">'Summary Tables'!F42</f>
        <v>19</v>
      </c>
      <c r="G35" s="40">
        <f ca="1">'Summary Tables'!G42</f>
        <v>19</v>
      </c>
      <c r="H35" s="40">
        <f ca="1">'Summary Tables'!H42</f>
        <v>19</v>
      </c>
      <c r="I35" s="40">
        <f ca="1">'Summary Tables'!I42</f>
        <v>19</v>
      </c>
      <c r="J35" s="40">
        <f ca="1">'Summary Tables'!J42</f>
        <v>18.916666666666668</v>
      </c>
      <c r="K35" s="40">
        <f ca="1">'Summary Tables'!K42</f>
        <v>18.25</v>
      </c>
      <c r="L35" s="40">
        <f ca="1">'Summary Tables'!L42</f>
        <v>19</v>
      </c>
      <c r="M35" s="40">
        <f ca="1">'Summary Tables'!M42</f>
        <v>19</v>
      </c>
      <c r="N35" s="59">
        <f ca="1">'Summary Tables'!N42</f>
        <v>19</v>
      </c>
      <c r="P35" s="40"/>
    </row>
    <row r="36" spans="2:16" ht="13.9" thickBot="1">
      <c r="B36" s="233" t="s">
        <v>4</v>
      </c>
      <c r="C36" s="234">
        <f t="shared" ref="C36:N36" ca="1" si="6">SUM(C30:C35)</f>
        <v>13971</v>
      </c>
      <c r="D36" s="234">
        <f t="shared" ca="1" si="6"/>
        <v>14070.25</v>
      </c>
      <c r="E36" s="234">
        <f t="shared" ca="1" si="6"/>
        <v>14252</v>
      </c>
      <c r="F36" s="234">
        <f t="shared" ca="1" si="6"/>
        <v>14383.333333333334</v>
      </c>
      <c r="G36" s="234">
        <f t="shared" ca="1" si="6"/>
        <v>14480.666666666666</v>
      </c>
      <c r="H36" s="234">
        <f t="shared" ca="1" si="6"/>
        <v>14611.083333333334</v>
      </c>
      <c r="I36" s="234">
        <f t="shared" ca="1" si="6"/>
        <v>14704.416666666666</v>
      </c>
      <c r="J36" s="234">
        <f t="shared" ca="1" si="6"/>
        <v>14788.083333333332</v>
      </c>
      <c r="K36" s="234">
        <f t="shared" ca="1" si="6"/>
        <v>14864.249999999998</v>
      </c>
      <c r="L36" s="234">
        <f t="shared" ca="1" si="6"/>
        <v>14920.083333333334</v>
      </c>
      <c r="M36" s="238">
        <f t="shared" ca="1" si="6"/>
        <v>15030.843734981148</v>
      </c>
      <c r="N36" s="235">
        <f t="shared" ca="1" si="6"/>
        <v>15142.69880385597</v>
      </c>
      <c r="P36" s="40"/>
    </row>
    <row r="38" spans="2:16">
      <c r="B38" s="40"/>
      <c r="C38" s="40"/>
      <c r="D38" s="40"/>
      <c r="E38" s="40"/>
      <c r="F38" s="40"/>
      <c r="G38" s="40"/>
      <c r="H38" s="40"/>
      <c r="I38" s="40"/>
      <c r="J38" s="40"/>
      <c r="K38" s="40"/>
      <c r="L38" s="40"/>
      <c r="M38" s="40"/>
      <c r="N38" s="40"/>
    </row>
    <row r="39" spans="2:16">
      <c r="B39" s="40"/>
      <c r="C39" s="40"/>
      <c r="D39" s="40"/>
      <c r="E39" s="40"/>
      <c r="F39" s="40"/>
      <c r="G39" s="40"/>
      <c r="H39" s="40"/>
      <c r="I39" s="40"/>
      <c r="J39" s="40"/>
      <c r="K39" s="40"/>
      <c r="L39" s="40"/>
      <c r="M39" s="40"/>
      <c r="N39" s="40"/>
    </row>
    <row r="42" spans="2:16">
      <c r="B42" s="40"/>
      <c r="C42" s="40"/>
      <c r="D42" s="40"/>
      <c r="E42" s="40"/>
      <c r="F42" s="40"/>
      <c r="G42" s="40"/>
      <c r="H42" s="40"/>
      <c r="I42" s="40"/>
      <c r="J42" s="40"/>
      <c r="K42" s="40"/>
      <c r="L42" s="40"/>
      <c r="M42" s="40"/>
      <c r="N42" s="40"/>
    </row>
    <row r="43" spans="2:16">
      <c r="B43" s="40"/>
      <c r="C43" s="40"/>
      <c r="D43" s="40"/>
      <c r="E43" s="40"/>
      <c r="F43" s="40"/>
      <c r="G43" s="40"/>
      <c r="H43" s="40"/>
      <c r="I43" s="40"/>
      <c r="J43" s="40"/>
      <c r="K43" s="40"/>
      <c r="L43" s="40"/>
      <c r="M43" s="40"/>
      <c r="N43" s="40"/>
    </row>
    <row r="46" spans="2:16">
      <c r="B46" s="40"/>
      <c r="C46" s="40"/>
      <c r="D46" s="40"/>
      <c r="E46" s="40"/>
      <c r="F46" s="40"/>
      <c r="G46" s="40"/>
      <c r="H46" s="40"/>
      <c r="I46" s="40"/>
      <c r="J46" s="40"/>
      <c r="K46" s="40"/>
      <c r="L46" s="40"/>
      <c r="M46" s="40"/>
      <c r="N46" s="40"/>
    </row>
    <row r="47" spans="2:16">
      <c r="B47" s="40"/>
      <c r="C47" s="40"/>
      <c r="D47" s="40"/>
      <c r="E47" s="40"/>
      <c r="F47" s="40"/>
      <c r="G47" s="40"/>
      <c r="H47" s="40"/>
      <c r="I47" s="40"/>
      <c r="J47" s="40"/>
      <c r="K47" s="40"/>
      <c r="L47" s="40"/>
      <c r="M47" s="40"/>
      <c r="N47" s="40"/>
    </row>
    <row r="48" spans="2:16">
      <c r="B48" s="40"/>
      <c r="C48" s="40"/>
      <c r="D48" s="40"/>
      <c r="E48" s="40"/>
      <c r="F48" s="40"/>
      <c r="G48" s="40"/>
      <c r="H48" s="40"/>
      <c r="I48" s="40"/>
      <c r="J48" s="40"/>
      <c r="K48" s="40"/>
      <c r="L48" s="40"/>
      <c r="M48" s="40"/>
      <c r="N48" s="40"/>
    </row>
    <row r="50" spans="2:14">
      <c r="B50" s="40"/>
      <c r="C50" s="40"/>
      <c r="D50" s="40"/>
      <c r="E50" s="40"/>
      <c r="F50" s="40"/>
      <c r="G50" s="40"/>
      <c r="H50" s="40"/>
      <c r="I50" s="40"/>
      <c r="J50" s="40"/>
      <c r="K50" s="40"/>
      <c r="L50" s="40"/>
      <c r="M50" s="40"/>
      <c r="N50" s="40"/>
    </row>
    <row r="51" spans="2:14">
      <c r="B51" s="40"/>
      <c r="C51" s="40"/>
      <c r="D51" s="40"/>
      <c r="E51" s="40"/>
      <c r="F51" s="40"/>
      <c r="G51" s="40"/>
      <c r="H51" s="40"/>
      <c r="I51" s="40"/>
      <c r="J51" s="40"/>
      <c r="K51" s="40"/>
      <c r="L51" s="40"/>
      <c r="M51" s="40"/>
      <c r="N51" s="40"/>
    </row>
    <row r="52" spans="2:14">
      <c r="B52" s="40"/>
      <c r="C52" s="40"/>
      <c r="D52" s="40"/>
      <c r="E52" s="40"/>
      <c r="F52" s="40"/>
      <c r="G52" s="40"/>
      <c r="H52" s="40"/>
      <c r="I52" s="40"/>
      <c r="J52" s="40"/>
      <c r="K52" s="40"/>
      <c r="L52" s="40"/>
      <c r="M52" s="40"/>
      <c r="N52" s="40"/>
    </row>
    <row r="54" spans="2:14">
      <c r="B54" s="40"/>
      <c r="C54" s="40"/>
      <c r="D54" s="40"/>
      <c r="E54" s="40"/>
      <c r="F54" s="40"/>
      <c r="G54" s="40"/>
      <c r="H54" s="40"/>
      <c r="I54" s="40"/>
      <c r="J54" s="40"/>
      <c r="K54" s="40"/>
      <c r="L54" s="40"/>
      <c r="M54" s="40"/>
      <c r="N54" s="40"/>
    </row>
    <row r="55" spans="2:14">
      <c r="B55" s="40"/>
      <c r="C55" s="40"/>
      <c r="D55" s="40"/>
      <c r="E55" s="40"/>
      <c r="F55" s="40"/>
      <c r="G55" s="40"/>
      <c r="H55" s="40"/>
      <c r="I55" s="40"/>
      <c r="J55" s="40"/>
      <c r="K55" s="40"/>
      <c r="L55" s="40"/>
      <c r="M55" s="40"/>
      <c r="N55" s="40"/>
    </row>
    <row r="56" spans="2:14">
      <c r="B56" s="40"/>
      <c r="C56" s="40"/>
      <c r="D56" s="40"/>
      <c r="E56" s="40"/>
      <c r="F56" s="40"/>
      <c r="G56" s="40"/>
      <c r="H56" s="40"/>
      <c r="I56" s="40"/>
      <c r="J56" s="40"/>
      <c r="K56" s="40"/>
      <c r="L56" s="40"/>
      <c r="M56" s="40"/>
      <c r="N56" s="40"/>
    </row>
    <row r="58" spans="2:14">
      <c r="B58" s="40"/>
      <c r="C58" s="40"/>
      <c r="D58" s="40"/>
      <c r="E58" s="40"/>
      <c r="F58" s="40"/>
      <c r="G58" s="40"/>
      <c r="H58" s="40"/>
      <c r="I58" s="40"/>
      <c r="J58" s="40"/>
      <c r="K58" s="40"/>
      <c r="L58" s="40"/>
      <c r="M58" s="40"/>
      <c r="N58" s="40"/>
    </row>
    <row r="59" spans="2:14">
      <c r="B59" s="40"/>
      <c r="C59" s="40"/>
      <c r="D59" s="40"/>
      <c r="E59" s="40"/>
      <c r="F59" s="40"/>
      <c r="G59" s="40"/>
      <c r="H59" s="40"/>
      <c r="I59" s="40"/>
      <c r="J59" s="40"/>
      <c r="K59" s="40"/>
      <c r="L59" s="40"/>
      <c r="M59" s="40"/>
      <c r="N59" s="40"/>
    </row>
    <row r="61" spans="2:14">
      <c r="H61" s="40"/>
      <c r="I61" s="40"/>
      <c r="J61" s="40"/>
      <c r="K61" s="40"/>
      <c r="L61" s="40"/>
      <c r="M61" s="40"/>
      <c r="N61" s="40"/>
    </row>
    <row r="62" spans="2:14">
      <c r="H62" s="40"/>
      <c r="I62" s="40"/>
      <c r="J62" s="40"/>
      <c r="K62" s="40"/>
      <c r="L62" s="40"/>
      <c r="M62" s="40"/>
      <c r="N62" s="40"/>
    </row>
    <row r="63" spans="2:14">
      <c r="H63" s="40"/>
      <c r="I63" s="40"/>
      <c r="J63" s="40"/>
      <c r="K63" s="40"/>
      <c r="L63" s="40"/>
      <c r="M63" s="40"/>
      <c r="N63" s="40"/>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4362D-F7BD-4647-97DB-2B0F4E55DEC6}">
  <sheetPr codeName="Sheet2">
    <tabColor theme="7" tint="0.79998168889431442"/>
    <pageSetUpPr fitToPage="1"/>
  </sheetPr>
  <dimension ref="A1:DO137"/>
  <sheetViews>
    <sheetView zoomScale="145" zoomScaleNormal="145" workbookViewId="0">
      <pane xSplit="1" ySplit="1" topLeftCell="B39" activePane="bottomRight" state="frozen"/>
      <selection pane="bottomRight" activeCell="AA42" sqref="AA42"/>
      <selection pane="bottomLeft" activeCell="AE20" sqref="A1:XFD1048576"/>
      <selection pane="topRight" activeCell="AE20" sqref="A1:XFD1048576"/>
    </sheetView>
  </sheetViews>
  <sheetFormatPr defaultColWidth="8.83203125" defaultRowHeight="13.15"/>
  <cols>
    <col min="1" max="1" width="11.83203125" style="3" bestFit="1" customWidth="1"/>
    <col min="2" max="3" width="10.33203125" style="1" customWidth="1"/>
    <col min="4" max="4" width="13.5" style="2" customWidth="1"/>
    <col min="5" max="5" width="14.1640625" style="2" customWidth="1"/>
    <col min="6" max="6" width="13.1640625" style="2" customWidth="1"/>
    <col min="7" max="7" width="9.83203125" style="5" customWidth="1"/>
    <col min="8" max="8" width="15.5" style="56" customWidth="1"/>
    <col min="9" max="10" width="13.1640625" style="1" customWidth="1"/>
    <col min="11" max="11" width="17.5" style="5" bestFit="1" customWidth="1"/>
    <col min="12" max="13" width="14.33203125" style="5" hidden="1" customWidth="1"/>
    <col min="14" max="14" width="15.83203125" style="5" hidden="1" customWidth="1"/>
    <col min="15" max="15" width="13.83203125" style="5" hidden="1" customWidth="1"/>
    <col min="16" max="16" width="13.83203125" style="5" customWidth="1"/>
    <col min="17" max="17" width="19.5" style="5" bestFit="1" customWidth="1"/>
    <col min="18" max="18" width="18.33203125" style="5" customWidth="1"/>
    <col min="19" max="19" width="20" style="5" bestFit="1" customWidth="1"/>
    <col min="20" max="22" width="20" style="5" customWidth="1"/>
    <col min="23" max="23" width="12.33203125" style="5" bestFit="1" customWidth="1"/>
    <col min="24" max="24" width="18.33203125" style="1" bestFit="1" customWidth="1"/>
    <col min="25" max="26" width="18.33203125" style="1" hidden="1" customWidth="1"/>
    <col min="27" max="29" width="18.33203125" style="1" customWidth="1"/>
    <col min="30" max="30" width="12.33203125" style="26" bestFit="1" customWidth="1"/>
    <col min="31" max="31" width="12.33203125" style="26" customWidth="1"/>
    <col min="32" max="35" width="10.1640625" style="26" bestFit="1" customWidth="1"/>
    <col min="36" max="41" width="8.83203125" style="26" customWidth="1"/>
    <col min="42" max="56" width="8.83203125" style="27"/>
    <col min="57" max="74" width="8.83203125" style="1"/>
    <col min="75" max="75" width="8.33203125" style="1" bestFit="1" customWidth="1"/>
    <col min="76" max="76" width="12.33203125" style="1" bestFit="1" customWidth="1"/>
    <col min="77" max="77" width="13.6640625" style="1" bestFit="1" customWidth="1"/>
    <col min="78" max="78" width="12.33203125" style="1" bestFit="1" customWidth="1"/>
    <col min="79" max="106" width="10.1640625" style="1" customWidth="1"/>
    <col min="107" max="107" width="10.6640625" style="1" customWidth="1"/>
    <col min="108" max="108" width="8.83203125" style="1"/>
    <col min="109" max="109" width="12.83203125" style="1" customWidth="1"/>
    <col min="110" max="110" width="10.83203125" style="1" bestFit="1" customWidth="1"/>
    <col min="111" max="111" width="8.83203125" style="1"/>
    <col min="112" max="113" width="12" style="1" bestFit="1" customWidth="1"/>
    <col min="114" max="115" width="10.83203125" style="1" bestFit="1" customWidth="1"/>
    <col min="116" max="117" width="14" style="1" bestFit="1" customWidth="1"/>
    <col min="118" max="16384" width="8.83203125" style="1"/>
  </cols>
  <sheetData>
    <row r="1" spans="1:119">
      <c r="A1" s="3" t="s">
        <v>26</v>
      </c>
      <c r="B1" s="1" t="s">
        <v>27</v>
      </c>
      <c r="C1" s="1" t="s">
        <v>28</v>
      </c>
      <c r="D1" s="2" t="s">
        <v>29</v>
      </c>
      <c r="E1" s="2" t="s">
        <v>30</v>
      </c>
      <c r="F1" s="2" t="s">
        <v>31</v>
      </c>
      <c r="G1" s="5" t="s">
        <v>32</v>
      </c>
      <c r="H1" s="56" t="s">
        <v>33</v>
      </c>
      <c r="I1" s="2" t="s">
        <v>34</v>
      </c>
      <c r="J1" s="2" t="s">
        <v>35</v>
      </c>
      <c r="K1" s="7" t="s">
        <v>36</v>
      </c>
      <c r="L1" s="7" t="s">
        <v>37</v>
      </c>
      <c r="M1" s="7" t="s">
        <v>38</v>
      </c>
      <c r="N1" s="7" t="s">
        <v>39</v>
      </c>
      <c r="O1" s="7" t="s">
        <v>40</v>
      </c>
      <c r="P1" s="7" t="s">
        <v>41</v>
      </c>
      <c r="Q1" s="7" t="s">
        <v>42</v>
      </c>
      <c r="R1" s="7" t="s">
        <v>43</v>
      </c>
      <c r="S1" s="7" t="s">
        <v>44</v>
      </c>
      <c r="T1" s="7" t="s">
        <v>45</v>
      </c>
      <c r="U1" s="7" t="s">
        <v>46</v>
      </c>
      <c r="V1" s="7" t="s">
        <v>47</v>
      </c>
      <c r="W1" s="7" t="s">
        <v>48</v>
      </c>
      <c r="X1" s="1" t="s">
        <v>49</v>
      </c>
      <c r="Y1" s="1" t="s">
        <v>50</v>
      </c>
      <c r="Z1" s="1" t="s">
        <v>51</v>
      </c>
      <c r="AA1" s="1" t="s">
        <v>52</v>
      </c>
      <c r="AB1" s="1" t="s">
        <v>53</v>
      </c>
      <c r="AC1" s="1" t="s">
        <v>54</v>
      </c>
      <c r="AD1" s="26" t="s">
        <v>55</v>
      </c>
      <c r="AE1" s="26" t="s">
        <v>56</v>
      </c>
      <c r="AF1" s="26" t="s">
        <v>57</v>
      </c>
      <c r="AG1" s="26" t="s">
        <v>58</v>
      </c>
      <c r="AH1" s="26" t="s">
        <v>59</v>
      </c>
      <c r="AI1" s="26" t="s">
        <v>60</v>
      </c>
      <c r="AJ1" s="26" t="s">
        <v>61</v>
      </c>
      <c r="AK1" s="26" t="s">
        <v>62</v>
      </c>
      <c r="AL1" s="26" t="s">
        <v>63</v>
      </c>
      <c r="AM1" s="26" t="s">
        <v>64</v>
      </c>
      <c r="AN1" s="26" t="s">
        <v>65</v>
      </c>
      <c r="AO1" s="26" t="s">
        <v>66</v>
      </c>
      <c r="AP1" s="27" t="s">
        <v>67</v>
      </c>
      <c r="AQ1" s="27" t="s">
        <v>68</v>
      </c>
      <c r="AR1" s="27" t="s">
        <v>69</v>
      </c>
      <c r="AS1" s="27" t="s">
        <v>70</v>
      </c>
      <c r="AT1" s="27" t="s">
        <v>71</v>
      </c>
      <c r="AU1" s="27" t="s">
        <v>72</v>
      </c>
      <c r="AV1" s="27" t="s">
        <v>73</v>
      </c>
      <c r="AW1" s="27" t="s">
        <v>74</v>
      </c>
      <c r="AX1" s="27" t="s">
        <v>75</v>
      </c>
      <c r="AY1" s="27" t="s">
        <v>76</v>
      </c>
      <c r="AZ1" s="27" t="s">
        <v>77</v>
      </c>
      <c r="BA1" s="27" t="s">
        <v>78</v>
      </c>
      <c r="BB1" s="27" t="s">
        <v>79</v>
      </c>
      <c r="BC1" s="27" t="s">
        <v>80</v>
      </c>
      <c r="BD1" s="27" t="s">
        <v>81</v>
      </c>
      <c r="BE1" s="29" t="s">
        <v>82</v>
      </c>
      <c r="BF1" s="29" t="s">
        <v>83</v>
      </c>
      <c r="BG1" s="29" t="s">
        <v>84</v>
      </c>
      <c r="BH1" s="29" t="s">
        <v>85</v>
      </c>
      <c r="BI1" s="29" t="s">
        <v>86</v>
      </c>
      <c r="BJ1" s="29" t="s">
        <v>87</v>
      </c>
      <c r="BK1" s="29" t="s">
        <v>88</v>
      </c>
      <c r="BL1" s="29" t="s">
        <v>89</v>
      </c>
      <c r="BM1" s="29" t="s">
        <v>90</v>
      </c>
      <c r="BN1" s="29" t="s">
        <v>91</v>
      </c>
      <c r="BO1" s="29" t="s">
        <v>92</v>
      </c>
      <c r="BP1" s="29" t="s">
        <v>93</v>
      </c>
      <c r="BQ1" s="29" t="s">
        <v>94</v>
      </c>
      <c r="BR1" s="29" t="s">
        <v>95</v>
      </c>
      <c r="BS1" s="29" t="s">
        <v>96</v>
      </c>
      <c r="BT1" s="1" t="s">
        <v>97</v>
      </c>
      <c r="BU1" s="29" t="s">
        <v>98</v>
      </c>
      <c r="BV1" s="29" t="s">
        <v>99</v>
      </c>
      <c r="BW1" s="112" t="s">
        <v>100</v>
      </c>
      <c r="BX1" s="112" t="s">
        <v>101</v>
      </c>
      <c r="BY1" s="112" t="s">
        <v>102</v>
      </c>
      <c r="BZ1" s="112" t="s">
        <v>103</v>
      </c>
      <c r="CA1" s="112" t="s">
        <v>104</v>
      </c>
      <c r="CB1" s="112" t="s">
        <v>105</v>
      </c>
      <c r="CC1" s="112" t="s">
        <v>106</v>
      </c>
      <c r="CD1" s="112" t="s">
        <v>107</v>
      </c>
      <c r="CE1" s="112" t="s">
        <v>108</v>
      </c>
      <c r="CF1" s="112" t="s">
        <v>109</v>
      </c>
      <c r="CG1" s="112" t="s">
        <v>110</v>
      </c>
      <c r="CH1" s="112" t="s">
        <v>111</v>
      </c>
      <c r="CI1" s="112" t="s">
        <v>112</v>
      </c>
      <c r="CJ1" s="112" t="s">
        <v>113</v>
      </c>
      <c r="CK1" s="112" t="s">
        <v>114</v>
      </c>
      <c r="CL1" s="112" t="s">
        <v>115</v>
      </c>
      <c r="CM1" s="112" t="s">
        <v>116</v>
      </c>
      <c r="CN1" s="112" t="s">
        <v>117</v>
      </c>
      <c r="CO1" s="112" t="s">
        <v>118</v>
      </c>
      <c r="CP1" s="112" t="s">
        <v>119</v>
      </c>
      <c r="CQ1" s="112" t="s">
        <v>120</v>
      </c>
      <c r="CR1" s="112" t="s">
        <v>121</v>
      </c>
      <c r="CS1" s="112" t="s">
        <v>122</v>
      </c>
      <c r="CT1" s="112" t="s">
        <v>123</v>
      </c>
      <c r="CU1" s="112" t="s">
        <v>124</v>
      </c>
      <c r="CV1" s="112" t="s">
        <v>125</v>
      </c>
      <c r="CW1" s="112" t="s">
        <v>126</v>
      </c>
      <c r="CX1" s="112" t="s">
        <v>127</v>
      </c>
      <c r="CY1" s="112" t="s">
        <v>128</v>
      </c>
      <c r="CZ1" s="112" t="s">
        <v>129</v>
      </c>
      <c r="DA1" s="112" t="s">
        <v>130</v>
      </c>
      <c r="DB1" s="112" t="s">
        <v>131</v>
      </c>
      <c r="DC1" s="1" t="s">
        <v>132</v>
      </c>
      <c r="DD1" s="1" t="s">
        <v>133</v>
      </c>
      <c r="DE1" s="1" t="s">
        <v>134</v>
      </c>
      <c r="DF1" s="1" t="s">
        <v>135</v>
      </c>
      <c r="DG1" s="1" t="s">
        <v>136</v>
      </c>
      <c r="DH1" s="1" t="s">
        <v>137</v>
      </c>
      <c r="DI1" s="1" t="s">
        <v>138</v>
      </c>
      <c r="DJ1" s="1" t="s">
        <v>139</v>
      </c>
      <c r="DK1" s="1" t="s">
        <v>140</v>
      </c>
      <c r="DL1" s="1" t="s">
        <v>141</v>
      </c>
      <c r="DM1" s="1" t="s">
        <v>142</v>
      </c>
      <c r="DN1" s="519" t="s">
        <v>143</v>
      </c>
      <c r="DO1" s="519" t="s">
        <v>144</v>
      </c>
    </row>
    <row r="2" spans="1:119">
      <c r="A2" s="93">
        <v>42370</v>
      </c>
      <c r="B2" s="4">
        <f t="shared" ref="B2:B65" si="0">YEAR(A2)</f>
        <v>2016</v>
      </c>
      <c r="C2" s="4">
        <f t="shared" ref="C2:C65" si="1">MONTH(A2)</f>
        <v>1</v>
      </c>
      <c r="D2" s="56">
        <v>0</v>
      </c>
      <c r="E2" s="56">
        <f>IFERROR(VLOOKUP($B2-1,CDM!$J$6:$P$19,2,FALSE)/12,0)+IFERROR(VLOOKUP($B2,CDM!$J$37:$M$48,2,FALSE)/24,0)+IFERROR(VLOOKUP($B2,CDM!$J$37:$M$48,2,FALSE)/2*$C2/78,0)</f>
        <v>18730.360576923078</v>
      </c>
      <c r="F2" s="56">
        <f>D2+E2</f>
        <v>18730.360576923078</v>
      </c>
      <c r="G2" s="301">
        <v>9443</v>
      </c>
      <c r="H2" s="56">
        <v>0</v>
      </c>
      <c r="I2" s="56">
        <f>IFERROR(VLOOKUP($B2-1,CDM!$J$6:$P$19,3,FALSE)/12,0)+IFERROR(VLOOKUP($B2,CDM!$J$37:$M$47,3,FALSE)/24,0)+IFERROR(VLOOKUP($B2,CDM!$J$37:$M$47,3,FALSE)/2*$C2/78,0)</f>
        <v>17466.899038461539</v>
      </c>
      <c r="J2" s="56">
        <f>H2+I2</f>
        <v>17466.899038461539</v>
      </c>
      <c r="K2" s="6">
        <v>1292</v>
      </c>
      <c r="L2" s="5">
        <v>0</v>
      </c>
      <c r="M2" s="2">
        <f>IFERROR(VLOOKUP($B2-1,CDM!$J$6:$P$19,4,FALSE)/12,0)+IFERROR(VLOOKUP($B2,CDM!$J$37:$M$47,4,FALSE)/24,0)+IFERROR(VLOOKUP($B2,CDM!$J$37:$M$47,4,FALSE)/2*$C2/78,0)</f>
        <v>15958.100961538461</v>
      </c>
      <c r="N2" s="56">
        <f>L2+M2</f>
        <v>15958.100961538461</v>
      </c>
      <c r="O2" s="5">
        <v>0</v>
      </c>
      <c r="P2" s="6">
        <v>150</v>
      </c>
      <c r="Q2" s="5">
        <v>0</v>
      </c>
      <c r="R2" s="5">
        <v>0</v>
      </c>
      <c r="S2" s="6">
        <v>2794</v>
      </c>
      <c r="T2" s="6">
        <v>0</v>
      </c>
      <c r="U2" s="6">
        <v>0</v>
      </c>
      <c r="V2" s="6">
        <v>183</v>
      </c>
      <c r="W2" s="5">
        <v>0</v>
      </c>
      <c r="X2" s="1">
        <v>19</v>
      </c>
      <c r="Y2" s="56">
        <v>30480</v>
      </c>
      <c r="Z2" s="56">
        <v>1248</v>
      </c>
      <c r="AA2" s="71">
        <f>L2-Y2</f>
        <v>-30480</v>
      </c>
      <c r="AB2" s="71">
        <f>N2-Z2</f>
        <v>14710.100961538461</v>
      </c>
      <c r="AC2" s="5">
        <f>O2-Z2</f>
        <v>-1248</v>
      </c>
      <c r="AD2" s="111">
        <f>Economic!H4</f>
        <v>743976.2</v>
      </c>
      <c r="AE2" s="111">
        <f>Economic!I4</f>
        <v>743835</v>
      </c>
      <c r="AF2" s="111">
        <f>Economic!D4</f>
        <v>6882.9</v>
      </c>
      <c r="AG2" s="111">
        <f>Economic!E4</f>
        <v>6848.3</v>
      </c>
      <c r="AH2" s="111">
        <f>Economic!F4</f>
        <v>554.5</v>
      </c>
      <c r="AI2" s="111">
        <f>Economic!G4</f>
        <v>552</v>
      </c>
      <c r="AJ2" s="111">
        <f>Economic!J4</f>
        <v>0</v>
      </c>
      <c r="AK2" s="111">
        <f>Economic!K4</f>
        <v>0</v>
      </c>
      <c r="AL2" s="111">
        <f>Economic!L4</f>
        <v>0</v>
      </c>
      <c r="AM2" s="111">
        <f>Economic!M4</f>
        <v>0</v>
      </c>
      <c r="AN2" s="111">
        <f>Economic!N4</f>
        <v>0</v>
      </c>
      <c r="AO2" s="111">
        <f>Economic!O4</f>
        <v>0</v>
      </c>
      <c r="AP2" s="28">
        <f>Weather!D2</f>
        <v>-8.6215725806451591</v>
      </c>
      <c r="AQ2" s="28">
        <f>Weather!E2</f>
        <v>887.26875000000007</v>
      </c>
      <c r="AR2" s="28">
        <f>Weather!F2</f>
        <v>0</v>
      </c>
      <c r="AS2" s="28">
        <f>Weather!G2</f>
        <v>825.26875000000007</v>
      </c>
      <c r="AT2" s="28">
        <f>Weather!H2</f>
        <v>0</v>
      </c>
      <c r="AU2" s="28">
        <f>Weather!I2</f>
        <v>763.26875000000018</v>
      </c>
      <c r="AV2" s="28">
        <f>Weather!J2</f>
        <v>0</v>
      </c>
      <c r="AW2" s="28">
        <f>Weather!K2</f>
        <v>701.26875000000018</v>
      </c>
      <c r="AX2" s="28">
        <f>Weather!L2</f>
        <v>0</v>
      </c>
      <c r="AY2" s="28">
        <f>Weather!M2</f>
        <v>639.26875000000007</v>
      </c>
      <c r="AZ2" s="28">
        <f>Weather!N2</f>
        <v>0</v>
      </c>
      <c r="BA2" s="28">
        <f>Weather!O2</f>
        <v>577.26874999999995</v>
      </c>
      <c r="BB2" s="28">
        <f>Weather!P2</f>
        <v>0</v>
      </c>
      <c r="BC2" s="28">
        <f>Weather!Q2</f>
        <v>515.26875000000007</v>
      </c>
      <c r="BD2" s="28">
        <f>Weather!R2</f>
        <v>0</v>
      </c>
      <c r="BE2">
        <v>1</v>
      </c>
      <c r="BF2">
        <v>0</v>
      </c>
      <c r="BG2">
        <v>0</v>
      </c>
      <c r="BH2">
        <v>0</v>
      </c>
      <c r="BI2">
        <v>0</v>
      </c>
      <c r="BJ2">
        <v>0</v>
      </c>
      <c r="BK2">
        <v>0</v>
      </c>
      <c r="BL2">
        <v>0</v>
      </c>
      <c r="BM2">
        <v>0</v>
      </c>
      <c r="BN2">
        <v>0</v>
      </c>
      <c r="BO2">
        <v>0</v>
      </c>
      <c r="BP2">
        <v>0</v>
      </c>
      <c r="BQ2">
        <v>0</v>
      </c>
      <c r="BR2">
        <v>0</v>
      </c>
      <c r="BS2">
        <v>0</v>
      </c>
      <c r="BT2" s="1">
        <v>1</v>
      </c>
      <c r="BU2">
        <v>31</v>
      </c>
      <c r="BV2">
        <v>22</v>
      </c>
      <c r="BW2">
        <v>0</v>
      </c>
      <c r="BX2">
        <v>0</v>
      </c>
      <c r="BY2">
        <v>0</v>
      </c>
      <c r="BZ2">
        <v>0</v>
      </c>
      <c r="CA2">
        <f t="shared" ref="CA2:CA65" si="2">$BX2*AQ2</f>
        <v>0</v>
      </c>
      <c r="CB2">
        <f t="shared" ref="CB2:CB65" si="3">$BX2*AR2</f>
        <v>0</v>
      </c>
      <c r="CC2">
        <f t="shared" ref="CC2:CC65" si="4">$BX2*AS2</f>
        <v>0</v>
      </c>
      <c r="CD2">
        <f t="shared" ref="CD2:CD65" si="5">$BX2*AT2</f>
        <v>0</v>
      </c>
      <c r="CE2">
        <f t="shared" ref="CE2:CE65" si="6">$BX2*AU2</f>
        <v>0</v>
      </c>
      <c r="CF2">
        <f t="shared" ref="CF2:CF65" si="7">$BX2*AV2</f>
        <v>0</v>
      </c>
      <c r="CG2">
        <f t="shared" ref="CG2:CG65" si="8">$BX2*AW2</f>
        <v>0</v>
      </c>
      <c r="CH2">
        <f t="shared" ref="CH2:CH65" si="9">$BX2*AX2</f>
        <v>0</v>
      </c>
      <c r="CI2">
        <f t="shared" ref="CI2:CI65" si="10">$BX2*AY2</f>
        <v>0</v>
      </c>
      <c r="CJ2">
        <f t="shared" ref="CJ2:CJ65" si="11">$BX2*AZ2</f>
        <v>0</v>
      </c>
      <c r="CK2">
        <f t="shared" ref="CK2:CK65" si="12">$BX2*BA2</f>
        <v>0</v>
      </c>
      <c r="CL2">
        <f t="shared" ref="CL2:CL65" si="13">$BX2*BB2</f>
        <v>0</v>
      </c>
      <c r="CM2">
        <f t="shared" ref="CM2:CM65" si="14">$BX2*BC2</f>
        <v>0</v>
      </c>
      <c r="CN2">
        <f t="shared" ref="CN2:CN65" si="15">$BX2*BD2</f>
        <v>0</v>
      </c>
      <c r="CO2" s="14">
        <f t="shared" ref="CO2:CO20" si="16">$BY2*AQ2</f>
        <v>0</v>
      </c>
      <c r="CP2" s="14">
        <f t="shared" ref="CP2:CP65" si="17">$BY2*AR2</f>
        <v>0</v>
      </c>
      <c r="CQ2" s="14">
        <f t="shared" ref="CQ2:CQ65" si="18">$BY2*AS2</f>
        <v>0</v>
      </c>
      <c r="CR2" s="14">
        <f t="shared" ref="CR2:CR65" si="19">$BY2*AT2</f>
        <v>0</v>
      </c>
      <c r="CS2" s="14">
        <f t="shared" ref="CS2:CS65" si="20">$BY2*AU2</f>
        <v>0</v>
      </c>
      <c r="CT2" s="14">
        <f t="shared" ref="CT2:CT65" si="21">$BY2*AV2</f>
        <v>0</v>
      </c>
      <c r="CU2" s="14">
        <f t="shared" ref="CU2:CU65" si="22">$BY2*AW2</f>
        <v>0</v>
      </c>
      <c r="CV2" s="14">
        <f t="shared" ref="CV2:CV65" si="23">$BY2*AX2</f>
        <v>0</v>
      </c>
      <c r="CW2" s="14">
        <f t="shared" ref="CW2:CW65" si="24">$BY2*AY2</f>
        <v>0</v>
      </c>
      <c r="CX2" s="14">
        <f t="shared" ref="CX2:CX65" si="25">$BY2*AZ2</f>
        <v>0</v>
      </c>
      <c r="CY2" s="14">
        <f t="shared" ref="CY2:CY65" si="26">$BY2*BA2</f>
        <v>0</v>
      </c>
      <c r="CZ2" s="14">
        <f t="shared" ref="CZ2:CZ65" si="27">$BY2*BB2</f>
        <v>0</v>
      </c>
      <c r="DA2" s="14">
        <f t="shared" ref="DA2:DA65" si="28">$BY2*BC2</f>
        <v>0</v>
      </c>
      <c r="DB2" s="14">
        <f t="shared" ref="DB2:DB65" si="29">$BY2*BD2</f>
        <v>0</v>
      </c>
      <c r="DC2" s="72">
        <f>F2/G2</f>
        <v>1.9835180108994046</v>
      </c>
      <c r="DD2" s="72">
        <f t="shared" ref="DD2:DD65" si="30">DC2/BU2</f>
        <v>6.3984451964496925E-2</v>
      </c>
      <c r="DE2" s="71">
        <f>F2/BU2</f>
        <v>604.2051799007445</v>
      </c>
      <c r="DF2" s="72">
        <f>J2/K2</f>
        <v>13.519271701595619</v>
      </c>
      <c r="DG2" s="72">
        <f t="shared" ref="DG2:DG65" si="31">DF2/BU2</f>
        <v>0.43610553876114899</v>
      </c>
      <c r="DH2" s="72">
        <f>J2/BU2</f>
        <v>563.44835607940445</v>
      </c>
      <c r="DI2" s="72">
        <f>N2/P2</f>
        <v>106.38733974358973</v>
      </c>
      <c r="DJ2" s="72">
        <f t="shared" ref="DJ2:DJ65" si="32">DI2/BU2</f>
        <v>3.4318496691480558</v>
      </c>
      <c r="DK2" s="72">
        <f t="shared" ref="DK2:DK65" si="33">DI2/BV2</f>
        <v>4.8357881701631698</v>
      </c>
      <c r="DL2" s="72">
        <f>N2/BU2</f>
        <v>514.77745037220836</v>
      </c>
      <c r="DM2" s="72">
        <f>N2/BV2</f>
        <v>725.36822552447552</v>
      </c>
      <c r="DN2" s="1">
        <v>0</v>
      </c>
      <c r="DO2" s="1">
        <v>0</v>
      </c>
    </row>
    <row r="3" spans="1:119">
      <c r="A3" s="93">
        <f>EOMONTH(A2,0)+1</f>
        <v>42401</v>
      </c>
      <c r="B3" s="4">
        <f t="shared" si="0"/>
        <v>2016</v>
      </c>
      <c r="C3" s="4">
        <f t="shared" si="1"/>
        <v>2</v>
      </c>
      <c r="D3" s="56">
        <v>0</v>
      </c>
      <c r="E3" s="56">
        <f>IFERROR(VLOOKUP($B3-1,CDM!$J$6:$P$19,2,FALSE)/12,0)+IFERROR(VLOOKUP($B3,CDM!$J$37:$M$48,2,FALSE)/24,0)+IFERROR(VLOOKUP($B3,CDM!$J$37:$M$48,2,FALSE)/2*$C3/78,0)</f>
        <v>21227.741987179485</v>
      </c>
      <c r="F3" s="56">
        <f t="shared" ref="F3:F66" si="34">D3+E3</f>
        <v>21227.741987179485</v>
      </c>
      <c r="G3" s="301">
        <v>9443</v>
      </c>
      <c r="H3" s="56">
        <v>0</v>
      </c>
      <c r="I3" s="56">
        <f>IFERROR(VLOOKUP($B3-1,CDM!$J$6:$P$19,3,FALSE)/12,0)+IFERROR(VLOOKUP($B3,CDM!$J$37:$M$47,3,FALSE)/24,0)+IFERROR(VLOOKUP($B3,CDM!$J$37:$M$47,3,FALSE)/2*$C3/78,0)</f>
        <v>19795.81891025641</v>
      </c>
      <c r="J3" s="56">
        <f t="shared" ref="J3:J66" si="35">H3+I3</f>
        <v>19795.81891025641</v>
      </c>
      <c r="K3" s="6">
        <v>1292</v>
      </c>
      <c r="L3" s="5">
        <v>0</v>
      </c>
      <c r="M3" s="2">
        <f>IFERROR(VLOOKUP($B3-1,CDM!$J$6:$P$19,4,FALSE)/12,0)+IFERROR(VLOOKUP($B3,CDM!$J$37:$M$47,4,FALSE)/24,0)+IFERROR(VLOOKUP($B3,CDM!$J$37:$M$47,4,FALSE)/2*$C3/78,0)</f>
        <v>18085.847756410258</v>
      </c>
      <c r="N3" s="56">
        <f t="shared" ref="N3:N66" si="36">L3+M3</f>
        <v>18085.847756410258</v>
      </c>
      <c r="O3" s="5">
        <v>0</v>
      </c>
      <c r="P3" s="6">
        <v>150</v>
      </c>
      <c r="Q3" s="5">
        <v>0</v>
      </c>
      <c r="R3" s="5">
        <v>0</v>
      </c>
      <c r="S3" s="6">
        <v>2794</v>
      </c>
      <c r="T3" s="6">
        <v>0</v>
      </c>
      <c r="U3" s="6">
        <v>0</v>
      </c>
      <c r="V3" s="6">
        <v>183</v>
      </c>
      <c r="W3" s="5">
        <v>0</v>
      </c>
      <c r="X3" s="1">
        <v>19</v>
      </c>
      <c r="Y3" s="56">
        <v>118530</v>
      </c>
      <c r="Z3" s="56">
        <v>3864</v>
      </c>
      <c r="AA3" s="71">
        <f>L3-Y3</f>
        <v>-118530</v>
      </c>
      <c r="AB3" s="71">
        <f>N3-Z3</f>
        <v>14221.847756410258</v>
      </c>
      <c r="AC3" s="5">
        <f>O3-Z3</f>
        <v>-3864</v>
      </c>
      <c r="AD3" s="111">
        <f>Economic!H5</f>
        <v>743976.2</v>
      </c>
      <c r="AE3" s="111">
        <f>Economic!I5</f>
        <v>743835</v>
      </c>
      <c r="AF3" s="111">
        <f>Economic!D5</f>
        <v>6899.5</v>
      </c>
      <c r="AG3" s="111">
        <f>Economic!E5</f>
        <v>6829.1</v>
      </c>
      <c r="AH3" s="111">
        <f>Economic!F5</f>
        <v>557.6</v>
      </c>
      <c r="AI3" s="111">
        <f>Economic!G5</f>
        <v>554.20000000000005</v>
      </c>
      <c r="AJ3" s="111">
        <f>Economic!J5</f>
        <v>0</v>
      </c>
      <c r="AK3" s="111">
        <f>Economic!K5</f>
        <v>0</v>
      </c>
      <c r="AL3" s="111">
        <f>Economic!L5</f>
        <v>0</v>
      </c>
      <c r="AM3" s="111">
        <f>Economic!M5</f>
        <v>0</v>
      </c>
      <c r="AN3" s="111">
        <f>Economic!N5</f>
        <v>0</v>
      </c>
      <c r="AO3" s="111">
        <f>Economic!O5</f>
        <v>0</v>
      </c>
      <c r="AP3" s="28">
        <f>Weather!D3</f>
        <v>-9.8030172413793117</v>
      </c>
      <c r="AQ3" s="28">
        <f>Weather!E3</f>
        <v>864.28750000000002</v>
      </c>
      <c r="AR3" s="28">
        <f>Weather!F3</f>
        <v>0</v>
      </c>
      <c r="AS3" s="28">
        <f>Weather!G3</f>
        <v>806.28750000000002</v>
      </c>
      <c r="AT3" s="28">
        <f>Weather!H3</f>
        <v>0</v>
      </c>
      <c r="AU3" s="28">
        <f>Weather!I3</f>
        <v>748.28750000000002</v>
      </c>
      <c r="AV3" s="28">
        <f>Weather!J3</f>
        <v>0</v>
      </c>
      <c r="AW3" s="28">
        <f>Weather!K3</f>
        <v>690.28749999999991</v>
      </c>
      <c r="AX3" s="28">
        <f>Weather!L3</f>
        <v>0</v>
      </c>
      <c r="AY3" s="28">
        <f>Weather!M3</f>
        <v>632.28750000000014</v>
      </c>
      <c r="AZ3" s="28">
        <f>Weather!N3</f>
        <v>0</v>
      </c>
      <c r="BA3" s="28">
        <f>Weather!O3</f>
        <v>574.28750000000002</v>
      </c>
      <c r="BB3" s="28">
        <f>Weather!P3</f>
        <v>0</v>
      </c>
      <c r="BC3" s="28">
        <f>Weather!Q3</f>
        <v>516.28750000000002</v>
      </c>
      <c r="BD3" s="28">
        <f>Weather!R3</f>
        <v>0</v>
      </c>
      <c r="BE3">
        <v>0</v>
      </c>
      <c r="BF3">
        <v>1</v>
      </c>
      <c r="BG3">
        <v>0</v>
      </c>
      <c r="BH3">
        <v>0</v>
      </c>
      <c r="BI3">
        <v>0</v>
      </c>
      <c r="BJ3">
        <v>0</v>
      </c>
      <c r="BK3">
        <v>0</v>
      </c>
      <c r="BL3">
        <v>0</v>
      </c>
      <c r="BM3">
        <v>0</v>
      </c>
      <c r="BN3">
        <v>0</v>
      </c>
      <c r="BO3">
        <v>0</v>
      </c>
      <c r="BP3">
        <v>0</v>
      </c>
      <c r="BQ3">
        <v>0</v>
      </c>
      <c r="BR3">
        <v>0</v>
      </c>
      <c r="BS3">
        <v>0</v>
      </c>
      <c r="BT3" s="1">
        <f t="shared" ref="BT3:BT65" si="37">1+BT2</f>
        <v>2</v>
      </c>
      <c r="BU3">
        <v>28</v>
      </c>
      <c r="BV3">
        <v>19</v>
      </c>
      <c r="BW3">
        <v>0</v>
      </c>
      <c r="BX3">
        <v>0</v>
      </c>
      <c r="BY3">
        <v>0</v>
      </c>
      <c r="BZ3">
        <v>0</v>
      </c>
      <c r="CA3">
        <f t="shared" si="2"/>
        <v>0</v>
      </c>
      <c r="CB3">
        <f t="shared" si="3"/>
        <v>0</v>
      </c>
      <c r="CC3">
        <f t="shared" si="4"/>
        <v>0</v>
      </c>
      <c r="CD3">
        <f t="shared" si="5"/>
        <v>0</v>
      </c>
      <c r="CE3">
        <f t="shared" si="6"/>
        <v>0</v>
      </c>
      <c r="CF3">
        <f t="shared" si="7"/>
        <v>0</v>
      </c>
      <c r="CG3">
        <f t="shared" si="8"/>
        <v>0</v>
      </c>
      <c r="CH3">
        <f t="shared" si="9"/>
        <v>0</v>
      </c>
      <c r="CI3">
        <f t="shared" si="10"/>
        <v>0</v>
      </c>
      <c r="CJ3">
        <f t="shared" si="11"/>
        <v>0</v>
      </c>
      <c r="CK3">
        <f t="shared" si="12"/>
        <v>0</v>
      </c>
      <c r="CL3">
        <f t="shared" si="13"/>
        <v>0</v>
      </c>
      <c r="CM3">
        <f t="shared" si="14"/>
        <v>0</v>
      </c>
      <c r="CN3">
        <f t="shared" si="15"/>
        <v>0</v>
      </c>
      <c r="CO3" s="14">
        <f t="shared" si="16"/>
        <v>0</v>
      </c>
      <c r="CP3" s="14">
        <f t="shared" si="17"/>
        <v>0</v>
      </c>
      <c r="CQ3" s="14">
        <f t="shared" si="18"/>
        <v>0</v>
      </c>
      <c r="CR3" s="14">
        <f t="shared" si="19"/>
        <v>0</v>
      </c>
      <c r="CS3" s="14">
        <f t="shared" si="20"/>
        <v>0</v>
      </c>
      <c r="CT3" s="14">
        <f t="shared" si="21"/>
        <v>0</v>
      </c>
      <c r="CU3" s="14">
        <f t="shared" si="22"/>
        <v>0</v>
      </c>
      <c r="CV3" s="14">
        <f t="shared" si="23"/>
        <v>0</v>
      </c>
      <c r="CW3" s="14">
        <f t="shared" si="24"/>
        <v>0</v>
      </c>
      <c r="CX3" s="14">
        <f t="shared" si="25"/>
        <v>0</v>
      </c>
      <c r="CY3" s="14">
        <f t="shared" si="26"/>
        <v>0</v>
      </c>
      <c r="CZ3" s="14">
        <f t="shared" si="27"/>
        <v>0</v>
      </c>
      <c r="DA3" s="14">
        <f t="shared" si="28"/>
        <v>0</v>
      </c>
      <c r="DB3" s="14">
        <f t="shared" si="29"/>
        <v>0</v>
      </c>
      <c r="DC3" s="72">
        <f>F3/G3</f>
        <v>2.247987079019325</v>
      </c>
      <c r="DD3" s="72">
        <f t="shared" si="30"/>
        <v>8.0285252822118749E-2</v>
      </c>
      <c r="DE3" s="71">
        <f>F3/BU3</f>
        <v>758.13364239926727</v>
      </c>
      <c r="DF3" s="72">
        <f>J3/K3</f>
        <v>15.321841261808366</v>
      </c>
      <c r="DG3" s="72">
        <f t="shared" si="31"/>
        <v>0.54720861649315589</v>
      </c>
      <c r="DH3" s="72">
        <f>J3/BU3</f>
        <v>706.99353250915749</v>
      </c>
      <c r="DI3" s="72">
        <f>N3/P3</f>
        <v>120.57231837606838</v>
      </c>
      <c r="DJ3" s="72">
        <f t="shared" si="32"/>
        <v>4.3061542277167275</v>
      </c>
      <c r="DK3" s="72">
        <f t="shared" si="33"/>
        <v>6.3459114934772831</v>
      </c>
      <c r="DL3" s="72">
        <f>N3/BU3</f>
        <v>645.92313415750925</v>
      </c>
      <c r="DM3" s="72">
        <f>N3/BV3</f>
        <v>951.8867240215925</v>
      </c>
      <c r="DN3" s="1">
        <v>0</v>
      </c>
      <c r="DO3" s="1">
        <v>0</v>
      </c>
    </row>
    <row r="4" spans="1:119">
      <c r="A4" s="93">
        <f t="shared" ref="A4:A67" si="38">EOMONTH(A3,0)+1</f>
        <v>42430</v>
      </c>
      <c r="B4" s="4">
        <f t="shared" si="0"/>
        <v>2016</v>
      </c>
      <c r="C4" s="4">
        <f t="shared" si="1"/>
        <v>3</v>
      </c>
      <c r="D4" s="56">
        <v>0</v>
      </c>
      <c r="E4" s="56">
        <f>IFERROR(VLOOKUP($B4-1,CDM!$J$6:$P$19,2,FALSE)/12,0)+IFERROR(VLOOKUP($B4,CDM!$J$37:$M$48,2,FALSE)/24,0)+IFERROR(VLOOKUP($B4,CDM!$J$37:$M$48,2,FALSE)/2*$C4/78,0)</f>
        <v>23725.123397435898</v>
      </c>
      <c r="F4" s="56">
        <f t="shared" si="34"/>
        <v>23725.123397435898</v>
      </c>
      <c r="G4" s="301">
        <v>9443</v>
      </c>
      <c r="H4" s="56">
        <v>0</v>
      </c>
      <c r="I4" s="56">
        <f>IFERROR(VLOOKUP($B4-1,CDM!$J$6:$P$19,3,FALSE)/12,0)+IFERROR(VLOOKUP($B4,CDM!$J$37:$M$47,3,FALSE)/24,0)+IFERROR(VLOOKUP($B4,CDM!$J$37:$M$47,3,FALSE)/2*$C4/78,0)</f>
        <v>22124.738782051281</v>
      </c>
      <c r="J4" s="56">
        <f t="shared" si="35"/>
        <v>22124.738782051281</v>
      </c>
      <c r="K4" s="6">
        <v>1292</v>
      </c>
      <c r="L4" s="5">
        <v>0</v>
      </c>
      <c r="M4" s="2">
        <f>IFERROR(VLOOKUP($B4-1,CDM!$J$6:$P$19,4,FALSE)/12,0)+IFERROR(VLOOKUP($B4,CDM!$J$37:$M$47,4,FALSE)/24,0)+IFERROR(VLOOKUP($B4,CDM!$J$37:$M$47,4,FALSE)/2*$C4/78,0)</f>
        <v>20213.594551282051</v>
      </c>
      <c r="N4" s="56">
        <f t="shared" si="36"/>
        <v>20213.594551282051</v>
      </c>
      <c r="O4" s="5">
        <v>0</v>
      </c>
      <c r="P4" s="6">
        <v>150</v>
      </c>
      <c r="Q4" s="5">
        <v>0</v>
      </c>
      <c r="R4" s="5">
        <v>0</v>
      </c>
      <c r="S4" s="6">
        <v>2794</v>
      </c>
      <c r="T4" s="6">
        <v>0</v>
      </c>
      <c r="U4" s="6">
        <v>0</v>
      </c>
      <c r="V4" s="6">
        <v>183</v>
      </c>
      <c r="W4" s="5">
        <v>0</v>
      </c>
      <c r="X4" s="1">
        <v>19</v>
      </c>
      <c r="Y4" s="56">
        <v>558</v>
      </c>
      <c r="Z4" s="56">
        <v>336</v>
      </c>
      <c r="AA4" s="71">
        <f>L4-Y4</f>
        <v>-558</v>
      </c>
      <c r="AB4" s="71">
        <f>N4-Y4</f>
        <v>19655.594551282051</v>
      </c>
      <c r="AC4" s="5">
        <f>O4-Z4</f>
        <v>-336</v>
      </c>
      <c r="AD4" s="111">
        <f>Economic!H6</f>
        <v>743976.2</v>
      </c>
      <c r="AE4" s="111">
        <f>Economic!I6</f>
        <v>743835</v>
      </c>
      <c r="AF4" s="111">
        <f>Economic!D6</f>
        <v>6908.6</v>
      </c>
      <c r="AG4" s="111">
        <f>Economic!E6</f>
        <v>6808.7</v>
      </c>
      <c r="AH4" s="111">
        <f>Economic!F6</f>
        <v>559.70000000000005</v>
      </c>
      <c r="AI4" s="111">
        <f>Economic!G6</f>
        <v>555.6</v>
      </c>
      <c r="AJ4" s="111">
        <f>Economic!J6</f>
        <v>0</v>
      </c>
      <c r="AK4" s="111">
        <f>Economic!K6</f>
        <v>0</v>
      </c>
      <c r="AL4" s="111">
        <f>Economic!L6</f>
        <v>0</v>
      </c>
      <c r="AM4" s="111">
        <f>Economic!M6</f>
        <v>0</v>
      </c>
      <c r="AN4" s="111">
        <f>Economic!N6</f>
        <v>0</v>
      </c>
      <c r="AO4" s="111">
        <f>Economic!O6</f>
        <v>0</v>
      </c>
      <c r="AP4" s="28">
        <f>Weather!D4</f>
        <v>-2.3917338709677409</v>
      </c>
      <c r="AQ4" s="28">
        <f>Weather!E4</f>
        <v>694.14374999999995</v>
      </c>
      <c r="AR4" s="28">
        <f>Weather!F4</f>
        <v>0</v>
      </c>
      <c r="AS4" s="28">
        <f>Weather!G4</f>
        <v>632.14374999999984</v>
      </c>
      <c r="AT4" s="28">
        <f>Weather!H4</f>
        <v>0</v>
      </c>
      <c r="AU4" s="28">
        <f>Weather!I4</f>
        <v>570.14374999999995</v>
      </c>
      <c r="AV4" s="28">
        <f>Weather!J4</f>
        <v>0</v>
      </c>
      <c r="AW4" s="28">
        <f>Weather!K4</f>
        <v>508.14374999999995</v>
      </c>
      <c r="AX4" s="28">
        <f>Weather!L4</f>
        <v>0</v>
      </c>
      <c r="AY4" s="28">
        <f>Weather!M4</f>
        <v>446.14374999999995</v>
      </c>
      <c r="AZ4" s="28">
        <f>Weather!N4</f>
        <v>0</v>
      </c>
      <c r="BA4" s="28">
        <f>Weather!O4</f>
        <v>384.14374999999995</v>
      </c>
      <c r="BB4" s="28">
        <f>Weather!P4</f>
        <v>0</v>
      </c>
      <c r="BC4" s="28">
        <f>Weather!Q4</f>
        <v>322.14374999999995</v>
      </c>
      <c r="BD4" s="28">
        <f>Weather!R4</f>
        <v>0</v>
      </c>
      <c r="BE4">
        <v>0</v>
      </c>
      <c r="BF4">
        <v>0</v>
      </c>
      <c r="BG4">
        <v>1</v>
      </c>
      <c r="BH4">
        <v>0</v>
      </c>
      <c r="BI4">
        <v>0</v>
      </c>
      <c r="BJ4">
        <v>0</v>
      </c>
      <c r="BK4">
        <v>0</v>
      </c>
      <c r="BL4">
        <v>0</v>
      </c>
      <c r="BM4">
        <v>0</v>
      </c>
      <c r="BN4">
        <v>0</v>
      </c>
      <c r="BO4">
        <v>0</v>
      </c>
      <c r="BP4">
        <v>0</v>
      </c>
      <c r="BQ4">
        <v>1</v>
      </c>
      <c r="BR4">
        <v>0</v>
      </c>
      <c r="BS4">
        <v>1</v>
      </c>
      <c r="BT4" s="1">
        <f t="shared" si="37"/>
        <v>3</v>
      </c>
      <c r="BU4">
        <v>31</v>
      </c>
      <c r="BV4">
        <v>21</v>
      </c>
      <c r="BW4">
        <v>0</v>
      </c>
      <c r="BX4">
        <v>0</v>
      </c>
      <c r="BY4">
        <v>0</v>
      </c>
      <c r="BZ4">
        <v>0</v>
      </c>
      <c r="CA4">
        <f t="shared" si="2"/>
        <v>0</v>
      </c>
      <c r="CB4">
        <f t="shared" si="3"/>
        <v>0</v>
      </c>
      <c r="CC4">
        <f t="shared" si="4"/>
        <v>0</v>
      </c>
      <c r="CD4">
        <f t="shared" si="5"/>
        <v>0</v>
      </c>
      <c r="CE4">
        <f t="shared" si="6"/>
        <v>0</v>
      </c>
      <c r="CF4">
        <f t="shared" si="7"/>
        <v>0</v>
      </c>
      <c r="CG4">
        <f t="shared" si="8"/>
        <v>0</v>
      </c>
      <c r="CH4">
        <f t="shared" si="9"/>
        <v>0</v>
      </c>
      <c r="CI4">
        <f t="shared" si="10"/>
        <v>0</v>
      </c>
      <c r="CJ4">
        <f t="shared" si="11"/>
        <v>0</v>
      </c>
      <c r="CK4">
        <f t="shared" si="12"/>
        <v>0</v>
      </c>
      <c r="CL4">
        <f t="shared" si="13"/>
        <v>0</v>
      </c>
      <c r="CM4">
        <f t="shared" si="14"/>
        <v>0</v>
      </c>
      <c r="CN4">
        <f t="shared" si="15"/>
        <v>0</v>
      </c>
      <c r="CO4" s="14">
        <f t="shared" si="16"/>
        <v>0</v>
      </c>
      <c r="CP4" s="14">
        <f t="shared" si="17"/>
        <v>0</v>
      </c>
      <c r="CQ4" s="14">
        <f t="shared" si="18"/>
        <v>0</v>
      </c>
      <c r="CR4" s="14">
        <f t="shared" si="19"/>
        <v>0</v>
      </c>
      <c r="CS4" s="14">
        <f t="shared" si="20"/>
        <v>0</v>
      </c>
      <c r="CT4" s="14">
        <f t="shared" si="21"/>
        <v>0</v>
      </c>
      <c r="CU4" s="14">
        <f t="shared" si="22"/>
        <v>0</v>
      </c>
      <c r="CV4" s="14">
        <f t="shared" si="23"/>
        <v>0</v>
      </c>
      <c r="CW4" s="14">
        <f t="shared" si="24"/>
        <v>0</v>
      </c>
      <c r="CX4" s="14">
        <f t="shared" si="25"/>
        <v>0</v>
      </c>
      <c r="CY4" s="14">
        <f t="shared" si="26"/>
        <v>0</v>
      </c>
      <c r="CZ4" s="14">
        <f t="shared" si="27"/>
        <v>0</v>
      </c>
      <c r="DA4" s="14">
        <f t="shared" si="28"/>
        <v>0</v>
      </c>
      <c r="DB4" s="14">
        <f t="shared" si="29"/>
        <v>0</v>
      </c>
      <c r="DC4" s="72">
        <f>F4/G4</f>
        <v>2.5124561471392459</v>
      </c>
      <c r="DD4" s="72">
        <f t="shared" si="30"/>
        <v>8.1046972488362776E-2</v>
      </c>
      <c r="DE4" s="71">
        <f>F4/BU4</f>
        <v>765.32656120760964</v>
      </c>
      <c r="DF4" s="72">
        <f>J4/K4</f>
        <v>17.124410822021115</v>
      </c>
      <c r="DG4" s="72">
        <f t="shared" si="31"/>
        <v>0.55240034909745528</v>
      </c>
      <c r="DH4" s="72">
        <f>J4/BU4</f>
        <v>713.70125103391229</v>
      </c>
      <c r="DI4" s="72">
        <f>N4/P4</f>
        <v>134.757297008547</v>
      </c>
      <c r="DJ4" s="72">
        <f t="shared" si="32"/>
        <v>4.3470095809208713</v>
      </c>
      <c r="DK4" s="72">
        <f t="shared" si="33"/>
        <v>6.4170141432641428</v>
      </c>
      <c r="DL4" s="72">
        <f>N4/BU4</f>
        <v>652.05143713813072</v>
      </c>
      <c r="DM4" s="72">
        <f>N4/BV4</f>
        <v>962.55212148962141</v>
      </c>
      <c r="DN4" s="1">
        <v>0</v>
      </c>
      <c r="DO4" s="1">
        <v>0</v>
      </c>
    </row>
    <row r="5" spans="1:119">
      <c r="A5" s="93">
        <f t="shared" si="38"/>
        <v>42461</v>
      </c>
      <c r="B5" s="4">
        <f t="shared" si="0"/>
        <v>2016</v>
      </c>
      <c r="C5" s="4">
        <f t="shared" si="1"/>
        <v>4</v>
      </c>
      <c r="D5" s="56">
        <v>0</v>
      </c>
      <c r="E5" s="56">
        <f>IFERROR(VLOOKUP($B5-1,CDM!$J$6:$P$19,2,FALSE)/12,0)+IFERROR(VLOOKUP($B5,CDM!$J$37:$M$48,2,FALSE)/24,0)+IFERROR(VLOOKUP($B5,CDM!$J$37:$M$48,2,FALSE)/2*$C5/78,0)</f>
        <v>26222.504807692305</v>
      </c>
      <c r="F5" s="56">
        <f t="shared" si="34"/>
        <v>26222.504807692305</v>
      </c>
      <c r="G5" s="301">
        <v>9491</v>
      </c>
      <c r="H5" s="56">
        <v>0</v>
      </c>
      <c r="I5" s="56">
        <f>IFERROR(VLOOKUP($B5-1,CDM!$J$6:$P$19,3,FALSE)/12,0)+IFERROR(VLOOKUP($B5,CDM!$J$37:$M$47,3,FALSE)/24,0)+IFERROR(VLOOKUP($B5,CDM!$J$37:$M$47,3,FALSE)/2*$C5/78,0)</f>
        <v>24453.658653846152</v>
      </c>
      <c r="J5" s="56">
        <f t="shared" si="35"/>
        <v>24453.658653846152</v>
      </c>
      <c r="K5" s="6">
        <v>1291</v>
      </c>
      <c r="L5" s="5">
        <v>0</v>
      </c>
      <c r="M5" s="2">
        <f>IFERROR(VLOOKUP($B5-1,CDM!$J$6:$P$19,4,FALSE)/12,0)+IFERROR(VLOOKUP($B5,CDM!$J$37:$M$47,4,FALSE)/24,0)+IFERROR(VLOOKUP($B5,CDM!$J$37:$M$47,4,FALSE)/2*$C5/78,0)</f>
        <v>22341.341346153844</v>
      </c>
      <c r="N5" s="56">
        <f t="shared" si="36"/>
        <v>22341.341346153844</v>
      </c>
      <c r="O5" s="5">
        <v>0</v>
      </c>
      <c r="P5" s="6">
        <v>149</v>
      </c>
      <c r="Q5" s="5">
        <v>0</v>
      </c>
      <c r="R5" s="5">
        <v>0</v>
      </c>
      <c r="S5" s="6">
        <v>2833</v>
      </c>
      <c r="T5" s="6">
        <v>0</v>
      </c>
      <c r="U5" s="6">
        <v>0</v>
      </c>
      <c r="V5" s="6">
        <v>182</v>
      </c>
      <c r="W5" s="5">
        <v>0</v>
      </c>
      <c r="X5" s="1">
        <v>19</v>
      </c>
      <c r="Y5" s="56">
        <v>6</v>
      </c>
      <c r="Z5" s="56">
        <v>24</v>
      </c>
      <c r="AA5" s="71">
        <f>L5-Y5</f>
        <v>-6</v>
      </c>
      <c r="AB5" s="71">
        <f>N5-Y5</f>
        <v>22335.341346153844</v>
      </c>
      <c r="AC5" s="5">
        <f>O5-Z5</f>
        <v>-24</v>
      </c>
      <c r="AD5" s="111">
        <f>Economic!H7</f>
        <v>743976.2</v>
      </c>
      <c r="AE5" s="111">
        <f>Economic!I7</f>
        <v>740829</v>
      </c>
      <c r="AF5" s="111">
        <f>Economic!D7</f>
        <v>6909</v>
      </c>
      <c r="AG5" s="111">
        <f>Economic!E7</f>
        <v>6823.1</v>
      </c>
      <c r="AH5" s="111">
        <f>Economic!F7</f>
        <v>556.9</v>
      </c>
      <c r="AI5" s="111">
        <f>Economic!G7</f>
        <v>555.4</v>
      </c>
      <c r="AJ5" s="111">
        <f>Economic!J7</f>
        <v>0</v>
      </c>
      <c r="AK5" s="111">
        <f>Economic!K7</f>
        <v>0</v>
      </c>
      <c r="AL5" s="111">
        <f>Economic!L7</f>
        <v>0</v>
      </c>
      <c r="AM5" s="111">
        <f>Economic!M7</f>
        <v>0</v>
      </c>
      <c r="AN5" s="111">
        <f>Economic!N7</f>
        <v>0</v>
      </c>
      <c r="AO5" s="111">
        <f>Economic!O7</f>
        <v>0</v>
      </c>
      <c r="AP5" s="28">
        <f>Weather!D5</f>
        <v>1.8519444444444446</v>
      </c>
      <c r="AQ5" s="28">
        <f>Weather!E5</f>
        <v>544.44166666666672</v>
      </c>
      <c r="AR5" s="28">
        <f>Weather!F5</f>
        <v>0</v>
      </c>
      <c r="AS5" s="28">
        <f>Weather!G5</f>
        <v>484.44166666666678</v>
      </c>
      <c r="AT5" s="28">
        <f>Weather!H5</f>
        <v>0</v>
      </c>
      <c r="AU5" s="28">
        <f>Weather!I5</f>
        <v>424.44166666666678</v>
      </c>
      <c r="AV5" s="28">
        <f>Weather!J5</f>
        <v>0</v>
      </c>
      <c r="AW5" s="28">
        <f>Weather!K5</f>
        <v>364.44166666666678</v>
      </c>
      <c r="AX5" s="28">
        <f>Weather!L5</f>
        <v>0</v>
      </c>
      <c r="AY5" s="28">
        <f>Weather!M5</f>
        <v>304.44166666666672</v>
      </c>
      <c r="AZ5" s="28">
        <f>Weather!N5</f>
        <v>0</v>
      </c>
      <c r="BA5" s="28">
        <f>Weather!O5</f>
        <v>244.44166666666663</v>
      </c>
      <c r="BB5" s="28">
        <f>Weather!P5</f>
        <v>0</v>
      </c>
      <c r="BC5" s="28">
        <f>Weather!Q5</f>
        <v>187.72916666666663</v>
      </c>
      <c r="BD5" s="28">
        <f>Weather!R5</f>
        <v>3.2875000000000014</v>
      </c>
      <c r="BE5">
        <v>0</v>
      </c>
      <c r="BF5">
        <v>0</v>
      </c>
      <c r="BG5">
        <v>0</v>
      </c>
      <c r="BH5">
        <v>1</v>
      </c>
      <c r="BI5">
        <v>0</v>
      </c>
      <c r="BJ5">
        <v>0</v>
      </c>
      <c r="BK5">
        <v>0</v>
      </c>
      <c r="BL5">
        <v>0</v>
      </c>
      <c r="BM5">
        <v>0</v>
      </c>
      <c r="BN5">
        <v>0</v>
      </c>
      <c r="BO5">
        <v>0</v>
      </c>
      <c r="BP5">
        <v>0</v>
      </c>
      <c r="BQ5">
        <v>1</v>
      </c>
      <c r="BR5">
        <v>0</v>
      </c>
      <c r="BS5">
        <v>1</v>
      </c>
      <c r="BT5" s="1">
        <f t="shared" si="37"/>
        <v>4</v>
      </c>
      <c r="BU5">
        <v>30</v>
      </c>
      <c r="BV5">
        <v>20</v>
      </c>
      <c r="BW5">
        <v>0</v>
      </c>
      <c r="BX5">
        <v>0</v>
      </c>
      <c r="BY5">
        <v>0</v>
      </c>
      <c r="BZ5">
        <v>0</v>
      </c>
      <c r="CA5">
        <f t="shared" si="2"/>
        <v>0</v>
      </c>
      <c r="CB5">
        <f t="shared" si="3"/>
        <v>0</v>
      </c>
      <c r="CC5">
        <f t="shared" si="4"/>
        <v>0</v>
      </c>
      <c r="CD5">
        <f t="shared" si="5"/>
        <v>0</v>
      </c>
      <c r="CE5">
        <f t="shared" si="6"/>
        <v>0</v>
      </c>
      <c r="CF5">
        <f t="shared" si="7"/>
        <v>0</v>
      </c>
      <c r="CG5">
        <f t="shared" si="8"/>
        <v>0</v>
      </c>
      <c r="CH5">
        <f t="shared" si="9"/>
        <v>0</v>
      </c>
      <c r="CI5">
        <f t="shared" si="10"/>
        <v>0</v>
      </c>
      <c r="CJ5">
        <f t="shared" si="11"/>
        <v>0</v>
      </c>
      <c r="CK5">
        <f t="shared" si="12"/>
        <v>0</v>
      </c>
      <c r="CL5">
        <f t="shared" si="13"/>
        <v>0</v>
      </c>
      <c r="CM5">
        <f t="shared" si="14"/>
        <v>0</v>
      </c>
      <c r="CN5">
        <f t="shared" si="15"/>
        <v>0</v>
      </c>
      <c r="CO5" s="14">
        <f t="shared" si="16"/>
        <v>0</v>
      </c>
      <c r="CP5" s="14">
        <f t="shared" si="17"/>
        <v>0</v>
      </c>
      <c r="CQ5" s="14">
        <f t="shared" si="18"/>
        <v>0</v>
      </c>
      <c r="CR5" s="14">
        <f t="shared" si="19"/>
        <v>0</v>
      </c>
      <c r="CS5" s="14">
        <f t="shared" si="20"/>
        <v>0</v>
      </c>
      <c r="CT5" s="14">
        <f t="shared" si="21"/>
        <v>0</v>
      </c>
      <c r="CU5" s="14">
        <f t="shared" si="22"/>
        <v>0</v>
      </c>
      <c r="CV5" s="14">
        <f t="shared" si="23"/>
        <v>0</v>
      </c>
      <c r="CW5" s="14">
        <f t="shared" si="24"/>
        <v>0</v>
      </c>
      <c r="CX5" s="14">
        <f t="shared" si="25"/>
        <v>0</v>
      </c>
      <c r="CY5" s="14">
        <f t="shared" si="26"/>
        <v>0</v>
      </c>
      <c r="CZ5" s="14">
        <f t="shared" si="27"/>
        <v>0</v>
      </c>
      <c r="DA5" s="14">
        <f t="shared" si="28"/>
        <v>0</v>
      </c>
      <c r="DB5" s="14">
        <f t="shared" si="29"/>
        <v>0</v>
      </c>
      <c r="DC5" s="72">
        <f>F5/G5</f>
        <v>2.7628811303015808</v>
      </c>
      <c r="DD5" s="72">
        <f t="shared" si="30"/>
        <v>9.2096037676719353E-2</v>
      </c>
      <c r="DE5" s="71">
        <f>F5/BU5</f>
        <v>874.08349358974351</v>
      </c>
      <c r="DF5" s="72">
        <f>J5/K5</f>
        <v>18.941641095155813</v>
      </c>
      <c r="DG5" s="72">
        <f t="shared" si="31"/>
        <v>0.63138803650519371</v>
      </c>
      <c r="DH5" s="72">
        <f>J5/BU5</f>
        <v>815.12195512820506</v>
      </c>
      <c r="DI5" s="72">
        <f>N5/P5</f>
        <v>149.94188822922044</v>
      </c>
      <c r="DJ5" s="72">
        <f t="shared" si="32"/>
        <v>4.9980629409740143</v>
      </c>
      <c r="DK5" s="72">
        <f t="shared" si="33"/>
        <v>7.4970944114610223</v>
      </c>
      <c r="DL5" s="72">
        <f>N5/BU5</f>
        <v>744.71137820512809</v>
      </c>
      <c r="DM5" s="72">
        <f>N5/BV5</f>
        <v>1117.0670673076922</v>
      </c>
      <c r="DN5" s="1">
        <v>0</v>
      </c>
      <c r="DO5" s="1">
        <v>0</v>
      </c>
    </row>
    <row r="6" spans="1:119">
      <c r="A6" s="93">
        <f t="shared" si="38"/>
        <v>42491</v>
      </c>
      <c r="B6" s="4">
        <f t="shared" si="0"/>
        <v>2016</v>
      </c>
      <c r="C6" s="4">
        <f t="shared" si="1"/>
        <v>5</v>
      </c>
      <c r="D6" s="56">
        <v>0</v>
      </c>
      <c r="E6" s="56">
        <f>IFERROR(VLOOKUP($B6-1,CDM!$J$6:$P$19,2,FALSE)/12,0)+IFERROR(VLOOKUP($B6,CDM!$J$37:$M$48,2,FALSE)/24,0)+IFERROR(VLOOKUP($B6,CDM!$J$37:$M$48,2,FALSE)/2*$C6/78,0)</f>
        <v>28719.886217948719</v>
      </c>
      <c r="F6" s="56">
        <f t="shared" si="34"/>
        <v>28719.886217948719</v>
      </c>
      <c r="G6" s="301">
        <v>9491</v>
      </c>
      <c r="H6" s="56">
        <v>0</v>
      </c>
      <c r="I6" s="56">
        <f>IFERROR(VLOOKUP($B6-1,CDM!$J$6:$P$19,3,FALSE)/12,0)+IFERROR(VLOOKUP($B6,CDM!$J$37:$M$47,3,FALSE)/24,0)+IFERROR(VLOOKUP($B6,CDM!$J$37:$M$47,3,FALSE)/2*$C6/78,0)</f>
        <v>26782.578525641024</v>
      </c>
      <c r="J6" s="56">
        <f t="shared" si="35"/>
        <v>26782.578525641024</v>
      </c>
      <c r="K6" s="6">
        <v>1291</v>
      </c>
      <c r="L6" s="5">
        <v>0</v>
      </c>
      <c r="M6" s="2">
        <f>IFERROR(VLOOKUP($B6-1,CDM!$J$6:$P$19,4,FALSE)/12,0)+IFERROR(VLOOKUP($B6,CDM!$J$37:$M$47,4,FALSE)/24,0)+IFERROR(VLOOKUP($B6,CDM!$J$37:$M$47,4,FALSE)/2*$C6/78,0)</f>
        <v>24469.088141025641</v>
      </c>
      <c r="N6" s="56">
        <f t="shared" si="36"/>
        <v>24469.088141025641</v>
      </c>
      <c r="O6" s="5">
        <v>0</v>
      </c>
      <c r="P6" s="6">
        <v>149</v>
      </c>
      <c r="Q6" s="5">
        <v>0</v>
      </c>
      <c r="R6" s="5">
        <v>0</v>
      </c>
      <c r="S6" s="6">
        <v>2833</v>
      </c>
      <c r="T6" s="6">
        <v>0</v>
      </c>
      <c r="U6" s="6">
        <v>0</v>
      </c>
      <c r="V6" s="6">
        <v>182</v>
      </c>
      <c r="W6" s="5">
        <v>0</v>
      </c>
      <c r="X6" s="1">
        <v>19</v>
      </c>
      <c r="Y6" s="56">
        <v>22242</v>
      </c>
      <c r="Z6" s="56">
        <v>3696</v>
      </c>
      <c r="AA6" s="71">
        <f>L6-Y6</f>
        <v>-22242</v>
      </c>
      <c r="AB6" s="71">
        <f>N6-Y6</f>
        <v>2227.0881410256407</v>
      </c>
      <c r="AC6" s="5">
        <f>O6-Z6</f>
        <v>-3696</v>
      </c>
      <c r="AD6" s="111">
        <f>Economic!H8</f>
        <v>743976.2</v>
      </c>
      <c r="AE6" s="111">
        <f>Economic!I8</f>
        <v>740829</v>
      </c>
      <c r="AF6" s="111">
        <f>Economic!D8</f>
        <v>6919.1</v>
      </c>
      <c r="AG6" s="111">
        <f>Economic!E8</f>
        <v>6889.6</v>
      </c>
      <c r="AH6" s="111">
        <f>Economic!F8</f>
        <v>561.4</v>
      </c>
      <c r="AI6" s="111">
        <f>Economic!G8</f>
        <v>562.4</v>
      </c>
      <c r="AJ6" s="111">
        <f>Economic!J8</f>
        <v>0</v>
      </c>
      <c r="AK6" s="111">
        <f>Economic!K8</f>
        <v>0</v>
      </c>
      <c r="AL6" s="111">
        <f>Economic!L8</f>
        <v>0</v>
      </c>
      <c r="AM6" s="111">
        <f>Economic!M8</f>
        <v>0</v>
      </c>
      <c r="AN6" s="111">
        <f>Economic!N8</f>
        <v>0</v>
      </c>
      <c r="AO6" s="111">
        <f>Economic!O8</f>
        <v>0</v>
      </c>
      <c r="AP6" s="28">
        <f>Weather!D6</f>
        <v>13.282123655913979</v>
      </c>
      <c r="AQ6" s="28">
        <f>Weather!E6</f>
        <v>215.85833333333335</v>
      </c>
      <c r="AR6" s="28">
        <f>Weather!F6</f>
        <v>7.6041666666666643</v>
      </c>
      <c r="AS6" s="28">
        <f>Weather!G6</f>
        <v>163.84583333333336</v>
      </c>
      <c r="AT6" s="28">
        <f>Weather!H6</f>
        <v>17.591666666666661</v>
      </c>
      <c r="AU6" s="28">
        <f>Weather!I6</f>
        <v>118.72916666666667</v>
      </c>
      <c r="AV6" s="28">
        <f>Weather!J6</f>
        <v>34.47499999999998</v>
      </c>
      <c r="AW6" s="28">
        <f>Weather!K6</f>
        <v>82.825000000000003</v>
      </c>
      <c r="AX6" s="28">
        <f>Weather!L6</f>
        <v>60.570833333333312</v>
      </c>
      <c r="AY6" s="28">
        <f>Weather!M6</f>
        <v>52.483333333333327</v>
      </c>
      <c r="AZ6" s="28">
        <f>Weather!N6</f>
        <v>92.229166666666643</v>
      </c>
      <c r="BA6" s="28">
        <f>Weather!O6</f>
        <v>29.30833333333333</v>
      </c>
      <c r="BB6" s="28">
        <f>Weather!P6</f>
        <v>131.05416666666662</v>
      </c>
      <c r="BC6" s="28">
        <f>Weather!Q6</f>
        <v>14.225000000000001</v>
      </c>
      <c r="BD6" s="28">
        <f>Weather!R6</f>
        <v>177.9708333333333</v>
      </c>
      <c r="BE6">
        <v>0</v>
      </c>
      <c r="BF6">
        <v>0</v>
      </c>
      <c r="BG6">
        <v>0</v>
      </c>
      <c r="BH6">
        <v>0</v>
      </c>
      <c r="BI6">
        <v>1</v>
      </c>
      <c r="BJ6">
        <v>0</v>
      </c>
      <c r="BK6">
        <v>0</v>
      </c>
      <c r="BL6">
        <v>0</v>
      </c>
      <c r="BM6">
        <v>0</v>
      </c>
      <c r="BN6">
        <v>0</v>
      </c>
      <c r="BO6">
        <v>0</v>
      </c>
      <c r="BP6">
        <v>0</v>
      </c>
      <c r="BQ6">
        <v>1</v>
      </c>
      <c r="BR6">
        <v>0</v>
      </c>
      <c r="BS6">
        <v>1</v>
      </c>
      <c r="BT6" s="1">
        <f t="shared" si="37"/>
        <v>5</v>
      </c>
      <c r="BU6">
        <v>31</v>
      </c>
      <c r="BV6">
        <v>22</v>
      </c>
      <c r="BW6">
        <v>0</v>
      </c>
      <c r="BX6">
        <v>0</v>
      </c>
      <c r="BY6">
        <v>0</v>
      </c>
      <c r="BZ6">
        <v>0</v>
      </c>
      <c r="CA6">
        <f t="shared" si="2"/>
        <v>0</v>
      </c>
      <c r="CB6">
        <f t="shared" si="3"/>
        <v>0</v>
      </c>
      <c r="CC6">
        <f t="shared" si="4"/>
        <v>0</v>
      </c>
      <c r="CD6">
        <f t="shared" si="5"/>
        <v>0</v>
      </c>
      <c r="CE6">
        <f t="shared" si="6"/>
        <v>0</v>
      </c>
      <c r="CF6">
        <f t="shared" si="7"/>
        <v>0</v>
      </c>
      <c r="CG6">
        <f t="shared" si="8"/>
        <v>0</v>
      </c>
      <c r="CH6">
        <f t="shared" si="9"/>
        <v>0</v>
      </c>
      <c r="CI6">
        <f t="shared" si="10"/>
        <v>0</v>
      </c>
      <c r="CJ6">
        <f t="shared" si="11"/>
        <v>0</v>
      </c>
      <c r="CK6">
        <f t="shared" si="12"/>
        <v>0</v>
      </c>
      <c r="CL6">
        <f t="shared" si="13"/>
        <v>0</v>
      </c>
      <c r="CM6">
        <f t="shared" si="14"/>
        <v>0</v>
      </c>
      <c r="CN6">
        <f t="shared" si="15"/>
        <v>0</v>
      </c>
      <c r="CO6" s="14">
        <f t="shared" si="16"/>
        <v>0</v>
      </c>
      <c r="CP6" s="14">
        <f t="shared" si="17"/>
        <v>0</v>
      </c>
      <c r="CQ6" s="14">
        <f t="shared" si="18"/>
        <v>0</v>
      </c>
      <c r="CR6" s="14">
        <f t="shared" si="19"/>
        <v>0</v>
      </c>
      <c r="CS6" s="14">
        <f t="shared" si="20"/>
        <v>0</v>
      </c>
      <c r="CT6" s="14">
        <f t="shared" si="21"/>
        <v>0</v>
      </c>
      <c r="CU6" s="14">
        <f t="shared" si="22"/>
        <v>0</v>
      </c>
      <c r="CV6" s="14">
        <f t="shared" si="23"/>
        <v>0</v>
      </c>
      <c r="CW6" s="14">
        <f t="shared" si="24"/>
        <v>0</v>
      </c>
      <c r="CX6" s="14">
        <f t="shared" si="25"/>
        <v>0</v>
      </c>
      <c r="CY6" s="14">
        <f t="shared" si="26"/>
        <v>0</v>
      </c>
      <c r="CZ6" s="14">
        <f t="shared" si="27"/>
        <v>0</v>
      </c>
      <c r="DA6" s="14">
        <f t="shared" si="28"/>
        <v>0</v>
      </c>
      <c r="DB6" s="14">
        <f t="shared" si="29"/>
        <v>0</v>
      </c>
      <c r="DC6" s="72">
        <f>F6/G6</f>
        <v>3.0260126665207796</v>
      </c>
      <c r="DD6" s="72">
        <f t="shared" si="30"/>
        <v>9.7613311823250962E-2</v>
      </c>
      <c r="DE6" s="71">
        <f>F6/BU6</f>
        <v>926.44794251447479</v>
      </c>
      <c r="DF6" s="72">
        <f>J6/K6</f>
        <v>20.74560691374208</v>
      </c>
      <c r="DG6" s="72">
        <f t="shared" si="31"/>
        <v>0.66921312624974449</v>
      </c>
      <c r="DH6" s="72">
        <f>J6/BU6</f>
        <v>863.95414598842012</v>
      </c>
      <c r="DI6" s="72">
        <f>N6/P6</f>
        <v>164.22206806057477</v>
      </c>
      <c r="DJ6" s="72">
        <f t="shared" si="32"/>
        <v>5.297486066470154</v>
      </c>
      <c r="DK6" s="72">
        <f t="shared" si="33"/>
        <v>7.464639457298853</v>
      </c>
      <c r="DL6" s="72">
        <f>N6/BU6</f>
        <v>789.32542390405297</v>
      </c>
      <c r="DM6" s="72">
        <f>N6/BV6</f>
        <v>1112.2312791375291</v>
      </c>
      <c r="DN6" s="1">
        <v>0</v>
      </c>
      <c r="DO6" s="1">
        <v>0</v>
      </c>
    </row>
    <row r="7" spans="1:119">
      <c r="A7" s="93">
        <f t="shared" si="38"/>
        <v>42522</v>
      </c>
      <c r="B7" s="4">
        <f t="shared" si="0"/>
        <v>2016</v>
      </c>
      <c r="C7" s="4">
        <f t="shared" si="1"/>
        <v>6</v>
      </c>
      <c r="D7" s="56">
        <v>0</v>
      </c>
      <c r="E7" s="56">
        <f>IFERROR(VLOOKUP($B7-1,CDM!$J$6:$P$19,2,FALSE)/12,0)+IFERROR(VLOOKUP($B7,CDM!$J$37:$M$48,2,FALSE)/24,0)+IFERROR(VLOOKUP($B7,CDM!$J$37:$M$48,2,FALSE)/2*$C7/78,0)</f>
        <v>31217.267628205125</v>
      </c>
      <c r="F7" s="56">
        <f t="shared" si="34"/>
        <v>31217.267628205125</v>
      </c>
      <c r="G7" s="301">
        <v>9491</v>
      </c>
      <c r="H7" s="56">
        <v>0</v>
      </c>
      <c r="I7" s="56">
        <f>IFERROR(VLOOKUP($B7-1,CDM!$J$6:$P$19,3,FALSE)/12,0)+IFERROR(VLOOKUP($B7,CDM!$J$37:$M$47,3,FALSE)/24,0)+IFERROR(VLOOKUP($B7,CDM!$J$37:$M$47,3,FALSE)/2*$C7/78,0)</f>
        <v>29111.498397435898</v>
      </c>
      <c r="J7" s="56">
        <f t="shared" si="35"/>
        <v>29111.498397435898</v>
      </c>
      <c r="K7" s="6">
        <v>1291</v>
      </c>
      <c r="L7" s="5">
        <v>0</v>
      </c>
      <c r="M7" s="2">
        <f>IFERROR(VLOOKUP($B7-1,CDM!$J$6:$P$19,4,FALSE)/12,0)+IFERROR(VLOOKUP($B7,CDM!$J$37:$M$47,4,FALSE)/24,0)+IFERROR(VLOOKUP($B7,CDM!$J$37:$M$47,4,FALSE)/2*$C7/78,0)</f>
        <v>26596.834935897437</v>
      </c>
      <c r="N7" s="56">
        <f t="shared" si="36"/>
        <v>26596.834935897437</v>
      </c>
      <c r="O7" s="5">
        <v>0</v>
      </c>
      <c r="P7" s="6">
        <v>149</v>
      </c>
      <c r="Q7" s="5">
        <v>0</v>
      </c>
      <c r="R7" s="5">
        <v>0</v>
      </c>
      <c r="S7" s="6">
        <v>2833</v>
      </c>
      <c r="T7" s="6">
        <v>0</v>
      </c>
      <c r="U7" s="6">
        <v>0</v>
      </c>
      <c r="V7" s="6">
        <v>182</v>
      </c>
      <c r="W7" s="5">
        <v>0</v>
      </c>
      <c r="X7" s="1">
        <v>19</v>
      </c>
      <c r="Y7" s="56">
        <v>6738</v>
      </c>
      <c r="Z7" s="56">
        <v>1224</v>
      </c>
      <c r="AA7" s="71">
        <f>L7-Y7</f>
        <v>-6738</v>
      </c>
      <c r="AB7" s="71">
        <f>N7-Y7</f>
        <v>19858.834935897437</v>
      </c>
      <c r="AC7" s="5">
        <f>O7-Z7</f>
        <v>-1224</v>
      </c>
      <c r="AD7" s="111">
        <f>Economic!H9</f>
        <v>743976.2</v>
      </c>
      <c r="AE7" s="111">
        <f>Economic!I9</f>
        <v>740829</v>
      </c>
      <c r="AF7" s="111">
        <f>Economic!D9</f>
        <v>6930</v>
      </c>
      <c r="AG7" s="111">
        <f>Economic!E9</f>
        <v>6973</v>
      </c>
      <c r="AH7" s="111">
        <f>Economic!F9</f>
        <v>564.4</v>
      </c>
      <c r="AI7" s="111">
        <f>Economic!G9</f>
        <v>568.20000000000005</v>
      </c>
      <c r="AJ7" s="111">
        <f>Economic!J9</f>
        <v>0</v>
      </c>
      <c r="AK7" s="111">
        <f>Economic!K9</f>
        <v>0</v>
      </c>
      <c r="AL7" s="111">
        <f>Economic!L9</f>
        <v>0</v>
      </c>
      <c r="AM7" s="111">
        <f>Economic!M9</f>
        <v>0</v>
      </c>
      <c r="AN7" s="111">
        <f>Economic!N9</f>
        <v>0</v>
      </c>
      <c r="AO7" s="111">
        <f>Economic!O9</f>
        <v>0</v>
      </c>
      <c r="AP7" s="28">
        <f>Weather!D7</f>
        <v>17.330277777777777</v>
      </c>
      <c r="AQ7" s="28">
        <f>Weather!E7</f>
        <v>99.395833333333343</v>
      </c>
      <c r="AR7" s="28">
        <f>Weather!F7</f>
        <v>19.304166666666667</v>
      </c>
      <c r="AS7" s="28">
        <f>Weather!G7</f>
        <v>59.649999999999984</v>
      </c>
      <c r="AT7" s="28">
        <f>Weather!H7</f>
        <v>39.558333333333337</v>
      </c>
      <c r="AU7" s="28">
        <f>Weather!I7</f>
        <v>34.066666666666663</v>
      </c>
      <c r="AV7" s="28">
        <f>Weather!J7</f>
        <v>73.974999999999994</v>
      </c>
      <c r="AW7" s="28">
        <f>Weather!K7</f>
        <v>16.004166666666663</v>
      </c>
      <c r="AX7" s="28">
        <f>Weather!L7</f>
        <v>115.91250000000001</v>
      </c>
      <c r="AY7" s="28">
        <f>Weather!M7</f>
        <v>5.6750000000000007</v>
      </c>
      <c r="AZ7" s="28">
        <f>Weather!N7</f>
        <v>165.58333333333331</v>
      </c>
      <c r="BA7" s="28">
        <f>Weather!O7</f>
        <v>0.97083333333333321</v>
      </c>
      <c r="BB7" s="28">
        <f>Weather!P7</f>
        <v>220.87916666666666</v>
      </c>
      <c r="BC7" s="28">
        <f>Weather!Q7</f>
        <v>0</v>
      </c>
      <c r="BD7" s="28">
        <f>Weather!R7</f>
        <v>279.9083333333333</v>
      </c>
      <c r="BE7">
        <v>0</v>
      </c>
      <c r="BF7">
        <v>0</v>
      </c>
      <c r="BG7">
        <v>0</v>
      </c>
      <c r="BH7">
        <v>0</v>
      </c>
      <c r="BI7">
        <v>0</v>
      </c>
      <c r="BJ7">
        <v>1</v>
      </c>
      <c r="BK7">
        <v>0</v>
      </c>
      <c r="BL7">
        <v>0</v>
      </c>
      <c r="BM7">
        <v>0</v>
      </c>
      <c r="BN7">
        <v>0</v>
      </c>
      <c r="BO7">
        <v>0</v>
      </c>
      <c r="BP7">
        <v>0</v>
      </c>
      <c r="BQ7">
        <v>0</v>
      </c>
      <c r="BR7">
        <v>0</v>
      </c>
      <c r="BS7">
        <v>0</v>
      </c>
      <c r="BT7" s="1">
        <f t="shared" si="37"/>
        <v>6</v>
      </c>
      <c r="BU7">
        <v>30</v>
      </c>
      <c r="BV7">
        <v>21</v>
      </c>
      <c r="BW7">
        <v>0</v>
      </c>
      <c r="BX7">
        <v>0</v>
      </c>
      <c r="BY7">
        <v>0</v>
      </c>
      <c r="BZ7">
        <v>0</v>
      </c>
      <c r="CA7">
        <f t="shared" si="2"/>
        <v>0</v>
      </c>
      <c r="CB7">
        <f t="shared" si="3"/>
        <v>0</v>
      </c>
      <c r="CC7">
        <f t="shared" si="4"/>
        <v>0</v>
      </c>
      <c r="CD7">
        <f t="shared" si="5"/>
        <v>0</v>
      </c>
      <c r="CE7">
        <f t="shared" si="6"/>
        <v>0</v>
      </c>
      <c r="CF7">
        <f t="shared" si="7"/>
        <v>0</v>
      </c>
      <c r="CG7">
        <f t="shared" si="8"/>
        <v>0</v>
      </c>
      <c r="CH7">
        <f t="shared" si="9"/>
        <v>0</v>
      </c>
      <c r="CI7">
        <f t="shared" si="10"/>
        <v>0</v>
      </c>
      <c r="CJ7">
        <f t="shared" si="11"/>
        <v>0</v>
      </c>
      <c r="CK7">
        <f t="shared" si="12"/>
        <v>0</v>
      </c>
      <c r="CL7">
        <f t="shared" si="13"/>
        <v>0</v>
      </c>
      <c r="CM7">
        <f t="shared" si="14"/>
        <v>0</v>
      </c>
      <c r="CN7">
        <f t="shared" si="15"/>
        <v>0</v>
      </c>
      <c r="CO7" s="14">
        <f t="shared" si="16"/>
        <v>0</v>
      </c>
      <c r="CP7" s="14">
        <f t="shared" si="17"/>
        <v>0</v>
      </c>
      <c r="CQ7" s="14">
        <f t="shared" si="18"/>
        <v>0</v>
      </c>
      <c r="CR7" s="14">
        <f t="shared" si="19"/>
        <v>0</v>
      </c>
      <c r="CS7" s="14">
        <f t="shared" si="20"/>
        <v>0</v>
      </c>
      <c r="CT7" s="14">
        <f t="shared" si="21"/>
        <v>0</v>
      </c>
      <c r="CU7" s="14">
        <f t="shared" si="22"/>
        <v>0</v>
      </c>
      <c r="CV7" s="14">
        <f t="shared" si="23"/>
        <v>0</v>
      </c>
      <c r="CW7" s="14">
        <f t="shared" si="24"/>
        <v>0</v>
      </c>
      <c r="CX7" s="14">
        <f t="shared" si="25"/>
        <v>0</v>
      </c>
      <c r="CY7" s="14">
        <f t="shared" si="26"/>
        <v>0</v>
      </c>
      <c r="CZ7" s="14">
        <f t="shared" si="27"/>
        <v>0</v>
      </c>
      <c r="DA7" s="14">
        <f t="shared" si="28"/>
        <v>0</v>
      </c>
      <c r="DB7" s="14">
        <f t="shared" si="29"/>
        <v>0</v>
      </c>
      <c r="DC7" s="72">
        <f>F7/G7</f>
        <v>3.2891442027399775</v>
      </c>
      <c r="DD7" s="72">
        <f t="shared" si="30"/>
        <v>0.10963814009133259</v>
      </c>
      <c r="DE7" s="71">
        <f>F7/BU7</f>
        <v>1040.5755876068374</v>
      </c>
      <c r="DF7" s="72">
        <f>J7/K7</f>
        <v>22.54957273232835</v>
      </c>
      <c r="DG7" s="72">
        <f t="shared" si="31"/>
        <v>0.75165242441094504</v>
      </c>
      <c r="DH7" s="72">
        <f>J7/BU7</f>
        <v>970.38327991452991</v>
      </c>
      <c r="DI7" s="72">
        <f>N7/P7</f>
        <v>178.5022478919291</v>
      </c>
      <c r="DJ7" s="72">
        <f t="shared" si="32"/>
        <v>5.9500749297309703</v>
      </c>
      <c r="DK7" s="72">
        <f t="shared" si="33"/>
        <v>8.5001070424728145</v>
      </c>
      <c r="DL7" s="72">
        <f>N7/BU7</f>
        <v>886.56116452991455</v>
      </c>
      <c r="DM7" s="72">
        <f>N7/BV7</f>
        <v>1266.5159493284493</v>
      </c>
      <c r="DN7" s="1">
        <v>0</v>
      </c>
      <c r="DO7" s="1">
        <v>0</v>
      </c>
    </row>
    <row r="8" spans="1:119">
      <c r="A8" s="93">
        <f t="shared" si="38"/>
        <v>42552</v>
      </c>
      <c r="B8" s="4">
        <f t="shared" si="0"/>
        <v>2016</v>
      </c>
      <c r="C8" s="4">
        <f t="shared" si="1"/>
        <v>7</v>
      </c>
      <c r="D8" s="56">
        <v>0</v>
      </c>
      <c r="E8" s="56">
        <f>IFERROR(VLOOKUP($B8-1,CDM!$J$6:$P$19,2,FALSE)/12,0)+IFERROR(VLOOKUP($B8,CDM!$J$37:$M$48,2,FALSE)/24,0)+IFERROR(VLOOKUP($B8,CDM!$J$37:$M$48,2,FALSE)/2*$C8/78,0)</f>
        <v>33714.649038461539</v>
      </c>
      <c r="F8" s="56">
        <f t="shared" si="34"/>
        <v>33714.649038461539</v>
      </c>
      <c r="G8" s="301">
        <v>9540</v>
      </c>
      <c r="H8" s="56">
        <v>0</v>
      </c>
      <c r="I8" s="56">
        <f>IFERROR(VLOOKUP($B8-1,CDM!$J$6:$P$19,3,FALSE)/12,0)+IFERROR(VLOOKUP($B8,CDM!$J$37:$M$47,3,FALSE)/24,0)+IFERROR(VLOOKUP($B8,CDM!$J$37:$M$47,3,FALSE)/2*$C8/78,0)</f>
        <v>31440.41826923077</v>
      </c>
      <c r="J8" s="56">
        <f t="shared" si="35"/>
        <v>31440.41826923077</v>
      </c>
      <c r="K8" s="6">
        <v>1293</v>
      </c>
      <c r="L8" s="5">
        <v>0</v>
      </c>
      <c r="M8" s="2">
        <f>IFERROR(VLOOKUP($B8-1,CDM!$J$6:$P$19,4,FALSE)/12,0)+IFERROR(VLOOKUP($B8,CDM!$J$37:$M$47,4,FALSE)/24,0)+IFERROR(VLOOKUP($B8,CDM!$J$37:$M$47,4,FALSE)/2*$C8/78,0)</f>
        <v>28724.58173076923</v>
      </c>
      <c r="N8" s="56">
        <f t="shared" si="36"/>
        <v>28724.58173076923</v>
      </c>
      <c r="O8" s="5">
        <v>0</v>
      </c>
      <c r="P8" s="6">
        <v>150</v>
      </c>
      <c r="Q8" s="5">
        <v>0</v>
      </c>
      <c r="R8" s="5">
        <v>0</v>
      </c>
      <c r="S8" s="6">
        <v>2816</v>
      </c>
      <c r="T8" s="6">
        <v>0</v>
      </c>
      <c r="U8" s="6">
        <v>0</v>
      </c>
      <c r="V8" s="6">
        <v>182</v>
      </c>
      <c r="W8" s="5">
        <v>0</v>
      </c>
      <c r="X8" s="1">
        <v>19</v>
      </c>
      <c r="Y8" s="56">
        <v>21684</v>
      </c>
      <c r="Z8" s="56">
        <v>4992</v>
      </c>
      <c r="AA8" s="71">
        <f>L8-Y8</f>
        <v>-21684</v>
      </c>
      <c r="AB8" s="71">
        <f>N8-Y8</f>
        <v>7040.5817307692305</v>
      </c>
      <c r="AC8" s="5">
        <f>O8-Z8</f>
        <v>-4992</v>
      </c>
      <c r="AD8" s="111">
        <f>Economic!H10</f>
        <v>743976.2</v>
      </c>
      <c r="AE8" s="111">
        <f>Economic!I10</f>
        <v>746710</v>
      </c>
      <c r="AF8" s="111">
        <f>Economic!D10</f>
        <v>6933.8</v>
      </c>
      <c r="AG8" s="111">
        <f>Economic!E10</f>
        <v>7021.7</v>
      </c>
      <c r="AH8" s="111">
        <f>Economic!F10</f>
        <v>570.70000000000005</v>
      </c>
      <c r="AI8" s="111">
        <f>Economic!G10</f>
        <v>576.4</v>
      </c>
      <c r="AJ8" s="111">
        <f>Economic!J10</f>
        <v>0</v>
      </c>
      <c r="AK8" s="111">
        <f>Economic!K10</f>
        <v>0</v>
      </c>
      <c r="AL8" s="111">
        <f>Economic!L10</f>
        <v>0</v>
      </c>
      <c r="AM8" s="111">
        <f>Economic!M10</f>
        <v>0</v>
      </c>
      <c r="AN8" s="111">
        <f>Economic!N10</f>
        <v>0</v>
      </c>
      <c r="AO8" s="111">
        <f>Economic!O10</f>
        <v>0</v>
      </c>
      <c r="AP8" s="28">
        <f>Weather!D8</f>
        <v>20.335349462365592</v>
      </c>
      <c r="AQ8" s="28">
        <f>Weather!E8</f>
        <v>31.595833333333335</v>
      </c>
      <c r="AR8" s="28">
        <f>Weather!F8</f>
        <v>41.99166666666666</v>
      </c>
      <c r="AS8" s="28">
        <f>Weather!G8</f>
        <v>7.4374999999999911</v>
      </c>
      <c r="AT8" s="28">
        <f>Weather!H8</f>
        <v>79.833333333333329</v>
      </c>
      <c r="AU8" s="28">
        <f>Weather!I8</f>
        <v>0.48749999999999538</v>
      </c>
      <c r="AV8" s="28">
        <f>Weather!J8</f>
        <v>134.88333333333335</v>
      </c>
      <c r="AW8" s="28">
        <f>Weather!K8</f>
        <v>0</v>
      </c>
      <c r="AX8" s="28">
        <f>Weather!L8</f>
        <v>196.39583333333337</v>
      </c>
      <c r="AY8" s="28">
        <f>Weather!M8</f>
        <v>0</v>
      </c>
      <c r="AZ8" s="28">
        <f>Weather!N8</f>
        <v>258.39583333333337</v>
      </c>
      <c r="BA8" s="28">
        <f>Weather!O8</f>
        <v>0</v>
      </c>
      <c r="BB8" s="28">
        <f>Weather!P8</f>
        <v>320.39583333333326</v>
      </c>
      <c r="BC8" s="28">
        <f>Weather!Q8</f>
        <v>0</v>
      </c>
      <c r="BD8" s="28">
        <f>Weather!R8</f>
        <v>382.3958333333332</v>
      </c>
      <c r="BE8">
        <v>0</v>
      </c>
      <c r="BF8">
        <v>0</v>
      </c>
      <c r="BG8">
        <v>0</v>
      </c>
      <c r="BH8">
        <v>0</v>
      </c>
      <c r="BI8">
        <v>0</v>
      </c>
      <c r="BJ8">
        <v>0</v>
      </c>
      <c r="BK8">
        <v>1</v>
      </c>
      <c r="BL8">
        <v>0</v>
      </c>
      <c r="BM8">
        <v>0</v>
      </c>
      <c r="BN8">
        <v>0</v>
      </c>
      <c r="BO8">
        <v>0</v>
      </c>
      <c r="BP8">
        <v>0</v>
      </c>
      <c r="BQ8">
        <v>0</v>
      </c>
      <c r="BR8">
        <v>0</v>
      </c>
      <c r="BS8">
        <v>0</v>
      </c>
      <c r="BT8" s="1">
        <f t="shared" si="37"/>
        <v>7</v>
      </c>
      <c r="BU8">
        <v>31</v>
      </c>
      <c r="BV8">
        <v>22</v>
      </c>
      <c r="BW8">
        <v>0</v>
      </c>
      <c r="BX8">
        <v>0</v>
      </c>
      <c r="BY8">
        <v>0</v>
      </c>
      <c r="BZ8">
        <v>0</v>
      </c>
      <c r="CA8">
        <f t="shared" si="2"/>
        <v>0</v>
      </c>
      <c r="CB8">
        <f t="shared" si="3"/>
        <v>0</v>
      </c>
      <c r="CC8">
        <f t="shared" si="4"/>
        <v>0</v>
      </c>
      <c r="CD8">
        <f t="shared" si="5"/>
        <v>0</v>
      </c>
      <c r="CE8">
        <f t="shared" si="6"/>
        <v>0</v>
      </c>
      <c r="CF8">
        <f t="shared" si="7"/>
        <v>0</v>
      </c>
      <c r="CG8">
        <f t="shared" si="8"/>
        <v>0</v>
      </c>
      <c r="CH8">
        <f t="shared" si="9"/>
        <v>0</v>
      </c>
      <c r="CI8">
        <f t="shared" si="10"/>
        <v>0</v>
      </c>
      <c r="CJ8">
        <f t="shared" si="11"/>
        <v>0</v>
      </c>
      <c r="CK8">
        <f t="shared" si="12"/>
        <v>0</v>
      </c>
      <c r="CL8">
        <f t="shared" si="13"/>
        <v>0</v>
      </c>
      <c r="CM8">
        <f t="shared" si="14"/>
        <v>0</v>
      </c>
      <c r="CN8">
        <f t="shared" si="15"/>
        <v>0</v>
      </c>
      <c r="CO8" s="14">
        <f t="shared" si="16"/>
        <v>0</v>
      </c>
      <c r="CP8" s="14">
        <f t="shared" si="17"/>
        <v>0</v>
      </c>
      <c r="CQ8" s="14">
        <f t="shared" si="18"/>
        <v>0</v>
      </c>
      <c r="CR8" s="14">
        <f t="shared" si="19"/>
        <v>0</v>
      </c>
      <c r="CS8" s="14">
        <f t="shared" si="20"/>
        <v>0</v>
      </c>
      <c r="CT8" s="14">
        <f t="shared" si="21"/>
        <v>0</v>
      </c>
      <c r="CU8" s="14">
        <f t="shared" si="22"/>
        <v>0</v>
      </c>
      <c r="CV8" s="14">
        <f t="shared" si="23"/>
        <v>0</v>
      </c>
      <c r="CW8" s="14">
        <f t="shared" si="24"/>
        <v>0</v>
      </c>
      <c r="CX8" s="14">
        <f t="shared" si="25"/>
        <v>0</v>
      </c>
      <c r="CY8" s="14">
        <f t="shared" si="26"/>
        <v>0</v>
      </c>
      <c r="CZ8" s="14">
        <f t="shared" si="27"/>
        <v>0</v>
      </c>
      <c r="DA8" s="14">
        <f t="shared" si="28"/>
        <v>0</v>
      </c>
      <c r="DB8" s="14">
        <f t="shared" si="29"/>
        <v>0</v>
      </c>
      <c r="DC8" s="72">
        <f>F8/G8</f>
        <v>3.5340302975326563</v>
      </c>
      <c r="DD8" s="72">
        <f t="shared" si="30"/>
        <v>0.11400097733976311</v>
      </c>
      <c r="DE8" s="71">
        <f>F8/BU8</f>
        <v>1087.56932382134</v>
      </c>
      <c r="DF8" s="72">
        <f>J8/K8</f>
        <v>24.315868731036943</v>
      </c>
      <c r="DG8" s="72">
        <f t="shared" si="31"/>
        <v>0.78438286229151433</v>
      </c>
      <c r="DH8" s="72">
        <f>J8/BU8</f>
        <v>1014.2070409429281</v>
      </c>
      <c r="DI8" s="72">
        <f>N8/P8</f>
        <v>191.49721153846153</v>
      </c>
      <c r="DJ8" s="72">
        <f t="shared" si="32"/>
        <v>6.1773294044665006</v>
      </c>
      <c r="DK8" s="72">
        <f t="shared" si="33"/>
        <v>8.7044187062937066</v>
      </c>
      <c r="DL8" s="72">
        <f>N8/BU8</f>
        <v>926.59941066997521</v>
      </c>
      <c r="DM8" s="72">
        <f>N8/BV8</f>
        <v>1305.6628059440559</v>
      </c>
      <c r="DN8" s="1">
        <v>0</v>
      </c>
      <c r="DO8" s="1">
        <v>0</v>
      </c>
    </row>
    <row r="9" spans="1:119">
      <c r="A9" s="93">
        <f t="shared" si="38"/>
        <v>42583</v>
      </c>
      <c r="B9" s="4">
        <f t="shared" si="0"/>
        <v>2016</v>
      </c>
      <c r="C9" s="4">
        <f t="shared" si="1"/>
        <v>8</v>
      </c>
      <c r="D9" s="56">
        <v>0</v>
      </c>
      <c r="E9" s="56">
        <f>IFERROR(VLOOKUP($B9-1,CDM!$J$6:$P$19,2,FALSE)/12,0)+IFERROR(VLOOKUP($B9,CDM!$J$37:$M$48,2,FALSE)/24,0)+IFERROR(VLOOKUP($B9,CDM!$J$37:$M$48,2,FALSE)/2*$C9/78,0)</f>
        <v>36212.030448717946</v>
      </c>
      <c r="F9" s="56">
        <f t="shared" si="34"/>
        <v>36212.030448717946</v>
      </c>
      <c r="G9" s="301">
        <v>9540</v>
      </c>
      <c r="H9" s="56">
        <v>0</v>
      </c>
      <c r="I9" s="56">
        <f>IFERROR(VLOOKUP($B9-1,CDM!$J$6:$P$19,3,FALSE)/12,0)+IFERROR(VLOOKUP($B9,CDM!$J$37:$M$47,3,FALSE)/24,0)+IFERROR(VLOOKUP($B9,CDM!$J$37:$M$47,3,FALSE)/2*$C9/78,0)</f>
        <v>33769.338141025641</v>
      </c>
      <c r="J9" s="56">
        <f t="shared" si="35"/>
        <v>33769.338141025641</v>
      </c>
      <c r="K9" s="6">
        <v>1293</v>
      </c>
      <c r="L9" s="5">
        <v>0</v>
      </c>
      <c r="M9" s="2">
        <f>IFERROR(VLOOKUP($B9-1,CDM!$J$6:$P$19,4,FALSE)/12,0)+IFERROR(VLOOKUP($B9,CDM!$J$37:$M$47,4,FALSE)/24,0)+IFERROR(VLOOKUP($B9,CDM!$J$37:$M$47,4,FALSE)/2*$C9/78,0)</f>
        <v>30852.328525641024</v>
      </c>
      <c r="N9" s="56">
        <f t="shared" si="36"/>
        <v>30852.328525641024</v>
      </c>
      <c r="O9" s="5">
        <v>0</v>
      </c>
      <c r="P9" s="6">
        <v>150</v>
      </c>
      <c r="Q9" s="5">
        <v>0</v>
      </c>
      <c r="R9" s="5">
        <v>0</v>
      </c>
      <c r="S9" s="6">
        <v>2816</v>
      </c>
      <c r="T9" s="6">
        <v>0</v>
      </c>
      <c r="U9" s="6">
        <v>0</v>
      </c>
      <c r="V9" s="6">
        <v>182</v>
      </c>
      <c r="W9" s="5">
        <v>0</v>
      </c>
      <c r="X9" s="1">
        <v>19</v>
      </c>
      <c r="Y9" s="56">
        <v>13710</v>
      </c>
      <c r="Z9" s="56">
        <v>2736</v>
      </c>
      <c r="AA9" s="71">
        <f>L9-Y9</f>
        <v>-13710</v>
      </c>
      <c r="AB9" s="71">
        <f>N9-Y9</f>
        <v>17142.328525641024</v>
      </c>
      <c r="AC9" s="5">
        <f>O9-Z9</f>
        <v>-2736</v>
      </c>
      <c r="AD9" s="111">
        <f>Economic!H11</f>
        <v>743976.2</v>
      </c>
      <c r="AE9" s="111">
        <f>Economic!I11</f>
        <v>746710</v>
      </c>
      <c r="AF9" s="111">
        <f>Economic!D11</f>
        <v>6931.2</v>
      </c>
      <c r="AG9" s="111">
        <f>Economic!E11</f>
        <v>7018.7</v>
      </c>
      <c r="AH9" s="111">
        <f>Economic!F11</f>
        <v>571.79999999999995</v>
      </c>
      <c r="AI9" s="111">
        <f>Economic!G11</f>
        <v>574.1</v>
      </c>
      <c r="AJ9" s="111">
        <f>Economic!J11</f>
        <v>0</v>
      </c>
      <c r="AK9" s="111">
        <f>Economic!K11</f>
        <v>0</v>
      </c>
      <c r="AL9" s="111">
        <f>Economic!L11</f>
        <v>0</v>
      </c>
      <c r="AM9" s="111">
        <f>Economic!M11</f>
        <v>0</v>
      </c>
      <c r="AN9" s="111">
        <f>Economic!N11</f>
        <v>0</v>
      </c>
      <c r="AO9" s="111">
        <f>Economic!O11</f>
        <v>0</v>
      </c>
      <c r="AP9" s="28">
        <f>Weather!D9</f>
        <v>20.850268817204302</v>
      </c>
      <c r="AQ9" s="28">
        <f>Weather!E9</f>
        <v>19.462499999999999</v>
      </c>
      <c r="AR9" s="28">
        <f>Weather!F9</f>
        <v>45.82083333333334</v>
      </c>
      <c r="AS9" s="28">
        <f>Weather!G9</f>
        <v>3.7374999999999989</v>
      </c>
      <c r="AT9" s="28">
        <f>Weather!H9</f>
        <v>92.095833333333331</v>
      </c>
      <c r="AU9" s="28">
        <f>Weather!I9</f>
        <v>1.1124999999999989</v>
      </c>
      <c r="AV9" s="28">
        <f>Weather!J9</f>
        <v>151.47083333333333</v>
      </c>
      <c r="AW9" s="28">
        <f>Weather!K9</f>
        <v>0</v>
      </c>
      <c r="AX9" s="28">
        <f>Weather!L9</f>
        <v>212.35833333333332</v>
      </c>
      <c r="AY9" s="28">
        <f>Weather!M9</f>
        <v>0</v>
      </c>
      <c r="AZ9" s="28">
        <f>Weather!N9</f>
        <v>274.35833333333335</v>
      </c>
      <c r="BA9" s="28">
        <f>Weather!O9</f>
        <v>0</v>
      </c>
      <c r="BB9" s="28">
        <f>Weather!P9</f>
        <v>336.35833333333329</v>
      </c>
      <c r="BC9" s="28">
        <f>Weather!Q9</f>
        <v>0</v>
      </c>
      <c r="BD9" s="28">
        <f>Weather!R9</f>
        <v>398.35833333333335</v>
      </c>
      <c r="BE9">
        <v>0</v>
      </c>
      <c r="BF9">
        <v>0</v>
      </c>
      <c r="BG9">
        <v>0</v>
      </c>
      <c r="BH9">
        <v>0</v>
      </c>
      <c r="BI9">
        <v>0</v>
      </c>
      <c r="BJ9">
        <v>0</v>
      </c>
      <c r="BK9">
        <v>0</v>
      </c>
      <c r="BL9">
        <v>1</v>
      </c>
      <c r="BM9">
        <v>0</v>
      </c>
      <c r="BN9">
        <v>0</v>
      </c>
      <c r="BO9">
        <v>0</v>
      </c>
      <c r="BP9">
        <v>0</v>
      </c>
      <c r="BQ9">
        <v>0</v>
      </c>
      <c r="BR9">
        <v>0</v>
      </c>
      <c r="BS9">
        <v>0</v>
      </c>
      <c r="BT9" s="1">
        <f t="shared" si="37"/>
        <v>8</v>
      </c>
      <c r="BU9">
        <v>31</v>
      </c>
      <c r="BV9">
        <v>20</v>
      </c>
      <c r="BW9">
        <v>0</v>
      </c>
      <c r="BX9">
        <v>0</v>
      </c>
      <c r="BY9">
        <v>0</v>
      </c>
      <c r="BZ9">
        <v>0</v>
      </c>
      <c r="CA9">
        <f t="shared" si="2"/>
        <v>0</v>
      </c>
      <c r="CB9">
        <f t="shared" si="3"/>
        <v>0</v>
      </c>
      <c r="CC9">
        <f t="shared" si="4"/>
        <v>0</v>
      </c>
      <c r="CD9">
        <f t="shared" si="5"/>
        <v>0</v>
      </c>
      <c r="CE9">
        <f t="shared" si="6"/>
        <v>0</v>
      </c>
      <c r="CF9">
        <f t="shared" si="7"/>
        <v>0</v>
      </c>
      <c r="CG9">
        <f t="shared" si="8"/>
        <v>0</v>
      </c>
      <c r="CH9">
        <f t="shared" si="9"/>
        <v>0</v>
      </c>
      <c r="CI9">
        <f t="shared" si="10"/>
        <v>0</v>
      </c>
      <c r="CJ9">
        <f t="shared" si="11"/>
        <v>0</v>
      </c>
      <c r="CK9">
        <f t="shared" si="12"/>
        <v>0</v>
      </c>
      <c r="CL9">
        <f t="shared" si="13"/>
        <v>0</v>
      </c>
      <c r="CM9">
        <f t="shared" si="14"/>
        <v>0</v>
      </c>
      <c r="CN9">
        <f t="shared" si="15"/>
        <v>0</v>
      </c>
      <c r="CO9" s="14">
        <f t="shared" si="16"/>
        <v>0</v>
      </c>
      <c r="CP9" s="14">
        <f t="shared" si="17"/>
        <v>0</v>
      </c>
      <c r="CQ9" s="14">
        <f t="shared" si="18"/>
        <v>0</v>
      </c>
      <c r="CR9" s="14">
        <f t="shared" si="19"/>
        <v>0</v>
      </c>
      <c r="CS9" s="14">
        <f t="shared" si="20"/>
        <v>0</v>
      </c>
      <c r="CT9" s="14">
        <f t="shared" si="21"/>
        <v>0</v>
      </c>
      <c r="CU9" s="14">
        <f t="shared" si="22"/>
        <v>0</v>
      </c>
      <c r="CV9" s="14">
        <f t="shared" si="23"/>
        <v>0</v>
      </c>
      <c r="CW9" s="14">
        <f t="shared" si="24"/>
        <v>0</v>
      </c>
      <c r="CX9" s="14">
        <f t="shared" si="25"/>
        <v>0</v>
      </c>
      <c r="CY9" s="14">
        <f t="shared" si="26"/>
        <v>0</v>
      </c>
      <c r="CZ9" s="14">
        <f t="shared" si="27"/>
        <v>0</v>
      </c>
      <c r="DA9" s="14">
        <f t="shared" si="28"/>
        <v>0</v>
      </c>
      <c r="DB9" s="14">
        <f t="shared" si="29"/>
        <v>0</v>
      </c>
      <c r="DC9" s="72">
        <f>F9/G9</f>
        <v>3.7958103195721118</v>
      </c>
      <c r="DD9" s="72">
        <f t="shared" si="30"/>
        <v>0.12244549417974554</v>
      </c>
      <c r="DE9" s="71">
        <f>F9/BU9</f>
        <v>1168.1300144747725</v>
      </c>
      <c r="DF9" s="72">
        <f>J9/K9</f>
        <v>26.117044192595237</v>
      </c>
      <c r="DG9" s="72">
        <f t="shared" si="31"/>
        <v>0.84248529653533022</v>
      </c>
      <c r="DH9" s="72">
        <f>J9/BU9</f>
        <v>1089.333488420182</v>
      </c>
      <c r="DI9" s="72">
        <f>N9/P9</f>
        <v>205.68219017094015</v>
      </c>
      <c r="DJ9" s="72">
        <f t="shared" si="32"/>
        <v>6.6349093603529079</v>
      </c>
      <c r="DK9" s="72">
        <f t="shared" si="33"/>
        <v>10.284109508547008</v>
      </c>
      <c r="DL9" s="72">
        <f>N9/BU9</f>
        <v>995.23640405293622</v>
      </c>
      <c r="DM9" s="72">
        <f>N9/BV9</f>
        <v>1542.6164262820512</v>
      </c>
      <c r="DN9" s="1">
        <v>0</v>
      </c>
      <c r="DO9" s="1">
        <v>0</v>
      </c>
    </row>
    <row r="10" spans="1:119">
      <c r="A10" s="93">
        <f t="shared" si="38"/>
        <v>42614</v>
      </c>
      <c r="B10" s="4">
        <f t="shared" si="0"/>
        <v>2016</v>
      </c>
      <c r="C10" s="4">
        <f t="shared" si="1"/>
        <v>9</v>
      </c>
      <c r="D10" s="56">
        <v>0</v>
      </c>
      <c r="E10" s="56">
        <f>IFERROR(VLOOKUP($B10-1,CDM!$J$6:$P$19,2,FALSE)/12,0)+IFERROR(VLOOKUP($B10,CDM!$J$37:$M$48,2,FALSE)/24,0)+IFERROR(VLOOKUP($B10,CDM!$J$37:$M$48,2,FALSE)/2*$C10/78,0)</f>
        <v>38709.411858974359</v>
      </c>
      <c r="F10" s="56">
        <f t="shared" si="34"/>
        <v>38709.411858974359</v>
      </c>
      <c r="G10" s="301">
        <v>9540</v>
      </c>
      <c r="H10" s="56">
        <v>0</v>
      </c>
      <c r="I10" s="56">
        <f>IFERROR(VLOOKUP($B10-1,CDM!$J$6:$P$19,3,FALSE)/12,0)+IFERROR(VLOOKUP($B10,CDM!$J$37:$M$47,3,FALSE)/24,0)+IFERROR(VLOOKUP($B10,CDM!$J$37:$M$47,3,FALSE)/2*$C10/78,0)</f>
        <v>36098.258012820515</v>
      </c>
      <c r="J10" s="56">
        <f t="shared" si="35"/>
        <v>36098.258012820515</v>
      </c>
      <c r="K10" s="6">
        <v>1293</v>
      </c>
      <c r="L10" s="5">
        <v>0</v>
      </c>
      <c r="M10" s="2">
        <f>IFERROR(VLOOKUP($B10-1,CDM!$J$6:$P$19,4,FALSE)/12,0)+IFERROR(VLOOKUP($B10,CDM!$J$37:$M$47,4,FALSE)/24,0)+IFERROR(VLOOKUP($B10,CDM!$J$37:$M$47,4,FALSE)/2*$C10/78,0)</f>
        <v>32980.07532051282</v>
      </c>
      <c r="N10" s="56">
        <f t="shared" si="36"/>
        <v>32980.07532051282</v>
      </c>
      <c r="O10" s="5">
        <v>0</v>
      </c>
      <c r="P10" s="6">
        <v>150</v>
      </c>
      <c r="Q10" s="5">
        <v>0</v>
      </c>
      <c r="R10" s="5">
        <v>0</v>
      </c>
      <c r="S10" s="6">
        <v>2816</v>
      </c>
      <c r="T10" s="6">
        <v>0</v>
      </c>
      <c r="U10" s="6">
        <v>0</v>
      </c>
      <c r="V10" s="6">
        <v>182</v>
      </c>
      <c r="W10" s="5">
        <v>0</v>
      </c>
      <c r="X10" s="1">
        <v>19</v>
      </c>
      <c r="Y10" s="56">
        <v>210</v>
      </c>
      <c r="Z10" s="56">
        <v>432</v>
      </c>
      <c r="AA10" s="71">
        <f>L10-Y10</f>
        <v>-210</v>
      </c>
      <c r="AB10" s="71">
        <f>N10-Y10</f>
        <v>32770.07532051282</v>
      </c>
      <c r="AC10" s="5">
        <f>O10-Z10</f>
        <v>-432</v>
      </c>
      <c r="AD10" s="111">
        <f>Economic!H12</f>
        <v>743976.2</v>
      </c>
      <c r="AE10" s="111">
        <f>Economic!I12</f>
        <v>746710</v>
      </c>
      <c r="AF10" s="111">
        <f>Economic!D12</f>
        <v>6929.7</v>
      </c>
      <c r="AG10" s="111">
        <f>Economic!E12</f>
        <v>6973.4</v>
      </c>
      <c r="AH10" s="111">
        <f>Economic!F12</f>
        <v>569.20000000000005</v>
      </c>
      <c r="AI10" s="111">
        <f>Economic!G12</f>
        <v>567.20000000000005</v>
      </c>
      <c r="AJ10" s="111">
        <f>Economic!J12</f>
        <v>0</v>
      </c>
      <c r="AK10" s="111">
        <f>Economic!K12</f>
        <v>0</v>
      </c>
      <c r="AL10" s="111">
        <f>Economic!L12</f>
        <v>0</v>
      </c>
      <c r="AM10" s="111">
        <f>Economic!M12</f>
        <v>0</v>
      </c>
      <c r="AN10" s="111">
        <f>Economic!N12</f>
        <v>0</v>
      </c>
      <c r="AO10" s="111">
        <f>Economic!O12</f>
        <v>0</v>
      </c>
      <c r="AP10" s="28">
        <f>Weather!D10</f>
        <v>15.191388888888886</v>
      </c>
      <c r="AQ10" s="28">
        <f>Weather!E10</f>
        <v>150.00416666666666</v>
      </c>
      <c r="AR10" s="28">
        <f>Weather!F10</f>
        <v>5.7458333333333229</v>
      </c>
      <c r="AS10" s="28">
        <f>Weather!G10</f>
        <v>100.48333333333336</v>
      </c>
      <c r="AT10" s="28">
        <f>Weather!H10</f>
        <v>16.224999999999991</v>
      </c>
      <c r="AU10" s="28">
        <f>Weather!I10</f>
        <v>59.129166666666684</v>
      </c>
      <c r="AV10" s="28">
        <f>Weather!J10</f>
        <v>34.870833333333323</v>
      </c>
      <c r="AW10" s="28">
        <f>Weather!K10</f>
        <v>29.37916666666667</v>
      </c>
      <c r="AX10" s="28">
        <f>Weather!L10</f>
        <v>65.120833333333309</v>
      </c>
      <c r="AY10" s="28">
        <f>Weather!M10</f>
        <v>11.945833333333336</v>
      </c>
      <c r="AZ10" s="28">
        <f>Weather!N10</f>
        <v>107.68749999999999</v>
      </c>
      <c r="BA10" s="28">
        <f>Weather!O10</f>
        <v>3.5333333333333341</v>
      </c>
      <c r="BB10" s="28">
        <f>Weather!P10</f>
        <v>159.27499999999998</v>
      </c>
      <c r="BC10" s="28">
        <f>Weather!Q10</f>
        <v>3.3333333333334103E-2</v>
      </c>
      <c r="BD10" s="28">
        <f>Weather!R10</f>
        <v>215.77499999999998</v>
      </c>
      <c r="BE10">
        <v>0</v>
      </c>
      <c r="BF10">
        <v>0</v>
      </c>
      <c r="BG10">
        <v>0</v>
      </c>
      <c r="BH10">
        <v>0</v>
      </c>
      <c r="BI10">
        <v>0</v>
      </c>
      <c r="BJ10">
        <v>0</v>
      </c>
      <c r="BK10">
        <v>0</v>
      </c>
      <c r="BL10">
        <v>0</v>
      </c>
      <c r="BM10">
        <v>1</v>
      </c>
      <c r="BN10">
        <v>0</v>
      </c>
      <c r="BO10">
        <v>0</v>
      </c>
      <c r="BP10">
        <v>0</v>
      </c>
      <c r="BQ10">
        <v>0</v>
      </c>
      <c r="BR10">
        <v>1</v>
      </c>
      <c r="BS10">
        <v>1</v>
      </c>
      <c r="BT10" s="1">
        <f t="shared" si="37"/>
        <v>9</v>
      </c>
      <c r="BU10">
        <v>30</v>
      </c>
      <c r="BV10">
        <v>21</v>
      </c>
      <c r="BW10">
        <v>0</v>
      </c>
      <c r="BX10">
        <v>0</v>
      </c>
      <c r="BY10">
        <v>0</v>
      </c>
      <c r="BZ10">
        <v>0</v>
      </c>
      <c r="CA10">
        <f t="shared" si="2"/>
        <v>0</v>
      </c>
      <c r="CB10">
        <f t="shared" si="3"/>
        <v>0</v>
      </c>
      <c r="CC10">
        <f t="shared" si="4"/>
        <v>0</v>
      </c>
      <c r="CD10">
        <f t="shared" si="5"/>
        <v>0</v>
      </c>
      <c r="CE10">
        <f t="shared" si="6"/>
        <v>0</v>
      </c>
      <c r="CF10">
        <f t="shared" si="7"/>
        <v>0</v>
      </c>
      <c r="CG10">
        <f t="shared" si="8"/>
        <v>0</v>
      </c>
      <c r="CH10">
        <f t="shared" si="9"/>
        <v>0</v>
      </c>
      <c r="CI10">
        <f t="shared" si="10"/>
        <v>0</v>
      </c>
      <c r="CJ10">
        <f t="shared" si="11"/>
        <v>0</v>
      </c>
      <c r="CK10">
        <f t="shared" si="12"/>
        <v>0</v>
      </c>
      <c r="CL10">
        <f t="shared" si="13"/>
        <v>0</v>
      </c>
      <c r="CM10">
        <f t="shared" si="14"/>
        <v>0</v>
      </c>
      <c r="CN10">
        <f t="shared" si="15"/>
        <v>0</v>
      </c>
      <c r="CO10" s="14">
        <f t="shared" si="16"/>
        <v>0</v>
      </c>
      <c r="CP10" s="14">
        <f t="shared" si="17"/>
        <v>0</v>
      </c>
      <c r="CQ10" s="14">
        <f t="shared" si="18"/>
        <v>0</v>
      </c>
      <c r="CR10" s="14">
        <f t="shared" si="19"/>
        <v>0</v>
      </c>
      <c r="CS10" s="14">
        <f t="shared" si="20"/>
        <v>0</v>
      </c>
      <c r="CT10" s="14">
        <f t="shared" si="21"/>
        <v>0</v>
      </c>
      <c r="CU10" s="14">
        <f t="shared" si="22"/>
        <v>0</v>
      </c>
      <c r="CV10" s="14">
        <f t="shared" si="23"/>
        <v>0</v>
      </c>
      <c r="CW10" s="14">
        <f t="shared" si="24"/>
        <v>0</v>
      </c>
      <c r="CX10" s="14">
        <f t="shared" si="25"/>
        <v>0</v>
      </c>
      <c r="CY10" s="14">
        <f t="shared" si="26"/>
        <v>0</v>
      </c>
      <c r="CZ10" s="14">
        <f t="shared" si="27"/>
        <v>0</v>
      </c>
      <c r="DA10" s="14">
        <f t="shared" si="28"/>
        <v>0</v>
      </c>
      <c r="DB10" s="14">
        <f t="shared" si="29"/>
        <v>0</v>
      </c>
      <c r="DC10" s="72">
        <f>F10/G10</f>
        <v>4.0575903416115677</v>
      </c>
      <c r="DD10" s="72">
        <f t="shared" si="30"/>
        <v>0.13525301138705226</v>
      </c>
      <c r="DE10" s="71">
        <f>F10/BU10</f>
        <v>1290.3137286324786</v>
      </c>
      <c r="DF10" s="72">
        <f>J10/K10</f>
        <v>27.918219654153532</v>
      </c>
      <c r="DG10" s="72">
        <f t="shared" si="31"/>
        <v>0.93060732180511774</v>
      </c>
      <c r="DH10" s="72">
        <f>J10/BU10</f>
        <v>1203.2752670940172</v>
      </c>
      <c r="DI10" s="72">
        <f>N10/P10</f>
        <v>219.86716880341879</v>
      </c>
      <c r="DJ10" s="72">
        <f t="shared" si="32"/>
        <v>7.3289056267806263</v>
      </c>
      <c r="DK10" s="72">
        <f t="shared" si="33"/>
        <v>10.46986518111518</v>
      </c>
      <c r="DL10" s="72">
        <f>N10/BU10</f>
        <v>1099.3358440170939</v>
      </c>
      <c r="DM10" s="72">
        <f>N10/BV10</f>
        <v>1570.4797771672772</v>
      </c>
      <c r="DN10" s="1">
        <v>0</v>
      </c>
      <c r="DO10" s="1">
        <v>0</v>
      </c>
    </row>
    <row r="11" spans="1:119">
      <c r="A11" s="93">
        <f t="shared" si="38"/>
        <v>42644</v>
      </c>
      <c r="B11" s="4">
        <f t="shared" si="0"/>
        <v>2016</v>
      </c>
      <c r="C11" s="4">
        <f t="shared" si="1"/>
        <v>10</v>
      </c>
      <c r="D11" s="56">
        <v>0</v>
      </c>
      <c r="E11" s="56">
        <f>IFERROR(VLOOKUP($B11-1,CDM!$J$6:$P$19,2,FALSE)/12,0)+IFERROR(VLOOKUP($B11,CDM!$J$37:$M$48,2,FALSE)/24,0)+IFERROR(VLOOKUP($B11,CDM!$J$37:$M$48,2,FALSE)/2*$C11/78,0)</f>
        <v>41206.793269230766</v>
      </c>
      <c r="F11" s="56">
        <f t="shared" si="34"/>
        <v>41206.793269230766</v>
      </c>
      <c r="G11" s="301">
        <v>9550</v>
      </c>
      <c r="H11" s="56">
        <v>0</v>
      </c>
      <c r="I11" s="56">
        <f>IFERROR(VLOOKUP($B11-1,CDM!$J$6:$P$19,3,FALSE)/12,0)+IFERROR(VLOOKUP($B11,CDM!$J$37:$M$47,3,FALSE)/24,0)+IFERROR(VLOOKUP($B11,CDM!$J$37:$M$47,3,FALSE)/2*$C11/78,0)</f>
        <v>38427.177884615383</v>
      </c>
      <c r="J11" s="56">
        <f t="shared" si="35"/>
        <v>38427.177884615383</v>
      </c>
      <c r="K11" s="6">
        <v>1294</v>
      </c>
      <c r="L11" s="5">
        <v>0</v>
      </c>
      <c r="M11" s="2">
        <f>IFERROR(VLOOKUP($B11-1,CDM!$J$6:$P$19,4,FALSE)/12,0)+IFERROR(VLOOKUP($B11,CDM!$J$37:$M$47,4,FALSE)/24,0)+IFERROR(VLOOKUP($B11,CDM!$J$37:$M$47,4,FALSE)/2*$C11/78,0)</f>
        <v>35107.822115384617</v>
      </c>
      <c r="N11" s="56">
        <f t="shared" si="36"/>
        <v>35107.822115384617</v>
      </c>
      <c r="O11" s="5">
        <v>0</v>
      </c>
      <c r="P11" s="6">
        <v>150</v>
      </c>
      <c r="Q11" s="5">
        <v>0</v>
      </c>
      <c r="R11" s="5">
        <v>0</v>
      </c>
      <c r="S11" s="6">
        <v>2843</v>
      </c>
      <c r="T11" s="6">
        <v>0</v>
      </c>
      <c r="U11" s="6">
        <v>0</v>
      </c>
      <c r="V11" s="6">
        <v>182</v>
      </c>
      <c r="W11" s="5">
        <v>0</v>
      </c>
      <c r="X11" s="1">
        <v>19</v>
      </c>
      <c r="Y11" s="56">
        <v>542682</v>
      </c>
      <c r="Z11" s="56">
        <v>3528</v>
      </c>
      <c r="AA11" s="71">
        <f>L11-Y11</f>
        <v>-542682</v>
      </c>
      <c r="AB11" s="71">
        <f>N11-Y11</f>
        <v>-507574.17788461538</v>
      </c>
      <c r="AC11" s="5">
        <f>O11-Z11</f>
        <v>-3528</v>
      </c>
      <c r="AD11" s="111">
        <f>Economic!H13</f>
        <v>743976.2</v>
      </c>
      <c r="AE11" s="111">
        <f>Economic!I13</f>
        <v>745246</v>
      </c>
      <c r="AF11" s="111">
        <f>Economic!D13</f>
        <v>6942</v>
      </c>
      <c r="AG11" s="111">
        <f>Economic!E13</f>
        <v>6966.9</v>
      </c>
      <c r="AH11" s="111">
        <f>Economic!F13</f>
        <v>571</v>
      </c>
      <c r="AI11" s="111">
        <f>Economic!G13</f>
        <v>568.29999999999995</v>
      </c>
      <c r="AJ11" s="111">
        <f>Economic!J13</f>
        <v>0</v>
      </c>
      <c r="AK11" s="111">
        <f>Economic!K13</f>
        <v>0</v>
      </c>
      <c r="AL11" s="111">
        <f>Economic!L13</f>
        <v>0</v>
      </c>
      <c r="AM11" s="111">
        <f>Economic!M13</f>
        <v>0</v>
      </c>
      <c r="AN11" s="111">
        <f>Economic!N13</f>
        <v>0</v>
      </c>
      <c r="AO11" s="111">
        <f>Economic!O13</f>
        <v>0</v>
      </c>
      <c r="AP11" s="28">
        <f>Weather!D11</f>
        <v>8.0197580645161288</v>
      </c>
      <c r="AQ11" s="28">
        <f>Weather!E11</f>
        <v>371.38749999999993</v>
      </c>
      <c r="AR11" s="28">
        <f>Weather!F11</f>
        <v>0</v>
      </c>
      <c r="AS11" s="28">
        <f>Weather!G11</f>
        <v>309.38749999999999</v>
      </c>
      <c r="AT11" s="28">
        <f>Weather!H11</f>
        <v>0</v>
      </c>
      <c r="AU11" s="28">
        <f>Weather!I11</f>
        <v>248.13333333333335</v>
      </c>
      <c r="AV11" s="28">
        <f>Weather!J11</f>
        <v>0.74583333333333712</v>
      </c>
      <c r="AW11" s="28">
        <f>Weather!K11</f>
        <v>191.43333333333337</v>
      </c>
      <c r="AX11" s="28">
        <f>Weather!L11</f>
        <v>6.0458333333333378</v>
      </c>
      <c r="AY11" s="28">
        <f>Weather!M11</f>
        <v>142.60416666666669</v>
      </c>
      <c r="AZ11" s="28">
        <f>Weather!N11</f>
        <v>19.216666666666676</v>
      </c>
      <c r="BA11" s="28">
        <f>Weather!O11</f>
        <v>102.47500000000001</v>
      </c>
      <c r="BB11" s="28">
        <f>Weather!P11</f>
        <v>41.08750000000002</v>
      </c>
      <c r="BC11" s="28">
        <f>Weather!Q11</f>
        <v>67.654166666666683</v>
      </c>
      <c r="BD11" s="28">
        <f>Weather!R11</f>
        <v>68.26666666666668</v>
      </c>
      <c r="BE11">
        <v>0</v>
      </c>
      <c r="BF11">
        <v>0</v>
      </c>
      <c r="BG11">
        <v>0</v>
      </c>
      <c r="BH11">
        <v>0</v>
      </c>
      <c r="BI11">
        <v>0</v>
      </c>
      <c r="BJ11">
        <v>0</v>
      </c>
      <c r="BK11">
        <v>0</v>
      </c>
      <c r="BL11">
        <v>0</v>
      </c>
      <c r="BM11">
        <v>0</v>
      </c>
      <c r="BN11">
        <v>1</v>
      </c>
      <c r="BO11">
        <v>0</v>
      </c>
      <c r="BP11">
        <v>0</v>
      </c>
      <c r="BQ11">
        <v>0</v>
      </c>
      <c r="BR11">
        <v>1</v>
      </c>
      <c r="BS11">
        <v>1</v>
      </c>
      <c r="BT11" s="1">
        <f t="shared" si="37"/>
        <v>10</v>
      </c>
      <c r="BU11">
        <v>31</v>
      </c>
      <c r="BV11">
        <v>22</v>
      </c>
      <c r="BW11">
        <v>0</v>
      </c>
      <c r="BX11">
        <v>0</v>
      </c>
      <c r="BY11">
        <v>0</v>
      </c>
      <c r="BZ11">
        <v>0</v>
      </c>
      <c r="CA11">
        <f t="shared" si="2"/>
        <v>0</v>
      </c>
      <c r="CB11">
        <f t="shared" si="3"/>
        <v>0</v>
      </c>
      <c r="CC11">
        <f t="shared" si="4"/>
        <v>0</v>
      </c>
      <c r="CD11">
        <f t="shared" si="5"/>
        <v>0</v>
      </c>
      <c r="CE11">
        <f t="shared" si="6"/>
        <v>0</v>
      </c>
      <c r="CF11">
        <f t="shared" si="7"/>
        <v>0</v>
      </c>
      <c r="CG11">
        <f t="shared" si="8"/>
        <v>0</v>
      </c>
      <c r="CH11">
        <f t="shared" si="9"/>
        <v>0</v>
      </c>
      <c r="CI11">
        <f t="shared" si="10"/>
        <v>0</v>
      </c>
      <c r="CJ11">
        <f t="shared" si="11"/>
        <v>0</v>
      </c>
      <c r="CK11">
        <f t="shared" si="12"/>
        <v>0</v>
      </c>
      <c r="CL11">
        <f t="shared" si="13"/>
        <v>0</v>
      </c>
      <c r="CM11">
        <f t="shared" si="14"/>
        <v>0</v>
      </c>
      <c r="CN11">
        <f t="shared" si="15"/>
        <v>0</v>
      </c>
      <c r="CO11" s="14">
        <f t="shared" si="16"/>
        <v>0</v>
      </c>
      <c r="CP11" s="14">
        <f t="shared" si="17"/>
        <v>0</v>
      </c>
      <c r="CQ11" s="14">
        <f t="shared" si="18"/>
        <v>0</v>
      </c>
      <c r="CR11" s="14">
        <f t="shared" si="19"/>
        <v>0</v>
      </c>
      <c r="CS11" s="14">
        <f t="shared" si="20"/>
        <v>0</v>
      </c>
      <c r="CT11" s="14">
        <f t="shared" si="21"/>
        <v>0</v>
      </c>
      <c r="CU11" s="14">
        <f t="shared" si="22"/>
        <v>0</v>
      </c>
      <c r="CV11" s="14">
        <f t="shared" si="23"/>
        <v>0</v>
      </c>
      <c r="CW11" s="14">
        <f t="shared" si="24"/>
        <v>0</v>
      </c>
      <c r="CX11" s="14">
        <f t="shared" si="25"/>
        <v>0</v>
      </c>
      <c r="CY11" s="14">
        <f t="shared" si="26"/>
        <v>0</v>
      </c>
      <c r="CZ11" s="14">
        <f t="shared" si="27"/>
        <v>0</v>
      </c>
      <c r="DA11" s="14">
        <f t="shared" si="28"/>
        <v>0</v>
      </c>
      <c r="DB11" s="14">
        <f t="shared" si="29"/>
        <v>0</v>
      </c>
      <c r="DC11" s="72">
        <f>F11/G11</f>
        <v>4.3148474627466769</v>
      </c>
      <c r="DD11" s="72">
        <f t="shared" si="30"/>
        <v>0.13918862783053795</v>
      </c>
      <c r="DE11" s="71">
        <f>F11/BU11</f>
        <v>1329.2513957816377</v>
      </c>
      <c r="DF11" s="72">
        <f>J11/K11</f>
        <v>29.696428040661036</v>
      </c>
      <c r="DG11" s="72">
        <f t="shared" si="31"/>
        <v>0.95794929163422693</v>
      </c>
      <c r="DH11" s="72">
        <f>J11/BU11</f>
        <v>1239.5863833746898</v>
      </c>
      <c r="DI11" s="72">
        <f>N11/P11</f>
        <v>234.05214743589744</v>
      </c>
      <c r="DJ11" s="72">
        <f t="shared" si="32"/>
        <v>7.5500692721257234</v>
      </c>
      <c r="DK11" s="72">
        <f t="shared" si="33"/>
        <v>10.638733974358974</v>
      </c>
      <c r="DL11" s="72">
        <f>N11/BU11</f>
        <v>1132.5103908188587</v>
      </c>
      <c r="DM11" s="72">
        <f>N11/BV11</f>
        <v>1595.8100961538462</v>
      </c>
      <c r="DN11" s="1">
        <v>0</v>
      </c>
      <c r="DO11" s="1">
        <v>0</v>
      </c>
    </row>
    <row r="12" spans="1:119">
      <c r="A12" s="93">
        <f t="shared" si="38"/>
        <v>42675</v>
      </c>
      <c r="B12" s="4">
        <f t="shared" si="0"/>
        <v>2016</v>
      </c>
      <c r="C12" s="4">
        <f t="shared" si="1"/>
        <v>11</v>
      </c>
      <c r="D12" s="56">
        <v>0</v>
      </c>
      <c r="E12" s="56">
        <f>IFERROR(VLOOKUP($B12-1,CDM!$J$6:$P$19,2,FALSE)/12,0)+IFERROR(VLOOKUP($B12,CDM!$J$37:$M$48,2,FALSE)/24,0)+IFERROR(VLOOKUP($B12,CDM!$J$37:$M$48,2,FALSE)/2*$C12/78,0)</f>
        <v>43704.17467948718</v>
      </c>
      <c r="F12" s="56">
        <f t="shared" si="34"/>
        <v>43704.17467948718</v>
      </c>
      <c r="G12" s="301">
        <v>9550</v>
      </c>
      <c r="H12" s="56">
        <v>0</v>
      </c>
      <c r="I12" s="56">
        <f>IFERROR(VLOOKUP($B12-1,CDM!$J$6:$P$19,3,FALSE)/12,0)+IFERROR(VLOOKUP($B12,CDM!$J$37:$M$47,3,FALSE)/24,0)+IFERROR(VLOOKUP($B12,CDM!$J$37:$M$47,3,FALSE)/2*$C12/78,0)</f>
        <v>40756.097756410258</v>
      </c>
      <c r="J12" s="56">
        <f t="shared" si="35"/>
        <v>40756.097756410258</v>
      </c>
      <c r="K12" s="6">
        <v>1294</v>
      </c>
      <c r="L12" s="5">
        <v>0</v>
      </c>
      <c r="M12" s="2">
        <f>IFERROR(VLOOKUP($B12-1,CDM!$J$6:$P$19,4,FALSE)/12,0)+IFERROR(VLOOKUP($B12,CDM!$J$37:$M$47,4,FALSE)/24,0)+IFERROR(VLOOKUP($B12,CDM!$J$37:$M$47,4,FALSE)/2*$C12/78,0)</f>
        <v>37235.568910256407</v>
      </c>
      <c r="N12" s="56">
        <f t="shared" si="36"/>
        <v>37235.568910256407</v>
      </c>
      <c r="O12" s="5">
        <v>0</v>
      </c>
      <c r="P12" s="6">
        <v>150</v>
      </c>
      <c r="Q12" s="5">
        <v>0</v>
      </c>
      <c r="R12" s="5">
        <v>0</v>
      </c>
      <c r="S12" s="6">
        <v>2843</v>
      </c>
      <c r="T12" s="6">
        <v>0</v>
      </c>
      <c r="U12" s="6">
        <v>0</v>
      </c>
      <c r="V12" s="6">
        <v>182</v>
      </c>
      <c r="W12" s="5">
        <v>0</v>
      </c>
      <c r="X12" s="1">
        <v>19</v>
      </c>
      <c r="Y12" s="56">
        <v>1170024.27</v>
      </c>
      <c r="Z12" s="56">
        <v>6216</v>
      </c>
      <c r="AA12" s="71">
        <f>L12-Y12</f>
        <v>-1170024.27</v>
      </c>
      <c r="AB12" s="71">
        <f>N12-Y12</f>
        <v>-1132788.7010897435</v>
      </c>
      <c r="AC12" s="5">
        <f>O12-Z12</f>
        <v>-6216</v>
      </c>
      <c r="AD12" s="111">
        <f>Economic!H14</f>
        <v>743976.2</v>
      </c>
      <c r="AE12" s="111">
        <f>Economic!I14</f>
        <v>745246</v>
      </c>
      <c r="AF12" s="111">
        <f>Economic!D14</f>
        <v>6959</v>
      </c>
      <c r="AG12" s="111">
        <f>Economic!E14</f>
        <v>6964.3</v>
      </c>
      <c r="AH12" s="111">
        <f>Economic!F14</f>
        <v>572.9</v>
      </c>
      <c r="AI12" s="111">
        <f>Economic!G14</f>
        <v>571</v>
      </c>
      <c r="AJ12" s="111">
        <f>Economic!J14</f>
        <v>0</v>
      </c>
      <c r="AK12" s="111">
        <f>Economic!K14</f>
        <v>0</v>
      </c>
      <c r="AL12" s="111">
        <f>Economic!L14</f>
        <v>0</v>
      </c>
      <c r="AM12" s="111">
        <f>Economic!M14</f>
        <v>0</v>
      </c>
      <c r="AN12" s="111">
        <f>Economic!N14</f>
        <v>0</v>
      </c>
      <c r="AO12" s="111">
        <f>Economic!O14</f>
        <v>0</v>
      </c>
      <c r="AP12" s="28">
        <f>Weather!D12</f>
        <v>2.2409722222222217</v>
      </c>
      <c r="AQ12" s="28">
        <f>Weather!E12</f>
        <v>532.77083333333348</v>
      </c>
      <c r="AR12" s="28">
        <f>Weather!F12</f>
        <v>0</v>
      </c>
      <c r="AS12" s="28">
        <f>Weather!G12</f>
        <v>472.77083333333337</v>
      </c>
      <c r="AT12" s="28">
        <f>Weather!H12</f>
        <v>0</v>
      </c>
      <c r="AU12" s="28">
        <f>Weather!I12</f>
        <v>412.77083333333337</v>
      </c>
      <c r="AV12" s="28">
        <f>Weather!J12</f>
        <v>0</v>
      </c>
      <c r="AW12" s="28">
        <f>Weather!K12</f>
        <v>352.77083333333331</v>
      </c>
      <c r="AX12" s="28">
        <f>Weather!L12</f>
        <v>0</v>
      </c>
      <c r="AY12" s="28">
        <f>Weather!M12</f>
        <v>292.77083333333326</v>
      </c>
      <c r="AZ12" s="28">
        <f>Weather!N12</f>
        <v>0</v>
      </c>
      <c r="BA12" s="28">
        <f>Weather!O12</f>
        <v>232.77083333333337</v>
      </c>
      <c r="BB12" s="28">
        <f>Weather!P12</f>
        <v>0</v>
      </c>
      <c r="BC12" s="28">
        <f>Weather!Q12</f>
        <v>172.77083333333337</v>
      </c>
      <c r="BD12" s="28">
        <f>Weather!R12</f>
        <v>0</v>
      </c>
      <c r="BE12">
        <v>0</v>
      </c>
      <c r="BF12">
        <v>0</v>
      </c>
      <c r="BG12">
        <v>0</v>
      </c>
      <c r="BH12">
        <v>0</v>
      </c>
      <c r="BI12">
        <v>0</v>
      </c>
      <c r="BJ12">
        <v>0</v>
      </c>
      <c r="BK12">
        <v>0</v>
      </c>
      <c r="BL12">
        <v>0</v>
      </c>
      <c r="BM12">
        <v>0</v>
      </c>
      <c r="BN12">
        <v>0</v>
      </c>
      <c r="BO12">
        <v>1</v>
      </c>
      <c r="BP12">
        <v>0</v>
      </c>
      <c r="BQ12">
        <v>0</v>
      </c>
      <c r="BR12">
        <v>1</v>
      </c>
      <c r="BS12">
        <v>1</v>
      </c>
      <c r="BT12" s="1">
        <f t="shared" si="37"/>
        <v>11</v>
      </c>
      <c r="BU12">
        <v>30</v>
      </c>
      <c r="BV12">
        <v>20</v>
      </c>
      <c r="BW12">
        <v>0</v>
      </c>
      <c r="BX12">
        <v>0</v>
      </c>
      <c r="BY12">
        <v>0</v>
      </c>
      <c r="BZ12">
        <v>0</v>
      </c>
      <c r="CA12">
        <f t="shared" si="2"/>
        <v>0</v>
      </c>
      <c r="CB12">
        <f t="shared" si="3"/>
        <v>0</v>
      </c>
      <c r="CC12">
        <f t="shared" si="4"/>
        <v>0</v>
      </c>
      <c r="CD12">
        <f t="shared" si="5"/>
        <v>0</v>
      </c>
      <c r="CE12">
        <f t="shared" si="6"/>
        <v>0</v>
      </c>
      <c r="CF12">
        <f t="shared" si="7"/>
        <v>0</v>
      </c>
      <c r="CG12">
        <f t="shared" si="8"/>
        <v>0</v>
      </c>
      <c r="CH12">
        <f t="shared" si="9"/>
        <v>0</v>
      </c>
      <c r="CI12">
        <f t="shared" si="10"/>
        <v>0</v>
      </c>
      <c r="CJ12">
        <f t="shared" si="11"/>
        <v>0</v>
      </c>
      <c r="CK12">
        <f t="shared" si="12"/>
        <v>0</v>
      </c>
      <c r="CL12">
        <f t="shared" si="13"/>
        <v>0</v>
      </c>
      <c r="CM12">
        <f t="shared" si="14"/>
        <v>0</v>
      </c>
      <c r="CN12">
        <f t="shared" si="15"/>
        <v>0</v>
      </c>
      <c r="CO12" s="14">
        <f t="shared" si="16"/>
        <v>0</v>
      </c>
      <c r="CP12" s="14">
        <f t="shared" si="17"/>
        <v>0</v>
      </c>
      <c r="CQ12" s="14">
        <f t="shared" si="18"/>
        <v>0</v>
      </c>
      <c r="CR12" s="14">
        <f t="shared" si="19"/>
        <v>0</v>
      </c>
      <c r="CS12" s="14">
        <f t="shared" si="20"/>
        <v>0</v>
      </c>
      <c r="CT12" s="14">
        <f t="shared" si="21"/>
        <v>0</v>
      </c>
      <c r="CU12" s="14">
        <f t="shared" si="22"/>
        <v>0</v>
      </c>
      <c r="CV12" s="14">
        <f t="shared" si="23"/>
        <v>0</v>
      </c>
      <c r="CW12" s="14">
        <f t="shared" si="24"/>
        <v>0</v>
      </c>
      <c r="CX12" s="14">
        <f t="shared" si="25"/>
        <v>0</v>
      </c>
      <c r="CY12" s="14">
        <f t="shared" si="26"/>
        <v>0</v>
      </c>
      <c r="CZ12" s="14">
        <f t="shared" si="27"/>
        <v>0</v>
      </c>
      <c r="DA12" s="14">
        <f t="shared" si="28"/>
        <v>0</v>
      </c>
      <c r="DB12" s="14">
        <f t="shared" si="29"/>
        <v>0</v>
      </c>
      <c r="DC12" s="72">
        <f>F12/G12</f>
        <v>4.5763533695798095</v>
      </c>
      <c r="DD12" s="72">
        <f t="shared" si="30"/>
        <v>0.15254511231932699</v>
      </c>
      <c r="DE12" s="71">
        <f>F12/BU12</f>
        <v>1456.8058226495727</v>
      </c>
      <c r="DF12" s="72">
        <f>J12/K12</f>
        <v>31.496211558276862</v>
      </c>
      <c r="DG12" s="72">
        <f t="shared" si="31"/>
        <v>1.0498737186092286</v>
      </c>
      <c r="DH12" s="72">
        <f>J12/BU12</f>
        <v>1358.536591880342</v>
      </c>
      <c r="DI12" s="72">
        <f>N12/P12</f>
        <v>248.23712606837606</v>
      </c>
      <c r="DJ12" s="72">
        <f t="shared" si="32"/>
        <v>8.2745708689458688</v>
      </c>
      <c r="DK12" s="72">
        <f t="shared" si="33"/>
        <v>12.411856303418803</v>
      </c>
      <c r="DL12" s="72">
        <f>N12/BU12</f>
        <v>1241.1856303418801</v>
      </c>
      <c r="DM12" s="72">
        <f>N12/BV12</f>
        <v>1861.7784455128203</v>
      </c>
      <c r="DN12" s="1">
        <v>0</v>
      </c>
      <c r="DO12" s="1">
        <v>0</v>
      </c>
    </row>
    <row r="13" spans="1:119">
      <c r="A13" s="93">
        <f t="shared" si="38"/>
        <v>42705</v>
      </c>
      <c r="B13" s="4">
        <f t="shared" si="0"/>
        <v>2016</v>
      </c>
      <c r="C13" s="4">
        <f t="shared" si="1"/>
        <v>12</v>
      </c>
      <c r="D13" s="56">
        <v>76635115</v>
      </c>
      <c r="E13" s="56">
        <f>IFERROR(VLOOKUP($B13-1,CDM!$J$6:$P$19,2,FALSE)/12,0)+IFERROR(VLOOKUP($B13,CDM!$J$37:$M$48,2,FALSE)/24,0)+IFERROR(VLOOKUP($B13,CDM!$J$37:$M$48,2,FALSE)/2*$C13/78,0)</f>
        <v>46201.556089743586</v>
      </c>
      <c r="F13" s="56">
        <f t="shared" si="34"/>
        <v>76681316.556089744</v>
      </c>
      <c r="G13" s="301">
        <v>9550</v>
      </c>
      <c r="H13" s="56">
        <v>29514061</v>
      </c>
      <c r="I13" s="56">
        <f>IFERROR(VLOOKUP($B13-1,CDM!$J$6:$P$19,3,FALSE)/12,0)+IFERROR(VLOOKUP($B13,CDM!$J$37:$M$47,3,FALSE)/24,0)+IFERROR(VLOOKUP($B13,CDM!$J$37:$M$47,3,FALSE)/2*$C13/78,0)</f>
        <v>43085.017628205125</v>
      </c>
      <c r="J13" s="56">
        <f t="shared" si="35"/>
        <v>29557146.017628204</v>
      </c>
      <c r="K13" s="6">
        <v>1294</v>
      </c>
      <c r="L13" s="5">
        <v>75048053</v>
      </c>
      <c r="M13" s="2">
        <f>IFERROR(VLOOKUP($B13-1,CDM!$J$6:$P$19,4,FALSE)/12,0)+IFERROR(VLOOKUP($B13,CDM!$J$37:$M$47,4,FALSE)/24,0)+IFERROR(VLOOKUP($B13,CDM!$J$37:$M$47,4,FALSE)/2*$C13/78,0)</f>
        <v>39363.315705128203</v>
      </c>
      <c r="N13" s="56">
        <f t="shared" si="36"/>
        <v>75087416.315705135</v>
      </c>
      <c r="O13" s="5">
        <v>223174</v>
      </c>
      <c r="P13" s="6">
        <v>150</v>
      </c>
      <c r="Q13" s="5">
        <v>1307703</v>
      </c>
      <c r="R13" s="5">
        <v>3918</v>
      </c>
      <c r="S13" s="6">
        <v>2843</v>
      </c>
      <c r="T13" s="6">
        <v>217806</v>
      </c>
      <c r="U13" s="6">
        <v>629</v>
      </c>
      <c r="V13" s="6">
        <v>182</v>
      </c>
      <c r="W13" s="5">
        <v>594265</v>
      </c>
      <c r="X13" s="1">
        <v>19</v>
      </c>
      <c r="Y13" s="56">
        <v>409794</v>
      </c>
      <c r="Z13" s="56">
        <v>4296</v>
      </c>
      <c r="AA13" s="71">
        <f>L13-Y13</f>
        <v>74638259</v>
      </c>
      <c r="AB13" s="71">
        <f>N13-Y13</f>
        <v>74677622.315705135</v>
      </c>
      <c r="AC13" s="5">
        <f>O13-Z13</f>
        <v>218878</v>
      </c>
      <c r="AD13" s="111">
        <f>Economic!H15</f>
        <v>743976.2</v>
      </c>
      <c r="AE13" s="111">
        <f>Economic!I15</f>
        <v>745246</v>
      </c>
      <c r="AF13" s="111">
        <f>Economic!D15</f>
        <v>6974.4</v>
      </c>
      <c r="AG13" s="111">
        <f>Economic!E15</f>
        <v>6983</v>
      </c>
      <c r="AH13" s="111">
        <f>Economic!F15</f>
        <v>574.5</v>
      </c>
      <c r="AI13" s="111">
        <f>Economic!G15</f>
        <v>575.20000000000005</v>
      </c>
      <c r="AJ13" s="111">
        <f>Economic!J15</f>
        <v>0</v>
      </c>
      <c r="AK13" s="111">
        <f>Economic!K15</f>
        <v>0</v>
      </c>
      <c r="AL13" s="111">
        <f>Economic!L15</f>
        <v>0</v>
      </c>
      <c r="AM13" s="111">
        <f>Economic!M15</f>
        <v>0</v>
      </c>
      <c r="AN13" s="111">
        <f>Economic!N15</f>
        <v>0</v>
      </c>
      <c r="AO13" s="111">
        <f>Economic!O15</f>
        <v>0</v>
      </c>
      <c r="AP13" s="28">
        <f>Weather!D13</f>
        <v>-6.2139784946236576</v>
      </c>
      <c r="AQ13" s="28">
        <f>Weather!E13</f>
        <v>812.63333333333298</v>
      </c>
      <c r="AR13" s="28">
        <f>Weather!F13</f>
        <v>0</v>
      </c>
      <c r="AS13" s="28">
        <f>Weather!G13</f>
        <v>750.63333333333298</v>
      </c>
      <c r="AT13" s="28">
        <f>Weather!H13</f>
        <v>0</v>
      </c>
      <c r="AU13" s="28">
        <f>Weather!I13</f>
        <v>688.63333333333298</v>
      </c>
      <c r="AV13" s="28">
        <f>Weather!J13</f>
        <v>0</v>
      </c>
      <c r="AW13" s="28">
        <f>Weather!K13</f>
        <v>626.63333333333321</v>
      </c>
      <c r="AX13" s="28">
        <f>Weather!L13</f>
        <v>0</v>
      </c>
      <c r="AY13" s="28">
        <f>Weather!M13</f>
        <v>564.63333333333344</v>
      </c>
      <c r="AZ13" s="28">
        <f>Weather!N13</f>
        <v>0</v>
      </c>
      <c r="BA13" s="28">
        <f>Weather!O13</f>
        <v>502.63333333333327</v>
      </c>
      <c r="BB13" s="28">
        <f>Weather!P13</f>
        <v>0</v>
      </c>
      <c r="BC13" s="28">
        <f>Weather!Q13</f>
        <v>440.63333333333327</v>
      </c>
      <c r="BD13" s="28">
        <f>Weather!R13</f>
        <v>0</v>
      </c>
      <c r="BE13">
        <v>0</v>
      </c>
      <c r="BF13">
        <v>0</v>
      </c>
      <c r="BG13">
        <v>0</v>
      </c>
      <c r="BH13">
        <v>0</v>
      </c>
      <c r="BI13">
        <v>0</v>
      </c>
      <c r="BJ13">
        <v>0</v>
      </c>
      <c r="BK13">
        <v>0</v>
      </c>
      <c r="BL13">
        <v>0</v>
      </c>
      <c r="BM13">
        <v>0</v>
      </c>
      <c r="BN13">
        <v>0</v>
      </c>
      <c r="BO13">
        <v>0</v>
      </c>
      <c r="BP13">
        <v>1</v>
      </c>
      <c r="BQ13">
        <v>0</v>
      </c>
      <c r="BR13">
        <v>0</v>
      </c>
      <c r="BS13">
        <v>0</v>
      </c>
      <c r="BT13" s="1">
        <f t="shared" si="37"/>
        <v>12</v>
      </c>
      <c r="BU13">
        <v>31</v>
      </c>
      <c r="BV13">
        <v>21</v>
      </c>
      <c r="BW13">
        <v>0</v>
      </c>
      <c r="BX13">
        <v>0</v>
      </c>
      <c r="BY13">
        <v>0</v>
      </c>
      <c r="BZ13">
        <v>0</v>
      </c>
      <c r="CA13">
        <f t="shared" si="2"/>
        <v>0</v>
      </c>
      <c r="CB13">
        <f t="shared" si="3"/>
        <v>0</v>
      </c>
      <c r="CC13">
        <f t="shared" si="4"/>
        <v>0</v>
      </c>
      <c r="CD13">
        <f t="shared" si="5"/>
        <v>0</v>
      </c>
      <c r="CE13">
        <f t="shared" si="6"/>
        <v>0</v>
      </c>
      <c r="CF13">
        <f t="shared" si="7"/>
        <v>0</v>
      </c>
      <c r="CG13">
        <f t="shared" si="8"/>
        <v>0</v>
      </c>
      <c r="CH13">
        <f t="shared" si="9"/>
        <v>0</v>
      </c>
      <c r="CI13">
        <f t="shared" si="10"/>
        <v>0</v>
      </c>
      <c r="CJ13">
        <f t="shared" si="11"/>
        <v>0</v>
      </c>
      <c r="CK13">
        <f t="shared" si="12"/>
        <v>0</v>
      </c>
      <c r="CL13">
        <f t="shared" si="13"/>
        <v>0</v>
      </c>
      <c r="CM13">
        <f t="shared" si="14"/>
        <v>0</v>
      </c>
      <c r="CN13">
        <f t="shared" si="15"/>
        <v>0</v>
      </c>
      <c r="CO13" s="14">
        <f t="shared" si="16"/>
        <v>0</v>
      </c>
      <c r="CP13" s="14">
        <f t="shared" si="17"/>
        <v>0</v>
      </c>
      <c r="CQ13" s="14">
        <f t="shared" si="18"/>
        <v>0</v>
      </c>
      <c r="CR13" s="14">
        <f t="shared" si="19"/>
        <v>0</v>
      </c>
      <c r="CS13" s="14">
        <f t="shared" si="20"/>
        <v>0</v>
      </c>
      <c r="CT13" s="14">
        <f t="shared" si="21"/>
        <v>0</v>
      </c>
      <c r="CU13" s="14">
        <f t="shared" si="22"/>
        <v>0</v>
      </c>
      <c r="CV13" s="14">
        <f t="shared" si="23"/>
        <v>0</v>
      </c>
      <c r="CW13" s="14">
        <f t="shared" si="24"/>
        <v>0</v>
      </c>
      <c r="CX13" s="14">
        <f t="shared" si="25"/>
        <v>0</v>
      </c>
      <c r="CY13" s="14">
        <f t="shared" si="26"/>
        <v>0</v>
      </c>
      <c r="CZ13" s="14">
        <f t="shared" si="27"/>
        <v>0</v>
      </c>
      <c r="DA13" s="14">
        <f t="shared" si="28"/>
        <v>0</v>
      </c>
      <c r="DB13" s="14">
        <f t="shared" si="29"/>
        <v>0</v>
      </c>
      <c r="DC13" s="72">
        <f>F13/G13</f>
        <v>8029.4572310041613</v>
      </c>
      <c r="DD13" s="72">
        <f t="shared" si="30"/>
        <v>259.01474938723101</v>
      </c>
      <c r="DE13" s="71">
        <f>F13/BU13</f>
        <v>2473590.8566480563</v>
      </c>
      <c r="DF13" s="72">
        <f>J13/K13</f>
        <v>22841.689349017161</v>
      </c>
      <c r="DG13" s="72">
        <f t="shared" si="31"/>
        <v>736.82868867797288</v>
      </c>
      <c r="DH13" s="72">
        <f>J13/BU13</f>
        <v>953456.32314929692</v>
      </c>
      <c r="DI13" s="72">
        <f>N13/P13</f>
        <v>500582.77543803421</v>
      </c>
      <c r="DJ13" s="72">
        <f t="shared" si="32"/>
        <v>16147.831465743038</v>
      </c>
      <c r="DK13" s="72">
        <f t="shared" si="33"/>
        <v>23837.275020858771</v>
      </c>
      <c r="DL13" s="72">
        <f>N13/BU13</f>
        <v>2422174.7198614562</v>
      </c>
      <c r="DM13" s="72">
        <f>N13/BV13</f>
        <v>3575591.2531288159</v>
      </c>
      <c r="DN13" s="1">
        <v>0</v>
      </c>
      <c r="DO13" s="1">
        <v>0</v>
      </c>
    </row>
    <row r="14" spans="1:119">
      <c r="A14" s="93">
        <f t="shared" si="38"/>
        <v>42736</v>
      </c>
      <c r="B14" s="4">
        <f t="shared" si="0"/>
        <v>2017</v>
      </c>
      <c r="C14" s="4">
        <f t="shared" si="1"/>
        <v>1</v>
      </c>
      <c r="D14" s="56">
        <v>0</v>
      </c>
      <c r="E14" s="56">
        <f>IFERROR(VLOOKUP($B14-1,CDM!$J$6:$P$19,2,FALSE)/12,0)+IFERROR(VLOOKUP($B14,CDM!$J$37:$M$48,2,FALSE)/24,0)+IFERROR(VLOOKUP($B14,CDM!$J$37:$M$48,2,FALSE)/2*$C14/78,0)</f>
        <v>80079.323717948719</v>
      </c>
      <c r="F14" s="56">
        <f t="shared" si="34"/>
        <v>80079.323717948719</v>
      </c>
      <c r="G14" s="301">
        <v>9560</v>
      </c>
      <c r="H14" s="56">
        <v>0</v>
      </c>
      <c r="I14" s="56">
        <f>IFERROR(VLOOKUP($B14-1,CDM!$J$6:$P$19,3,FALSE)/12,0)+IFERROR(VLOOKUP($B14,CDM!$J$37:$M$47,3,FALSE)/24,0)+IFERROR(VLOOKUP($B14,CDM!$J$37:$M$47,3,FALSE)/2*$C14/78,0)</f>
        <v>63199.167467948719</v>
      </c>
      <c r="J14" s="56">
        <f t="shared" si="35"/>
        <v>63199.167467948719</v>
      </c>
      <c r="K14" s="6">
        <v>1287</v>
      </c>
      <c r="L14" s="5">
        <v>0</v>
      </c>
      <c r="M14" s="2">
        <f>IFERROR(VLOOKUP($B14-1,CDM!$J$6:$P$19,4,FALSE)/12,0)+IFERROR(VLOOKUP($B14,CDM!$J$37:$M$47,4,FALSE)/24,0)+IFERROR(VLOOKUP($B14,CDM!$J$37:$M$47,4,FALSE)/2*$C14/78,0)</f>
        <v>55821.970352564102</v>
      </c>
      <c r="N14" s="56">
        <f t="shared" si="36"/>
        <v>55821.970352564102</v>
      </c>
      <c r="O14" s="5">
        <v>0</v>
      </c>
      <c r="P14" s="6">
        <v>151</v>
      </c>
      <c r="Q14" s="5">
        <v>0</v>
      </c>
      <c r="R14" s="5">
        <v>0</v>
      </c>
      <c r="S14" s="6">
        <v>2843</v>
      </c>
      <c r="T14" s="6">
        <v>0</v>
      </c>
      <c r="U14" s="6">
        <v>0</v>
      </c>
      <c r="V14" s="6">
        <v>178</v>
      </c>
      <c r="W14" s="5">
        <v>0</v>
      </c>
      <c r="X14" s="1">
        <v>19</v>
      </c>
      <c r="Y14" s="56">
        <v>109206</v>
      </c>
      <c r="Z14" s="56">
        <v>2448</v>
      </c>
      <c r="AA14" s="71">
        <f>L14-Y14</f>
        <v>-109206</v>
      </c>
      <c r="AB14" s="71">
        <f>N14-Y14</f>
        <v>-53384.029647435898</v>
      </c>
      <c r="AC14" s="5">
        <f>O14-Z14</f>
        <v>-2448</v>
      </c>
      <c r="AD14" s="111">
        <f>Economic!H16</f>
        <v>764464.8</v>
      </c>
      <c r="AE14" s="111">
        <f>Economic!I16</f>
        <v>756670</v>
      </c>
      <c r="AF14" s="111">
        <f>Economic!D16</f>
        <v>6998.9</v>
      </c>
      <c r="AG14" s="111">
        <f>Economic!E16</f>
        <v>6968.1</v>
      </c>
      <c r="AH14" s="111">
        <f>Economic!F16</f>
        <v>576.20000000000005</v>
      </c>
      <c r="AI14" s="111">
        <f>Economic!G16</f>
        <v>576.70000000000005</v>
      </c>
      <c r="AJ14" s="111">
        <f>Economic!J16</f>
        <v>116</v>
      </c>
      <c r="AK14" s="111">
        <f>Economic!K16</f>
        <v>119.80000000000018</v>
      </c>
      <c r="AL14" s="111">
        <f>Economic!L16</f>
        <v>21.700000000000045</v>
      </c>
      <c r="AM14" s="111">
        <f>Economic!M16</f>
        <v>24.700000000000045</v>
      </c>
      <c r="AN14" s="111">
        <f>Economic!N16</f>
        <v>20488.600000000093</v>
      </c>
      <c r="AO14" s="111">
        <f>Economic!O16</f>
        <v>11424</v>
      </c>
      <c r="AP14" s="28">
        <f>Weather!D14</f>
        <v>-6.9409946236559152</v>
      </c>
      <c r="AQ14" s="28">
        <f>Weather!E14</f>
        <v>835.17083333333335</v>
      </c>
      <c r="AR14" s="28">
        <f>Weather!F14</f>
        <v>0</v>
      </c>
      <c r="AS14" s="28">
        <f>Weather!G14</f>
        <v>773.17083333333323</v>
      </c>
      <c r="AT14" s="28">
        <f>Weather!H14</f>
        <v>0</v>
      </c>
      <c r="AU14" s="28">
        <f>Weather!I14</f>
        <v>711.17083333333323</v>
      </c>
      <c r="AV14" s="28">
        <f>Weather!J14</f>
        <v>0</v>
      </c>
      <c r="AW14" s="28">
        <f>Weather!K14</f>
        <v>649.17083333333323</v>
      </c>
      <c r="AX14" s="28">
        <f>Weather!L14</f>
        <v>0</v>
      </c>
      <c r="AY14" s="28">
        <f>Weather!M14</f>
        <v>587.17083333333335</v>
      </c>
      <c r="AZ14" s="28">
        <f>Weather!N14</f>
        <v>0</v>
      </c>
      <c r="BA14" s="28">
        <f>Weather!O14</f>
        <v>525.17083333333335</v>
      </c>
      <c r="BB14" s="28">
        <f>Weather!P14</f>
        <v>0</v>
      </c>
      <c r="BC14" s="28">
        <f>Weather!Q14</f>
        <v>463.17083333333329</v>
      </c>
      <c r="BD14" s="28">
        <f>Weather!R14</f>
        <v>0</v>
      </c>
      <c r="BE14">
        <v>1</v>
      </c>
      <c r="BF14">
        <v>0</v>
      </c>
      <c r="BG14">
        <v>0</v>
      </c>
      <c r="BH14">
        <v>0</v>
      </c>
      <c r="BI14">
        <v>0</v>
      </c>
      <c r="BJ14">
        <v>0</v>
      </c>
      <c r="BK14">
        <v>0</v>
      </c>
      <c r="BL14">
        <v>0</v>
      </c>
      <c r="BM14">
        <v>0</v>
      </c>
      <c r="BN14">
        <v>0</v>
      </c>
      <c r="BO14">
        <v>0</v>
      </c>
      <c r="BP14">
        <v>0</v>
      </c>
      <c r="BQ14">
        <v>0</v>
      </c>
      <c r="BR14">
        <v>0</v>
      </c>
      <c r="BS14">
        <v>0</v>
      </c>
      <c r="BT14" s="1">
        <f t="shared" si="37"/>
        <v>13</v>
      </c>
      <c r="BU14">
        <v>31</v>
      </c>
      <c r="BV14">
        <v>21</v>
      </c>
      <c r="BW14">
        <v>0</v>
      </c>
      <c r="BX14">
        <v>0</v>
      </c>
      <c r="BY14">
        <v>0</v>
      </c>
      <c r="BZ14">
        <v>0</v>
      </c>
      <c r="CA14">
        <f t="shared" si="2"/>
        <v>0</v>
      </c>
      <c r="CB14">
        <f t="shared" si="3"/>
        <v>0</v>
      </c>
      <c r="CC14">
        <f t="shared" si="4"/>
        <v>0</v>
      </c>
      <c r="CD14">
        <f t="shared" si="5"/>
        <v>0</v>
      </c>
      <c r="CE14">
        <f t="shared" si="6"/>
        <v>0</v>
      </c>
      <c r="CF14">
        <f t="shared" si="7"/>
        <v>0</v>
      </c>
      <c r="CG14">
        <f t="shared" si="8"/>
        <v>0</v>
      </c>
      <c r="CH14">
        <f t="shared" si="9"/>
        <v>0</v>
      </c>
      <c r="CI14">
        <f t="shared" si="10"/>
        <v>0</v>
      </c>
      <c r="CJ14">
        <f t="shared" si="11"/>
        <v>0</v>
      </c>
      <c r="CK14">
        <f t="shared" si="12"/>
        <v>0</v>
      </c>
      <c r="CL14">
        <f t="shared" si="13"/>
        <v>0</v>
      </c>
      <c r="CM14">
        <f t="shared" si="14"/>
        <v>0</v>
      </c>
      <c r="CN14">
        <f t="shared" si="15"/>
        <v>0</v>
      </c>
      <c r="CO14" s="14">
        <f t="shared" si="16"/>
        <v>0</v>
      </c>
      <c r="CP14" s="14">
        <f t="shared" si="17"/>
        <v>0</v>
      </c>
      <c r="CQ14" s="14">
        <f t="shared" si="18"/>
        <v>0</v>
      </c>
      <c r="CR14" s="14">
        <f t="shared" si="19"/>
        <v>0</v>
      </c>
      <c r="CS14" s="14">
        <f t="shared" si="20"/>
        <v>0</v>
      </c>
      <c r="CT14" s="14">
        <f t="shared" si="21"/>
        <v>0</v>
      </c>
      <c r="CU14" s="14">
        <f t="shared" si="22"/>
        <v>0</v>
      </c>
      <c r="CV14" s="14">
        <f t="shared" si="23"/>
        <v>0</v>
      </c>
      <c r="CW14" s="14">
        <f t="shared" si="24"/>
        <v>0</v>
      </c>
      <c r="CX14" s="14">
        <f t="shared" si="25"/>
        <v>0</v>
      </c>
      <c r="CY14" s="14">
        <f t="shared" si="26"/>
        <v>0</v>
      </c>
      <c r="CZ14" s="14">
        <f t="shared" si="27"/>
        <v>0</v>
      </c>
      <c r="DA14" s="14">
        <f t="shared" si="28"/>
        <v>0</v>
      </c>
      <c r="DB14" s="14">
        <f t="shared" si="29"/>
        <v>0</v>
      </c>
      <c r="DC14" s="72">
        <f>F14/G14</f>
        <v>8.3764982968565604</v>
      </c>
      <c r="DD14" s="72">
        <f t="shared" si="30"/>
        <v>0.2702096224792439</v>
      </c>
      <c r="DE14" s="71">
        <f>F14/BU14</f>
        <v>2583.2039909015716</v>
      </c>
      <c r="DF14" s="72">
        <f>J14/K14</f>
        <v>49.105802228398382</v>
      </c>
      <c r="DG14" s="72">
        <f t="shared" si="31"/>
        <v>1.5840581363999477</v>
      </c>
      <c r="DH14" s="72">
        <f>J14/BU14</f>
        <v>2038.6828215467328</v>
      </c>
      <c r="DI14" s="72">
        <f>N14/P14</f>
        <v>369.68192286466291</v>
      </c>
      <c r="DJ14" s="72">
        <f t="shared" si="32"/>
        <v>11.925223318214933</v>
      </c>
      <c r="DK14" s="72">
        <f t="shared" si="33"/>
        <v>17.603901088793471</v>
      </c>
      <c r="DL14" s="72">
        <f>N14/BU14</f>
        <v>1800.7087210504549</v>
      </c>
      <c r="DM14" s="72">
        <f>N14/BV14</f>
        <v>2658.1890644078144</v>
      </c>
      <c r="DN14" s="1">
        <v>0</v>
      </c>
      <c r="DO14" s="1">
        <v>0</v>
      </c>
    </row>
    <row r="15" spans="1:119">
      <c r="A15" s="93">
        <f t="shared" si="38"/>
        <v>42767</v>
      </c>
      <c r="B15" s="4">
        <f t="shared" si="0"/>
        <v>2017</v>
      </c>
      <c r="C15" s="4">
        <f t="shared" si="1"/>
        <v>2</v>
      </c>
      <c r="D15" s="56">
        <v>0</v>
      </c>
      <c r="E15" s="56">
        <f>IFERROR(VLOOKUP($B15-1,CDM!$J$6:$P$19,2,FALSE)/12,0)+IFERROR(VLOOKUP($B15,CDM!$J$37:$M$48,2,FALSE)/24,0)+IFERROR(VLOOKUP($B15,CDM!$J$37:$M$48,2,FALSE)/2*$C15/78,0)</f>
        <v>86427.772435897437</v>
      </c>
      <c r="F15" s="56">
        <f t="shared" si="34"/>
        <v>86427.772435897437</v>
      </c>
      <c r="G15" s="301">
        <v>9560</v>
      </c>
      <c r="H15" s="56">
        <v>0</v>
      </c>
      <c r="I15" s="56">
        <f>IFERROR(VLOOKUP($B15-1,CDM!$J$6:$P$19,3,FALSE)/12,0)+IFERROR(VLOOKUP($B15,CDM!$J$37:$M$47,3,FALSE)/24,0)+IFERROR(VLOOKUP($B15,CDM!$J$37:$M$47,3,FALSE)/2*$C15/78,0)</f>
        <v>67588.928685897437</v>
      </c>
      <c r="J15" s="56">
        <f t="shared" si="35"/>
        <v>67588.928685897437</v>
      </c>
      <c r="K15" s="6">
        <v>1287</v>
      </c>
      <c r="L15" s="5">
        <v>0</v>
      </c>
      <c r="M15" s="2">
        <f>IFERROR(VLOOKUP($B15-1,CDM!$J$6:$P$19,4,FALSE)/12,0)+IFERROR(VLOOKUP($B15,CDM!$J$37:$M$47,4,FALSE)/24,0)+IFERROR(VLOOKUP($B15,CDM!$J$37:$M$47,4,FALSE)/2*$C15/78,0)</f>
        <v>59576.805288461539</v>
      </c>
      <c r="N15" s="56">
        <f t="shared" si="36"/>
        <v>59576.805288461539</v>
      </c>
      <c r="O15" s="5">
        <v>0</v>
      </c>
      <c r="P15" s="6">
        <v>151</v>
      </c>
      <c r="Q15" s="5">
        <v>0</v>
      </c>
      <c r="R15" s="5">
        <v>0</v>
      </c>
      <c r="S15" s="6">
        <v>2843</v>
      </c>
      <c r="T15" s="6">
        <v>0</v>
      </c>
      <c r="U15" s="6">
        <v>0</v>
      </c>
      <c r="V15" s="6">
        <v>178</v>
      </c>
      <c r="W15" s="5">
        <v>0</v>
      </c>
      <c r="X15" s="1">
        <v>19</v>
      </c>
      <c r="Y15" s="56">
        <v>18972</v>
      </c>
      <c r="Z15" s="56">
        <v>1176</v>
      </c>
      <c r="AA15" s="71">
        <f>L15-Y15</f>
        <v>-18972</v>
      </c>
      <c r="AB15" s="71">
        <f>N15-Y15</f>
        <v>40604.805288461539</v>
      </c>
      <c r="AC15" s="5">
        <f>O15-Z15</f>
        <v>-1176</v>
      </c>
      <c r="AD15" s="111">
        <f>Economic!H17</f>
        <v>764464.8</v>
      </c>
      <c r="AE15" s="111">
        <f>Economic!I17</f>
        <v>756670</v>
      </c>
      <c r="AF15" s="111">
        <f>Economic!D17</f>
        <v>7017.3</v>
      </c>
      <c r="AG15" s="111">
        <f>Economic!E17</f>
        <v>6948.4</v>
      </c>
      <c r="AH15" s="111">
        <f>Economic!F17</f>
        <v>577.20000000000005</v>
      </c>
      <c r="AI15" s="111">
        <f>Economic!G17</f>
        <v>576.9</v>
      </c>
      <c r="AJ15" s="111">
        <f>Economic!J17</f>
        <v>117.80000000000018</v>
      </c>
      <c r="AK15" s="111">
        <f>Economic!K17</f>
        <v>119.29999999999927</v>
      </c>
      <c r="AL15" s="111">
        <f>Economic!L17</f>
        <v>19.600000000000023</v>
      </c>
      <c r="AM15" s="111">
        <f>Economic!M17</f>
        <v>22.699999999999932</v>
      </c>
      <c r="AN15" s="111">
        <f>Economic!N17</f>
        <v>20488.600000000093</v>
      </c>
      <c r="AO15" s="111">
        <f>Economic!O17</f>
        <v>11424</v>
      </c>
      <c r="AP15" s="28">
        <f>Weather!D15</f>
        <v>-6.3861607142857153</v>
      </c>
      <c r="AQ15" s="28">
        <f>Weather!E15</f>
        <v>738.8125</v>
      </c>
      <c r="AR15" s="28">
        <f>Weather!F15</f>
        <v>0</v>
      </c>
      <c r="AS15" s="28">
        <f>Weather!G15</f>
        <v>682.81249999999989</v>
      </c>
      <c r="AT15" s="28">
        <f>Weather!H15</f>
        <v>0</v>
      </c>
      <c r="AU15" s="28">
        <f>Weather!I15</f>
        <v>626.81249999999989</v>
      </c>
      <c r="AV15" s="28">
        <f>Weather!J15</f>
        <v>0</v>
      </c>
      <c r="AW15" s="28">
        <f>Weather!K15</f>
        <v>570.8125</v>
      </c>
      <c r="AX15" s="28">
        <f>Weather!L15</f>
        <v>0</v>
      </c>
      <c r="AY15" s="28">
        <f>Weather!M15</f>
        <v>514.8125</v>
      </c>
      <c r="AZ15" s="28">
        <f>Weather!N15</f>
        <v>0</v>
      </c>
      <c r="BA15" s="28">
        <f>Weather!O15</f>
        <v>458.8125</v>
      </c>
      <c r="BB15" s="28">
        <f>Weather!P15</f>
        <v>0</v>
      </c>
      <c r="BC15" s="28">
        <f>Weather!Q15</f>
        <v>402.8125</v>
      </c>
      <c r="BD15" s="28">
        <f>Weather!R15</f>
        <v>0</v>
      </c>
      <c r="BE15">
        <v>0</v>
      </c>
      <c r="BF15">
        <v>1</v>
      </c>
      <c r="BG15">
        <v>0</v>
      </c>
      <c r="BH15">
        <v>0</v>
      </c>
      <c r="BI15">
        <v>0</v>
      </c>
      <c r="BJ15">
        <v>0</v>
      </c>
      <c r="BK15">
        <v>0</v>
      </c>
      <c r="BL15">
        <v>0</v>
      </c>
      <c r="BM15">
        <v>0</v>
      </c>
      <c r="BN15">
        <v>0</v>
      </c>
      <c r="BO15">
        <v>0</v>
      </c>
      <c r="BP15">
        <v>0</v>
      </c>
      <c r="BQ15">
        <v>0</v>
      </c>
      <c r="BR15">
        <v>0</v>
      </c>
      <c r="BS15">
        <v>0</v>
      </c>
      <c r="BT15" s="1">
        <f t="shared" si="37"/>
        <v>14</v>
      </c>
      <c r="BU15">
        <v>28</v>
      </c>
      <c r="BV15">
        <v>19</v>
      </c>
      <c r="BW15">
        <v>0</v>
      </c>
      <c r="BX15">
        <v>0</v>
      </c>
      <c r="BY15">
        <v>0</v>
      </c>
      <c r="BZ15">
        <v>0</v>
      </c>
      <c r="CA15">
        <f t="shared" si="2"/>
        <v>0</v>
      </c>
      <c r="CB15">
        <f t="shared" si="3"/>
        <v>0</v>
      </c>
      <c r="CC15">
        <f t="shared" si="4"/>
        <v>0</v>
      </c>
      <c r="CD15">
        <f t="shared" si="5"/>
        <v>0</v>
      </c>
      <c r="CE15">
        <f t="shared" si="6"/>
        <v>0</v>
      </c>
      <c r="CF15">
        <f t="shared" si="7"/>
        <v>0</v>
      </c>
      <c r="CG15">
        <f t="shared" si="8"/>
        <v>0</v>
      </c>
      <c r="CH15">
        <f t="shared" si="9"/>
        <v>0</v>
      </c>
      <c r="CI15">
        <f t="shared" si="10"/>
        <v>0</v>
      </c>
      <c r="CJ15">
        <f t="shared" si="11"/>
        <v>0</v>
      </c>
      <c r="CK15">
        <f t="shared" si="12"/>
        <v>0</v>
      </c>
      <c r="CL15">
        <f t="shared" si="13"/>
        <v>0</v>
      </c>
      <c r="CM15">
        <f t="shared" si="14"/>
        <v>0</v>
      </c>
      <c r="CN15">
        <f t="shared" si="15"/>
        <v>0</v>
      </c>
      <c r="CO15" s="14">
        <f t="shared" si="16"/>
        <v>0</v>
      </c>
      <c r="CP15" s="14">
        <f t="shared" si="17"/>
        <v>0</v>
      </c>
      <c r="CQ15" s="14">
        <f t="shared" si="18"/>
        <v>0</v>
      </c>
      <c r="CR15" s="14">
        <f t="shared" si="19"/>
        <v>0</v>
      </c>
      <c r="CS15" s="14">
        <f t="shared" si="20"/>
        <v>0</v>
      </c>
      <c r="CT15" s="14">
        <f t="shared" si="21"/>
        <v>0</v>
      </c>
      <c r="CU15" s="14">
        <f t="shared" si="22"/>
        <v>0</v>
      </c>
      <c r="CV15" s="14">
        <f t="shared" si="23"/>
        <v>0</v>
      </c>
      <c r="CW15" s="14">
        <f t="shared" si="24"/>
        <v>0</v>
      </c>
      <c r="CX15" s="14">
        <f t="shared" si="25"/>
        <v>0</v>
      </c>
      <c r="CY15" s="14">
        <f t="shared" si="26"/>
        <v>0</v>
      </c>
      <c r="CZ15" s="14">
        <f t="shared" si="27"/>
        <v>0</v>
      </c>
      <c r="DA15" s="14">
        <f t="shared" si="28"/>
        <v>0</v>
      </c>
      <c r="DB15" s="14">
        <f t="shared" si="29"/>
        <v>0</v>
      </c>
      <c r="DC15" s="72">
        <f>F15/G15</f>
        <v>9.0405619702821589</v>
      </c>
      <c r="DD15" s="72">
        <f t="shared" si="30"/>
        <v>0.3228772132243628</v>
      </c>
      <c r="DE15" s="71">
        <f>F15/BU15</f>
        <v>3086.7061584249086</v>
      </c>
      <c r="DF15" s="72">
        <f>J15/K15</f>
        <v>52.516650105592412</v>
      </c>
      <c r="DG15" s="72">
        <f t="shared" si="31"/>
        <v>1.8755946466283004</v>
      </c>
      <c r="DH15" s="72">
        <f>J15/BU15</f>
        <v>2413.8903102106228</v>
      </c>
      <c r="DI15" s="72">
        <f>N15/P15</f>
        <v>394.54837939378501</v>
      </c>
      <c r="DJ15" s="72">
        <f t="shared" si="32"/>
        <v>14.091013549778037</v>
      </c>
      <c r="DK15" s="72">
        <f t="shared" si="33"/>
        <v>20.765704178620265</v>
      </c>
      <c r="DL15" s="72">
        <f>N15/BU15</f>
        <v>2127.7430460164837</v>
      </c>
      <c r="DM15" s="72">
        <f>N15/BV15</f>
        <v>3135.62133097166</v>
      </c>
      <c r="DN15" s="1">
        <v>0</v>
      </c>
      <c r="DO15" s="1">
        <v>0</v>
      </c>
    </row>
    <row r="16" spans="1:119">
      <c r="A16" s="93">
        <f t="shared" si="38"/>
        <v>42795</v>
      </c>
      <c r="B16" s="4">
        <f t="shared" si="0"/>
        <v>2017</v>
      </c>
      <c r="C16" s="4">
        <f t="shared" si="1"/>
        <v>3</v>
      </c>
      <c r="D16" s="56">
        <v>0</v>
      </c>
      <c r="E16" s="56">
        <f>IFERROR(VLOOKUP($B16-1,CDM!$J$6:$P$19,2,FALSE)/12,0)+IFERROR(VLOOKUP($B16,CDM!$J$37:$M$48,2,FALSE)/24,0)+IFERROR(VLOOKUP($B16,CDM!$J$37:$M$48,2,FALSE)/2*$C16/78,0)</f>
        <v>92776.221153846156</v>
      </c>
      <c r="F16" s="56">
        <f t="shared" si="34"/>
        <v>92776.221153846156</v>
      </c>
      <c r="G16" s="301">
        <v>9560</v>
      </c>
      <c r="H16" s="56">
        <v>0</v>
      </c>
      <c r="I16" s="56">
        <f>IFERROR(VLOOKUP($B16-1,CDM!$J$6:$P$19,3,FALSE)/12,0)+IFERROR(VLOOKUP($B16,CDM!$J$37:$M$47,3,FALSE)/24,0)+IFERROR(VLOOKUP($B16,CDM!$J$37:$M$47,3,FALSE)/2*$C16/78,0)</f>
        <v>71978.689903846156</v>
      </c>
      <c r="J16" s="56">
        <f t="shared" si="35"/>
        <v>71978.689903846156</v>
      </c>
      <c r="K16" s="6">
        <v>1287</v>
      </c>
      <c r="L16" s="5">
        <v>0</v>
      </c>
      <c r="M16" s="2">
        <f>IFERROR(VLOOKUP($B16-1,CDM!$J$6:$P$19,4,FALSE)/12,0)+IFERROR(VLOOKUP($B16,CDM!$J$37:$M$47,4,FALSE)/24,0)+IFERROR(VLOOKUP($B16,CDM!$J$37:$M$47,4,FALSE)/2*$C16/78,0)</f>
        <v>63331.640224358969</v>
      </c>
      <c r="N16" s="56">
        <f t="shared" si="36"/>
        <v>63331.640224358969</v>
      </c>
      <c r="O16" s="5">
        <v>0</v>
      </c>
      <c r="P16" s="6">
        <v>151</v>
      </c>
      <c r="Q16" s="5">
        <v>0</v>
      </c>
      <c r="R16" s="5">
        <v>0</v>
      </c>
      <c r="S16" s="6">
        <v>2843</v>
      </c>
      <c r="T16" s="6">
        <v>0</v>
      </c>
      <c r="U16" s="6">
        <v>0</v>
      </c>
      <c r="V16" s="6">
        <v>178</v>
      </c>
      <c r="W16" s="5">
        <v>0</v>
      </c>
      <c r="X16" s="1">
        <v>19</v>
      </c>
      <c r="Y16" s="56">
        <v>240</v>
      </c>
      <c r="Z16" s="56">
        <v>144</v>
      </c>
      <c r="AA16" s="71">
        <f>L16-Y16</f>
        <v>-240</v>
      </c>
      <c r="AB16" s="71">
        <f>N16-Y16</f>
        <v>63091.640224358969</v>
      </c>
      <c r="AC16" s="5">
        <f>O16-Z16</f>
        <v>-144</v>
      </c>
      <c r="AD16" s="111">
        <f>Economic!H18</f>
        <v>764464.8</v>
      </c>
      <c r="AE16" s="111">
        <f>Economic!I18</f>
        <v>756670</v>
      </c>
      <c r="AF16" s="111">
        <f>Economic!D18</f>
        <v>7035.4</v>
      </c>
      <c r="AG16" s="111">
        <f>Economic!E18</f>
        <v>6933.2</v>
      </c>
      <c r="AH16" s="111">
        <f>Economic!F18</f>
        <v>578.4</v>
      </c>
      <c r="AI16" s="111">
        <f>Economic!G18</f>
        <v>577.1</v>
      </c>
      <c r="AJ16" s="111">
        <f>Economic!J18</f>
        <v>126.79999999999927</v>
      </c>
      <c r="AK16" s="111">
        <f>Economic!K18</f>
        <v>124.5</v>
      </c>
      <c r="AL16" s="111">
        <f>Economic!L18</f>
        <v>18.699999999999932</v>
      </c>
      <c r="AM16" s="111">
        <f>Economic!M18</f>
        <v>21.5</v>
      </c>
      <c r="AN16" s="111">
        <f>Economic!N18</f>
        <v>20488.600000000093</v>
      </c>
      <c r="AO16" s="111">
        <f>Economic!O18</f>
        <v>11424</v>
      </c>
      <c r="AP16" s="28">
        <f>Weather!D16</f>
        <v>-6.4169354838709669</v>
      </c>
      <c r="AQ16" s="28">
        <f>Weather!E16</f>
        <v>818.92500000000018</v>
      </c>
      <c r="AR16" s="28">
        <f>Weather!F16</f>
        <v>0</v>
      </c>
      <c r="AS16" s="28">
        <f>Weather!G16</f>
        <v>756.92500000000018</v>
      </c>
      <c r="AT16" s="28">
        <f>Weather!H16</f>
        <v>0</v>
      </c>
      <c r="AU16" s="28">
        <f>Weather!I16</f>
        <v>694.92500000000018</v>
      </c>
      <c r="AV16" s="28">
        <f>Weather!J16</f>
        <v>0</v>
      </c>
      <c r="AW16" s="28">
        <f>Weather!K16</f>
        <v>632.92500000000007</v>
      </c>
      <c r="AX16" s="28">
        <f>Weather!L16</f>
        <v>0</v>
      </c>
      <c r="AY16" s="28">
        <f>Weather!M16</f>
        <v>570.92500000000007</v>
      </c>
      <c r="AZ16" s="28">
        <f>Weather!N16</f>
        <v>0</v>
      </c>
      <c r="BA16" s="28">
        <f>Weather!O16</f>
        <v>508.92500000000001</v>
      </c>
      <c r="BB16" s="28">
        <f>Weather!P16</f>
        <v>0</v>
      </c>
      <c r="BC16" s="28">
        <f>Weather!Q16</f>
        <v>446.92499999999995</v>
      </c>
      <c r="BD16" s="28">
        <f>Weather!R16</f>
        <v>0</v>
      </c>
      <c r="BE16">
        <v>0</v>
      </c>
      <c r="BF16">
        <v>0</v>
      </c>
      <c r="BG16">
        <v>1</v>
      </c>
      <c r="BH16">
        <v>0</v>
      </c>
      <c r="BI16">
        <v>0</v>
      </c>
      <c r="BJ16">
        <v>0</v>
      </c>
      <c r="BK16">
        <v>0</v>
      </c>
      <c r="BL16">
        <v>0</v>
      </c>
      <c r="BM16">
        <v>0</v>
      </c>
      <c r="BN16">
        <v>0</v>
      </c>
      <c r="BO16">
        <v>0</v>
      </c>
      <c r="BP16">
        <v>0</v>
      </c>
      <c r="BQ16">
        <v>1</v>
      </c>
      <c r="BR16">
        <v>0</v>
      </c>
      <c r="BS16">
        <v>1</v>
      </c>
      <c r="BT16" s="1">
        <f t="shared" si="37"/>
        <v>15</v>
      </c>
      <c r="BU16">
        <v>31</v>
      </c>
      <c r="BV16">
        <v>22</v>
      </c>
      <c r="BW16">
        <v>0</v>
      </c>
      <c r="BX16">
        <v>0</v>
      </c>
      <c r="BY16">
        <v>0</v>
      </c>
      <c r="BZ16">
        <v>0</v>
      </c>
      <c r="CA16">
        <f t="shared" si="2"/>
        <v>0</v>
      </c>
      <c r="CB16">
        <f t="shared" si="3"/>
        <v>0</v>
      </c>
      <c r="CC16">
        <f t="shared" si="4"/>
        <v>0</v>
      </c>
      <c r="CD16">
        <f t="shared" si="5"/>
        <v>0</v>
      </c>
      <c r="CE16">
        <f t="shared" si="6"/>
        <v>0</v>
      </c>
      <c r="CF16">
        <f t="shared" si="7"/>
        <v>0</v>
      </c>
      <c r="CG16">
        <f t="shared" si="8"/>
        <v>0</v>
      </c>
      <c r="CH16">
        <f t="shared" si="9"/>
        <v>0</v>
      </c>
      <c r="CI16">
        <f t="shared" si="10"/>
        <v>0</v>
      </c>
      <c r="CJ16">
        <f t="shared" si="11"/>
        <v>0</v>
      </c>
      <c r="CK16">
        <f t="shared" si="12"/>
        <v>0</v>
      </c>
      <c r="CL16">
        <f t="shared" si="13"/>
        <v>0</v>
      </c>
      <c r="CM16">
        <f t="shared" si="14"/>
        <v>0</v>
      </c>
      <c r="CN16">
        <f t="shared" si="15"/>
        <v>0</v>
      </c>
      <c r="CO16" s="14">
        <f t="shared" si="16"/>
        <v>0</v>
      </c>
      <c r="CP16" s="14">
        <f t="shared" si="17"/>
        <v>0</v>
      </c>
      <c r="CQ16" s="14">
        <f t="shared" si="18"/>
        <v>0</v>
      </c>
      <c r="CR16" s="14">
        <f t="shared" si="19"/>
        <v>0</v>
      </c>
      <c r="CS16" s="14">
        <f t="shared" si="20"/>
        <v>0</v>
      </c>
      <c r="CT16" s="14">
        <f t="shared" si="21"/>
        <v>0</v>
      </c>
      <c r="CU16" s="14">
        <f t="shared" si="22"/>
        <v>0</v>
      </c>
      <c r="CV16" s="14">
        <f t="shared" si="23"/>
        <v>0</v>
      </c>
      <c r="CW16" s="14">
        <f t="shared" si="24"/>
        <v>0</v>
      </c>
      <c r="CX16" s="14">
        <f t="shared" si="25"/>
        <v>0</v>
      </c>
      <c r="CY16" s="14">
        <f t="shared" si="26"/>
        <v>0</v>
      </c>
      <c r="CZ16" s="14">
        <f t="shared" si="27"/>
        <v>0</v>
      </c>
      <c r="DA16" s="14">
        <f t="shared" si="28"/>
        <v>0</v>
      </c>
      <c r="DB16" s="14">
        <f t="shared" si="29"/>
        <v>0</v>
      </c>
      <c r="DC16" s="72">
        <f>F16/G16</f>
        <v>9.7046256437077574</v>
      </c>
      <c r="DD16" s="72">
        <f t="shared" si="30"/>
        <v>0.31305244011960509</v>
      </c>
      <c r="DE16" s="71">
        <f>F16/BU16</f>
        <v>2992.7813275434246</v>
      </c>
      <c r="DF16" s="72">
        <f>J16/K16</f>
        <v>55.927497982786448</v>
      </c>
      <c r="DG16" s="72">
        <f t="shared" si="31"/>
        <v>1.8041128381544016</v>
      </c>
      <c r="DH16" s="72">
        <f>J16/BU16</f>
        <v>2321.8932227047148</v>
      </c>
      <c r="DI16" s="72">
        <f>N16/P16</f>
        <v>419.41483592290706</v>
      </c>
      <c r="DJ16" s="72">
        <f t="shared" si="32"/>
        <v>13.529510836222808</v>
      </c>
      <c r="DK16" s="72">
        <f t="shared" si="33"/>
        <v>19.064310723768504</v>
      </c>
      <c r="DL16" s="72">
        <f>N16/BU16</f>
        <v>2042.9561362696443</v>
      </c>
      <c r="DM16" s="72">
        <f>N16/BV16</f>
        <v>2878.7109192890439</v>
      </c>
      <c r="DN16" s="1">
        <v>0</v>
      </c>
      <c r="DO16" s="1">
        <v>0</v>
      </c>
    </row>
    <row r="17" spans="1:119">
      <c r="A17" s="93">
        <f t="shared" si="38"/>
        <v>42826</v>
      </c>
      <c r="B17" s="4">
        <f t="shared" si="0"/>
        <v>2017</v>
      </c>
      <c r="C17" s="4">
        <f t="shared" si="1"/>
        <v>4</v>
      </c>
      <c r="D17" s="56">
        <v>0</v>
      </c>
      <c r="E17" s="56">
        <f>IFERROR(VLOOKUP($B17-1,CDM!$J$6:$P$19,2,FALSE)/12,0)+IFERROR(VLOOKUP($B17,CDM!$J$37:$M$48,2,FALSE)/24,0)+IFERROR(VLOOKUP($B17,CDM!$J$37:$M$48,2,FALSE)/2*$C17/78,0)</f>
        <v>99124.669871794875</v>
      </c>
      <c r="F17" s="56">
        <f t="shared" si="34"/>
        <v>99124.669871794875</v>
      </c>
      <c r="G17" s="301">
        <v>9566</v>
      </c>
      <c r="H17" s="56">
        <v>0</v>
      </c>
      <c r="I17" s="56">
        <f>IFERROR(VLOOKUP($B17-1,CDM!$J$6:$P$19,3,FALSE)/12,0)+IFERROR(VLOOKUP($B17,CDM!$J$37:$M$47,3,FALSE)/24,0)+IFERROR(VLOOKUP($B17,CDM!$J$37:$M$47,3,FALSE)/2*$C17/78,0)</f>
        <v>76368.451121794875</v>
      </c>
      <c r="J17" s="56">
        <f t="shared" si="35"/>
        <v>76368.451121794875</v>
      </c>
      <c r="K17" s="6">
        <v>1277</v>
      </c>
      <c r="L17" s="5">
        <v>0</v>
      </c>
      <c r="M17" s="2">
        <f>IFERROR(VLOOKUP($B17-1,CDM!$J$6:$P$19,4,FALSE)/12,0)+IFERROR(VLOOKUP($B17,CDM!$J$37:$M$47,4,FALSE)/24,0)+IFERROR(VLOOKUP($B17,CDM!$J$37:$M$47,4,FALSE)/2*$C17/78,0)</f>
        <v>67086.475160256407</v>
      </c>
      <c r="N17" s="56">
        <f t="shared" si="36"/>
        <v>67086.475160256407</v>
      </c>
      <c r="O17" s="5">
        <v>0</v>
      </c>
      <c r="P17" s="6">
        <v>150</v>
      </c>
      <c r="Q17" s="5">
        <v>0</v>
      </c>
      <c r="R17" s="5">
        <v>0</v>
      </c>
      <c r="S17" s="6">
        <v>2834</v>
      </c>
      <c r="T17" s="6">
        <v>0</v>
      </c>
      <c r="U17" s="6">
        <v>0</v>
      </c>
      <c r="V17" s="6">
        <v>178</v>
      </c>
      <c r="W17" s="5">
        <v>0</v>
      </c>
      <c r="X17" s="1">
        <v>19</v>
      </c>
      <c r="Y17" s="56">
        <v>1896</v>
      </c>
      <c r="Z17" s="56">
        <v>2400</v>
      </c>
      <c r="AA17" s="71">
        <f>L17-Y17</f>
        <v>-1896</v>
      </c>
      <c r="AB17" s="71">
        <f>N17-Y17</f>
        <v>65190.475160256407</v>
      </c>
      <c r="AC17" s="5">
        <f>O17-Z17</f>
        <v>-2400</v>
      </c>
      <c r="AD17" s="111">
        <f>Economic!H19</f>
        <v>764464.8</v>
      </c>
      <c r="AE17" s="111">
        <f>Economic!I19</f>
        <v>764676</v>
      </c>
      <c r="AF17" s="111">
        <f>Economic!D19</f>
        <v>7041.8</v>
      </c>
      <c r="AG17" s="111">
        <f>Economic!E19</f>
        <v>6951.9</v>
      </c>
      <c r="AH17" s="111">
        <f>Economic!F19</f>
        <v>578.20000000000005</v>
      </c>
      <c r="AI17" s="111">
        <f>Economic!G19</f>
        <v>576.1</v>
      </c>
      <c r="AJ17" s="111">
        <f>Economic!J19</f>
        <v>132.80000000000018</v>
      </c>
      <c r="AK17" s="111">
        <f>Economic!K19</f>
        <v>128.79999999999927</v>
      </c>
      <c r="AL17" s="111">
        <f>Economic!L19</f>
        <v>21.300000000000068</v>
      </c>
      <c r="AM17" s="111">
        <f>Economic!M19</f>
        <v>20.700000000000045</v>
      </c>
      <c r="AN17" s="111">
        <f>Economic!N19</f>
        <v>20488.600000000093</v>
      </c>
      <c r="AO17" s="111">
        <f>Economic!O19</f>
        <v>8006</v>
      </c>
      <c r="AP17" s="28">
        <f>Weather!D17</f>
        <v>5.7513194444444444</v>
      </c>
      <c r="AQ17" s="28">
        <f>Weather!E17</f>
        <v>427.46041666666662</v>
      </c>
      <c r="AR17" s="28">
        <f>Weather!F17</f>
        <v>0</v>
      </c>
      <c r="AS17" s="28">
        <f>Weather!G17</f>
        <v>367.46041666666656</v>
      </c>
      <c r="AT17" s="28">
        <f>Weather!H17</f>
        <v>0</v>
      </c>
      <c r="AU17" s="28">
        <f>Weather!I17</f>
        <v>308.53541666666661</v>
      </c>
      <c r="AV17" s="28">
        <f>Weather!J17</f>
        <v>1.0749999999999993</v>
      </c>
      <c r="AW17" s="28">
        <f>Weather!K17</f>
        <v>250.53541666666669</v>
      </c>
      <c r="AX17" s="28">
        <f>Weather!L17</f>
        <v>3.0749999999999993</v>
      </c>
      <c r="AY17" s="28">
        <f>Weather!M17</f>
        <v>193.92291666666668</v>
      </c>
      <c r="AZ17" s="28">
        <f>Weather!N17</f>
        <v>6.4625000000000004</v>
      </c>
      <c r="BA17" s="28">
        <f>Weather!O17</f>
        <v>141.15625</v>
      </c>
      <c r="BB17" s="28">
        <f>Weather!P17</f>
        <v>13.695833333333335</v>
      </c>
      <c r="BC17" s="28">
        <f>Weather!Q17</f>
        <v>89.68958333333336</v>
      </c>
      <c r="BD17" s="28">
        <f>Weather!R17</f>
        <v>22.229166666666671</v>
      </c>
      <c r="BE17">
        <v>0</v>
      </c>
      <c r="BF17">
        <v>0</v>
      </c>
      <c r="BG17">
        <v>0</v>
      </c>
      <c r="BH17">
        <v>1</v>
      </c>
      <c r="BI17">
        <v>0</v>
      </c>
      <c r="BJ17">
        <v>0</v>
      </c>
      <c r="BK17">
        <v>0</v>
      </c>
      <c r="BL17">
        <v>0</v>
      </c>
      <c r="BM17">
        <v>0</v>
      </c>
      <c r="BN17">
        <v>0</v>
      </c>
      <c r="BO17">
        <v>0</v>
      </c>
      <c r="BP17">
        <v>0</v>
      </c>
      <c r="BQ17">
        <v>1</v>
      </c>
      <c r="BR17">
        <v>0</v>
      </c>
      <c r="BS17">
        <v>1</v>
      </c>
      <c r="BT17" s="1">
        <f t="shared" si="37"/>
        <v>16</v>
      </c>
      <c r="BU17">
        <v>30</v>
      </c>
      <c r="BV17">
        <v>20</v>
      </c>
      <c r="BW17">
        <v>0</v>
      </c>
      <c r="BX17">
        <v>0</v>
      </c>
      <c r="BY17">
        <v>0</v>
      </c>
      <c r="BZ17">
        <v>0</v>
      </c>
      <c r="CA17">
        <f t="shared" si="2"/>
        <v>0</v>
      </c>
      <c r="CB17">
        <f t="shared" si="3"/>
        <v>0</v>
      </c>
      <c r="CC17">
        <f t="shared" si="4"/>
        <v>0</v>
      </c>
      <c r="CD17">
        <f t="shared" si="5"/>
        <v>0</v>
      </c>
      <c r="CE17">
        <f t="shared" si="6"/>
        <v>0</v>
      </c>
      <c r="CF17">
        <f t="shared" si="7"/>
        <v>0</v>
      </c>
      <c r="CG17">
        <f t="shared" si="8"/>
        <v>0</v>
      </c>
      <c r="CH17">
        <f t="shared" si="9"/>
        <v>0</v>
      </c>
      <c r="CI17">
        <f t="shared" si="10"/>
        <v>0</v>
      </c>
      <c r="CJ17">
        <f t="shared" si="11"/>
        <v>0</v>
      </c>
      <c r="CK17">
        <f t="shared" si="12"/>
        <v>0</v>
      </c>
      <c r="CL17">
        <f t="shared" si="13"/>
        <v>0</v>
      </c>
      <c r="CM17">
        <f t="shared" si="14"/>
        <v>0</v>
      </c>
      <c r="CN17">
        <f t="shared" si="15"/>
        <v>0</v>
      </c>
      <c r="CO17" s="14">
        <f t="shared" si="16"/>
        <v>0</v>
      </c>
      <c r="CP17" s="14">
        <f t="shared" si="17"/>
        <v>0</v>
      </c>
      <c r="CQ17" s="14">
        <f t="shared" si="18"/>
        <v>0</v>
      </c>
      <c r="CR17" s="14">
        <f t="shared" si="19"/>
        <v>0</v>
      </c>
      <c r="CS17" s="14">
        <f t="shared" si="20"/>
        <v>0</v>
      </c>
      <c r="CT17" s="14">
        <f t="shared" si="21"/>
        <v>0</v>
      </c>
      <c r="CU17" s="14">
        <f t="shared" si="22"/>
        <v>0</v>
      </c>
      <c r="CV17" s="14">
        <f t="shared" si="23"/>
        <v>0</v>
      </c>
      <c r="CW17" s="14">
        <f t="shared" si="24"/>
        <v>0</v>
      </c>
      <c r="CX17" s="14">
        <f t="shared" si="25"/>
        <v>0</v>
      </c>
      <c r="CY17" s="14">
        <f t="shared" si="26"/>
        <v>0</v>
      </c>
      <c r="CZ17" s="14">
        <f t="shared" si="27"/>
        <v>0</v>
      </c>
      <c r="DA17" s="14">
        <f t="shared" si="28"/>
        <v>0</v>
      </c>
      <c r="DB17" s="14">
        <f t="shared" si="29"/>
        <v>0</v>
      </c>
      <c r="DC17" s="72">
        <f>F17/G17</f>
        <v>10.362185853208747</v>
      </c>
      <c r="DD17" s="72">
        <f t="shared" si="30"/>
        <v>0.34540619510695819</v>
      </c>
      <c r="DE17" s="71">
        <f>F17/BU17</f>
        <v>3304.1556623931624</v>
      </c>
      <c r="DF17" s="72">
        <f>J17/K17</f>
        <v>59.80301575708291</v>
      </c>
      <c r="DG17" s="72">
        <f t="shared" si="31"/>
        <v>1.9934338585694305</v>
      </c>
      <c r="DH17" s="72">
        <f>J17/BU17</f>
        <v>2545.6150373931623</v>
      </c>
      <c r="DI17" s="72">
        <f>N17/P17</f>
        <v>447.24316773504273</v>
      </c>
      <c r="DJ17" s="72">
        <f t="shared" si="32"/>
        <v>14.908105591168091</v>
      </c>
      <c r="DK17" s="72">
        <f t="shared" si="33"/>
        <v>22.362158386752135</v>
      </c>
      <c r="DL17" s="72">
        <f>N17/BU17</f>
        <v>2236.2158386752135</v>
      </c>
      <c r="DM17" s="72">
        <f>N17/BV17</f>
        <v>3354.3237580128202</v>
      </c>
      <c r="DN17" s="1">
        <v>0</v>
      </c>
      <c r="DO17" s="1">
        <v>0</v>
      </c>
    </row>
    <row r="18" spans="1:119">
      <c r="A18" s="93">
        <f t="shared" si="38"/>
        <v>42856</v>
      </c>
      <c r="B18" s="4">
        <f t="shared" si="0"/>
        <v>2017</v>
      </c>
      <c r="C18" s="4">
        <f t="shared" si="1"/>
        <v>5</v>
      </c>
      <c r="D18" s="56">
        <v>0</v>
      </c>
      <c r="E18" s="56">
        <f>IFERROR(VLOOKUP($B18-1,CDM!$J$6:$P$19,2,FALSE)/12,0)+IFERROR(VLOOKUP($B18,CDM!$J$37:$M$48,2,FALSE)/24,0)+IFERROR(VLOOKUP($B18,CDM!$J$37:$M$48,2,FALSE)/2*$C18/78,0)</f>
        <v>105473.11858974359</v>
      </c>
      <c r="F18" s="56">
        <f t="shared" si="34"/>
        <v>105473.11858974359</v>
      </c>
      <c r="G18" s="301">
        <v>9566</v>
      </c>
      <c r="H18" s="56">
        <v>0</v>
      </c>
      <c r="I18" s="56">
        <f>IFERROR(VLOOKUP($B18-1,CDM!$J$6:$P$19,3,FALSE)/12,0)+IFERROR(VLOOKUP($B18,CDM!$J$37:$M$47,3,FALSE)/24,0)+IFERROR(VLOOKUP($B18,CDM!$J$37:$M$47,3,FALSE)/2*$C18/78,0)</f>
        <v>80758.212339743593</v>
      </c>
      <c r="J18" s="56">
        <f t="shared" si="35"/>
        <v>80758.212339743593</v>
      </c>
      <c r="K18" s="6">
        <v>1277</v>
      </c>
      <c r="L18" s="5">
        <v>0</v>
      </c>
      <c r="M18" s="2">
        <f>IFERROR(VLOOKUP($B18-1,CDM!$J$6:$P$19,4,FALSE)/12,0)+IFERROR(VLOOKUP($B18,CDM!$J$37:$M$47,4,FALSE)/24,0)+IFERROR(VLOOKUP($B18,CDM!$J$37:$M$47,4,FALSE)/2*$C18/78,0)</f>
        <v>70841.310096153844</v>
      </c>
      <c r="N18" s="56">
        <f t="shared" si="36"/>
        <v>70841.310096153844</v>
      </c>
      <c r="O18" s="5">
        <v>0</v>
      </c>
      <c r="P18" s="6">
        <v>150</v>
      </c>
      <c r="Q18" s="5">
        <v>0</v>
      </c>
      <c r="R18" s="5">
        <v>0</v>
      </c>
      <c r="S18" s="6">
        <v>2834</v>
      </c>
      <c r="T18" s="6">
        <v>0</v>
      </c>
      <c r="U18" s="6">
        <v>0</v>
      </c>
      <c r="V18" s="6">
        <v>178</v>
      </c>
      <c r="W18" s="5">
        <v>0</v>
      </c>
      <c r="X18" s="1">
        <v>19</v>
      </c>
      <c r="Y18" s="56">
        <v>1884</v>
      </c>
      <c r="Z18" s="56">
        <v>2304</v>
      </c>
      <c r="AA18" s="71">
        <f>L18-Y18</f>
        <v>-1884</v>
      </c>
      <c r="AB18" s="71">
        <f>N18-Y18</f>
        <v>68957.310096153844</v>
      </c>
      <c r="AC18" s="5">
        <f>O18-Z18</f>
        <v>-2304</v>
      </c>
      <c r="AD18" s="111">
        <f>Economic!H20</f>
        <v>764464.8</v>
      </c>
      <c r="AE18" s="111">
        <f>Economic!I20</f>
        <v>764676</v>
      </c>
      <c r="AF18" s="111">
        <f>Economic!D20</f>
        <v>7055.9</v>
      </c>
      <c r="AG18" s="111">
        <f>Economic!E20</f>
        <v>7023.7</v>
      </c>
      <c r="AH18" s="111">
        <f>Economic!F20</f>
        <v>574</v>
      </c>
      <c r="AI18" s="111">
        <f>Economic!G20</f>
        <v>574.79999999999995</v>
      </c>
      <c r="AJ18" s="111">
        <f>Economic!J20</f>
        <v>136.79999999999927</v>
      </c>
      <c r="AK18" s="111">
        <f>Economic!K20</f>
        <v>134.09999999999945</v>
      </c>
      <c r="AL18" s="111">
        <f>Economic!L20</f>
        <v>12.600000000000023</v>
      </c>
      <c r="AM18" s="111">
        <f>Economic!M20</f>
        <v>12.399999999999977</v>
      </c>
      <c r="AN18" s="111">
        <f>Economic!N20</f>
        <v>20488.600000000093</v>
      </c>
      <c r="AO18" s="111">
        <f>Economic!O20</f>
        <v>8006</v>
      </c>
      <c r="AP18" s="28">
        <f>Weather!D18</f>
        <v>11.189112903225805</v>
      </c>
      <c r="AQ18" s="28">
        <f>Weather!E18</f>
        <v>278.46250000000009</v>
      </c>
      <c r="AR18" s="28">
        <f>Weather!F18</f>
        <v>5.3249999999999993</v>
      </c>
      <c r="AS18" s="28">
        <f>Weather!G18</f>
        <v>220.46250000000003</v>
      </c>
      <c r="AT18" s="28">
        <f>Weather!H18</f>
        <v>9.3249999999999993</v>
      </c>
      <c r="AU18" s="28">
        <f>Weather!I18</f>
        <v>164.31250000000006</v>
      </c>
      <c r="AV18" s="28">
        <f>Weather!J18</f>
        <v>15.175000000000008</v>
      </c>
      <c r="AW18" s="28">
        <f>Weather!K18</f>
        <v>118.09166666666667</v>
      </c>
      <c r="AX18" s="28">
        <f>Weather!L18</f>
        <v>30.954166666666666</v>
      </c>
      <c r="AY18" s="28">
        <f>Weather!M18</f>
        <v>80.666666666666671</v>
      </c>
      <c r="AZ18" s="28">
        <f>Weather!N18</f>
        <v>55.529166666666654</v>
      </c>
      <c r="BA18" s="28">
        <f>Weather!O18</f>
        <v>50.104166666666664</v>
      </c>
      <c r="BB18" s="28">
        <f>Weather!P18</f>
        <v>86.966666666666654</v>
      </c>
      <c r="BC18" s="28">
        <f>Weather!Q18</f>
        <v>29.320833333333336</v>
      </c>
      <c r="BD18" s="28">
        <f>Weather!R18</f>
        <v>128.18333333333334</v>
      </c>
      <c r="BE18">
        <v>0</v>
      </c>
      <c r="BF18">
        <v>0</v>
      </c>
      <c r="BG18">
        <v>0</v>
      </c>
      <c r="BH18">
        <v>0</v>
      </c>
      <c r="BI18">
        <v>1</v>
      </c>
      <c r="BJ18">
        <v>0</v>
      </c>
      <c r="BK18">
        <v>0</v>
      </c>
      <c r="BL18">
        <v>0</v>
      </c>
      <c r="BM18">
        <v>0</v>
      </c>
      <c r="BN18">
        <v>0</v>
      </c>
      <c r="BO18">
        <v>0</v>
      </c>
      <c r="BP18">
        <v>0</v>
      </c>
      <c r="BQ18">
        <v>1</v>
      </c>
      <c r="BR18">
        <v>0</v>
      </c>
      <c r="BS18">
        <v>1</v>
      </c>
      <c r="BT18" s="1">
        <f t="shared" si="37"/>
        <v>17</v>
      </c>
      <c r="BU18">
        <v>31</v>
      </c>
      <c r="BV18">
        <v>20</v>
      </c>
      <c r="BW18">
        <v>0</v>
      </c>
      <c r="BX18">
        <v>0</v>
      </c>
      <c r="BY18">
        <v>0</v>
      </c>
      <c r="BZ18">
        <v>0</v>
      </c>
      <c r="CA18">
        <f t="shared" si="2"/>
        <v>0</v>
      </c>
      <c r="CB18">
        <f t="shared" si="3"/>
        <v>0</v>
      </c>
      <c r="CC18">
        <f t="shared" si="4"/>
        <v>0</v>
      </c>
      <c r="CD18">
        <f t="shared" si="5"/>
        <v>0</v>
      </c>
      <c r="CE18">
        <f t="shared" si="6"/>
        <v>0</v>
      </c>
      <c r="CF18">
        <f t="shared" si="7"/>
        <v>0</v>
      </c>
      <c r="CG18">
        <f t="shared" si="8"/>
        <v>0</v>
      </c>
      <c r="CH18">
        <f t="shared" si="9"/>
        <v>0</v>
      </c>
      <c r="CI18">
        <f t="shared" si="10"/>
        <v>0</v>
      </c>
      <c r="CJ18">
        <f t="shared" si="11"/>
        <v>0</v>
      </c>
      <c r="CK18">
        <f t="shared" si="12"/>
        <v>0</v>
      </c>
      <c r="CL18">
        <f t="shared" si="13"/>
        <v>0</v>
      </c>
      <c r="CM18">
        <f t="shared" si="14"/>
        <v>0</v>
      </c>
      <c r="CN18">
        <f t="shared" si="15"/>
        <v>0</v>
      </c>
      <c r="CO18" s="14">
        <f t="shared" si="16"/>
        <v>0</v>
      </c>
      <c r="CP18" s="14">
        <f t="shared" si="17"/>
        <v>0</v>
      </c>
      <c r="CQ18" s="14">
        <f t="shared" si="18"/>
        <v>0</v>
      </c>
      <c r="CR18" s="14">
        <f t="shared" si="19"/>
        <v>0</v>
      </c>
      <c r="CS18" s="14">
        <f t="shared" si="20"/>
        <v>0</v>
      </c>
      <c r="CT18" s="14">
        <f t="shared" si="21"/>
        <v>0</v>
      </c>
      <c r="CU18" s="14">
        <f t="shared" si="22"/>
        <v>0</v>
      </c>
      <c r="CV18" s="14">
        <f t="shared" si="23"/>
        <v>0</v>
      </c>
      <c r="CW18" s="14">
        <f t="shared" si="24"/>
        <v>0</v>
      </c>
      <c r="CX18" s="14">
        <f t="shared" si="25"/>
        <v>0</v>
      </c>
      <c r="CY18" s="14">
        <f t="shared" si="26"/>
        <v>0</v>
      </c>
      <c r="CZ18" s="14">
        <f t="shared" si="27"/>
        <v>0</v>
      </c>
      <c r="DA18" s="14">
        <f t="shared" si="28"/>
        <v>0</v>
      </c>
      <c r="DB18" s="14">
        <f t="shared" si="29"/>
        <v>0</v>
      </c>
      <c r="DC18" s="72">
        <f>F18/G18</f>
        <v>11.025833011681328</v>
      </c>
      <c r="DD18" s="72">
        <f t="shared" si="30"/>
        <v>0.35567203263488156</v>
      </c>
      <c r="DE18" s="71">
        <f>F18/BU18</f>
        <v>3402.3586641852771</v>
      </c>
      <c r="DF18" s="72">
        <f>J18/K18</f>
        <v>63.240573484529044</v>
      </c>
      <c r="DG18" s="72">
        <f t="shared" si="31"/>
        <v>2.0400184995009369</v>
      </c>
      <c r="DH18" s="72">
        <f>J18/BU18</f>
        <v>2605.1036238626966</v>
      </c>
      <c r="DI18" s="72">
        <f>N18/P18</f>
        <v>472.27540064102561</v>
      </c>
      <c r="DJ18" s="72">
        <f t="shared" si="32"/>
        <v>15.23469034325889</v>
      </c>
      <c r="DK18" s="72">
        <f t="shared" si="33"/>
        <v>23.613770032051281</v>
      </c>
      <c r="DL18" s="72">
        <f>N18/BU18</f>
        <v>2285.2035514888335</v>
      </c>
      <c r="DM18" s="72">
        <f>N18/BV18</f>
        <v>3542.0655048076924</v>
      </c>
      <c r="DN18" s="1">
        <v>0</v>
      </c>
      <c r="DO18" s="1">
        <v>0</v>
      </c>
    </row>
    <row r="19" spans="1:119">
      <c r="A19" s="93">
        <f t="shared" si="38"/>
        <v>42887</v>
      </c>
      <c r="B19" s="4">
        <f t="shared" si="0"/>
        <v>2017</v>
      </c>
      <c r="C19" s="4">
        <f t="shared" si="1"/>
        <v>6</v>
      </c>
      <c r="D19" s="56">
        <v>0</v>
      </c>
      <c r="E19" s="56">
        <f>IFERROR(VLOOKUP($B19-1,CDM!$J$6:$P$19,2,FALSE)/12,0)+IFERROR(VLOOKUP($B19,CDM!$J$37:$M$48,2,FALSE)/24,0)+IFERROR(VLOOKUP($B19,CDM!$J$37:$M$48,2,FALSE)/2*$C19/78,0)</f>
        <v>111821.56730769231</v>
      </c>
      <c r="F19" s="56">
        <f t="shared" si="34"/>
        <v>111821.56730769231</v>
      </c>
      <c r="G19" s="301">
        <v>9566</v>
      </c>
      <c r="H19" s="56">
        <v>0</v>
      </c>
      <c r="I19" s="56">
        <f>IFERROR(VLOOKUP($B19-1,CDM!$J$6:$P$19,3,FALSE)/12,0)+IFERROR(VLOOKUP($B19,CDM!$J$37:$M$47,3,FALSE)/24,0)+IFERROR(VLOOKUP($B19,CDM!$J$37:$M$47,3,FALSE)/2*$C19/78,0)</f>
        <v>85147.973557692312</v>
      </c>
      <c r="J19" s="56">
        <f t="shared" si="35"/>
        <v>85147.973557692312</v>
      </c>
      <c r="K19" s="6">
        <v>1277</v>
      </c>
      <c r="L19" s="5">
        <v>0</v>
      </c>
      <c r="M19" s="2">
        <f>IFERROR(VLOOKUP($B19-1,CDM!$J$6:$P$19,4,FALSE)/12,0)+IFERROR(VLOOKUP($B19,CDM!$J$37:$M$47,4,FALSE)/24,0)+IFERROR(VLOOKUP($B19,CDM!$J$37:$M$47,4,FALSE)/2*$C19/78,0)</f>
        <v>74596.145032051281</v>
      </c>
      <c r="N19" s="56">
        <f t="shared" si="36"/>
        <v>74596.145032051281</v>
      </c>
      <c r="O19" s="5">
        <v>0</v>
      </c>
      <c r="P19" s="6">
        <v>150</v>
      </c>
      <c r="Q19" s="5">
        <v>0</v>
      </c>
      <c r="R19" s="5">
        <v>0</v>
      </c>
      <c r="S19" s="6">
        <v>2834</v>
      </c>
      <c r="T19" s="6">
        <v>0</v>
      </c>
      <c r="U19" s="6">
        <v>0</v>
      </c>
      <c r="V19" s="6">
        <v>178</v>
      </c>
      <c r="W19" s="5">
        <v>0</v>
      </c>
      <c r="X19" s="1">
        <v>19</v>
      </c>
      <c r="Y19" s="56">
        <v>36</v>
      </c>
      <c r="Z19" s="56">
        <v>96</v>
      </c>
      <c r="AA19" s="71">
        <f>L19-Y19</f>
        <v>-36</v>
      </c>
      <c r="AB19" s="71">
        <f>N19-Y19</f>
        <v>74560.145032051281</v>
      </c>
      <c r="AC19" s="5">
        <f>O19-Z19</f>
        <v>-96</v>
      </c>
      <c r="AD19" s="111">
        <f>Economic!H21</f>
        <v>764464.8</v>
      </c>
      <c r="AE19" s="111">
        <f>Economic!I21</f>
        <v>764676</v>
      </c>
      <c r="AF19" s="111">
        <f>Economic!D21</f>
        <v>7071</v>
      </c>
      <c r="AG19" s="111">
        <f>Economic!E21</f>
        <v>7112.9</v>
      </c>
      <c r="AH19" s="111">
        <f>Economic!F21</f>
        <v>572.70000000000005</v>
      </c>
      <c r="AI19" s="111">
        <f>Economic!G21</f>
        <v>576.79999999999995</v>
      </c>
      <c r="AJ19" s="111">
        <f>Economic!J21</f>
        <v>141</v>
      </c>
      <c r="AK19" s="111">
        <f>Economic!K21</f>
        <v>139.89999999999964</v>
      </c>
      <c r="AL19" s="111">
        <f>Economic!L21</f>
        <v>8.3000000000000682</v>
      </c>
      <c r="AM19" s="111">
        <f>Economic!M21</f>
        <v>8.5999999999999091</v>
      </c>
      <c r="AN19" s="111">
        <f>Economic!N21</f>
        <v>20488.600000000093</v>
      </c>
      <c r="AO19" s="111">
        <f>Economic!O21</f>
        <v>8006</v>
      </c>
      <c r="AP19" s="28">
        <f>Weather!D19</f>
        <v>16.918888888888883</v>
      </c>
      <c r="AQ19" s="28">
        <f>Weather!E19</f>
        <v>107.97500000000002</v>
      </c>
      <c r="AR19" s="28">
        <f>Weather!F19</f>
        <v>15.541666666666657</v>
      </c>
      <c r="AS19" s="28">
        <f>Weather!G19</f>
        <v>64.375</v>
      </c>
      <c r="AT19" s="28">
        <f>Weather!H19</f>
        <v>31.941666666666649</v>
      </c>
      <c r="AU19" s="28">
        <f>Weather!I19</f>
        <v>32.725000000000009</v>
      </c>
      <c r="AV19" s="28">
        <f>Weather!J19</f>
        <v>60.291666666666664</v>
      </c>
      <c r="AW19" s="28">
        <f>Weather!K19</f>
        <v>11.183333333333339</v>
      </c>
      <c r="AX19" s="28">
        <f>Weather!L19</f>
        <v>98.750000000000014</v>
      </c>
      <c r="AY19" s="28">
        <f>Weather!M19</f>
        <v>2.0500000000000025</v>
      </c>
      <c r="AZ19" s="28">
        <f>Weather!N19</f>
        <v>149.61666666666667</v>
      </c>
      <c r="BA19" s="28">
        <f>Weather!O19</f>
        <v>0</v>
      </c>
      <c r="BB19" s="28">
        <f>Weather!P19</f>
        <v>207.56666666666672</v>
      </c>
      <c r="BC19" s="28">
        <f>Weather!Q19</f>
        <v>0</v>
      </c>
      <c r="BD19" s="28">
        <f>Weather!R19</f>
        <v>267.56666666666666</v>
      </c>
      <c r="BE19">
        <v>0</v>
      </c>
      <c r="BF19">
        <v>0</v>
      </c>
      <c r="BG19">
        <v>0</v>
      </c>
      <c r="BH19">
        <v>0</v>
      </c>
      <c r="BI19">
        <v>0</v>
      </c>
      <c r="BJ19">
        <v>1</v>
      </c>
      <c r="BK19">
        <v>0</v>
      </c>
      <c r="BL19">
        <v>0</v>
      </c>
      <c r="BM19">
        <v>0</v>
      </c>
      <c r="BN19">
        <v>0</v>
      </c>
      <c r="BO19">
        <v>0</v>
      </c>
      <c r="BP19">
        <v>0</v>
      </c>
      <c r="BQ19">
        <v>0</v>
      </c>
      <c r="BR19">
        <v>0</v>
      </c>
      <c r="BS19">
        <v>0</v>
      </c>
      <c r="BT19" s="1">
        <f t="shared" si="37"/>
        <v>18</v>
      </c>
      <c r="BU19">
        <v>30</v>
      </c>
      <c r="BV19">
        <v>22</v>
      </c>
      <c r="BW19">
        <v>0</v>
      </c>
      <c r="BX19">
        <v>0</v>
      </c>
      <c r="BY19">
        <v>0</v>
      </c>
      <c r="BZ19">
        <v>0</v>
      </c>
      <c r="CA19">
        <f t="shared" si="2"/>
        <v>0</v>
      </c>
      <c r="CB19">
        <f t="shared" si="3"/>
        <v>0</v>
      </c>
      <c r="CC19">
        <f t="shared" si="4"/>
        <v>0</v>
      </c>
      <c r="CD19">
        <f t="shared" si="5"/>
        <v>0</v>
      </c>
      <c r="CE19">
        <f t="shared" si="6"/>
        <v>0</v>
      </c>
      <c r="CF19">
        <f t="shared" si="7"/>
        <v>0</v>
      </c>
      <c r="CG19">
        <f t="shared" si="8"/>
        <v>0</v>
      </c>
      <c r="CH19">
        <f t="shared" si="9"/>
        <v>0</v>
      </c>
      <c r="CI19">
        <f t="shared" si="10"/>
        <v>0</v>
      </c>
      <c r="CJ19">
        <f t="shared" si="11"/>
        <v>0</v>
      </c>
      <c r="CK19">
        <f t="shared" si="12"/>
        <v>0</v>
      </c>
      <c r="CL19">
        <f t="shared" si="13"/>
        <v>0</v>
      </c>
      <c r="CM19">
        <f t="shared" si="14"/>
        <v>0</v>
      </c>
      <c r="CN19">
        <f t="shared" si="15"/>
        <v>0</v>
      </c>
      <c r="CO19" s="14">
        <f t="shared" si="16"/>
        <v>0</v>
      </c>
      <c r="CP19" s="14">
        <f t="shared" si="17"/>
        <v>0</v>
      </c>
      <c r="CQ19" s="14">
        <f t="shared" si="18"/>
        <v>0</v>
      </c>
      <c r="CR19" s="14">
        <f t="shared" si="19"/>
        <v>0</v>
      </c>
      <c r="CS19" s="14">
        <f t="shared" si="20"/>
        <v>0</v>
      </c>
      <c r="CT19" s="14">
        <f t="shared" si="21"/>
        <v>0</v>
      </c>
      <c r="CU19" s="14">
        <f t="shared" si="22"/>
        <v>0</v>
      </c>
      <c r="CV19" s="14">
        <f t="shared" si="23"/>
        <v>0</v>
      </c>
      <c r="CW19" s="14">
        <f t="shared" si="24"/>
        <v>0</v>
      </c>
      <c r="CX19" s="14">
        <f t="shared" si="25"/>
        <v>0</v>
      </c>
      <c r="CY19" s="14">
        <f t="shared" si="26"/>
        <v>0</v>
      </c>
      <c r="CZ19" s="14">
        <f t="shared" si="27"/>
        <v>0</v>
      </c>
      <c r="DA19" s="14">
        <f t="shared" si="28"/>
        <v>0</v>
      </c>
      <c r="DB19" s="14">
        <f t="shared" si="29"/>
        <v>0</v>
      </c>
      <c r="DC19" s="72">
        <f>F19/G19</f>
        <v>11.68948017015391</v>
      </c>
      <c r="DD19" s="72">
        <f t="shared" si="30"/>
        <v>0.38964933900513032</v>
      </c>
      <c r="DE19" s="71">
        <f>F19/BU19</f>
        <v>3727.3855769230772</v>
      </c>
      <c r="DF19" s="72">
        <f>J19/K19</f>
        <v>66.678131211975185</v>
      </c>
      <c r="DG19" s="72">
        <f t="shared" si="31"/>
        <v>2.2226043737325063</v>
      </c>
      <c r="DH19" s="72">
        <f>J19/BU19</f>
        <v>2838.2657852564103</v>
      </c>
      <c r="DI19" s="72">
        <f>N19/P19</f>
        <v>497.30763354700855</v>
      </c>
      <c r="DJ19" s="72">
        <f t="shared" si="32"/>
        <v>16.576921118233617</v>
      </c>
      <c r="DK19" s="72">
        <f t="shared" si="33"/>
        <v>22.604892433954934</v>
      </c>
      <c r="DL19" s="72">
        <f>N19/BU19</f>
        <v>2486.5381677350429</v>
      </c>
      <c r="DM19" s="72">
        <f>N19/BV19</f>
        <v>3390.7338650932402</v>
      </c>
      <c r="DN19" s="1">
        <v>0</v>
      </c>
      <c r="DO19" s="1">
        <v>0</v>
      </c>
    </row>
    <row r="20" spans="1:119">
      <c r="A20" s="93">
        <f t="shared" si="38"/>
        <v>42917</v>
      </c>
      <c r="B20" s="4">
        <f t="shared" si="0"/>
        <v>2017</v>
      </c>
      <c r="C20" s="4">
        <f t="shared" si="1"/>
        <v>7</v>
      </c>
      <c r="D20" s="56">
        <v>0</v>
      </c>
      <c r="E20" s="56">
        <f>IFERROR(VLOOKUP($B20-1,CDM!$J$6:$P$19,2,FALSE)/12,0)+IFERROR(VLOOKUP($B20,CDM!$J$37:$M$48,2,FALSE)/24,0)+IFERROR(VLOOKUP($B20,CDM!$J$37:$M$48,2,FALSE)/2*$C20/78,0)</f>
        <v>118170.01602564103</v>
      </c>
      <c r="F20" s="56">
        <f t="shared" si="34"/>
        <v>118170.01602564103</v>
      </c>
      <c r="G20" s="301">
        <v>9598</v>
      </c>
      <c r="H20" s="56">
        <v>0</v>
      </c>
      <c r="I20" s="56">
        <f>IFERROR(VLOOKUP($B20-1,CDM!$J$6:$P$19,3,FALSE)/12,0)+IFERROR(VLOOKUP($B20,CDM!$J$37:$M$47,3,FALSE)/24,0)+IFERROR(VLOOKUP($B20,CDM!$J$37:$M$47,3,FALSE)/2*$C20/78,0)</f>
        <v>89537.734775641031</v>
      </c>
      <c r="J20" s="56">
        <f t="shared" si="35"/>
        <v>89537.734775641031</v>
      </c>
      <c r="K20" s="6">
        <v>1281</v>
      </c>
      <c r="L20" s="5">
        <v>0</v>
      </c>
      <c r="M20" s="2">
        <f>IFERROR(VLOOKUP($B20-1,CDM!$J$6:$P$19,4,FALSE)/12,0)+IFERROR(VLOOKUP($B20,CDM!$J$37:$M$47,4,FALSE)/24,0)+IFERROR(VLOOKUP($B20,CDM!$J$37:$M$47,4,FALSE)/2*$C20/78,0)</f>
        <v>78350.979967948719</v>
      </c>
      <c r="N20" s="56">
        <f t="shared" si="36"/>
        <v>78350.979967948719</v>
      </c>
      <c r="O20" s="5">
        <v>0</v>
      </c>
      <c r="P20" s="6">
        <v>154</v>
      </c>
      <c r="Q20" s="5">
        <v>0</v>
      </c>
      <c r="R20" s="5">
        <v>0</v>
      </c>
      <c r="S20" s="6">
        <v>2845</v>
      </c>
      <c r="T20" s="6">
        <v>0</v>
      </c>
      <c r="U20" s="6">
        <v>0</v>
      </c>
      <c r="V20" s="6">
        <v>178</v>
      </c>
      <c r="W20" s="5">
        <v>0</v>
      </c>
      <c r="X20" s="1">
        <v>19</v>
      </c>
      <c r="Y20" s="56">
        <v>43326</v>
      </c>
      <c r="Z20" s="56">
        <v>2712</v>
      </c>
      <c r="AA20" s="71">
        <f>L20-Y20</f>
        <v>-43326</v>
      </c>
      <c r="AB20" s="71">
        <f>N20-Y20</f>
        <v>35024.979967948719</v>
      </c>
      <c r="AC20" s="5">
        <f>O20-Z20</f>
        <v>-2712</v>
      </c>
      <c r="AD20" s="111">
        <f>Economic!H22</f>
        <v>764464.8</v>
      </c>
      <c r="AE20" s="111">
        <f>Economic!I22</f>
        <v>765009</v>
      </c>
      <c r="AF20" s="111">
        <f>Economic!D22</f>
        <v>7099.1</v>
      </c>
      <c r="AG20" s="111">
        <f>Economic!E22</f>
        <v>7186.7</v>
      </c>
      <c r="AH20" s="111">
        <f>Economic!F22</f>
        <v>569.1</v>
      </c>
      <c r="AI20" s="111">
        <f>Economic!G22</f>
        <v>575</v>
      </c>
      <c r="AJ20" s="111">
        <f>Economic!J22</f>
        <v>165.30000000000018</v>
      </c>
      <c r="AK20" s="111">
        <f>Economic!K22</f>
        <v>165</v>
      </c>
      <c r="AL20" s="111">
        <f>Economic!L22</f>
        <v>-1.6000000000000227</v>
      </c>
      <c r="AM20" s="111">
        <f>Economic!M22</f>
        <v>-1.3999999999999773</v>
      </c>
      <c r="AN20" s="111">
        <f>Economic!N22</f>
        <v>20488.600000000093</v>
      </c>
      <c r="AO20" s="111">
        <f>Economic!O22</f>
        <v>333</v>
      </c>
      <c r="AP20" s="28">
        <f>Weather!D20</f>
        <v>19.254032258064516</v>
      </c>
      <c r="AQ20" s="28">
        <f>Weather!E20</f>
        <v>38.441666666666649</v>
      </c>
      <c r="AR20" s="28">
        <f>Weather!F20</f>
        <v>15.316666666666666</v>
      </c>
      <c r="AS20" s="28">
        <f>Weather!G20</f>
        <v>10.187499999999986</v>
      </c>
      <c r="AT20" s="28">
        <f>Weather!H20</f>
        <v>49.062499999999986</v>
      </c>
      <c r="AU20" s="28">
        <f>Weather!I20</f>
        <v>1.5333333333333314</v>
      </c>
      <c r="AV20" s="28">
        <f>Weather!J20</f>
        <v>102.40833333333333</v>
      </c>
      <c r="AW20" s="28">
        <f>Weather!K20</f>
        <v>0</v>
      </c>
      <c r="AX20" s="28">
        <f>Weather!L20</f>
        <v>162.875</v>
      </c>
      <c r="AY20" s="28">
        <f>Weather!M20</f>
        <v>0</v>
      </c>
      <c r="AZ20" s="28">
        <f>Weather!N20</f>
        <v>224.875</v>
      </c>
      <c r="BA20" s="28">
        <f>Weather!O20</f>
        <v>0</v>
      </c>
      <c r="BB20" s="28">
        <f>Weather!P20</f>
        <v>286.87500000000006</v>
      </c>
      <c r="BC20" s="28">
        <f>Weather!Q20</f>
        <v>0</v>
      </c>
      <c r="BD20" s="28">
        <f>Weather!R20</f>
        <v>348.87500000000011</v>
      </c>
      <c r="BE20">
        <v>0</v>
      </c>
      <c r="BF20">
        <v>0</v>
      </c>
      <c r="BG20">
        <v>0</v>
      </c>
      <c r="BH20">
        <v>0</v>
      </c>
      <c r="BI20">
        <v>0</v>
      </c>
      <c r="BJ20">
        <v>0</v>
      </c>
      <c r="BK20">
        <v>1</v>
      </c>
      <c r="BL20">
        <v>0</v>
      </c>
      <c r="BM20">
        <v>0</v>
      </c>
      <c r="BN20">
        <v>0</v>
      </c>
      <c r="BO20">
        <v>0</v>
      </c>
      <c r="BP20">
        <v>0</v>
      </c>
      <c r="BQ20">
        <v>0</v>
      </c>
      <c r="BR20">
        <v>0</v>
      </c>
      <c r="BS20">
        <v>0</v>
      </c>
      <c r="BT20" s="1">
        <f t="shared" si="37"/>
        <v>19</v>
      </c>
      <c r="BU20">
        <v>31</v>
      </c>
      <c r="BV20">
        <v>22</v>
      </c>
      <c r="BW20">
        <v>0</v>
      </c>
      <c r="BX20">
        <v>0</v>
      </c>
      <c r="BY20">
        <v>0</v>
      </c>
      <c r="BZ20">
        <v>0</v>
      </c>
      <c r="CA20">
        <f t="shared" si="2"/>
        <v>0</v>
      </c>
      <c r="CB20">
        <f t="shared" si="3"/>
        <v>0</v>
      </c>
      <c r="CC20">
        <f t="shared" si="4"/>
        <v>0</v>
      </c>
      <c r="CD20">
        <f t="shared" si="5"/>
        <v>0</v>
      </c>
      <c r="CE20">
        <f t="shared" si="6"/>
        <v>0</v>
      </c>
      <c r="CF20">
        <f t="shared" si="7"/>
        <v>0</v>
      </c>
      <c r="CG20">
        <f t="shared" si="8"/>
        <v>0</v>
      </c>
      <c r="CH20">
        <f t="shared" si="9"/>
        <v>0</v>
      </c>
      <c r="CI20">
        <f t="shared" si="10"/>
        <v>0</v>
      </c>
      <c r="CJ20">
        <f t="shared" si="11"/>
        <v>0</v>
      </c>
      <c r="CK20">
        <f t="shared" si="12"/>
        <v>0</v>
      </c>
      <c r="CL20">
        <f t="shared" si="13"/>
        <v>0</v>
      </c>
      <c r="CM20">
        <f t="shared" si="14"/>
        <v>0</v>
      </c>
      <c r="CN20">
        <f t="shared" si="15"/>
        <v>0</v>
      </c>
      <c r="CO20" s="14">
        <f t="shared" si="16"/>
        <v>0</v>
      </c>
      <c r="CP20" s="14">
        <f t="shared" si="17"/>
        <v>0</v>
      </c>
      <c r="CQ20" s="14">
        <f t="shared" si="18"/>
        <v>0</v>
      </c>
      <c r="CR20" s="14">
        <f t="shared" si="19"/>
        <v>0</v>
      </c>
      <c r="CS20" s="14">
        <f t="shared" si="20"/>
        <v>0</v>
      </c>
      <c r="CT20" s="14">
        <f t="shared" si="21"/>
        <v>0</v>
      </c>
      <c r="CU20" s="14">
        <f t="shared" si="22"/>
        <v>0</v>
      </c>
      <c r="CV20" s="14">
        <f t="shared" si="23"/>
        <v>0</v>
      </c>
      <c r="CW20" s="14">
        <f t="shared" si="24"/>
        <v>0</v>
      </c>
      <c r="CX20" s="14">
        <f t="shared" si="25"/>
        <v>0</v>
      </c>
      <c r="CY20" s="14">
        <f t="shared" si="26"/>
        <v>0</v>
      </c>
      <c r="CZ20" s="14">
        <f t="shared" si="27"/>
        <v>0</v>
      </c>
      <c r="DA20" s="14">
        <f t="shared" si="28"/>
        <v>0</v>
      </c>
      <c r="DB20" s="14">
        <f t="shared" si="29"/>
        <v>0</v>
      </c>
      <c r="DC20" s="72">
        <f>F20/G20</f>
        <v>12.311941657182853</v>
      </c>
      <c r="DD20" s="72">
        <f t="shared" si="30"/>
        <v>0.39715940829622104</v>
      </c>
      <c r="DE20" s="71">
        <f>F20/BU20</f>
        <v>3811.9360008271301</v>
      </c>
      <c r="DF20" s="72">
        <f>J20/K20</f>
        <v>69.89674845873617</v>
      </c>
      <c r="DG20" s="72">
        <f t="shared" si="31"/>
        <v>2.254733821249554</v>
      </c>
      <c r="DH20" s="72">
        <f>J20/BU20</f>
        <v>2888.3140250206784</v>
      </c>
      <c r="DI20" s="72">
        <f>N20/P20</f>
        <v>508.77259719447221</v>
      </c>
      <c r="DJ20" s="72">
        <f t="shared" si="32"/>
        <v>16.412019264337815</v>
      </c>
      <c r="DK20" s="72">
        <f t="shared" si="33"/>
        <v>23.126027145203281</v>
      </c>
      <c r="DL20" s="72">
        <f>N20/BU20</f>
        <v>2527.4509667080233</v>
      </c>
      <c r="DM20" s="72">
        <f>N20/BV20</f>
        <v>3561.4081803613053</v>
      </c>
      <c r="DN20" s="1">
        <v>0</v>
      </c>
      <c r="DO20" s="1">
        <v>0</v>
      </c>
    </row>
    <row r="21" spans="1:119">
      <c r="A21" s="93">
        <f t="shared" si="38"/>
        <v>42948</v>
      </c>
      <c r="B21" s="4">
        <f t="shared" si="0"/>
        <v>2017</v>
      </c>
      <c r="C21" s="4">
        <f t="shared" si="1"/>
        <v>8</v>
      </c>
      <c r="D21" s="56">
        <v>0</v>
      </c>
      <c r="E21" s="56">
        <f>IFERROR(VLOOKUP($B21-1,CDM!$J$6:$P$19,2,FALSE)/12,0)+IFERROR(VLOOKUP($B21,CDM!$J$37:$M$48,2,FALSE)/24,0)+IFERROR(VLOOKUP($B21,CDM!$J$37:$M$48,2,FALSE)/2*$C21/78,0)</f>
        <v>124518.46474358975</v>
      </c>
      <c r="F21" s="56">
        <f t="shared" si="34"/>
        <v>124518.46474358975</v>
      </c>
      <c r="G21" s="301">
        <v>9598</v>
      </c>
      <c r="H21" s="56">
        <v>0</v>
      </c>
      <c r="I21" s="56">
        <f>IFERROR(VLOOKUP($B21-1,CDM!$J$6:$P$19,3,FALSE)/12,0)+IFERROR(VLOOKUP($B21,CDM!$J$37:$M$47,3,FALSE)/24,0)+IFERROR(VLOOKUP($B21,CDM!$J$37:$M$47,3,FALSE)/2*$C21/78,0)</f>
        <v>93927.49599358975</v>
      </c>
      <c r="J21" s="56">
        <f t="shared" si="35"/>
        <v>93927.49599358975</v>
      </c>
      <c r="K21" s="6">
        <v>1281</v>
      </c>
      <c r="L21" s="5">
        <v>0</v>
      </c>
      <c r="M21" s="2">
        <f>IFERROR(VLOOKUP($B21-1,CDM!$J$6:$P$19,4,FALSE)/12,0)+IFERROR(VLOOKUP($B21,CDM!$J$37:$M$47,4,FALSE)/24,0)+IFERROR(VLOOKUP($B21,CDM!$J$37:$M$47,4,FALSE)/2*$C21/78,0)</f>
        <v>82105.814903846156</v>
      </c>
      <c r="N21" s="56">
        <f t="shared" si="36"/>
        <v>82105.814903846156</v>
      </c>
      <c r="O21" s="5">
        <v>0</v>
      </c>
      <c r="P21" s="6">
        <v>154</v>
      </c>
      <c r="Q21" s="5">
        <v>0</v>
      </c>
      <c r="R21" s="5">
        <v>0</v>
      </c>
      <c r="S21" s="6">
        <v>2845</v>
      </c>
      <c r="T21" s="6">
        <v>0</v>
      </c>
      <c r="U21" s="6">
        <v>0</v>
      </c>
      <c r="V21" s="6">
        <v>178</v>
      </c>
      <c r="W21" s="5">
        <v>0</v>
      </c>
      <c r="X21" s="1">
        <v>19</v>
      </c>
      <c r="Y21" s="56">
        <v>12138</v>
      </c>
      <c r="Z21" s="56">
        <v>2832</v>
      </c>
      <c r="AA21" s="71">
        <f>L21-Y21</f>
        <v>-12138</v>
      </c>
      <c r="AB21" s="71">
        <f>N21-Y21</f>
        <v>69967.814903846156</v>
      </c>
      <c r="AC21" s="5">
        <f>O21-Z21</f>
        <v>-2832</v>
      </c>
      <c r="AD21" s="111">
        <f>Economic!H23</f>
        <v>764464.8</v>
      </c>
      <c r="AE21" s="111">
        <f>Economic!I23</f>
        <v>765009</v>
      </c>
      <c r="AF21" s="111">
        <f>Economic!D23</f>
        <v>7118</v>
      </c>
      <c r="AG21" s="111">
        <f>Economic!E23</f>
        <v>7207.6</v>
      </c>
      <c r="AH21" s="111">
        <f>Economic!F23</f>
        <v>570</v>
      </c>
      <c r="AI21" s="111">
        <f>Economic!G23</f>
        <v>572.9</v>
      </c>
      <c r="AJ21" s="111">
        <f>Economic!J23</f>
        <v>186.80000000000018</v>
      </c>
      <c r="AK21" s="111">
        <f>Economic!K23</f>
        <v>188.90000000000055</v>
      </c>
      <c r="AL21" s="111">
        <f>Economic!L23</f>
        <v>-1.7999999999999545</v>
      </c>
      <c r="AM21" s="111">
        <f>Economic!M23</f>
        <v>-1.2000000000000455</v>
      </c>
      <c r="AN21" s="111">
        <f>Economic!N23</f>
        <v>20488.600000000093</v>
      </c>
      <c r="AO21" s="111">
        <f>Economic!O23</f>
        <v>333</v>
      </c>
      <c r="AP21" s="28">
        <f>Weather!D21</f>
        <v>17.290994623655916</v>
      </c>
      <c r="AQ21" s="28">
        <f>Weather!E21</f>
        <v>86.879166666666663</v>
      </c>
      <c r="AR21" s="28">
        <f>Weather!F21</f>
        <v>2.8999999999999915</v>
      </c>
      <c r="AS21" s="28">
        <f>Weather!G21</f>
        <v>42.45</v>
      </c>
      <c r="AT21" s="28">
        <f>Weather!H21</f>
        <v>20.470833333333328</v>
      </c>
      <c r="AU21" s="28">
        <f>Weather!I21</f>
        <v>15.804166666666667</v>
      </c>
      <c r="AV21" s="28">
        <f>Weather!J21</f>
        <v>55.824999999999989</v>
      </c>
      <c r="AW21" s="28">
        <f>Weather!K21</f>
        <v>3.6583333333333332</v>
      </c>
      <c r="AX21" s="28">
        <f>Weather!L21</f>
        <v>105.67916666666666</v>
      </c>
      <c r="AY21" s="28">
        <f>Weather!M21</f>
        <v>0.625</v>
      </c>
      <c r="AZ21" s="28">
        <f>Weather!N21</f>
        <v>164.64583333333331</v>
      </c>
      <c r="BA21" s="28">
        <f>Weather!O21</f>
        <v>0</v>
      </c>
      <c r="BB21" s="28">
        <f>Weather!P21</f>
        <v>226.02083333333337</v>
      </c>
      <c r="BC21" s="28">
        <f>Weather!Q21</f>
        <v>0</v>
      </c>
      <c r="BD21" s="28">
        <f>Weather!R21</f>
        <v>288.02083333333337</v>
      </c>
      <c r="BE21">
        <v>0</v>
      </c>
      <c r="BF21">
        <v>0</v>
      </c>
      <c r="BG21">
        <v>0</v>
      </c>
      <c r="BH21">
        <v>0</v>
      </c>
      <c r="BI21">
        <v>0</v>
      </c>
      <c r="BJ21">
        <v>0</v>
      </c>
      <c r="BK21">
        <v>0</v>
      </c>
      <c r="BL21">
        <v>1</v>
      </c>
      <c r="BM21">
        <v>0</v>
      </c>
      <c r="BN21">
        <v>0</v>
      </c>
      <c r="BO21">
        <v>0</v>
      </c>
      <c r="BP21">
        <v>0</v>
      </c>
      <c r="BQ21">
        <v>0</v>
      </c>
      <c r="BR21">
        <v>0</v>
      </c>
      <c r="BS21">
        <v>0</v>
      </c>
      <c r="BT21" s="1">
        <f t="shared" si="37"/>
        <v>20</v>
      </c>
      <c r="BU21">
        <v>31</v>
      </c>
      <c r="BV21">
        <v>20</v>
      </c>
      <c r="BW21">
        <v>0</v>
      </c>
      <c r="BX21">
        <v>0</v>
      </c>
      <c r="BY21">
        <v>0</v>
      </c>
      <c r="BZ21">
        <v>0</v>
      </c>
      <c r="CA21">
        <f t="shared" si="2"/>
        <v>0</v>
      </c>
      <c r="CB21">
        <f t="shared" si="3"/>
        <v>0</v>
      </c>
      <c r="CC21">
        <f t="shared" si="4"/>
        <v>0</v>
      </c>
      <c r="CD21">
        <f t="shared" si="5"/>
        <v>0</v>
      </c>
      <c r="CE21">
        <f t="shared" si="6"/>
        <v>0</v>
      </c>
      <c r="CF21">
        <f t="shared" si="7"/>
        <v>0</v>
      </c>
      <c r="CG21">
        <f t="shared" si="8"/>
        <v>0</v>
      </c>
      <c r="CH21">
        <f t="shared" si="9"/>
        <v>0</v>
      </c>
      <c r="CI21">
        <f t="shared" si="10"/>
        <v>0</v>
      </c>
      <c r="CJ21">
        <f t="shared" si="11"/>
        <v>0</v>
      </c>
      <c r="CK21">
        <f t="shared" si="12"/>
        <v>0</v>
      </c>
      <c r="CL21">
        <f t="shared" si="13"/>
        <v>0</v>
      </c>
      <c r="CM21">
        <f t="shared" si="14"/>
        <v>0</v>
      </c>
      <c r="CN21">
        <f t="shared" si="15"/>
        <v>0</v>
      </c>
      <c r="CO21" s="14">
        <f t="shared" ref="CO21:CO84" si="39">$BY21*AQ21</f>
        <v>0</v>
      </c>
      <c r="CP21" s="14">
        <f t="shared" si="17"/>
        <v>0</v>
      </c>
      <c r="CQ21" s="14">
        <f t="shared" si="18"/>
        <v>0</v>
      </c>
      <c r="CR21" s="14">
        <f t="shared" si="19"/>
        <v>0</v>
      </c>
      <c r="CS21" s="14">
        <f t="shared" si="20"/>
        <v>0</v>
      </c>
      <c r="CT21" s="14">
        <f t="shared" si="21"/>
        <v>0</v>
      </c>
      <c r="CU21" s="14">
        <f t="shared" si="22"/>
        <v>0</v>
      </c>
      <c r="CV21" s="14">
        <f t="shared" si="23"/>
        <v>0</v>
      </c>
      <c r="CW21" s="14">
        <f t="shared" si="24"/>
        <v>0</v>
      </c>
      <c r="CX21" s="14">
        <f t="shared" si="25"/>
        <v>0</v>
      </c>
      <c r="CY21" s="14">
        <f t="shared" si="26"/>
        <v>0</v>
      </c>
      <c r="CZ21" s="14">
        <f t="shared" si="27"/>
        <v>0</v>
      </c>
      <c r="DA21" s="14">
        <f t="shared" si="28"/>
        <v>0</v>
      </c>
      <c r="DB21" s="14">
        <f t="shared" si="29"/>
        <v>0</v>
      </c>
      <c r="DC21" s="72">
        <f>F21/G21</f>
        <v>12.973376197498411</v>
      </c>
      <c r="DD21" s="72">
        <f t="shared" si="30"/>
        <v>0.4184960063709165</v>
      </c>
      <c r="DE21" s="71">
        <f>F21/BU21</f>
        <v>4016.7246691480564</v>
      </c>
      <c r="DF21" s="72">
        <f>J21/K21</f>
        <v>73.323572204207451</v>
      </c>
      <c r="DG21" s="72">
        <f t="shared" si="31"/>
        <v>2.3652765227163695</v>
      </c>
      <c r="DH21" s="72">
        <f>J21/BU21</f>
        <v>3029.9192255996695</v>
      </c>
      <c r="DI21" s="72">
        <f>N21/P21</f>
        <v>533.15464223276729</v>
      </c>
      <c r="DJ21" s="72">
        <f t="shared" si="32"/>
        <v>17.1985368462183</v>
      </c>
      <c r="DK21" s="72">
        <f t="shared" si="33"/>
        <v>26.657732111638364</v>
      </c>
      <c r="DL21" s="72">
        <f>N21/BU21</f>
        <v>2648.5746743176178</v>
      </c>
      <c r="DM21" s="72">
        <f>N21/BV21</f>
        <v>4105.2907451923074</v>
      </c>
      <c r="DN21" s="1">
        <v>0</v>
      </c>
      <c r="DO21" s="1">
        <v>0</v>
      </c>
    </row>
    <row r="22" spans="1:119">
      <c r="A22" s="93">
        <f t="shared" si="38"/>
        <v>42979</v>
      </c>
      <c r="B22" s="4">
        <f t="shared" si="0"/>
        <v>2017</v>
      </c>
      <c r="C22" s="4">
        <f t="shared" si="1"/>
        <v>9</v>
      </c>
      <c r="D22" s="56">
        <v>0</v>
      </c>
      <c r="E22" s="56">
        <f>IFERROR(VLOOKUP($B22-1,CDM!$J$6:$P$19,2,FALSE)/12,0)+IFERROR(VLOOKUP($B22,CDM!$J$37:$M$48,2,FALSE)/24,0)+IFERROR(VLOOKUP($B22,CDM!$J$37:$M$48,2,FALSE)/2*$C22/78,0)</f>
        <v>130866.91346153847</v>
      </c>
      <c r="F22" s="56">
        <f t="shared" si="34"/>
        <v>130866.91346153847</v>
      </c>
      <c r="G22" s="301">
        <v>9598</v>
      </c>
      <c r="H22" s="56">
        <v>0</v>
      </c>
      <c r="I22" s="56">
        <f>IFERROR(VLOOKUP($B22-1,CDM!$J$6:$P$19,3,FALSE)/12,0)+IFERROR(VLOOKUP($B22,CDM!$J$37:$M$47,3,FALSE)/24,0)+IFERROR(VLOOKUP($B22,CDM!$J$37:$M$47,3,FALSE)/2*$C22/78,0)</f>
        <v>98317.257211538468</v>
      </c>
      <c r="J22" s="56">
        <f t="shared" si="35"/>
        <v>98317.257211538468</v>
      </c>
      <c r="K22" s="6">
        <v>1281</v>
      </c>
      <c r="L22" s="5">
        <v>0</v>
      </c>
      <c r="M22" s="2">
        <f>IFERROR(VLOOKUP($B22-1,CDM!$J$6:$P$19,4,FALSE)/12,0)+IFERROR(VLOOKUP($B22,CDM!$J$37:$M$47,4,FALSE)/24,0)+IFERROR(VLOOKUP($B22,CDM!$J$37:$M$47,4,FALSE)/2*$C22/78,0)</f>
        <v>85860.649839743593</v>
      </c>
      <c r="N22" s="56">
        <f t="shared" si="36"/>
        <v>85860.649839743593</v>
      </c>
      <c r="O22" s="5">
        <v>0</v>
      </c>
      <c r="P22" s="6">
        <v>154</v>
      </c>
      <c r="Q22" s="5">
        <v>0</v>
      </c>
      <c r="R22" s="5">
        <v>0</v>
      </c>
      <c r="S22" s="6">
        <v>2845</v>
      </c>
      <c r="T22" s="6">
        <v>0</v>
      </c>
      <c r="U22" s="6">
        <v>0</v>
      </c>
      <c r="V22" s="6">
        <v>178</v>
      </c>
      <c r="W22" s="5">
        <v>0</v>
      </c>
      <c r="X22" s="1">
        <v>19</v>
      </c>
      <c r="Y22" s="56">
        <v>136620</v>
      </c>
      <c r="Z22" s="56">
        <v>2520</v>
      </c>
      <c r="AA22" s="71">
        <f>L22-Y22</f>
        <v>-136620</v>
      </c>
      <c r="AB22" s="71">
        <f>N22-Y22</f>
        <v>-50759.350160256407</v>
      </c>
      <c r="AC22" s="5">
        <f>O22-Z22</f>
        <v>-2520</v>
      </c>
      <c r="AD22" s="111">
        <f>Economic!H24</f>
        <v>764464.8</v>
      </c>
      <c r="AE22" s="111">
        <f>Economic!I24</f>
        <v>765009</v>
      </c>
      <c r="AF22" s="111">
        <f>Economic!D24</f>
        <v>7143.3</v>
      </c>
      <c r="AG22" s="111">
        <f>Economic!E24</f>
        <v>7185.7</v>
      </c>
      <c r="AH22" s="111">
        <f>Economic!F24</f>
        <v>569.9</v>
      </c>
      <c r="AI22" s="111">
        <f>Economic!G24</f>
        <v>568.1</v>
      </c>
      <c r="AJ22" s="111">
        <f>Economic!J24</f>
        <v>213.60000000000036</v>
      </c>
      <c r="AK22" s="111">
        <f>Economic!K24</f>
        <v>212.30000000000018</v>
      </c>
      <c r="AL22" s="111">
        <f>Economic!L24</f>
        <v>0.69999999999993179</v>
      </c>
      <c r="AM22" s="111">
        <f>Economic!M24</f>
        <v>0.89999999999997726</v>
      </c>
      <c r="AN22" s="111">
        <f>Economic!N24</f>
        <v>20488.600000000093</v>
      </c>
      <c r="AO22" s="111">
        <f>Economic!O24</f>
        <v>333</v>
      </c>
      <c r="AP22" s="28">
        <f>Weather!D22</f>
        <v>15.601944444444445</v>
      </c>
      <c r="AQ22" s="28">
        <f>Weather!E22</f>
        <v>140.68333333333331</v>
      </c>
      <c r="AR22" s="28">
        <f>Weather!F22</f>
        <v>8.74166666666666</v>
      </c>
      <c r="AS22" s="28">
        <f>Weather!G22</f>
        <v>98.341666666666669</v>
      </c>
      <c r="AT22" s="28">
        <f>Weather!H22</f>
        <v>26.399999999999995</v>
      </c>
      <c r="AU22" s="28">
        <f>Weather!I22</f>
        <v>64.883333333333326</v>
      </c>
      <c r="AV22" s="28">
        <f>Weather!J22</f>
        <v>52.941666666666663</v>
      </c>
      <c r="AW22" s="28">
        <f>Weather!K22</f>
        <v>37.195833333333326</v>
      </c>
      <c r="AX22" s="28">
        <f>Weather!L22</f>
        <v>85.254166666666663</v>
      </c>
      <c r="AY22" s="28">
        <f>Weather!M22</f>
        <v>18.191666666666656</v>
      </c>
      <c r="AZ22" s="28">
        <f>Weather!N22</f>
        <v>126.25</v>
      </c>
      <c r="BA22" s="28">
        <f>Weather!O22</f>
        <v>6.5958333333333314</v>
      </c>
      <c r="BB22" s="28">
        <f>Weather!P22</f>
        <v>174.6541666666667</v>
      </c>
      <c r="BC22" s="28">
        <f>Weather!Q22</f>
        <v>2.0833333333333321</v>
      </c>
      <c r="BD22" s="28">
        <f>Weather!R22</f>
        <v>230.14166666666671</v>
      </c>
      <c r="BE22">
        <v>0</v>
      </c>
      <c r="BF22">
        <v>0</v>
      </c>
      <c r="BG22">
        <v>0</v>
      </c>
      <c r="BH22">
        <v>0</v>
      </c>
      <c r="BI22">
        <v>0</v>
      </c>
      <c r="BJ22">
        <v>0</v>
      </c>
      <c r="BK22">
        <v>0</v>
      </c>
      <c r="BL22">
        <v>0</v>
      </c>
      <c r="BM22">
        <v>1</v>
      </c>
      <c r="BN22">
        <v>0</v>
      </c>
      <c r="BO22">
        <v>0</v>
      </c>
      <c r="BP22">
        <v>0</v>
      </c>
      <c r="BQ22">
        <v>0</v>
      </c>
      <c r="BR22">
        <v>1</v>
      </c>
      <c r="BS22">
        <v>1</v>
      </c>
      <c r="BT22" s="1">
        <f t="shared" si="37"/>
        <v>21</v>
      </c>
      <c r="BU22">
        <v>30</v>
      </c>
      <c r="BV22">
        <v>21</v>
      </c>
      <c r="BW22">
        <v>0</v>
      </c>
      <c r="BX22">
        <v>0</v>
      </c>
      <c r="BY22">
        <v>0</v>
      </c>
      <c r="BZ22">
        <v>0</v>
      </c>
      <c r="CA22">
        <f t="shared" si="2"/>
        <v>0</v>
      </c>
      <c r="CB22">
        <f t="shared" si="3"/>
        <v>0</v>
      </c>
      <c r="CC22">
        <f t="shared" si="4"/>
        <v>0</v>
      </c>
      <c r="CD22">
        <f t="shared" si="5"/>
        <v>0</v>
      </c>
      <c r="CE22">
        <f t="shared" si="6"/>
        <v>0</v>
      </c>
      <c r="CF22">
        <f t="shared" si="7"/>
        <v>0</v>
      </c>
      <c r="CG22">
        <f t="shared" si="8"/>
        <v>0</v>
      </c>
      <c r="CH22">
        <f t="shared" si="9"/>
        <v>0</v>
      </c>
      <c r="CI22">
        <f t="shared" si="10"/>
        <v>0</v>
      </c>
      <c r="CJ22">
        <f t="shared" si="11"/>
        <v>0</v>
      </c>
      <c r="CK22">
        <f t="shared" si="12"/>
        <v>0</v>
      </c>
      <c r="CL22">
        <f t="shared" si="13"/>
        <v>0</v>
      </c>
      <c r="CM22">
        <f t="shared" si="14"/>
        <v>0</v>
      </c>
      <c r="CN22">
        <f t="shared" si="15"/>
        <v>0</v>
      </c>
      <c r="CO22" s="14">
        <f t="shared" si="39"/>
        <v>0</v>
      </c>
      <c r="CP22" s="14">
        <f t="shared" si="17"/>
        <v>0</v>
      </c>
      <c r="CQ22" s="14">
        <f t="shared" si="18"/>
        <v>0</v>
      </c>
      <c r="CR22" s="14">
        <f t="shared" si="19"/>
        <v>0</v>
      </c>
      <c r="CS22" s="14">
        <f>$BY22*AU22</f>
        <v>0</v>
      </c>
      <c r="CT22" s="14">
        <f t="shared" si="21"/>
        <v>0</v>
      </c>
      <c r="CU22" s="14">
        <f t="shared" si="22"/>
        <v>0</v>
      </c>
      <c r="CV22" s="14">
        <f t="shared" si="23"/>
        <v>0</v>
      </c>
      <c r="CW22" s="14">
        <f t="shared" si="24"/>
        <v>0</v>
      </c>
      <c r="CX22" s="14">
        <f t="shared" si="25"/>
        <v>0</v>
      </c>
      <c r="CY22" s="14">
        <f t="shared" si="26"/>
        <v>0</v>
      </c>
      <c r="CZ22" s="14">
        <f t="shared" si="27"/>
        <v>0</v>
      </c>
      <c r="DA22" s="14">
        <f t="shared" si="28"/>
        <v>0</v>
      </c>
      <c r="DB22" s="14">
        <f t="shared" si="29"/>
        <v>0</v>
      </c>
      <c r="DC22" s="72">
        <f>F22/G22</f>
        <v>13.634810737813968</v>
      </c>
      <c r="DD22" s="72">
        <f t="shared" si="30"/>
        <v>0.45449369126046563</v>
      </c>
      <c r="DE22" s="71">
        <f>F22/BU22</f>
        <v>4362.230448717949</v>
      </c>
      <c r="DF22" s="72">
        <f>J22/K22</f>
        <v>76.750395949678747</v>
      </c>
      <c r="DG22" s="72">
        <f t="shared" si="31"/>
        <v>2.5583465316559582</v>
      </c>
      <c r="DH22" s="72">
        <f>J22/BU22</f>
        <v>3277.2419070512824</v>
      </c>
      <c r="DI22" s="72">
        <f>N22/P22</f>
        <v>557.53668727106231</v>
      </c>
      <c r="DJ22" s="72">
        <f t="shared" si="32"/>
        <v>18.584556242368745</v>
      </c>
      <c r="DK22" s="72">
        <f t="shared" si="33"/>
        <v>26.549366060526776</v>
      </c>
      <c r="DL22" s="72">
        <f>N22/BU22</f>
        <v>2862.0216613247862</v>
      </c>
      <c r="DM22" s="72">
        <f>N22/BV22</f>
        <v>4088.6023733211237</v>
      </c>
      <c r="DN22" s="1">
        <v>0</v>
      </c>
      <c r="DO22" s="1">
        <v>0</v>
      </c>
    </row>
    <row r="23" spans="1:119">
      <c r="A23" s="93">
        <f t="shared" si="38"/>
        <v>43009</v>
      </c>
      <c r="B23" s="4">
        <f t="shared" si="0"/>
        <v>2017</v>
      </c>
      <c r="C23" s="4">
        <f t="shared" si="1"/>
        <v>10</v>
      </c>
      <c r="D23" s="56">
        <v>0</v>
      </c>
      <c r="E23" s="56">
        <f>IFERROR(VLOOKUP($B23-1,CDM!$J$6:$P$19,2,FALSE)/12,0)+IFERROR(VLOOKUP($B23,CDM!$J$37:$M$48,2,FALSE)/24,0)+IFERROR(VLOOKUP($B23,CDM!$J$37:$M$48,2,FALSE)/2*$C23/78,0)</f>
        <v>137215.36217948719</v>
      </c>
      <c r="F23" s="56">
        <f t="shared" si="34"/>
        <v>137215.36217948719</v>
      </c>
      <c r="G23" s="301">
        <v>9676</v>
      </c>
      <c r="H23" s="56">
        <v>0</v>
      </c>
      <c r="I23" s="56">
        <f>IFERROR(VLOOKUP($B23-1,CDM!$J$6:$P$19,3,FALSE)/12,0)+IFERROR(VLOOKUP($B23,CDM!$J$37:$M$47,3,FALSE)/24,0)+IFERROR(VLOOKUP($B23,CDM!$J$37:$M$47,3,FALSE)/2*$C23/78,0)</f>
        <v>102707.01842948719</v>
      </c>
      <c r="J23" s="56">
        <f t="shared" si="35"/>
        <v>102707.01842948719</v>
      </c>
      <c r="K23" s="6">
        <v>1283</v>
      </c>
      <c r="L23" s="5">
        <v>0</v>
      </c>
      <c r="M23" s="2">
        <f>IFERROR(VLOOKUP($B23-1,CDM!$J$6:$P$19,4,FALSE)/12,0)+IFERROR(VLOOKUP($B23,CDM!$J$37:$M$47,4,FALSE)/24,0)+IFERROR(VLOOKUP($B23,CDM!$J$37:$M$47,4,FALSE)/2*$C23/78,0)</f>
        <v>89615.484775641031</v>
      </c>
      <c r="N23" s="56">
        <f t="shared" si="36"/>
        <v>89615.484775641031</v>
      </c>
      <c r="O23" s="5">
        <v>0</v>
      </c>
      <c r="P23" s="6">
        <v>150</v>
      </c>
      <c r="Q23" s="5">
        <v>0</v>
      </c>
      <c r="R23" s="5">
        <v>0</v>
      </c>
      <c r="S23" s="6">
        <v>2838</v>
      </c>
      <c r="T23" s="6">
        <v>0</v>
      </c>
      <c r="U23" s="6">
        <v>0</v>
      </c>
      <c r="V23" s="6">
        <v>178</v>
      </c>
      <c r="W23" s="5">
        <v>0</v>
      </c>
      <c r="X23" s="1">
        <v>19</v>
      </c>
      <c r="Y23" s="56">
        <v>22812</v>
      </c>
      <c r="Z23" s="56">
        <v>4200</v>
      </c>
      <c r="AA23" s="71">
        <f>L23-Y23</f>
        <v>-22812</v>
      </c>
      <c r="AB23" s="71">
        <f>N23-Y23</f>
        <v>66803.484775641031</v>
      </c>
      <c r="AC23" s="5">
        <f>O23-Z23</f>
        <v>-4200</v>
      </c>
      <c r="AD23" s="111">
        <f>Economic!H25</f>
        <v>764464.8</v>
      </c>
      <c r="AE23" s="111">
        <f>Economic!I25</f>
        <v>771506</v>
      </c>
      <c r="AF23" s="111">
        <f>Economic!D25</f>
        <v>7158.3</v>
      </c>
      <c r="AG23" s="111">
        <f>Economic!E25</f>
        <v>7179.8</v>
      </c>
      <c r="AH23" s="111">
        <f>Economic!F25</f>
        <v>569.1</v>
      </c>
      <c r="AI23" s="111">
        <f>Economic!G25</f>
        <v>566</v>
      </c>
      <c r="AJ23" s="111">
        <f>Economic!J25</f>
        <v>216.30000000000018</v>
      </c>
      <c r="AK23" s="111">
        <f>Economic!K25</f>
        <v>212.90000000000055</v>
      </c>
      <c r="AL23" s="111">
        <f>Economic!L25</f>
        <v>-1.8999999999999773</v>
      </c>
      <c r="AM23" s="111">
        <f>Economic!M25</f>
        <v>-2.2999999999999545</v>
      </c>
      <c r="AN23" s="111">
        <f>Economic!N25</f>
        <v>20488.600000000093</v>
      </c>
      <c r="AO23" s="111">
        <f>Economic!O25</f>
        <v>6497</v>
      </c>
      <c r="AP23" s="28">
        <f>Weather!D23</f>
        <v>10.40611559139785</v>
      </c>
      <c r="AQ23" s="28">
        <f>Weather!E23</f>
        <v>297.41041666666666</v>
      </c>
      <c r="AR23" s="28">
        <f>Weather!F23</f>
        <v>0</v>
      </c>
      <c r="AS23" s="28">
        <f>Weather!G23</f>
        <v>235.46875000000003</v>
      </c>
      <c r="AT23" s="28">
        <f>Weather!H23</f>
        <v>5.833333333333357E-2</v>
      </c>
      <c r="AU23" s="28">
        <f>Weather!I23</f>
        <v>177.1020833333333</v>
      </c>
      <c r="AV23" s="28">
        <f>Weather!J23</f>
        <v>3.6916666666666629</v>
      </c>
      <c r="AW23" s="28">
        <f>Weather!K23</f>
        <v>121.93958333333333</v>
      </c>
      <c r="AX23" s="28">
        <f>Weather!L23</f>
        <v>10.529166666666658</v>
      </c>
      <c r="AY23" s="28">
        <f>Weather!M23</f>
        <v>80.731250000000003</v>
      </c>
      <c r="AZ23" s="28">
        <f>Weather!N23</f>
        <v>31.320833333333333</v>
      </c>
      <c r="BA23" s="28">
        <f>Weather!O23</f>
        <v>49.639583333333334</v>
      </c>
      <c r="BB23" s="28">
        <f>Weather!P23</f>
        <v>62.229166666666664</v>
      </c>
      <c r="BC23" s="28">
        <f>Weather!Q23</f>
        <v>26.377083333333339</v>
      </c>
      <c r="BD23" s="28">
        <f>Weather!R23</f>
        <v>100.96666666666667</v>
      </c>
      <c r="BE23">
        <v>0</v>
      </c>
      <c r="BF23">
        <v>0</v>
      </c>
      <c r="BG23">
        <v>0</v>
      </c>
      <c r="BH23">
        <v>0</v>
      </c>
      <c r="BI23">
        <v>0</v>
      </c>
      <c r="BJ23">
        <v>0</v>
      </c>
      <c r="BK23">
        <v>0</v>
      </c>
      <c r="BL23">
        <v>0</v>
      </c>
      <c r="BM23">
        <v>0</v>
      </c>
      <c r="BN23">
        <v>1</v>
      </c>
      <c r="BO23">
        <v>0</v>
      </c>
      <c r="BP23">
        <v>0</v>
      </c>
      <c r="BQ23">
        <v>0</v>
      </c>
      <c r="BR23">
        <v>1</v>
      </c>
      <c r="BS23">
        <v>1</v>
      </c>
      <c r="BT23" s="1">
        <f t="shared" si="37"/>
        <v>22</v>
      </c>
      <c r="BU23">
        <v>31</v>
      </c>
      <c r="BV23">
        <v>21</v>
      </c>
      <c r="BW23">
        <v>0</v>
      </c>
      <c r="BX23">
        <v>0</v>
      </c>
      <c r="BY23">
        <v>0</v>
      </c>
      <c r="BZ23">
        <v>0</v>
      </c>
      <c r="CA23">
        <f t="shared" si="2"/>
        <v>0</v>
      </c>
      <c r="CB23">
        <f t="shared" si="3"/>
        <v>0</v>
      </c>
      <c r="CC23">
        <f t="shared" si="4"/>
        <v>0</v>
      </c>
      <c r="CD23">
        <f t="shared" si="5"/>
        <v>0</v>
      </c>
      <c r="CE23">
        <f t="shared" si="6"/>
        <v>0</v>
      </c>
      <c r="CF23">
        <f t="shared" si="7"/>
        <v>0</v>
      </c>
      <c r="CG23">
        <f t="shared" si="8"/>
        <v>0</v>
      </c>
      <c r="CH23">
        <f t="shared" si="9"/>
        <v>0</v>
      </c>
      <c r="CI23">
        <f t="shared" si="10"/>
        <v>0</v>
      </c>
      <c r="CJ23">
        <f t="shared" si="11"/>
        <v>0</v>
      </c>
      <c r="CK23">
        <f t="shared" si="12"/>
        <v>0</v>
      </c>
      <c r="CL23">
        <f t="shared" si="13"/>
        <v>0</v>
      </c>
      <c r="CM23">
        <f t="shared" si="14"/>
        <v>0</v>
      </c>
      <c r="CN23">
        <f t="shared" si="15"/>
        <v>0</v>
      </c>
      <c r="CO23" s="14">
        <f t="shared" si="39"/>
        <v>0</v>
      </c>
      <c r="CP23" s="14">
        <f t="shared" si="17"/>
        <v>0</v>
      </c>
      <c r="CQ23" s="14">
        <f t="shared" si="18"/>
        <v>0</v>
      </c>
      <c r="CR23" s="14">
        <f t="shared" si="19"/>
        <v>0</v>
      </c>
      <c r="CS23" s="14">
        <f t="shared" si="20"/>
        <v>0</v>
      </c>
      <c r="CT23" s="14">
        <f t="shared" si="21"/>
        <v>0</v>
      </c>
      <c r="CU23" s="14">
        <f t="shared" si="22"/>
        <v>0</v>
      </c>
      <c r="CV23" s="14">
        <f t="shared" si="23"/>
        <v>0</v>
      </c>
      <c r="CW23" s="14">
        <f t="shared" si="24"/>
        <v>0</v>
      </c>
      <c r="CX23" s="14">
        <f t="shared" si="25"/>
        <v>0</v>
      </c>
      <c r="CY23" s="14">
        <f t="shared" si="26"/>
        <v>0</v>
      </c>
      <c r="CZ23" s="14">
        <f t="shared" si="27"/>
        <v>0</v>
      </c>
      <c r="DA23" s="14">
        <f t="shared" si="28"/>
        <v>0</v>
      </c>
      <c r="DB23" s="14">
        <f t="shared" si="29"/>
        <v>0</v>
      </c>
      <c r="DC23" s="72">
        <f>F23/G23</f>
        <v>14.181000638640677</v>
      </c>
      <c r="DD23" s="72">
        <f t="shared" si="30"/>
        <v>0.45745163350453799</v>
      </c>
      <c r="DE23" s="71">
        <f>F23/BU23</f>
        <v>4426.3020057899093</v>
      </c>
      <c r="DF23" s="72">
        <f>J23/K23</f>
        <v>80.052235720566784</v>
      </c>
      <c r="DG23" s="72">
        <f t="shared" si="31"/>
        <v>2.5823301845344124</v>
      </c>
      <c r="DH23" s="72">
        <f>J23/BU23</f>
        <v>3313.1296267576513</v>
      </c>
      <c r="DI23" s="72">
        <f>N23/P23</f>
        <v>597.43656517094018</v>
      </c>
      <c r="DJ23" s="72">
        <f t="shared" si="32"/>
        <v>19.272147263578717</v>
      </c>
      <c r="DK23" s="72">
        <f t="shared" si="33"/>
        <v>28.449360246235248</v>
      </c>
      <c r="DL23" s="72">
        <f>N23/BU23</f>
        <v>2890.8220895368077</v>
      </c>
      <c r="DM23" s="72">
        <f>N23/BV23</f>
        <v>4267.404036935287</v>
      </c>
      <c r="DN23" s="1">
        <v>0</v>
      </c>
      <c r="DO23" s="1">
        <v>0</v>
      </c>
    </row>
    <row r="24" spans="1:119">
      <c r="A24" s="93">
        <f t="shared" si="38"/>
        <v>43040</v>
      </c>
      <c r="B24" s="4">
        <f t="shared" si="0"/>
        <v>2017</v>
      </c>
      <c r="C24" s="4">
        <f t="shared" si="1"/>
        <v>11</v>
      </c>
      <c r="D24" s="56">
        <v>0</v>
      </c>
      <c r="E24" s="56">
        <f>IFERROR(VLOOKUP($B24-1,CDM!$J$6:$P$19,2,FALSE)/12,0)+IFERROR(VLOOKUP($B24,CDM!$J$37:$M$48,2,FALSE)/24,0)+IFERROR(VLOOKUP($B24,CDM!$J$37:$M$48,2,FALSE)/2*$C24/78,0)</f>
        <v>143563.81089743588</v>
      </c>
      <c r="F24" s="56">
        <f t="shared" si="34"/>
        <v>143563.81089743588</v>
      </c>
      <c r="G24" s="301">
        <v>9676</v>
      </c>
      <c r="H24" s="56">
        <v>0</v>
      </c>
      <c r="I24" s="56">
        <f>IFERROR(VLOOKUP($B24-1,CDM!$J$6:$P$19,3,FALSE)/12,0)+IFERROR(VLOOKUP($B24,CDM!$J$37:$M$47,3,FALSE)/24,0)+IFERROR(VLOOKUP($B24,CDM!$J$37:$M$47,3,FALSE)/2*$C24/78,0)</f>
        <v>107096.77964743591</v>
      </c>
      <c r="J24" s="56">
        <f t="shared" si="35"/>
        <v>107096.77964743591</v>
      </c>
      <c r="K24" s="6">
        <v>1283</v>
      </c>
      <c r="L24" s="5">
        <v>0</v>
      </c>
      <c r="M24" s="2">
        <f>IFERROR(VLOOKUP($B24-1,CDM!$J$6:$P$19,4,FALSE)/12,0)+IFERROR(VLOOKUP($B24,CDM!$J$37:$M$47,4,FALSE)/24,0)+IFERROR(VLOOKUP($B24,CDM!$J$37:$M$47,4,FALSE)/2*$C24/78,0)</f>
        <v>93370.319711538468</v>
      </c>
      <c r="N24" s="56">
        <f t="shared" si="36"/>
        <v>93370.319711538468</v>
      </c>
      <c r="O24" s="5">
        <v>0</v>
      </c>
      <c r="P24" s="6">
        <v>150</v>
      </c>
      <c r="Q24" s="5">
        <v>0</v>
      </c>
      <c r="R24" s="5">
        <v>0</v>
      </c>
      <c r="S24" s="6">
        <v>2838</v>
      </c>
      <c r="T24" s="6">
        <v>0</v>
      </c>
      <c r="U24" s="6">
        <v>0</v>
      </c>
      <c r="V24" s="6">
        <v>178</v>
      </c>
      <c r="W24" s="5">
        <v>0</v>
      </c>
      <c r="X24" s="1">
        <v>19</v>
      </c>
      <c r="Y24" s="56">
        <v>6312</v>
      </c>
      <c r="Z24" s="56">
        <v>5496</v>
      </c>
      <c r="AA24" s="71">
        <f>L24-Y24</f>
        <v>-6312</v>
      </c>
      <c r="AB24" s="71">
        <f>N24-Y24</f>
        <v>87058.319711538468</v>
      </c>
      <c r="AC24" s="5">
        <f>O24-Z24</f>
        <v>-5496</v>
      </c>
      <c r="AD24" s="111">
        <f>Economic!H26</f>
        <v>764464.8</v>
      </c>
      <c r="AE24" s="111">
        <f>Economic!I26</f>
        <v>771506</v>
      </c>
      <c r="AF24" s="111">
        <f>Economic!D26</f>
        <v>7182.2</v>
      </c>
      <c r="AG24" s="111">
        <f>Economic!E26</f>
        <v>7182.5</v>
      </c>
      <c r="AH24" s="111">
        <f>Economic!F26</f>
        <v>572.5</v>
      </c>
      <c r="AI24" s="111">
        <f>Economic!G26</f>
        <v>569.4</v>
      </c>
      <c r="AJ24" s="111">
        <f>Economic!J26</f>
        <v>223.19999999999982</v>
      </c>
      <c r="AK24" s="111">
        <f>Economic!K26</f>
        <v>218.19999999999982</v>
      </c>
      <c r="AL24" s="111">
        <f>Economic!L26</f>
        <v>-0.39999999999997726</v>
      </c>
      <c r="AM24" s="111">
        <f>Economic!M26</f>
        <v>-1.6000000000000227</v>
      </c>
      <c r="AN24" s="111">
        <f>Economic!N26</f>
        <v>20488.600000000093</v>
      </c>
      <c r="AO24" s="111">
        <f>Economic!O26</f>
        <v>6497</v>
      </c>
      <c r="AP24" s="28">
        <f>Weather!D24</f>
        <v>-0.85777777777777764</v>
      </c>
      <c r="AQ24" s="28">
        <f>Weather!E24</f>
        <v>625.73333333333346</v>
      </c>
      <c r="AR24" s="28">
        <f>Weather!F24</f>
        <v>0</v>
      </c>
      <c r="AS24" s="28">
        <f>Weather!G24</f>
        <v>565.73333333333335</v>
      </c>
      <c r="AT24" s="28">
        <f>Weather!H24</f>
        <v>0</v>
      </c>
      <c r="AU24" s="28">
        <f>Weather!I24</f>
        <v>505.73333333333341</v>
      </c>
      <c r="AV24" s="28">
        <f>Weather!J24</f>
        <v>0</v>
      </c>
      <c r="AW24" s="28">
        <f>Weather!K24</f>
        <v>445.73333333333335</v>
      </c>
      <c r="AX24" s="28">
        <f>Weather!L24</f>
        <v>0</v>
      </c>
      <c r="AY24" s="28">
        <f>Weather!M24</f>
        <v>385.73333333333341</v>
      </c>
      <c r="AZ24" s="28">
        <f>Weather!N24</f>
        <v>0</v>
      </c>
      <c r="BA24" s="28">
        <f>Weather!O24</f>
        <v>325.73333333333335</v>
      </c>
      <c r="BB24" s="28">
        <f>Weather!P24</f>
        <v>0</v>
      </c>
      <c r="BC24" s="28">
        <f>Weather!Q24</f>
        <v>265.73333333333329</v>
      </c>
      <c r="BD24" s="28">
        <f>Weather!R24</f>
        <v>0</v>
      </c>
      <c r="BE24">
        <v>0</v>
      </c>
      <c r="BF24">
        <v>0</v>
      </c>
      <c r="BG24">
        <v>0</v>
      </c>
      <c r="BH24">
        <v>0</v>
      </c>
      <c r="BI24">
        <v>0</v>
      </c>
      <c r="BJ24">
        <v>0</v>
      </c>
      <c r="BK24">
        <v>0</v>
      </c>
      <c r="BL24">
        <v>0</v>
      </c>
      <c r="BM24">
        <v>0</v>
      </c>
      <c r="BN24">
        <v>0</v>
      </c>
      <c r="BO24">
        <v>1</v>
      </c>
      <c r="BP24">
        <v>0</v>
      </c>
      <c r="BQ24">
        <v>0</v>
      </c>
      <c r="BR24">
        <v>1</v>
      </c>
      <c r="BS24">
        <v>1</v>
      </c>
      <c r="BT24" s="1">
        <f t="shared" si="37"/>
        <v>23</v>
      </c>
      <c r="BU24">
        <v>30</v>
      </c>
      <c r="BV24">
        <v>21</v>
      </c>
      <c r="BW24">
        <v>0</v>
      </c>
      <c r="BX24">
        <v>0</v>
      </c>
      <c r="BY24">
        <v>0</v>
      </c>
      <c r="BZ24">
        <v>0</v>
      </c>
      <c r="CA24">
        <f t="shared" si="2"/>
        <v>0</v>
      </c>
      <c r="CB24">
        <f t="shared" si="3"/>
        <v>0</v>
      </c>
      <c r="CC24">
        <f t="shared" si="4"/>
        <v>0</v>
      </c>
      <c r="CD24">
        <f t="shared" si="5"/>
        <v>0</v>
      </c>
      <c r="CE24">
        <f t="shared" si="6"/>
        <v>0</v>
      </c>
      <c r="CF24">
        <f t="shared" si="7"/>
        <v>0</v>
      </c>
      <c r="CG24">
        <f t="shared" si="8"/>
        <v>0</v>
      </c>
      <c r="CH24">
        <f t="shared" si="9"/>
        <v>0</v>
      </c>
      <c r="CI24">
        <f t="shared" si="10"/>
        <v>0</v>
      </c>
      <c r="CJ24">
        <f t="shared" si="11"/>
        <v>0</v>
      </c>
      <c r="CK24">
        <f t="shared" si="12"/>
        <v>0</v>
      </c>
      <c r="CL24">
        <f t="shared" si="13"/>
        <v>0</v>
      </c>
      <c r="CM24">
        <f t="shared" si="14"/>
        <v>0</v>
      </c>
      <c r="CN24">
        <f t="shared" si="15"/>
        <v>0</v>
      </c>
      <c r="CO24" s="14">
        <f t="shared" si="39"/>
        <v>0</v>
      </c>
      <c r="CP24" s="14">
        <f t="shared" si="17"/>
        <v>0</v>
      </c>
      <c r="CQ24" s="14">
        <f t="shared" si="18"/>
        <v>0</v>
      </c>
      <c r="CR24" s="14">
        <f t="shared" si="19"/>
        <v>0</v>
      </c>
      <c r="CS24" s="14">
        <f t="shared" si="20"/>
        <v>0</v>
      </c>
      <c r="CT24" s="14">
        <f t="shared" si="21"/>
        <v>0</v>
      </c>
      <c r="CU24" s="14">
        <f t="shared" si="22"/>
        <v>0</v>
      </c>
      <c r="CV24" s="14">
        <f t="shared" si="23"/>
        <v>0</v>
      </c>
      <c r="CW24" s="14">
        <f t="shared" si="24"/>
        <v>0</v>
      </c>
      <c r="CX24" s="14">
        <f t="shared" si="25"/>
        <v>0</v>
      </c>
      <c r="CY24" s="14">
        <f t="shared" si="26"/>
        <v>0</v>
      </c>
      <c r="CZ24" s="14">
        <f t="shared" si="27"/>
        <v>0</v>
      </c>
      <c r="DA24" s="14">
        <f t="shared" si="28"/>
        <v>0</v>
      </c>
      <c r="DB24" s="14">
        <f t="shared" si="29"/>
        <v>0</v>
      </c>
      <c r="DC24" s="72">
        <f>F24/G24</f>
        <v>14.837103234542774</v>
      </c>
      <c r="DD24" s="72">
        <f t="shared" si="30"/>
        <v>0.49457010781809246</v>
      </c>
      <c r="DE24" s="71">
        <f>F24/BU24</f>
        <v>4785.4603632478629</v>
      </c>
      <c r="DF24" s="72">
        <f>J24/K24</f>
        <v>83.473717573995245</v>
      </c>
      <c r="DG24" s="72">
        <f t="shared" si="31"/>
        <v>2.7824572524665081</v>
      </c>
      <c r="DH24" s="72">
        <f>J24/BU24</f>
        <v>3569.8926549145303</v>
      </c>
      <c r="DI24" s="72">
        <f>N24/P24</f>
        <v>622.46879807692312</v>
      </c>
      <c r="DJ24" s="72">
        <f t="shared" si="32"/>
        <v>20.748959935897439</v>
      </c>
      <c r="DK24" s="72">
        <f t="shared" si="33"/>
        <v>29.64137133699634</v>
      </c>
      <c r="DL24" s="72">
        <f>N24/BU24</f>
        <v>3112.3439903846156</v>
      </c>
      <c r="DM24" s="72">
        <f>N24/BV24</f>
        <v>4446.2057005494507</v>
      </c>
      <c r="DN24" s="1">
        <v>0</v>
      </c>
      <c r="DO24" s="1">
        <v>0</v>
      </c>
    </row>
    <row r="25" spans="1:119">
      <c r="A25" s="93">
        <f t="shared" si="38"/>
        <v>43070</v>
      </c>
      <c r="B25" s="4">
        <f t="shared" si="0"/>
        <v>2017</v>
      </c>
      <c r="C25" s="4">
        <f t="shared" si="1"/>
        <v>12</v>
      </c>
      <c r="D25" s="56">
        <v>76119517.019999996</v>
      </c>
      <c r="E25" s="56">
        <f>IFERROR(VLOOKUP($B25-1,CDM!$J$6:$P$19,2,FALSE)/12,0)+IFERROR(VLOOKUP($B25,CDM!$J$37:$M$48,2,FALSE)/24,0)+IFERROR(VLOOKUP($B25,CDM!$J$37:$M$48,2,FALSE)/2*$C25/78,0)</f>
        <v>149912.25961538462</v>
      </c>
      <c r="F25" s="56">
        <f t="shared" si="34"/>
        <v>76269429.279615387</v>
      </c>
      <c r="G25" s="301">
        <v>9676</v>
      </c>
      <c r="H25" s="56">
        <v>28872534</v>
      </c>
      <c r="I25" s="56">
        <f>IFERROR(VLOOKUP($B25-1,CDM!$J$6:$P$19,3,FALSE)/12,0)+IFERROR(VLOOKUP($B25,CDM!$J$37:$M$47,3,FALSE)/24,0)+IFERROR(VLOOKUP($B25,CDM!$J$37:$M$47,3,FALSE)/2*$C25/78,0)</f>
        <v>111486.54086538462</v>
      </c>
      <c r="J25" s="56">
        <f t="shared" si="35"/>
        <v>28984020.540865384</v>
      </c>
      <c r="K25" s="6">
        <v>1283</v>
      </c>
      <c r="L25" s="5">
        <v>70829349</v>
      </c>
      <c r="M25" s="2">
        <f>IFERROR(VLOOKUP($B25-1,CDM!$J$6:$P$19,4,FALSE)/12,0)+IFERROR(VLOOKUP($B25,CDM!$J$37:$M$47,4,FALSE)/24,0)+IFERROR(VLOOKUP($B25,CDM!$J$37:$M$47,4,FALSE)/2*$C25/78,0)</f>
        <v>97125.154647435906</v>
      </c>
      <c r="N25" s="56">
        <f t="shared" si="36"/>
        <v>70926474.15464744</v>
      </c>
      <c r="O25" s="5">
        <v>218669</v>
      </c>
      <c r="P25" s="6">
        <v>150</v>
      </c>
      <c r="Q25" s="5">
        <v>1297582</v>
      </c>
      <c r="R25" s="5">
        <v>3609</v>
      </c>
      <c r="S25" s="6">
        <v>2838</v>
      </c>
      <c r="T25" s="6">
        <v>203681</v>
      </c>
      <c r="U25" s="6">
        <v>546</v>
      </c>
      <c r="V25" s="6">
        <v>178</v>
      </c>
      <c r="W25" s="5">
        <v>606897.73</v>
      </c>
      <c r="X25" s="1">
        <v>19</v>
      </c>
      <c r="Y25" s="56">
        <v>166884</v>
      </c>
      <c r="Z25" s="56">
        <v>2688</v>
      </c>
      <c r="AA25" s="71">
        <f>L25-Y25</f>
        <v>70662465</v>
      </c>
      <c r="AB25" s="71">
        <f>N25-Y25</f>
        <v>70759590.15464744</v>
      </c>
      <c r="AC25" s="5">
        <f>O25-Z25</f>
        <v>215981</v>
      </c>
      <c r="AD25" s="111">
        <f>Economic!H27</f>
        <v>764464.8</v>
      </c>
      <c r="AE25" s="111">
        <f>Economic!I27</f>
        <v>771506</v>
      </c>
      <c r="AF25" s="111">
        <f>Economic!D27</f>
        <v>7196.8</v>
      </c>
      <c r="AG25" s="111">
        <f>Economic!E27</f>
        <v>7205</v>
      </c>
      <c r="AH25" s="111">
        <f>Economic!F27</f>
        <v>576.4</v>
      </c>
      <c r="AI25" s="111">
        <f>Economic!G27</f>
        <v>576.1</v>
      </c>
      <c r="AJ25" s="111">
        <f>Economic!J27</f>
        <v>222.40000000000055</v>
      </c>
      <c r="AK25" s="111">
        <f>Economic!K27</f>
        <v>222</v>
      </c>
      <c r="AL25" s="111">
        <f>Economic!L27</f>
        <v>1.8999999999999773</v>
      </c>
      <c r="AM25" s="111">
        <f>Economic!M27</f>
        <v>0.89999999999997726</v>
      </c>
      <c r="AN25" s="111">
        <f>Economic!N27</f>
        <v>20488.600000000093</v>
      </c>
      <c r="AO25" s="111">
        <f>Economic!O27</f>
        <v>6497</v>
      </c>
      <c r="AP25" s="28">
        <f>Weather!D25</f>
        <v>-10.792741935483871</v>
      </c>
      <c r="AQ25" s="28">
        <f>Weather!E25</f>
        <v>954.57499999999993</v>
      </c>
      <c r="AR25" s="28">
        <f>Weather!F25</f>
        <v>0</v>
      </c>
      <c r="AS25" s="28">
        <f>Weather!G25</f>
        <v>892.57499999999993</v>
      </c>
      <c r="AT25" s="28">
        <f>Weather!H25</f>
        <v>0</v>
      </c>
      <c r="AU25" s="28">
        <f>Weather!I25</f>
        <v>830.57499999999993</v>
      </c>
      <c r="AV25" s="28">
        <f>Weather!J25</f>
        <v>0</v>
      </c>
      <c r="AW25" s="28">
        <f>Weather!K25</f>
        <v>768.57499999999993</v>
      </c>
      <c r="AX25" s="28">
        <f>Weather!L25</f>
        <v>0</v>
      </c>
      <c r="AY25" s="28">
        <f>Weather!M25</f>
        <v>706.57499999999993</v>
      </c>
      <c r="AZ25" s="28">
        <f>Weather!N25</f>
        <v>0</v>
      </c>
      <c r="BA25" s="28">
        <f>Weather!O25</f>
        <v>644.57499999999993</v>
      </c>
      <c r="BB25" s="28">
        <f>Weather!P25</f>
        <v>0</v>
      </c>
      <c r="BC25" s="28">
        <f>Weather!Q25</f>
        <v>582.57499999999993</v>
      </c>
      <c r="BD25" s="28">
        <f>Weather!R25</f>
        <v>0</v>
      </c>
      <c r="BE25">
        <v>0</v>
      </c>
      <c r="BF25">
        <v>0</v>
      </c>
      <c r="BG25">
        <v>0</v>
      </c>
      <c r="BH25">
        <v>0</v>
      </c>
      <c r="BI25">
        <v>0</v>
      </c>
      <c r="BJ25">
        <v>0</v>
      </c>
      <c r="BK25">
        <v>0</v>
      </c>
      <c r="BL25">
        <v>0</v>
      </c>
      <c r="BM25">
        <v>0</v>
      </c>
      <c r="BN25">
        <v>0</v>
      </c>
      <c r="BO25">
        <v>0</v>
      </c>
      <c r="BP25">
        <v>1</v>
      </c>
      <c r="BQ25">
        <v>0</v>
      </c>
      <c r="BR25">
        <v>0</v>
      </c>
      <c r="BS25">
        <v>0</v>
      </c>
      <c r="BT25" s="1">
        <f t="shared" si="37"/>
        <v>24</v>
      </c>
      <c r="BU25">
        <v>31</v>
      </c>
      <c r="BV25">
        <v>21</v>
      </c>
      <c r="BW25">
        <v>0</v>
      </c>
      <c r="BX25">
        <v>0</v>
      </c>
      <c r="BY25">
        <v>0</v>
      </c>
      <c r="BZ25">
        <v>0</v>
      </c>
      <c r="CA25">
        <f t="shared" si="2"/>
        <v>0</v>
      </c>
      <c r="CB25">
        <f t="shared" si="3"/>
        <v>0</v>
      </c>
      <c r="CC25">
        <f t="shared" si="4"/>
        <v>0</v>
      </c>
      <c r="CD25">
        <f t="shared" si="5"/>
        <v>0</v>
      </c>
      <c r="CE25">
        <f t="shared" si="6"/>
        <v>0</v>
      </c>
      <c r="CF25">
        <f t="shared" si="7"/>
        <v>0</v>
      </c>
      <c r="CG25">
        <f t="shared" si="8"/>
        <v>0</v>
      </c>
      <c r="CH25">
        <f t="shared" si="9"/>
        <v>0</v>
      </c>
      <c r="CI25">
        <f t="shared" si="10"/>
        <v>0</v>
      </c>
      <c r="CJ25">
        <f t="shared" si="11"/>
        <v>0</v>
      </c>
      <c r="CK25">
        <f t="shared" si="12"/>
        <v>0</v>
      </c>
      <c r="CL25">
        <f t="shared" si="13"/>
        <v>0</v>
      </c>
      <c r="CM25">
        <f t="shared" si="14"/>
        <v>0</v>
      </c>
      <c r="CN25">
        <f t="shared" si="15"/>
        <v>0</v>
      </c>
      <c r="CO25" s="14">
        <f t="shared" si="39"/>
        <v>0</v>
      </c>
      <c r="CP25" s="14">
        <f t="shared" si="17"/>
        <v>0</v>
      </c>
      <c r="CQ25" s="14">
        <f t="shared" si="18"/>
        <v>0</v>
      </c>
      <c r="CR25" s="14">
        <f t="shared" si="19"/>
        <v>0</v>
      </c>
      <c r="CS25" s="14">
        <f t="shared" si="20"/>
        <v>0</v>
      </c>
      <c r="CT25" s="14">
        <f t="shared" si="21"/>
        <v>0</v>
      </c>
      <c r="CU25" s="14">
        <f t="shared" si="22"/>
        <v>0</v>
      </c>
      <c r="CV25" s="14">
        <f t="shared" si="23"/>
        <v>0</v>
      </c>
      <c r="CW25" s="14">
        <f t="shared" si="24"/>
        <v>0</v>
      </c>
      <c r="CX25" s="14">
        <f t="shared" si="25"/>
        <v>0</v>
      </c>
      <c r="CY25" s="14">
        <f t="shared" si="26"/>
        <v>0</v>
      </c>
      <c r="CZ25" s="14">
        <f t="shared" si="27"/>
        <v>0</v>
      </c>
      <c r="DA25" s="14">
        <f t="shared" si="28"/>
        <v>0</v>
      </c>
      <c r="DB25" s="14">
        <f t="shared" si="29"/>
        <v>0</v>
      </c>
      <c r="DC25" s="72">
        <f>F25/G25</f>
        <v>7882.3304340239138</v>
      </c>
      <c r="DD25" s="72">
        <f t="shared" si="30"/>
        <v>254.26872367819075</v>
      </c>
      <c r="DE25" s="71">
        <f>F25/BU25</f>
        <v>2460304.1703101736</v>
      </c>
      <c r="DF25" s="72">
        <f>J25/K25</f>
        <v>22590.818815951196</v>
      </c>
      <c r="DG25" s="72">
        <f t="shared" si="31"/>
        <v>728.73609083713529</v>
      </c>
      <c r="DH25" s="72">
        <f>J25/BU25</f>
        <v>934968.40454404464</v>
      </c>
      <c r="DI25" s="72">
        <f>N25/P25</f>
        <v>472843.16103098291</v>
      </c>
      <c r="DJ25" s="72">
        <f t="shared" si="32"/>
        <v>15253.005194547835</v>
      </c>
      <c r="DK25" s="72">
        <f t="shared" si="33"/>
        <v>22516.341001475375</v>
      </c>
      <c r="DL25" s="72">
        <f>N25/BU25</f>
        <v>2287950.7791821756</v>
      </c>
      <c r="DM25" s="72">
        <f>N25/BV25</f>
        <v>3377451.1502213068</v>
      </c>
      <c r="DN25" s="1">
        <v>0</v>
      </c>
      <c r="DO25" s="1">
        <v>0</v>
      </c>
    </row>
    <row r="26" spans="1:119">
      <c r="A26" s="93">
        <f t="shared" si="38"/>
        <v>43101</v>
      </c>
      <c r="B26" s="4">
        <f t="shared" si="0"/>
        <v>2018</v>
      </c>
      <c r="C26" s="4">
        <f t="shared" si="1"/>
        <v>1</v>
      </c>
      <c r="D26" s="56">
        <v>0</v>
      </c>
      <c r="E26" s="56">
        <f>IFERROR(VLOOKUP($B26-1,CDM!$J$6:$P$19,2,FALSE)/12,0)+IFERROR(VLOOKUP($B26,CDM!$J$37:$M$48,2,FALSE)/24,0)+IFERROR(VLOOKUP($B26,CDM!$J$37:$M$48,2,FALSE)/2*$C26/78,0)</f>
        <v>138184.10424530588</v>
      </c>
      <c r="F26" s="56">
        <f t="shared" si="34"/>
        <v>138184.10424530588</v>
      </c>
      <c r="G26" s="301">
        <v>9688</v>
      </c>
      <c r="H26" s="56">
        <v>0</v>
      </c>
      <c r="I26" s="56">
        <f>IFERROR(VLOOKUP($B26-1,CDM!$J$6:$P$19,3,FALSE)/12,0)+IFERROR(VLOOKUP($B26,CDM!$J$37:$M$47,3,FALSE)/24,0)+IFERROR(VLOOKUP($B26,CDM!$J$37:$M$47,3,FALSE)/2*$C26/78,0)</f>
        <v>116499.30518896331</v>
      </c>
      <c r="J26" s="56">
        <f t="shared" si="35"/>
        <v>116499.30518896331</v>
      </c>
      <c r="K26" s="6">
        <v>1284</v>
      </c>
      <c r="L26" s="5">
        <v>0</v>
      </c>
      <c r="M26" s="2">
        <f>IFERROR(VLOOKUP($B26-1,CDM!$J$6:$P$19,4,FALSE)/12,0)+IFERROR(VLOOKUP($B26,CDM!$J$37:$M$47,4,FALSE)/24,0)+IFERROR(VLOOKUP($B26,CDM!$J$37:$M$47,4,FALSE)/2*$C26/78,0)</f>
        <v>100126.09152892765</v>
      </c>
      <c r="N26" s="56">
        <f t="shared" si="36"/>
        <v>100126.09152892765</v>
      </c>
      <c r="O26" s="5">
        <v>0</v>
      </c>
      <c r="P26" s="6">
        <v>150</v>
      </c>
      <c r="Q26" s="5">
        <v>0</v>
      </c>
      <c r="R26" s="5">
        <v>0</v>
      </c>
      <c r="S26" s="6">
        <v>2862</v>
      </c>
      <c r="T26" s="6">
        <v>0</v>
      </c>
      <c r="U26" s="6">
        <v>0</v>
      </c>
      <c r="V26" s="6">
        <v>178</v>
      </c>
      <c r="W26" s="5">
        <v>0</v>
      </c>
      <c r="X26" s="1">
        <v>19</v>
      </c>
      <c r="Y26" s="56">
        <v>291042</v>
      </c>
      <c r="Z26" s="56">
        <v>4872</v>
      </c>
      <c r="AA26" s="71">
        <f>L26-Y26</f>
        <v>-291042</v>
      </c>
      <c r="AB26" s="71">
        <f>N26-Y26</f>
        <v>-190915.90847107235</v>
      </c>
      <c r="AC26" s="5">
        <f>O26-Z26</f>
        <v>-4872</v>
      </c>
      <c r="AD26" s="111">
        <f>Economic!H28</f>
        <v>789531.6</v>
      </c>
      <c r="AE26" s="111">
        <f>Economic!I28</f>
        <v>779694</v>
      </c>
      <c r="AF26" s="111">
        <f>Economic!D28</f>
        <v>7195</v>
      </c>
      <c r="AG26" s="111">
        <f>Economic!E28</f>
        <v>7165</v>
      </c>
      <c r="AH26" s="111">
        <f>Economic!F28</f>
        <v>580.5</v>
      </c>
      <c r="AI26" s="111">
        <f>Economic!G28</f>
        <v>579.20000000000005</v>
      </c>
      <c r="AJ26" s="111">
        <f>Economic!J28</f>
        <v>196.10000000000036</v>
      </c>
      <c r="AK26" s="111">
        <f>Economic!K28</f>
        <v>196.89999999999964</v>
      </c>
      <c r="AL26" s="111">
        <f>Economic!L28</f>
        <v>4.2999999999999545</v>
      </c>
      <c r="AM26" s="111">
        <f>Economic!M28</f>
        <v>2.5</v>
      </c>
      <c r="AN26" s="111">
        <f>Economic!N28</f>
        <v>25066.79999999993</v>
      </c>
      <c r="AO26" s="111">
        <f>Economic!O28</f>
        <v>8188</v>
      </c>
      <c r="AP26" s="28">
        <f>Weather!D26</f>
        <v>-11.091935483870968</v>
      </c>
      <c r="AQ26" s="28">
        <f>Weather!E26</f>
        <v>963.85000000000014</v>
      </c>
      <c r="AR26" s="28">
        <f>Weather!F26</f>
        <v>0</v>
      </c>
      <c r="AS26" s="28">
        <f>Weather!G26</f>
        <v>901.85000000000014</v>
      </c>
      <c r="AT26" s="28">
        <f>Weather!H26</f>
        <v>0</v>
      </c>
      <c r="AU26" s="28">
        <f>Weather!I26</f>
        <v>839.85000000000014</v>
      </c>
      <c r="AV26" s="28">
        <f>Weather!J26</f>
        <v>0</v>
      </c>
      <c r="AW26" s="28">
        <f>Weather!K26</f>
        <v>777.85000000000014</v>
      </c>
      <c r="AX26" s="28">
        <f>Weather!L26</f>
        <v>0</v>
      </c>
      <c r="AY26" s="28">
        <f>Weather!M26</f>
        <v>715.85000000000014</v>
      </c>
      <c r="AZ26" s="28">
        <f>Weather!N26</f>
        <v>0</v>
      </c>
      <c r="BA26" s="28">
        <f>Weather!O26</f>
        <v>653.85000000000014</v>
      </c>
      <c r="BB26" s="28">
        <f>Weather!P26</f>
        <v>0</v>
      </c>
      <c r="BC26" s="28">
        <f>Weather!Q26</f>
        <v>591.85000000000014</v>
      </c>
      <c r="BD26" s="28">
        <f>Weather!R26</f>
        <v>0</v>
      </c>
      <c r="BE26">
        <v>1</v>
      </c>
      <c r="BF26">
        <v>0</v>
      </c>
      <c r="BG26">
        <v>0</v>
      </c>
      <c r="BH26">
        <v>0</v>
      </c>
      <c r="BI26">
        <v>0</v>
      </c>
      <c r="BJ26">
        <v>0</v>
      </c>
      <c r="BK26">
        <v>0</v>
      </c>
      <c r="BL26">
        <v>0</v>
      </c>
      <c r="BM26">
        <v>0</v>
      </c>
      <c r="BN26">
        <v>0</v>
      </c>
      <c r="BO26">
        <v>0</v>
      </c>
      <c r="BP26">
        <v>0</v>
      </c>
      <c r="BQ26">
        <v>0</v>
      </c>
      <c r="BR26">
        <v>0</v>
      </c>
      <c r="BS26">
        <v>0</v>
      </c>
      <c r="BT26" s="1">
        <f t="shared" si="37"/>
        <v>25</v>
      </c>
      <c r="BU26">
        <v>31</v>
      </c>
      <c r="BV26">
        <v>20</v>
      </c>
      <c r="BW26">
        <v>0</v>
      </c>
      <c r="BX26">
        <v>0</v>
      </c>
      <c r="BY26">
        <v>0</v>
      </c>
      <c r="BZ26">
        <v>0</v>
      </c>
      <c r="CA26">
        <f t="shared" si="2"/>
        <v>0</v>
      </c>
      <c r="CB26">
        <f t="shared" si="3"/>
        <v>0</v>
      </c>
      <c r="CC26">
        <f t="shared" si="4"/>
        <v>0</v>
      </c>
      <c r="CD26">
        <f t="shared" si="5"/>
        <v>0</v>
      </c>
      <c r="CE26">
        <f t="shared" si="6"/>
        <v>0</v>
      </c>
      <c r="CF26">
        <f t="shared" si="7"/>
        <v>0</v>
      </c>
      <c r="CG26">
        <f t="shared" si="8"/>
        <v>0</v>
      </c>
      <c r="CH26">
        <f t="shared" si="9"/>
        <v>0</v>
      </c>
      <c r="CI26">
        <f t="shared" si="10"/>
        <v>0</v>
      </c>
      <c r="CJ26">
        <f t="shared" si="11"/>
        <v>0</v>
      </c>
      <c r="CK26">
        <f t="shared" si="12"/>
        <v>0</v>
      </c>
      <c r="CL26">
        <f t="shared" si="13"/>
        <v>0</v>
      </c>
      <c r="CM26">
        <f t="shared" si="14"/>
        <v>0</v>
      </c>
      <c r="CN26">
        <f t="shared" si="15"/>
        <v>0</v>
      </c>
      <c r="CO26" s="14">
        <f t="shared" si="39"/>
        <v>0</v>
      </c>
      <c r="CP26" s="14">
        <f t="shared" si="17"/>
        <v>0</v>
      </c>
      <c r="CQ26" s="14">
        <f t="shared" si="18"/>
        <v>0</v>
      </c>
      <c r="CR26" s="14">
        <f t="shared" si="19"/>
        <v>0</v>
      </c>
      <c r="CS26" s="14">
        <f t="shared" si="20"/>
        <v>0</v>
      </c>
      <c r="CT26" s="14">
        <f t="shared" si="21"/>
        <v>0</v>
      </c>
      <c r="CU26" s="14">
        <f t="shared" si="22"/>
        <v>0</v>
      </c>
      <c r="CV26" s="14">
        <f t="shared" si="23"/>
        <v>0</v>
      </c>
      <c r="CW26" s="14">
        <f t="shared" si="24"/>
        <v>0</v>
      </c>
      <c r="CX26" s="14">
        <f t="shared" si="25"/>
        <v>0</v>
      </c>
      <c r="CY26" s="14">
        <f t="shared" si="26"/>
        <v>0</v>
      </c>
      <c r="CZ26" s="14">
        <f t="shared" si="27"/>
        <v>0</v>
      </c>
      <c r="DA26" s="14">
        <f t="shared" si="28"/>
        <v>0</v>
      </c>
      <c r="DB26" s="14">
        <f t="shared" si="29"/>
        <v>0</v>
      </c>
      <c r="DC26" s="72">
        <f>F26/G26</f>
        <v>14.263429422512994</v>
      </c>
      <c r="DD26" s="72">
        <f t="shared" si="30"/>
        <v>0.4601106265326772</v>
      </c>
      <c r="DE26" s="71">
        <f>F26/BU26</f>
        <v>4457.5517498485769</v>
      </c>
      <c r="DF26" s="72">
        <f>J26/K26</f>
        <v>90.731546097323445</v>
      </c>
      <c r="DG26" s="72">
        <f t="shared" si="31"/>
        <v>2.9268240676555952</v>
      </c>
      <c r="DH26" s="72">
        <f>J26/BU26</f>
        <v>3758.0421028697842</v>
      </c>
      <c r="DI26" s="72">
        <f>N26/P26</f>
        <v>667.50727685951767</v>
      </c>
      <c r="DJ26" s="72">
        <f t="shared" si="32"/>
        <v>21.532492801919926</v>
      </c>
      <c r="DK26" s="72">
        <f t="shared" si="33"/>
        <v>33.375363842975887</v>
      </c>
      <c r="DL26" s="72">
        <f>N26/BU26</f>
        <v>3229.8739202879888</v>
      </c>
      <c r="DM26" s="72">
        <f>N26/BV26</f>
        <v>5006.3045764463823</v>
      </c>
      <c r="DN26" s="1">
        <v>0</v>
      </c>
      <c r="DO26" s="1">
        <v>0</v>
      </c>
    </row>
    <row r="27" spans="1:119">
      <c r="A27" s="93">
        <f t="shared" si="38"/>
        <v>43132</v>
      </c>
      <c r="B27" s="4">
        <f t="shared" si="0"/>
        <v>2018</v>
      </c>
      <c r="C27" s="4">
        <f t="shared" si="1"/>
        <v>2</v>
      </c>
      <c r="D27" s="56">
        <v>0</v>
      </c>
      <c r="E27" s="56">
        <f>IFERROR(VLOOKUP($B27-1,CDM!$J$6:$P$19,2,FALSE)/12,0)+IFERROR(VLOOKUP($B27,CDM!$J$37:$M$48,2,FALSE)/24,0)+IFERROR(VLOOKUP($B27,CDM!$J$37:$M$48,2,FALSE)/2*$C27/78,0)</f>
        <v>141275.87925579111</v>
      </c>
      <c r="F27" s="56">
        <f t="shared" si="34"/>
        <v>141275.87925579111</v>
      </c>
      <c r="G27" s="301">
        <v>9699</v>
      </c>
      <c r="H27" s="56">
        <v>0</v>
      </c>
      <c r="I27" s="56">
        <f>IFERROR(VLOOKUP($B27-1,CDM!$J$6:$P$19,3,FALSE)/12,0)+IFERROR(VLOOKUP($B27,CDM!$J$37:$M$47,3,FALSE)/24,0)+IFERROR(VLOOKUP($B27,CDM!$J$37:$M$47,3,FALSE)/2*$C27/78,0)</f>
        <v>120386.83199193618</v>
      </c>
      <c r="J27" s="56">
        <f t="shared" si="35"/>
        <v>120386.83199193618</v>
      </c>
      <c r="K27" s="6">
        <v>1285</v>
      </c>
      <c r="L27" s="5">
        <v>0</v>
      </c>
      <c r="M27" s="2">
        <f>IFERROR(VLOOKUP($B27-1,CDM!$J$6:$P$19,4,FALSE)/12,0)+IFERROR(VLOOKUP($B27,CDM!$J$37:$M$47,4,FALSE)/24,0)+IFERROR(VLOOKUP($B27,CDM!$J$37:$M$47,4,FALSE)/2*$C27/78,0)</f>
        <v>103279.762066118</v>
      </c>
      <c r="N27" s="56">
        <f t="shared" si="36"/>
        <v>103279.762066118</v>
      </c>
      <c r="O27" s="5">
        <v>0</v>
      </c>
      <c r="P27" s="6">
        <v>150</v>
      </c>
      <c r="Q27" s="5">
        <v>0</v>
      </c>
      <c r="R27" s="5">
        <v>0</v>
      </c>
      <c r="S27" s="6">
        <v>2862</v>
      </c>
      <c r="T27" s="6">
        <v>0</v>
      </c>
      <c r="U27" s="6">
        <v>0</v>
      </c>
      <c r="V27" s="6">
        <v>178</v>
      </c>
      <c r="W27" s="5">
        <v>0</v>
      </c>
      <c r="X27" s="1">
        <v>19</v>
      </c>
      <c r="Y27" s="56">
        <v>6504</v>
      </c>
      <c r="Z27" s="56">
        <v>720</v>
      </c>
      <c r="AA27" s="71">
        <f>L27-Y27</f>
        <v>-6504</v>
      </c>
      <c r="AB27" s="71">
        <f>N27-Y27</f>
        <v>96775.762066117997</v>
      </c>
      <c r="AC27" s="5">
        <f>O27-Z27</f>
        <v>-720</v>
      </c>
      <c r="AD27" s="111">
        <f>Economic!H29</f>
        <v>789531.6</v>
      </c>
      <c r="AE27" s="111">
        <f>Economic!I29</f>
        <v>779694</v>
      </c>
      <c r="AF27" s="111">
        <f>Economic!D29</f>
        <v>7183.9</v>
      </c>
      <c r="AG27" s="111">
        <f>Economic!E29</f>
        <v>7116</v>
      </c>
      <c r="AH27" s="111">
        <f>Economic!F29</f>
        <v>580.20000000000005</v>
      </c>
      <c r="AI27" s="111">
        <f>Economic!G29</f>
        <v>578.70000000000005</v>
      </c>
      <c r="AJ27" s="111">
        <f>Economic!J29</f>
        <v>166.59999999999945</v>
      </c>
      <c r="AK27" s="111">
        <f>Economic!K29</f>
        <v>167.60000000000036</v>
      </c>
      <c r="AL27" s="111">
        <f>Economic!L29</f>
        <v>3</v>
      </c>
      <c r="AM27" s="111">
        <f>Economic!M29</f>
        <v>1.8000000000000682</v>
      </c>
      <c r="AN27" s="111">
        <f>Economic!N29</f>
        <v>25066.79999999993</v>
      </c>
      <c r="AO27" s="111">
        <f>Economic!O29</f>
        <v>8188</v>
      </c>
      <c r="AP27" s="28">
        <f>Weather!D27</f>
        <v>-6.9385416666666657</v>
      </c>
      <c r="AQ27" s="28">
        <f>Weather!E27</f>
        <v>754.27916666666658</v>
      </c>
      <c r="AR27" s="28">
        <f>Weather!F27</f>
        <v>0</v>
      </c>
      <c r="AS27" s="28">
        <f>Weather!G27</f>
        <v>698.27916666666658</v>
      </c>
      <c r="AT27" s="28">
        <f>Weather!H27</f>
        <v>0</v>
      </c>
      <c r="AU27" s="28">
        <f>Weather!I27</f>
        <v>642.27916666666658</v>
      </c>
      <c r="AV27" s="28">
        <f>Weather!J27</f>
        <v>0</v>
      </c>
      <c r="AW27" s="28">
        <f>Weather!K27</f>
        <v>586.27916666666658</v>
      </c>
      <c r="AX27" s="28">
        <f>Weather!L27</f>
        <v>0</v>
      </c>
      <c r="AY27" s="28">
        <f>Weather!M27</f>
        <v>530.2791666666667</v>
      </c>
      <c r="AZ27" s="28">
        <f>Weather!N27</f>
        <v>0</v>
      </c>
      <c r="BA27" s="28">
        <f>Weather!O27</f>
        <v>474.27916666666675</v>
      </c>
      <c r="BB27" s="28">
        <f>Weather!P27</f>
        <v>0</v>
      </c>
      <c r="BC27" s="28">
        <f>Weather!Q27</f>
        <v>418.2791666666667</v>
      </c>
      <c r="BD27" s="28">
        <f>Weather!R27</f>
        <v>0</v>
      </c>
      <c r="BE27">
        <v>0</v>
      </c>
      <c r="BF27">
        <v>1</v>
      </c>
      <c r="BG27">
        <v>0</v>
      </c>
      <c r="BH27">
        <v>0</v>
      </c>
      <c r="BI27">
        <v>0</v>
      </c>
      <c r="BJ27">
        <v>0</v>
      </c>
      <c r="BK27">
        <v>0</v>
      </c>
      <c r="BL27">
        <v>0</v>
      </c>
      <c r="BM27">
        <v>0</v>
      </c>
      <c r="BN27">
        <v>0</v>
      </c>
      <c r="BO27">
        <v>0</v>
      </c>
      <c r="BP27">
        <v>0</v>
      </c>
      <c r="BQ27">
        <v>0</v>
      </c>
      <c r="BR27">
        <v>0</v>
      </c>
      <c r="BS27">
        <v>0</v>
      </c>
      <c r="BT27" s="1">
        <f t="shared" si="37"/>
        <v>26</v>
      </c>
      <c r="BU27">
        <v>29</v>
      </c>
      <c r="BV27">
        <v>20</v>
      </c>
      <c r="BW27">
        <v>0</v>
      </c>
      <c r="BX27">
        <v>0</v>
      </c>
      <c r="BY27">
        <v>0</v>
      </c>
      <c r="BZ27">
        <v>0</v>
      </c>
      <c r="CA27">
        <f t="shared" si="2"/>
        <v>0</v>
      </c>
      <c r="CB27">
        <f t="shared" si="3"/>
        <v>0</v>
      </c>
      <c r="CC27">
        <f t="shared" si="4"/>
        <v>0</v>
      </c>
      <c r="CD27">
        <f t="shared" si="5"/>
        <v>0</v>
      </c>
      <c r="CE27">
        <f t="shared" si="6"/>
        <v>0</v>
      </c>
      <c r="CF27">
        <f t="shared" si="7"/>
        <v>0</v>
      </c>
      <c r="CG27">
        <f t="shared" si="8"/>
        <v>0</v>
      </c>
      <c r="CH27">
        <f t="shared" si="9"/>
        <v>0</v>
      </c>
      <c r="CI27">
        <f t="shared" si="10"/>
        <v>0</v>
      </c>
      <c r="CJ27">
        <f t="shared" si="11"/>
        <v>0</v>
      </c>
      <c r="CK27">
        <f t="shared" si="12"/>
        <v>0</v>
      </c>
      <c r="CL27">
        <f t="shared" si="13"/>
        <v>0</v>
      </c>
      <c r="CM27">
        <f t="shared" si="14"/>
        <v>0</v>
      </c>
      <c r="CN27">
        <f t="shared" si="15"/>
        <v>0</v>
      </c>
      <c r="CO27" s="14">
        <f t="shared" si="39"/>
        <v>0</v>
      </c>
      <c r="CP27" s="14">
        <f t="shared" si="17"/>
        <v>0</v>
      </c>
      <c r="CQ27" s="14">
        <f t="shared" si="18"/>
        <v>0</v>
      </c>
      <c r="CR27" s="14">
        <f t="shared" si="19"/>
        <v>0</v>
      </c>
      <c r="CS27" s="14">
        <f t="shared" si="20"/>
        <v>0</v>
      </c>
      <c r="CT27" s="14">
        <f t="shared" si="21"/>
        <v>0</v>
      </c>
      <c r="CU27" s="14">
        <f t="shared" si="22"/>
        <v>0</v>
      </c>
      <c r="CV27" s="14">
        <f t="shared" si="23"/>
        <v>0</v>
      </c>
      <c r="CW27" s="14">
        <f t="shared" si="24"/>
        <v>0</v>
      </c>
      <c r="CX27" s="14">
        <f t="shared" si="25"/>
        <v>0</v>
      </c>
      <c r="CY27" s="14">
        <f t="shared" si="26"/>
        <v>0</v>
      </c>
      <c r="CZ27" s="14">
        <f t="shared" si="27"/>
        <v>0</v>
      </c>
      <c r="DA27" s="14">
        <f t="shared" si="28"/>
        <v>0</v>
      </c>
      <c r="DB27" s="14">
        <f t="shared" si="29"/>
        <v>0</v>
      </c>
      <c r="DC27" s="72">
        <f>F27/G27</f>
        <v>14.566025286709053</v>
      </c>
      <c r="DD27" s="72">
        <f t="shared" si="30"/>
        <v>0.50227673402445006</v>
      </c>
      <c r="DE27" s="71">
        <f>F27/BU27</f>
        <v>4871.5820433031413</v>
      </c>
      <c r="DF27" s="72">
        <f>J27/K27</f>
        <v>93.686250577382239</v>
      </c>
      <c r="DG27" s="72">
        <f t="shared" si="31"/>
        <v>3.2305603647373187</v>
      </c>
      <c r="DH27" s="72">
        <f>J27/BU27</f>
        <v>4151.2700686874541</v>
      </c>
      <c r="DI27" s="72">
        <f>N27/P27</f>
        <v>688.53174710745327</v>
      </c>
      <c r="DJ27" s="72">
        <f t="shared" si="32"/>
        <v>23.742474038188043</v>
      </c>
      <c r="DK27" s="72">
        <f t="shared" si="33"/>
        <v>34.426587355372661</v>
      </c>
      <c r="DL27" s="72">
        <f>N27/BU27</f>
        <v>3561.3711057282067</v>
      </c>
      <c r="DM27" s="72">
        <f>N27/BV27</f>
        <v>5163.9881033059</v>
      </c>
      <c r="DN27" s="1">
        <v>0</v>
      </c>
      <c r="DO27" s="1">
        <v>0</v>
      </c>
    </row>
    <row r="28" spans="1:119">
      <c r="A28" s="93">
        <f t="shared" si="38"/>
        <v>43160</v>
      </c>
      <c r="B28" s="4">
        <f t="shared" si="0"/>
        <v>2018</v>
      </c>
      <c r="C28" s="4">
        <f t="shared" si="1"/>
        <v>3</v>
      </c>
      <c r="D28" s="56">
        <v>0</v>
      </c>
      <c r="E28" s="56">
        <f>IFERROR(VLOOKUP($B28-1,CDM!$J$6:$P$19,2,FALSE)/12,0)+IFERROR(VLOOKUP($B28,CDM!$J$37:$M$48,2,FALSE)/24,0)+IFERROR(VLOOKUP($B28,CDM!$J$37:$M$48,2,FALSE)/2*$C28/78,0)</f>
        <v>144367.65426627634</v>
      </c>
      <c r="F28" s="56">
        <f t="shared" si="34"/>
        <v>144367.65426627634</v>
      </c>
      <c r="G28" s="301">
        <v>9711</v>
      </c>
      <c r="H28" s="56">
        <v>0</v>
      </c>
      <c r="I28" s="56">
        <f>IFERROR(VLOOKUP($B28-1,CDM!$J$6:$P$19,3,FALSE)/12,0)+IFERROR(VLOOKUP($B28,CDM!$J$37:$M$47,3,FALSE)/24,0)+IFERROR(VLOOKUP($B28,CDM!$J$37:$M$47,3,FALSE)/2*$C28/78,0)</f>
        <v>124274.35879490906</v>
      </c>
      <c r="J28" s="56">
        <f t="shared" si="35"/>
        <v>124274.35879490906</v>
      </c>
      <c r="K28" s="6">
        <v>1287</v>
      </c>
      <c r="L28" s="5">
        <v>0</v>
      </c>
      <c r="M28" s="2">
        <f>IFERROR(VLOOKUP($B28-1,CDM!$J$6:$P$19,4,FALSE)/12,0)+IFERROR(VLOOKUP($B28,CDM!$J$37:$M$47,4,FALSE)/24,0)+IFERROR(VLOOKUP($B28,CDM!$J$37:$M$47,4,FALSE)/2*$C28/78,0)</f>
        <v>106433.43260330835</v>
      </c>
      <c r="N28" s="56">
        <f t="shared" si="36"/>
        <v>106433.43260330835</v>
      </c>
      <c r="O28" s="5">
        <v>0</v>
      </c>
      <c r="P28" s="6">
        <v>150</v>
      </c>
      <c r="Q28" s="5">
        <v>0</v>
      </c>
      <c r="R28" s="5">
        <v>0</v>
      </c>
      <c r="S28" s="6">
        <v>2862</v>
      </c>
      <c r="T28" s="6">
        <v>0</v>
      </c>
      <c r="U28" s="6">
        <v>0</v>
      </c>
      <c r="V28" s="6">
        <v>178</v>
      </c>
      <c r="W28" s="5">
        <v>0</v>
      </c>
      <c r="X28" s="1">
        <v>19</v>
      </c>
      <c r="Y28" s="56">
        <v>3366</v>
      </c>
      <c r="Z28" s="56">
        <v>4632</v>
      </c>
      <c r="AA28" s="71">
        <f>L28-Y28</f>
        <v>-3366</v>
      </c>
      <c r="AB28" s="71">
        <f>N28-Y28</f>
        <v>103067.43260330835</v>
      </c>
      <c r="AC28" s="5">
        <f>O28-Z28</f>
        <v>-4632</v>
      </c>
      <c r="AD28" s="111">
        <f>Economic!H30</f>
        <v>789531.6</v>
      </c>
      <c r="AE28" s="111">
        <f>Economic!I30</f>
        <v>779694</v>
      </c>
      <c r="AF28" s="111">
        <f>Economic!D30</f>
        <v>7183.7</v>
      </c>
      <c r="AG28" s="111">
        <f>Economic!E30</f>
        <v>7080.1</v>
      </c>
      <c r="AH28" s="111">
        <f>Economic!F30</f>
        <v>584</v>
      </c>
      <c r="AI28" s="111">
        <f>Economic!G30</f>
        <v>581</v>
      </c>
      <c r="AJ28" s="111">
        <f>Economic!J30</f>
        <v>148.30000000000018</v>
      </c>
      <c r="AK28" s="111">
        <f>Economic!K30</f>
        <v>146.90000000000055</v>
      </c>
      <c r="AL28" s="111">
        <f>Economic!L30</f>
        <v>5.6000000000000227</v>
      </c>
      <c r="AM28" s="111">
        <f>Economic!M30</f>
        <v>3.8999999999999773</v>
      </c>
      <c r="AN28" s="111">
        <f>Economic!N30</f>
        <v>25066.79999999993</v>
      </c>
      <c r="AO28" s="111">
        <f>Economic!O30</f>
        <v>8188</v>
      </c>
      <c r="AP28" s="28">
        <f>Weather!D28</f>
        <v>-2.95</v>
      </c>
      <c r="AQ28" s="28">
        <f>Weather!E28</f>
        <v>711.45</v>
      </c>
      <c r="AR28" s="28">
        <f>Weather!F28</f>
        <v>0</v>
      </c>
      <c r="AS28" s="28">
        <f>Weather!G28</f>
        <v>649.45000000000016</v>
      </c>
      <c r="AT28" s="28">
        <f>Weather!H28</f>
        <v>0</v>
      </c>
      <c r="AU28" s="28">
        <f>Weather!I28</f>
        <v>587.45000000000016</v>
      </c>
      <c r="AV28" s="28">
        <f>Weather!J28</f>
        <v>0</v>
      </c>
      <c r="AW28" s="28">
        <f>Weather!K28</f>
        <v>525.45000000000016</v>
      </c>
      <c r="AX28" s="28">
        <f>Weather!L28</f>
        <v>0</v>
      </c>
      <c r="AY28" s="28">
        <f>Weather!M28</f>
        <v>463.4500000000001</v>
      </c>
      <c r="AZ28" s="28">
        <f>Weather!N28</f>
        <v>0</v>
      </c>
      <c r="BA28" s="28">
        <f>Weather!O28</f>
        <v>401.4500000000001</v>
      </c>
      <c r="BB28" s="28">
        <f>Weather!P28</f>
        <v>0</v>
      </c>
      <c r="BC28" s="28">
        <f>Weather!Q28</f>
        <v>339.45000000000005</v>
      </c>
      <c r="BD28" s="28">
        <f>Weather!R28</f>
        <v>0</v>
      </c>
      <c r="BE28">
        <v>0</v>
      </c>
      <c r="BF28">
        <v>0</v>
      </c>
      <c r="BG28">
        <v>1</v>
      </c>
      <c r="BH28">
        <v>0</v>
      </c>
      <c r="BI28">
        <v>0</v>
      </c>
      <c r="BJ28">
        <v>0</v>
      </c>
      <c r="BK28">
        <v>0</v>
      </c>
      <c r="BL28">
        <v>0</v>
      </c>
      <c r="BM28">
        <v>0</v>
      </c>
      <c r="BN28">
        <v>0</v>
      </c>
      <c r="BO28">
        <v>0</v>
      </c>
      <c r="BP28">
        <v>0</v>
      </c>
      <c r="BQ28">
        <v>1</v>
      </c>
      <c r="BR28">
        <v>0</v>
      </c>
      <c r="BS28">
        <v>1</v>
      </c>
      <c r="BT28" s="1">
        <f t="shared" si="37"/>
        <v>27</v>
      </c>
      <c r="BU28">
        <v>31</v>
      </c>
      <c r="BV28">
        <v>21</v>
      </c>
      <c r="BW28">
        <v>0</v>
      </c>
      <c r="BX28">
        <v>0</v>
      </c>
      <c r="BY28">
        <v>0</v>
      </c>
      <c r="BZ28">
        <v>0</v>
      </c>
      <c r="CA28">
        <f t="shared" si="2"/>
        <v>0</v>
      </c>
      <c r="CB28">
        <f t="shared" si="3"/>
        <v>0</v>
      </c>
      <c r="CC28">
        <f t="shared" si="4"/>
        <v>0</v>
      </c>
      <c r="CD28">
        <f t="shared" si="5"/>
        <v>0</v>
      </c>
      <c r="CE28">
        <f t="shared" si="6"/>
        <v>0</v>
      </c>
      <c r="CF28">
        <f t="shared" si="7"/>
        <v>0</v>
      </c>
      <c r="CG28">
        <f t="shared" si="8"/>
        <v>0</v>
      </c>
      <c r="CH28">
        <f t="shared" si="9"/>
        <v>0</v>
      </c>
      <c r="CI28">
        <f t="shared" si="10"/>
        <v>0</v>
      </c>
      <c r="CJ28">
        <f t="shared" si="11"/>
        <v>0</v>
      </c>
      <c r="CK28">
        <f t="shared" si="12"/>
        <v>0</v>
      </c>
      <c r="CL28">
        <f t="shared" si="13"/>
        <v>0</v>
      </c>
      <c r="CM28">
        <f t="shared" si="14"/>
        <v>0</v>
      </c>
      <c r="CN28">
        <f t="shared" si="15"/>
        <v>0</v>
      </c>
      <c r="CO28" s="14">
        <f t="shared" si="39"/>
        <v>0</v>
      </c>
      <c r="CP28" s="14">
        <f t="shared" si="17"/>
        <v>0</v>
      </c>
      <c r="CQ28" s="14">
        <f t="shared" si="18"/>
        <v>0</v>
      </c>
      <c r="CR28" s="14">
        <f t="shared" si="19"/>
        <v>0</v>
      </c>
      <c r="CS28" s="14">
        <f t="shared" si="20"/>
        <v>0</v>
      </c>
      <c r="CT28" s="14">
        <f t="shared" si="21"/>
        <v>0</v>
      </c>
      <c r="CU28" s="14">
        <f t="shared" si="22"/>
        <v>0</v>
      </c>
      <c r="CV28" s="14">
        <f t="shared" si="23"/>
        <v>0</v>
      </c>
      <c r="CW28" s="14">
        <f t="shared" si="24"/>
        <v>0</v>
      </c>
      <c r="CX28" s="14">
        <f t="shared" si="25"/>
        <v>0</v>
      </c>
      <c r="CY28" s="14">
        <f t="shared" si="26"/>
        <v>0</v>
      </c>
      <c r="CZ28" s="14">
        <f t="shared" si="27"/>
        <v>0</v>
      </c>
      <c r="DA28" s="14">
        <f t="shared" si="28"/>
        <v>0</v>
      </c>
      <c r="DB28" s="14">
        <f t="shared" si="29"/>
        <v>0</v>
      </c>
      <c r="DC28" s="72">
        <f>F28/G28</f>
        <v>14.866404517173962</v>
      </c>
      <c r="DD28" s="72">
        <f t="shared" si="30"/>
        <v>0.47956143603786971</v>
      </c>
      <c r="DE28" s="71">
        <f>F28/BU28</f>
        <v>4657.0211053637531</v>
      </c>
      <c r="DF28" s="72">
        <f>J28/K28</f>
        <v>96.56127334491768</v>
      </c>
      <c r="DG28" s="72">
        <f t="shared" si="31"/>
        <v>3.1148797853199253</v>
      </c>
      <c r="DH28" s="72">
        <f>J28/BU28</f>
        <v>4008.850283706744</v>
      </c>
      <c r="DI28" s="72">
        <f>N28/P28</f>
        <v>709.55621735538898</v>
      </c>
      <c r="DJ28" s="72">
        <f t="shared" si="32"/>
        <v>22.888910237270611</v>
      </c>
      <c r="DK28" s="72">
        <f t="shared" si="33"/>
        <v>33.788391302637571</v>
      </c>
      <c r="DL28" s="72">
        <f>N28/BU28</f>
        <v>3433.3365355905921</v>
      </c>
      <c r="DM28" s="72">
        <f>N28/BV28</f>
        <v>5068.2586953956361</v>
      </c>
      <c r="DN28" s="1">
        <v>0</v>
      </c>
      <c r="DO28" s="1">
        <v>0</v>
      </c>
    </row>
    <row r="29" spans="1:119">
      <c r="A29" s="93">
        <f t="shared" si="38"/>
        <v>43191</v>
      </c>
      <c r="B29" s="4">
        <f t="shared" si="0"/>
        <v>2018</v>
      </c>
      <c r="C29" s="4">
        <f t="shared" si="1"/>
        <v>4</v>
      </c>
      <c r="D29" s="56">
        <v>0</v>
      </c>
      <c r="E29" s="56">
        <f>IFERROR(VLOOKUP($B29-1,CDM!$J$6:$P$19,2,FALSE)/12,0)+IFERROR(VLOOKUP($B29,CDM!$J$37:$M$48,2,FALSE)/24,0)+IFERROR(VLOOKUP($B29,CDM!$J$37:$M$48,2,FALSE)/2*$C29/78,0)</f>
        <v>147459.42927676154</v>
      </c>
      <c r="F29" s="56">
        <f t="shared" si="34"/>
        <v>147459.42927676154</v>
      </c>
      <c r="G29" s="301">
        <v>9720</v>
      </c>
      <c r="H29" s="56">
        <v>0</v>
      </c>
      <c r="I29" s="56">
        <f>IFERROR(VLOOKUP($B29-1,CDM!$J$6:$P$19,3,FALSE)/12,0)+IFERROR(VLOOKUP($B29,CDM!$J$37:$M$47,3,FALSE)/24,0)+IFERROR(VLOOKUP($B29,CDM!$J$37:$M$47,3,FALSE)/2*$C29/78,0)</f>
        <v>128161.88559788195</v>
      </c>
      <c r="J29" s="56">
        <f t="shared" si="35"/>
        <v>128161.88559788195</v>
      </c>
      <c r="K29" s="6">
        <v>1288</v>
      </c>
      <c r="L29" s="5">
        <v>0</v>
      </c>
      <c r="M29" s="2">
        <f>IFERROR(VLOOKUP($B29-1,CDM!$J$6:$P$19,4,FALSE)/12,0)+IFERROR(VLOOKUP($B29,CDM!$J$37:$M$47,4,FALSE)/24,0)+IFERROR(VLOOKUP($B29,CDM!$J$37:$M$47,4,FALSE)/2*$C29/78,0)</f>
        <v>109587.1031404987</v>
      </c>
      <c r="N29" s="56">
        <f t="shared" si="36"/>
        <v>109587.1031404987</v>
      </c>
      <c r="O29" s="5">
        <v>0</v>
      </c>
      <c r="P29" s="6">
        <v>149</v>
      </c>
      <c r="Q29" s="5">
        <v>0</v>
      </c>
      <c r="R29" s="5">
        <v>0</v>
      </c>
      <c r="S29" s="6">
        <v>2863</v>
      </c>
      <c r="T29" s="6">
        <v>0</v>
      </c>
      <c r="U29" s="6">
        <v>0</v>
      </c>
      <c r="V29" s="6">
        <v>178</v>
      </c>
      <c r="W29" s="5">
        <v>0</v>
      </c>
      <c r="X29" s="1">
        <v>19</v>
      </c>
      <c r="Y29" s="56">
        <v>2016</v>
      </c>
      <c r="Z29" s="56">
        <v>2184</v>
      </c>
      <c r="AA29" s="71">
        <f>L29-Y29</f>
        <v>-2016</v>
      </c>
      <c r="AB29" s="71">
        <f>N29-Y29</f>
        <v>107571.1031404987</v>
      </c>
      <c r="AC29" s="5">
        <f>O29-Z29</f>
        <v>-2184</v>
      </c>
      <c r="AD29" s="111">
        <f>Economic!H31</f>
        <v>789531.6</v>
      </c>
      <c r="AE29" s="111">
        <f>Economic!I31</f>
        <v>785185</v>
      </c>
      <c r="AF29" s="111">
        <f>Economic!D31</f>
        <v>7196</v>
      </c>
      <c r="AG29" s="111">
        <f>Economic!E31</f>
        <v>7107.1</v>
      </c>
      <c r="AH29" s="111">
        <f>Economic!F31</f>
        <v>590.79999999999995</v>
      </c>
      <c r="AI29" s="111">
        <f>Economic!G31</f>
        <v>590.29999999999995</v>
      </c>
      <c r="AJ29" s="111">
        <f>Economic!J31</f>
        <v>154.19999999999982</v>
      </c>
      <c r="AK29" s="111">
        <f>Economic!K31</f>
        <v>155.20000000000073</v>
      </c>
      <c r="AL29" s="111">
        <f>Economic!L31</f>
        <v>12.599999999999909</v>
      </c>
      <c r="AM29" s="111">
        <f>Economic!M31</f>
        <v>14.199999999999932</v>
      </c>
      <c r="AN29" s="111">
        <f>Economic!N31</f>
        <v>25066.79999999993</v>
      </c>
      <c r="AO29" s="111">
        <f>Economic!O31</f>
        <v>5491</v>
      </c>
      <c r="AP29" s="28">
        <f>Weather!D29</f>
        <v>1.294861111111111</v>
      </c>
      <c r="AQ29" s="28">
        <f>Weather!E29</f>
        <v>561.15416666666681</v>
      </c>
      <c r="AR29" s="28">
        <f>Weather!F29</f>
        <v>0</v>
      </c>
      <c r="AS29" s="28">
        <f>Weather!G29</f>
        <v>501.1541666666667</v>
      </c>
      <c r="AT29" s="28">
        <f>Weather!H29</f>
        <v>0</v>
      </c>
      <c r="AU29" s="28">
        <f>Weather!I29</f>
        <v>441.1541666666667</v>
      </c>
      <c r="AV29" s="28">
        <f>Weather!J29</f>
        <v>0</v>
      </c>
      <c r="AW29" s="28">
        <f>Weather!K29</f>
        <v>381.15416666666664</v>
      </c>
      <c r="AX29" s="28">
        <f>Weather!L29</f>
        <v>0</v>
      </c>
      <c r="AY29" s="28">
        <f>Weather!M29</f>
        <v>321.15416666666664</v>
      </c>
      <c r="AZ29" s="28">
        <f>Weather!N29</f>
        <v>0</v>
      </c>
      <c r="BA29" s="28">
        <f>Weather!O29</f>
        <v>261.15416666666664</v>
      </c>
      <c r="BB29" s="28">
        <f>Weather!P29</f>
        <v>0</v>
      </c>
      <c r="BC29" s="28">
        <f>Weather!Q29</f>
        <v>204.82083333333333</v>
      </c>
      <c r="BD29" s="28">
        <f>Weather!R29</f>
        <v>3.6666666666666643</v>
      </c>
      <c r="BE29">
        <v>0</v>
      </c>
      <c r="BF29">
        <v>0</v>
      </c>
      <c r="BG29">
        <v>0</v>
      </c>
      <c r="BH29">
        <v>1</v>
      </c>
      <c r="BI29">
        <v>0</v>
      </c>
      <c r="BJ29">
        <v>0</v>
      </c>
      <c r="BK29">
        <v>0</v>
      </c>
      <c r="BL29">
        <v>0</v>
      </c>
      <c r="BM29">
        <v>0</v>
      </c>
      <c r="BN29">
        <v>0</v>
      </c>
      <c r="BO29">
        <v>0</v>
      </c>
      <c r="BP29">
        <v>0</v>
      </c>
      <c r="BQ29">
        <v>1</v>
      </c>
      <c r="BR29">
        <v>0</v>
      </c>
      <c r="BS29">
        <v>1</v>
      </c>
      <c r="BT29" s="1">
        <f t="shared" si="37"/>
        <v>28</v>
      </c>
      <c r="BU29">
        <v>30</v>
      </c>
      <c r="BV29">
        <v>21</v>
      </c>
      <c r="BW29">
        <v>0</v>
      </c>
      <c r="BX29">
        <v>0</v>
      </c>
      <c r="BY29">
        <v>0</v>
      </c>
      <c r="BZ29">
        <v>0</v>
      </c>
      <c r="CA29">
        <f t="shared" si="2"/>
        <v>0</v>
      </c>
      <c r="CB29">
        <f t="shared" si="3"/>
        <v>0</v>
      </c>
      <c r="CC29">
        <f t="shared" si="4"/>
        <v>0</v>
      </c>
      <c r="CD29">
        <f t="shared" si="5"/>
        <v>0</v>
      </c>
      <c r="CE29">
        <f t="shared" si="6"/>
        <v>0</v>
      </c>
      <c r="CF29">
        <f t="shared" si="7"/>
        <v>0</v>
      </c>
      <c r="CG29">
        <f t="shared" si="8"/>
        <v>0</v>
      </c>
      <c r="CH29">
        <f t="shared" si="9"/>
        <v>0</v>
      </c>
      <c r="CI29">
        <f t="shared" si="10"/>
        <v>0</v>
      </c>
      <c r="CJ29">
        <f t="shared" si="11"/>
        <v>0</v>
      </c>
      <c r="CK29">
        <f t="shared" si="12"/>
        <v>0</v>
      </c>
      <c r="CL29">
        <f t="shared" si="13"/>
        <v>0</v>
      </c>
      <c r="CM29">
        <f t="shared" si="14"/>
        <v>0</v>
      </c>
      <c r="CN29">
        <f t="shared" si="15"/>
        <v>0</v>
      </c>
      <c r="CO29" s="14">
        <f t="shared" si="39"/>
        <v>0</v>
      </c>
      <c r="CP29" s="14">
        <f t="shared" si="17"/>
        <v>0</v>
      </c>
      <c r="CQ29" s="14">
        <f t="shared" si="18"/>
        <v>0</v>
      </c>
      <c r="CR29" s="14">
        <f t="shared" si="19"/>
        <v>0</v>
      </c>
      <c r="CS29" s="14">
        <f t="shared" si="20"/>
        <v>0</v>
      </c>
      <c r="CT29" s="14">
        <f t="shared" si="21"/>
        <v>0</v>
      </c>
      <c r="CU29" s="14">
        <f t="shared" si="22"/>
        <v>0</v>
      </c>
      <c r="CV29" s="14">
        <f t="shared" si="23"/>
        <v>0</v>
      </c>
      <c r="CW29" s="14">
        <f t="shared" si="24"/>
        <v>0</v>
      </c>
      <c r="CX29" s="14">
        <f t="shared" si="25"/>
        <v>0</v>
      </c>
      <c r="CY29" s="14">
        <f t="shared" si="26"/>
        <v>0</v>
      </c>
      <c r="CZ29" s="14">
        <f t="shared" si="27"/>
        <v>0</v>
      </c>
      <c r="DA29" s="14">
        <f t="shared" si="28"/>
        <v>0</v>
      </c>
      <c r="DB29" s="14">
        <f t="shared" si="29"/>
        <v>0</v>
      </c>
      <c r="DC29" s="72">
        <f>F29/G29</f>
        <v>15.170723176621557</v>
      </c>
      <c r="DD29" s="72">
        <f t="shared" si="30"/>
        <v>0.50569077255405193</v>
      </c>
      <c r="DE29" s="71">
        <f>F29/BU29</f>
        <v>4915.3143092253849</v>
      </c>
      <c r="DF29" s="72">
        <f>J29/K29</f>
        <v>99.504569563572943</v>
      </c>
      <c r="DG29" s="72">
        <f t="shared" si="31"/>
        <v>3.3168189854524313</v>
      </c>
      <c r="DH29" s="72">
        <f>J29/BU29</f>
        <v>4272.0628532627316</v>
      </c>
      <c r="DI29" s="72">
        <f>N29/P29</f>
        <v>735.48391369462217</v>
      </c>
      <c r="DJ29" s="72">
        <f t="shared" si="32"/>
        <v>24.516130456487407</v>
      </c>
      <c r="DK29" s="72">
        <f t="shared" si="33"/>
        <v>35.023043509267723</v>
      </c>
      <c r="DL29" s="72">
        <f>N29/BU29</f>
        <v>3652.9034380166236</v>
      </c>
      <c r="DM29" s="72">
        <f>N29/BV29</f>
        <v>5218.4334828808906</v>
      </c>
      <c r="DN29" s="1">
        <v>0</v>
      </c>
      <c r="DO29" s="1">
        <v>0</v>
      </c>
    </row>
    <row r="30" spans="1:119">
      <c r="A30" s="93">
        <f t="shared" si="38"/>
        <v>43221</v>
      </c>
      <c r="B30" s="4">
        <f t="shared" si="0"/>
        <v>2018</v>
      </c>
      <c r="C30" s="4">
        <f t="shared" si="1"/>
        <v>5</v>
      </c>
      <c r="D30" s="56">
        <v>0</v>
      </c>
      <c r="E30" s="56">
        <f>IFERROR(VLOOKUP($B30-1,CDM!$J$6:$P$19,2,FALSE)/12,0)+IFERROR(VLOOKUP($B30,CDM!$J$37:$M$48,2,FALSE)/24,0)+IFERROR(VLOOKUP($B30,CDM!$J$37:$M$48,2,FALSE)/2*$C30/78,0)</f>
        <v>150551.20428724677</v>
      </c>
      <c r="F30" s="56">
        <f t="shared" si="34"/>
        <v>150551.20428724677</v>
      </c>
      <c r="G30" s="301">
        <v>9723</v>
      </c>
      <c r="H30" s="56">
        <v>0</v>
      </c>
      <c r="I30" s="56">
        <f>IFERROR(VLOOKUP($B30-1,CDM!$J$6:$P$19,3,FALSE)/12,0)+IFERROR(VLOOKUP($B30,CDM!$J$37:$M$47,3,FALSE)/24,0)+IFERROR(VLOOKUP($B30,CDM!$J$37:$M$47,3,FALSE)/2*$C30/78,0)</f>
        <v>132049.41240085484</v>
      </c>
      <c r="J30" s="56">
        <f t="shared" si="35"/>
        <v>132049.41240085484</v>
      </c>
      <c r="K30" s="6">
        <v>1288</v>
      </c>
      <c r="L30" s="5">
        <v>0</v>
      </c>
      <c r="M30" s="2">
        <f>IFERROR(VLOOKUP($B30-1,CDM!$J$6:$P$19,4,FALSE)/12,0)+IFERROR(VLOOKUP($B30,CDM!$J$37:$M$47,4,FALSE)/24,0)+IFERROR(VLOOKUP($B30,CDM!$J$37:$M$47,4,FALSE)/2*$C30/78,0)</f>
        <v>112740.77367768905</v>
      </c>
      <c r="N30" s="56">
        <f t="shared" si="36"/>
        <v>112740.77367768905</v>
      </c>
      <c r="O30" s="5">
        <v>0</v>
      </c>
      <c r="P30" s="6">
        <v>149</v>
      </c>
      <c r="Q30" s="5">
        <v>0</v>
      </c>
      <c r="R30" s="5">
        <v>0</v>
      </c>
      <c r="S30" s="6">
        <v>2863</v>
      </c>
      <c r="T30" s="6">
        <v>0</v>
      </c>
      <c r="U30" s="6">
        <v>0</v>
      </c>
      <c r="V30" s="6">
        <v>178</v>
      </c>
      <c r="W30" s="5">
        <v>0</v>
      </c>
      <c r="X30" s="1">
        <v>19</v>
      </c>
      <c r="Y30" s="56">
        <v>1200</v>
      </c>
      <c r="Z30" s="56">
        <v>3144</v>
      </c>
      <c r="AA30" s="71">
        <f>L30-Y30</f>
        <v>-1200</v>
      </c>
      <c r="AB30" s="71">
        <f>N30-Y30</f>
        <v>111540.77367768905</v>
      </c>
      <c r="AC30" s="5">
        <f>O30-Z30</f>
        <v>-3144</v>
      </c>
      <c r="AD30" s="111">
        <f>Economic!H32</f>
        <v>789531.6</v>
      </c>
      <c r="AE30" s="111">
        <f>Economic!I32</f>
        <v>785185</v>
      </c>
      <c r="AF30" s="111">
        <f>Economic!D32</f>
        <v>7205</v>
      </c>
      <c r="AG30" s="111">
        <f>Economic!E32</f>
        <v>7172.4</v>
      </c>
      <c r="AH30" s="111">
        <f>Economic!F32</f>
        <v>593.70000000000005</v>
      </c>
      <c r="AI30" s="111">
        <f>Economic!G32</f>
        <v>595.9</v>
      </c>
      <c r="AJ30" s="111">
        <f>Economic!J32</f>
        <v>149.10000000000036</v>
      </c>
      <c r="AK30" s="111">
        <f>Economic!K32</f>
        <v>148.69999999999982</v>
      </c>
      <c r="AL30" s="111">
        <f>Economic!L32</f>
        <v>19.700000000000045</v>
      </c>
      <c r="AM30" s="111">
        <f>Economic!M32</f>
        <v>21.100000000000023</v>
      </c>
      <c r="AN30" s="111">
        <f>Economic!N32</f>
        <v>25066.79999999993</v>
      </c>
      <c r="AO30" s="111">
        <f>Economic!O32</f>
        <v>5491</v>
      </c>
      <c r="AP30" s="28">
        <f>Weather!D30</f>
        <v>13.981720430107529</v>
      </c>
      <c r="AQ30" s="28">
        <f>Weather!E30</f>
        <v>189.08749999999998</v>
      </c>
      <c r="AR30" s="28">
        <f>Weather!F30</f>
        <v>2.5208333333333321</v>
      </c>
      <c r="AS30" s="28">
        <f>Weather!G30</f>
        <v>133.90416666666667</v>
      </c>
      <c r="AT30" s="28">
        <f>Weather!H30</f>
        <v>9.3374999999999986</v>
      </c>
      <c r="AU30" s="28">
        <f>Weather!I30</f>
        <v>90.058333333333337</v>
      </c>
      <c r="AV30" s="28">
        <f>Weather!J30</f>
        <v>27.491666666666656</v>
      </c>
      <c r="AW30" s="28">
        <f>Weather!K30</f>
        <v>53.466666666666654</v>
      </c>
      <c r="AX30" s="28">
        <f>Weather!L30</f>
        <v>52.899999999999991</v>
      </c>
      <c r="AY30" s="28">
        <f>Weather!M30</f>
        <v>30.116666666666667</v>
      </c>
      <c r="AZ30" s="28">
        <f>Weather!N30</f>
        <v>91.550000000000011</v>
      </c>
      <c r="BA30" s="28">
        <f>Weather!O30</f>
        <v>15.154166666666669</v>
      </c>
      <c r="BB30" s="28">
        <f>Weather!P30</f>
        <v>138.58750000000001</v>
      </c>
      <c r="BC30" s="28">
        <f>Weather!Q30</f>
        <v>4.7541666666666673</v>
      </c>
      <c r="BD30" s="28">
        <f>Weather!R30</f>
        <v>190.18749999999997</v>
      </c>
      <c r="BE30">
        <v>0</v>
      </c>
      <c r="BF30">
        <v>0</v>
      </c>
      <c r="BG30">
        <v>0</v>
      </c>
      <c r="BH30">
        <v>0</v>
      </c>
      <c r="BI30">
        <v>1</v>
      </c>
      <c r="BJ30">
        <v>0</v>
      </c>
      <c r="BK30">
        <v>0</v>
      </c>
      <c r="BL30">
        <v>0</v>
      </c>
      <c r="BM30">
        <v>0</v>
      </c>
      <c r="BN30">
        <v>0</v>
      </c>
      <c r="BO30">
        <v>0</v>
      </c>
      <c r="BP30">
        <v>0</v>
      </c>
      <c r="BQ30">
        <v>1</v>
      </c>
      <c r="BR30">
        <v>0</v>
      </c>
      <c r="BS30">
        <v>1</v>
      </c>
      <c r="BT30" s="1">
        <f t="shared" si="37"/>
        <v>29</v>
      </c>
      <c r="BU30">
        <v>31</v>
      </c>
      <c r="BV30">
        <v>21</v>
      </c>
      <c r="BW30">
        <v>0</v>
      </c>
      <c r="BX30">
        <v>0</v>
      </c>
      <c r="BY30">
        <v>0</v>
      </c>
      <c r="BZ30">
        <v>0</v>
      </c>
      <c r="CA30">
        <f t="shared" si="2"/>
        <v>0</v>
      </c>
      <c r="CB30">
        <f t="shared" si="3"/>
        <v>0</v>
      </c>
      <c r="CC30">
        <f t="shared" si="4"/>
        <v>0</v>
      </c>
      <c r="CD30">
        <f t="shared" si="5"/>
        <v>0</v>
      </c>
      <c r="CE30">
        <f t="shared" si="6"/>
        <v>0</v>
      </c>
      <c r="CF30">
        <f t="shared" si="7"/>
        <v>0</v>
      </c>
      <c r="CG30">
        <f t="shared" si="8"/>
        <v>0</v>
      </c>
      <c r="CH30">
        <f t="shared" si="9"/>
        <v>0</v>
      </c>
      <c r="CI30">
        <f t="shared" si="10"/>
        <v>0</v>
      </c>
      <c r="CJ30">
        <f t="shared" si="11"/>
        <v>0</v>
      </c>
      <c r="CK30">
        <f t="shared" si="12"/>
        <v>0</v>
      </c>
      <c r="CL30">
        <f t="shared" si="13"/>
        <v>0</v>
      </c>
      <c r="CM30">
        <f t="shared" si="14"/>
        <v>0</v>
      </c>
      <c r="CN30">
        <f t="shared" si="15"/>
        <v>0</v>
      </c>
      <c r="CO30" s="14">
        <f t="shared" si="39"/>
        <v>0</v>
      </c>
      <c r="CP30" s="14">
        <f t="shared" si="17"/>
        <v>0</v>
      </c>
      <c r="CQ30" s="14">
        <f t="shared" si="18"/>
        <v>0</v>
      </c>
      <c r="CR30" s="14">
        <f t="shared" si="19"/>
        <v>0</v>
      </c>
      <c r="CS30" s="14">
        <f t="shared" si="20"/>
        <v>0</v>
      </c>
      <c r="CT30" s="14">
        <f t="shared" si="21"/>
        <v>0</v>
      </c>
      <c r="CU30" s="14">
        <f t="shared" si="22"/>
        <v>0</v>
      </c>
      <c r="CV30" s="14">
        <f t="shared" si="23"/>
        <v>0</v>
      </c>
      <c r="CW30" s="14">
        <f t="shared" si="24"/>
        <v>0</v>
      </c>
      <c r="CX30" s="14">
        <f t="shared" si="25"/>
        <v>0</v>
      </c>
      <c r="CY30" s="14">
        <f t="shared" si="26"/>
        <v>0</v>
      </c>
      <c r="CZ30" s="14">
        <f t="shared" si="27"/>
        <v>0</v>
      </c>
      <c r="DA30" s="14">
        <f t="shared" si="28"/>
        <v>0</v>
      </c>
      <c r="DB30" s="14">
        <f t="shared" si="29"/>
        <v>0</v>
      </c>
      <c r="DC30" s="72">
        <f>F30/G30</f>
        <v>15.484028004447884</v>
      </c>
      <c r="DD30" s="72">
        <f t="shared" si="30"/>
        <v>0.49948477433702854</v>
      </c>
      <c r="DE30" s="71">
        <f>F30/BU30</f>
        <v>4856.4904608789284</v>
      </c>
      <c r="DF30" s="72">
        <f>J30/K30</f>
        <v>102.52283571494941</v>
      </c>
      <c r="DG30" s="72">
        <f t="shared" si="31"/>
        <v>3.3071882488693358</v>
      </c>
      <c r="DH30" s="72">
        <f>J30/BU30</f>
        <v>4259.6584645437042</v>
      </c>
      <c r="DI30" s="72">
        <f>N30/P30</f>
        <v>756.64948776972517</v>
      </c>
      <c r="DJ30" s="72">
        <f t="shared" si="32"/>
        <v>24.408047992571781</v>
      </c>
      <c r="DK30" s="72">
        <f t="shared" si="33"/>
        <v>36.030927989034531</v>
      </c>
      <c r="DL30" s="72">
        <f>N30/BU30</f>
        <v>3636.799150893195</v>
      </c>
      <c r="DM30" s="72">
        <f>N30/BV30</f>
        <v>5368.608270366145</v>
      </c>
      <c r="DN30" s="1">
        <v>0</v>
      </c>
      <c r="DO30" s="1">
        <v>0</v>
      </c>
    </row>
    <row r="31" spans="1:119">
      <c r="A31" s="93">
        <f t="shared" si="38"/>
        <v>43252</v>
      </c>
      <c r="B31" s="4">
        <f t="shared" si="0"/>
        <v>2018</v>
      </c>
      <c r="C31" s="4">
        <f t="shared" si="1"/>
        <v>6</v>
      </c>
      <c r="D31" s="56">
        <v>0</v>
      </c>
      <c r="E31" s="56">
        <f>IFERROR(VLOOKUP($B31-1,CDM!$J$6:$P$19,2,FALSE)/12,0)+IFERROR(VLOOKUP($B31,CDM!$J$37:$M$48,2,FALSE)/24,0)+IFERROR(VLOOKUP($B31,CDM!$J$37:$M$48,2,FALSE)/2*$C31/78,0)</f>
        <v>153642.979297732</v>
      </c>
      <c r="F31" s="56">
        <f t="shared" si="34"/>
        <v>153642.979297732</v>
      </c>
      <c r="G31" s="301">
        <v>9728</v>
      </c>
      <c r="H31" s="56">
        <v>0</v>
      </c>
      <c r="I31" s="56">
        <f>IFERROR(VLOOKUP($B31-1,CDM!$J$6:$P$19,3,FALSE)/12,0)+IFERROR(VLOOKUP($B31,CDM!$J$37:$M$47,3,FALSE)/24,0)+IFERROR(VLOOKUP($B31,CDM!$J$37:$M$47,3,FALSE)/2*$C31/78,0)</f>
        <v>135936.9392038277</v>
      </c>
      <c r="J31" s="56">
        <f t="shared" si="35"/>
        <v>135936.9392038277</v>
      </c>
      <c r="K31" s="6">
        <v>1288</v>
      </c>
      <c r="L31" s="5">
        <v>0</v>
      </c>
      <c r="M31" s="2">
        <f>IFERROR(VLOOKUP($B31-1,CDM!$J$6:$P$19,4,FALSE)/12,0)+IFERROR(VLOOKUP($B31,CDM!$J$37:$M$47,4,FALSE)/24,0)+IFERROR(VLOOKUP($B31,CDM!$J$37:$M$47,4,FALSE)/2*$C31/78,0)</f>
        <v>115894.4442148794</v>
      </c>
      <c r="N31" s="56">
        <f t="shared" si="36"/>
        <v>115894.4442148794</v>
      </c>
      <c r="O31" s="5">
        <v>0</v>
      </c>
      <c r="P31" s="6">
        <v>149</v>
      </c>
      <c r="Q31" s="5">
        <v>0</v>
      </c>
      <c r="R31" s="5">
        <v>0</v>
      </c>
      <c r="S31" s="6">
        <v>2863</v>
      </c>
      <c r="T31" s="6">
        <v>0</v>
      </c>
      <c r="U31" s="6">
        <v>0</v>
      </c>
      <c r="V31" s="6">
        <v>178</v>
      </c>
      <c r="W31" s="5">
        <v>0</v>
      </c>
      <c r="X31" s="1">
        <v>19</v>
      </c>
      <c r="Y31" s="56">
        <v>2730</v>
      </c>
      <c r="Z31" s="56">
        <v>2568</v>
      </c>
      <c r="AA31" s="71">
        <f>L31-Y31</f>
        <v>-2730</v>
      </c>
      <c r="AB31" s="71">
        <f>N31-Y31</f>
        <v>113164.4442148794</v>
      </c>
      <c r="AC31" s="5">
        <f>O31-Z31</f>
        <v>-2568</v>
      </c>
      <c r="AD31" s="111">
        <f>Economic!H33</f>
        <v>789531.6</v>
      </c>
      <c r="AE31" s="111">
        <f>Economic!I33</f>
        <v>785185</v>
      </c>
      <c r="AF31" s="111">
        <f>Economic!D33</f>
        <v>7216.7</v>
      </c>
      <c r="AG31" s="111">
        <f>Economic!E33</f>
        <v>7258</v>
      </c>
      <c r="AH31" s="111">
        <f>Economic!F33</f>
        <v>593.70000000000005</v>
      </c>
      <c r="AI31" s="111">
        <f>Economic!G33</f>
        <v>599.9</v>
      </c>
      <c r="AJ31" s="111">
        <f>Economic!J33</f>
        <v>145.69999999999982</v>
      </c>
      <c r="AK31" s="111">
        <f>Economic!K33</f>
        <v>145.10000000000036</v>
      </c>
      <c r="AL31" s="111">
        <f>Economic!L33</f>
        <v>21</v>
      </c>
      <c r="AM31" s="111">
        <f>Economic!M33</f>
        <v>23.100000000000023</v>
      </c>
      <c r="AN31" s="111">
        <f>Economic!N33</f>
        <v>25066.79999999993</v>
      </c>
      <c r="AO31" s="111">
        <f>Economic!O33</f>
        <v>5491</v>
      </c>
      <c r="AP31" s="28">
        <f>Weather!D31</f>
        <v>16.817638888888887</v>
      </c>
      <c r="AQ31" s="28">
        <f>Weather!E31</f>
        <v>109.22083333333332</v>
      </c>
      <c r="AR31" s="28">
        <f>Weather!F31</f>
        <v>13.749999999999989</v>
      </c>
      <c r="AS31" s="28">
        <f>Weather!G31</f>
        <v>61.166666666666629</v>
      </c>
      <c r="AT31" s="28">
        <f>Weather!H31</f>
        <v>25.695833333333322</v>
      </c>
      <c r="AU31" s="28">
        <f>Weather!I31</f>
        <v>23.574999999999989</v>
      </c>
      <c r="AV31" s="28">
        <f>Weather!J31</f>
        <v>48.104166666666657</v>
      </c>
      <c r="AW31" s="28">
        <f>Weather!K31</f>
        <v>4.7916666666666625</v>
      </c>
      <c r="AX31" s="28">
        <f>Weather!L31</f>
        <v>89.320833333333354</v>
      </c>
      <c r="AY31" s="28">
        <f>Weather!M31</f>
        <v>0.82083333333333464</v>
      </c>
      <c r="AZ31" s="28">
        <f>Weather!N31</f>
        <v>145.35</v>
      </c>
      <c r="BA31" s="28">
        <f>Weather!O31</f>
        <v>0</v>
      </c>
      <c r="BB31" s="28">
        <f>Weather!P31</f>
        <v>204.52916666666664</v>
      </c>
      <c r="BC31" s="28">
        <f>Weather!Q31</f>
        <v>0</v>
      </c>
      <c r="BD31" s="28">
        <f>Weather!R31</f>
        <v>264.52916666666664</v>
      </c>
      <c r="BE31">
        <v>0</v>
      </c>
      <c r="BF31">
        <v>0</v>
      </c>
      <c r="BG31">
        <v>0</v>
      </c>
      <c r="BH31">
        <v>0</v>
      </c>
      <c r="BI31">
        <v>0</v>
      </c>
      <c r="BJ31">
        <v>1</v>
      </c>
      <c r="BK31">
        <v>0</v>
      </c>
      <c r="BL31">
        <v>0</v>
      </c>
      <c r="BM31">
        <v>0</v>
      </c>
      <c r="BN31">
        <v>0</v>
      </c>
      <c r="BO31">
        <v>0</v>
      </c>
      <c r="BP31">
        <v>0</v>
      </c>
      <c r="BQ31">
        <v>0</v>
      </c>
      <c r="BR31">
        <v>0</v>
      </c>
      <c r="BS31">
        <v>0</v>
      </c>
      <c r="BT31" s="1">
        <f t="shared" si="37"/>
        <v>30</v>
      </c>
      <c r="BU31">
        <v>30</v>
      </c>
      <c r="BV31">
        <v>22</v>
      </c>
      <c r="BW31">
        <v>0</v>
      </c>
      <c r="BX31">
        <v>0</v>
      </c>
      <c r="BY31">
        <v>0</v>
      </c>
      <c r="BZ31">
        <v>0</v>
      </c>
      <c r="CA31">
        <f t="shared" si="2"/>
        <v>0</v>
      </c>
      <c r="CB31">
        <f t="shared" si="3"/>
        <v>0</v>
      </c>
      <c r="CC31">
        <f t="shared" si="4"/>
        <v>0</v>
      </c>
      <c r="CD31">
        <f t="shared" si="5"/>
        <v>0</v>
      </c>
      <c r="CE31">
        <f t="shared" si="6"/>
        <v>0</v>
      </c>
      <c r="CF31">
        <f t="shared" si="7"/>
        <v>0</v>
      </c>
      <c r="CG31">
        <f t="shared" si="8"/>
        <v>0</v>
      </c>
      <c r="CH31">
        <f t="shared" si="9"/>
        <v>0</v>
      </c>
      <c r="CI31">
        <f t="shared" si="10"/>
        <v>0</v>
      </c>
      <c r="CJ31">
        <f t="shared" si="11"/>
        <v>0</v>
      </c>
      <c r="CK31">
        <f t="shared" si="12"/>
        <v>0</v>
      </c>
      <c r="CL31">
        <f t="shared" si="13"/>
        <v>0</v>
      </c>
      <c r="CM31">
        <f t="shared" si="14"/>
        <v>0</v>
      </c>
      <c r="CN31">
        <f t="shared" si="15"/>
        <v>0</v>
      </c>
      <c r="CO31" s="14">
        <f t="shared" si="39"/>
        <v>0</v>
      </c>
      <c r="CP31" s="14">
        <f t="shared" si="17"/>
        <v>0</v>
      </c>
      <c r="CQ31" s="14">
        <f t="shared" si="18"/>
        <v>0</v>
      </c>
      <c r="CR31" s="14">
        <f t="shared" si="19"/>
        <v>0</v>
      </c>
      <c r="CS31" s="14">
        <f t="shared" si="20"/>
        <v>0</v>
      </c>
      <c r="CT31" s="14">
        <f t="shared" si="21"/>
        <v>0</v>
      </c>
      <c r="CU31" s="14">
        <f t="shared" si="22"/>
        <v>0</v>
      </c>
      <c r="CV31" s="14">
        <f t="shared" si="23"/>
        <v>0</v>
      </c>
      <c r="CW31" s="14">
        <f t="shared" si="24"/>
        <v>0</v>
      </c>
      <c r="CX31" s="14">
        <f t="shared" si="25"/>
        <v>0</v>
      </c>
      <c r="CY31" s="14">
        <f t="shared" si="26"/>
        <v>0</v>
      </c>
      <c r="CZ31" s="14">
        <f t="shared" si="27"/>
        <v>0</v>
      </c>
      <c r="DA31" s="14">
        <f t="shared" si="28"/>
        <v>0</v>
      </c>
      <c r="DB31" s="14">
        <f t="shared" si="29"/>
        <v>0</v>
      </c>
      <c r="DC31" s="72">
        <f>F31/G31</f>
        <v>15.793891786362254</v>
      </c>
      <c r="DD31" s="72">
        <f t="shared" si="30"/>
        <v>0.52646305954540851</v>
      </c>
      <c r="DE31" s="71">
        <f>F31/BU31</f>
        <v>5121.4326432577336</v>
      </c>
      <c r="DF31" s="72">
        <f>J31/K31</f>
        <v>105.54110186632586</v>
      </c>
      <c r="DG31" s="72">
        <f t="shared" si="31"/>
        <v>3.5180367288775285</v>
      </c>
      <c r="DH31" s="72">
        <f>J31/BU31</f>
        <v>4531.2313067942569</v>
      </c>
      <c r="DI31" s="72">
        <f>N31/P31</f>
        <v>777.81506184482816</v>
      </c>
      <c r="DJ31" s="72">
        <f t="shared" si="32"/>
        <v>25.92716872816094</v>
      </c>
      <c r="DK31" s="72">
        <f t="shared" si="33"/>
        <v>35.355230083855822</v>
      </c>
      <c r="DL31" s="72">
        <f>N31/BU31</f>
        <v>3863.14814049598</v>
      </c>
      <c r="DM31" s="72">
        <f>N31/BV31</f>
        <v>5267.9292824945187</v>
      </c>
      <c r="DN31" s="1">
        <v>0</v>
      </c>
      <c r="DO31" s="1">
        <v>0</v>
      </c>
    </row>
    <row r="32" spans="1:119">
      <c r="A32" s="93">
        <f t="shared" si="38"/>
        <v>43282</v>
      </c>
      <c r="B32" s="4">
        <f t="shared" si="0"/>
        <v>2018</v>
      </c>
      <c r="C32" s="4">
        <f t="shared" si="1"/>
        <v>7</v>
      </c>
      <c r="D32" s="56">
        <v>0</v>
      </c>
      <c r="E32" s="56">
        <f>IFERROR(VLOOKUP($B32-1,CDM!$J$6:$P$19,2,FALSE)/12,0)+IFERROR(VLOOKUP($B32,CDM!$J$37:$M$48,2,FALSE)/24,0)+IFERROR(VLOOKUP($B32,CDM!$J$37:$M$48,2,FALSE)/2*$C32/78,0)</f>
        <v>156734.75430821723</v>
      </c>
      <c r="F32" s="56">
        <f t="shared" si="34"/>
        <v>156734.75430821723</v>
      </c>
      <c r="G32" s="301">
        <v>9733</v>
      </c>
      <c r="H32" s="56">
        <v>0</v>
      </c>
      <c r="I32" s="56">
        <f>IFERROR(VLOOKUP($B32-1,CDM!$J$6:$P$19,3,FALSE)/12,0)+IFERROR(VLOOKUP($B32,CDM!$J$37:$M$47,3,FALSE)/24,0)+IFERROR(VLOOKUP($B32,CDM!$J$37:$M$47,3,FALSE)/2*$C32/78,0)</f>
        <v>139824.46600680059</v>
      </c>
      <c r="J32" s="56">
        <f t="shared" si="35"/>
        <v>139824.46600680059</v>
      </c>
      <c r="K32" s="6">
        <v>1290</v>
      </c>
      <c r="L32" s="5">
        <v>0</v>
      </c>
      <c r="M32" s="2">
        <f>IFERROR(VLOOKUP($B32-1,CDM!$J$6:$P$19,4,FALSE)/12,0)+IFERROR(VLOOKUP($B32,CDM!$J$37:$M$47,4,FALSE)/24,0)+IFERROR(VLOOKUP($B32,CDM!$J$37:$M$47,4,FALSE)/2*$C32/78,0)</f>
        <v>119048.11475206976</v>
      </c>
      <c r="N32" s="56">
        <f t="shared" si="36"/>
        <v>119048.11475206976</v>
      </c>
      <c r="O32" s="5">
        <v>0</v>
      </c>
      <c r="P32" s="6">
        <v>149</v>
      </c>
      <c r="Q32" s="5">
        <v>0</v>
      </c>
      <c r="R32" s="5">
        <v>0</v>
      </c>
      <c r="S32" s="6">
        <v>2892</v>
      </c>
      <c r="T32" s="6">
        <v>0</v>
      </c>
      <c r="U32" s="6">
        <v>0</v>
      </c>
      <c r="V32" s="6">
        <v>178</v>
      </c>
      <c r="W32" s="5">
        <v>0</v>
      </c>
      <c r="X32" s="1">
        <v>19</v>
      </c>
      <c r="Y32" s="56">
        <v>106638</v>
      </c>
      <c r="Z32" s="56">
        <v>4296</v>
      </c>
      <c r="AA32" s="71">
        <f>L32-Y32</f>
        <v>-106638</v>
      </c>
      <c r="AB32" s="71">
        <f>N32-Y32</f>
        <v>12410.114752069756</v>
      </c>
      <c r="AC32" s="5">
        <f>O32-Z32</f>
        <v>-4296</v>
      </c>
      <c r="AD32" s="111">
        <f>Economic!H34</f>
        <v>789531.6</v>
      </c>
      <c r="AE32" s="111">
        <f>Economic!I34</f>
        <v>794512</v>
      </c>
      <c r="AF32" s="111">
        <f>Economic!D34</f>
        <v>7249.1</v>
      </c>
      <c r="AG32" s="111">
        <f>Economic!E34</f>
        <v>7338.7</v>
      </c>
      <c r="AH32" s="111">
        <f>Economic!F34</f>
        <v>590.1</v>
      </c>
      <c r="AI32" s="111">
        <f>Economic!G34</f>
        <v>599.29999999999995</v>
      </c>
      <c r="AJ32" s="111">
        <f>Economic!J34</f>
        <v>150</v>
      </c>
      <c r="AK32" s="111">
        <f>Economic!K34</f>
        <v>152</v>
      </c>
      <c r="AL32" s="111">
        <f>Economic!L34</f>
        <v>21</v>
      </c>
      <c r="AM32" s="111">
        <f>Economic!M34</f>
        <v>24.299999999999955</v>
      </c>
      <c r="AN32" s="111">
        <f>Economic!N34</f>
        <v>25066.79999999993</v>
      </c>
      <c r="AO32" s="111">
        <f>Economic!O34</f>
        <v>9327</v>
      </c>
      <c r="AP32" s="28">
        <f>Weather!D32</f>
        <v>21.512231182795702</v>
      </c>
      <c r="AQ32" s="28">
        <f>Weather!E32</f>
        <v>15.241666666666678</v>
      </c>
      <c r="AR32" s="28">
        <f>Weather!F32</f>
        <v>62.120833333333351</v>
      </c>
      <c r="AS32" s="28">
        <f>Weather!G32</f>
        <v>1.9291666666666636</v>
      </c>
      <c r="AT32" s="28">
        <f>Weather!H32</f>
        <v>110.80833333333332</v>
      </c>
      <c r="AU32" s="28">
        <f>Weather!I32</f>
        <v>0</v>
      </c>
      <c r="AV32" s="28">
        <f>Weather!J32</f>
        <v>170.87916666666661</v>
      </c>
      <c r="AW32" s="28">
        <f>Weather!K32</f>
        <v>0</v>
      </c>
      <c r="AX32" s="28">
        <f>Weather!L32</f>
        <v>232.87916666666661</v>
      </c>
      <c r="AY32" s="28">
        <f>Weather!M32</f>
        <v>0</v>
      </c>
      <c r="AZ32" s="28">
        <f>Weather!N32</f>
        <v>294.87916666666672</v>
      </c>
      <c r="BA32" s="28">
        <f>Weather!O32</f>
        <v>0</v>
      </c>
      <c r="BB32" s="28">
        <f>Weather!P32</f>
        <v>356.87916666666678</v>
      </c>
      <c r="BC32" s="28">
        <f>Weather!Q32</f>
        <v>0</v>
      </c>
      <c r="BD32" s="28">
        <f>Weather!R32</f>
        <v>418.87916666666678</v>
      </c>
      <c r="BE32">
        <v>0</v>
      </c>
      <c r="BF32">
        <v>0</v>
      </c>
      <c r="BG32">
        <v>0</v>
      </c>
      <c r="BH32">
        <v>0</v>
      </c>
      <c r="BI32">
        <v>0</v>
      </c>
      <c r="BJ32">
        <v>0</v>
      </c>
      <c r="BK32">
        <v>1</v>
      </c>
      <c r="BL32">
        <v>0</v>
      </c>
      <c r="BM32">
        <v>0</v>
      </c>
      <c r="BN32">
        <v>0</v>
      </c>
      <c r="BO32">
        <v>0</v>
      </c>
      <c r="BP32">
        <v>0</v>
      </c>
      <c r="BQ32">
        <v>0</v>
      </c>
      <c r="BR32">
        <v>0</v>
      </c>
      <c r="BS32">
        <v>0</v>
      </c>
      <c r="BT32" s="1">
        <f t="shared" si="37"/>
        <v>31</v>
      </c>
      <c r="BU32">
        <v>31</v>
      </c>
      <c r="BV32">
        <v>20</v>
      </c>
      <c r="BW32">
        <v>0</v>
      </c>
      <c r="BX32">
        <v>0</v>
      </c>
      <c r="BY32">
        <v>0</v>
      </c>
      <c r="BZ32">
        <v>0</v>
      </c>
      <c r="CA32">
        <f t="shared" si="2"/>
        <v>0</v>
      </c>
      <c r="CB32">
        <f t="shared" si="3"/>
        <v>0</v>
      </c>
      <c r="CC32">
        <f t="shared" si="4"/>
        <v>0</v>
      </c>
      <c r="CD32">
        <f t="shared" si="5"/>
        <v>0</v>
      </c>
      <c r="CE32">
        <f t="shared" si="6"/>
        <v>0</v>
      </c>
      <c r="CF32">
        <f t="shared" si="7"/>
        <v>0</v>
      </c>
      <c r="CG32">
        <f t="shared" si="8"/>
        <v>0</v>
      </c>
      <c r="CH32">
        <f t="shared" si="9"/>
        <v>0</v>
      </c>
      <c r="CI32">
        <f t="shared" si="10"/>
        <v>0</v>
      </c>
      <c r="CJ32">
        <f t="shared" si="11"/>
        <v>0</v>
      </c>
      <c r="CK32">
        <f t="shared" si="12"/>
        <v>0</v>
      </c>
      <c r="CL32">
        <f t="shared" si="13"/>
        <v>0</v>
      </c>
      <c r="CM32">
        <f t="shared" si="14"/>
        <v>0</v>
      </c>
      <c r="CN32">
        <f t="shared" si="15"/>
        <v>0</v>
      </c>
      <c r="CO32" s="14">
        <f t="shared" si="39"/>
        <v>0</v>
      </c>
      <c r="CP32" s="14">
        <f t="shared" si="17"/>
        <v>0</v>
      </c>
      <c r="CQ32" s="14">
        <f t="shared" si="18"/>
        <v>0</v>
      </c>
      <c r="CR32" s="14">
        <f t="shared" si="19"/>
        <v>0</v>
      </c>
      <c r="CS32" s="14">
        <f t="shared" si="20"/>
        <v>0</v>
      </c>
      <c r="CT32" s="14">
        <f t="shared" si="21"/>
        <v>0</v>
      </c>
      <c r="CU32" s="14">
        <f t="shared" si="22"/>
        <v>0</v>
      </c>
      <c r="CV32" s="14">
        <f t="shared" si="23"/>
        <v>0</v>
      </c>
      <c r="CW32" s="14">
        <f t="shared" si="24"/>
        <v>0</v>
      </c>
      <c r="CX32" s="14">
        <f t="shared" si="25"/>
        <v>0</v>
      </c>
      <c r="CY32" s="14">
        <f t="shared" si="26"/>
        <v>0</v>
      </c>
      <c r="CZ32" s="14">
        <f t="shared" si="27"/>
        <v>0</v>
      </c>
      <c r="DA32" s="14">
        <f t="shared" si="28"/>
        <v>0</v>
      </c>
      <c r="DB32" s="14">
        <f t="shared" si="29"/>
        <v>0</v>
      </c>
      <c r="DC32" s="72">
        <f>F32/G32</f>
        <v>16.103437204173147</v>
      </c>
      <c r="DD32" s="72">
        <f t="shared" si="30"/>
        <v>0.5194657162636499</v>
      </c>
      <c r="DE32" s="71">
        <f>F32/BU32</f>
        <v>5055.9598163941046</v>
      </c>
      <c r="DF32" s="72">
        <f>J32/K32</f>
        <v>108.39105892000046</v>
      </c>
      <c r="DG32" s="72">
        <f t="shared" si="31"/>
        <v>3.4964857716129183</v>
      </c>
      <c r="DH32" s="72">
        <f>J32/BU32</f>
        <v>4510.466645380664</v>
      </c>
      <c r="DI32" s="72">
        <f>N32/P32</f>
        <v>798.98063591993127</v>
      </c>
      <c r="DJ32" s="72">
        <f t="shared" si="32"/>
        <v>25.773568900642946</v>
      </c>
      <c r="DK32" s="72">
        <f t="shared" si="33"/>
        <v>39.949031795996561</v>
      </c>
      <c r="DL32" s="72">
        <f>N32/BU32</f>
        <v>3840.2617661957984</v>
      </c>
      <c r="DM32" s="72">
        <f>N32/BV32</f>
        <v>5952.405737603488</v>
      </c>
      <c r="DN32" s="1">
        <v>0</v>
      </c>
      <c r="DO32" s="1">
        <v>0</v>
      </c>
    </row>
    <row r="33" spans="1:119">
      <c r="A33" s="93">
        <f t="shared" si="38"/>
        <v>43313</v>
      </c>
      <c r="B33" s="4">
        <f t="shared" si="0"/>
        <v>2018</v>
      </c>
      <c r="C33" s="4">
        <f t="shared" si="1"/>
        <v>8</v>
      </c>
      <c r="D33" s="56">
        <v>0</v>
      </c>
      <c r="E33" s="56">
        <f>IFERROR(VLOOKUP($B33-1,CDM!$J$6:$P$19,2,FALSE)/12,0)+IFERROR(VLOOKUP($B33,CDM!$J$37:$M$48,2,FALSE)/24,0)+IFERROR(VLOOKUP($B33,CDM!$J$37:$M$48,2,FALSE)/2*$C33/78,0)</f>
        <v>159826.52931870247</v>
      </c>
      <c r="F33" s="56">
        <f t="shared" si="34"/>
        <v>159826.52931870247</v>
      </c>
      <c r="G33" s="301">
        <v>9752</v>
      </c>
      <c r="H33" s="56">
        <v>0</v>
      </c>
      <c r="I33" s="56">
        <f>IFERROR(VLOOKUP($B33-1,CDM!$J$6:$P$19,3,FALSE)/12,0)+IFERROR(VLOOKUP($B33,CDM!$J$37:$M$47,3,FALSE)/24,0)+IFERROR(VLOOKUP($B33,CDM!$J$37:$M$47,3,FALSE)/2*$C33/78,0)</f>
        <v>143711.99280977348</v>
      </c>
      <c r="J33" s="56">
        <f t="shared" si="35"/>
        <v>143711.99280977348</v>
      </c>
      <c r="K33" s="6">
        <v>1287</v>
      </c>
      <c r="L33" s="5">
        <v>0</v>
      </c>
      <c r="M33" s="2">
        <f>IFERROR(VLOOKUP($B33-1,CDM!$J$6:$P$19,4,FALSE)/12,0)+IFERROR(VLOOKUP($B33,CDM!$J$37:$M$47,4,FALSE)/24,0)+IFERROR(VLOOKUP($B33,CDM!$J$37:$M$47,4,FALSE)/2*$C33/78,0)</f>
        <v>122201.78528926011</v>
      </c>
      <c r="N33" s="56">
        <f t="shared" si="36"/>
        <v>122201.78528926011</v>
      </c>
      <c r="O33" s="5">
        <v>0</v>
      </c>
      <c r="P33" s="6">
        <v>149</v>
      </c>
      <c r="Q33" s="5">
        <v>0</v>
      </c>
      <c r="R33" s="5">
        <v>0</v>
      </c>
      <c r="S33" s="6">
        <v>2892</v>
      </c>
      <c r="T33" s="6">
        <v>0</v>
      </c>
      <c r="U33" s="6">
        <v>0</v>
      </c>
      <c r="V33" s="6">
        <v>178</v>
      </c>
      <c r="W33" s="5">
        <v>0</v>
      </c>
      <c r="X33" s="1">
        <v>19</v>
      </c>
      <c r="Y33" s="56">
        <v>24426</v>
      </c>
      <c r="Z33" s="56">
        <v>3672</v>
      </c>
      <c r="AA33" s="71">
        <f>L33-Y33</f>
        <v>-24426</v>
      </c>
      <c r="AB33" s="71">
        <f>N33-Y33</f>
        <v>97775.785289260108</v>
      </c>
      <c r="AC33" s="5">
        <f>O33-Z33</f>
        <v>-3672</v>
      </c>
      <c r="AD33" s="111">
        <f>Economic!H35</f>
        <v>789531.6</v>
      </c>
      <c r="AE33" s="111">
        <f>Economic!I35</f>
        <v>794512</v>
      </c>
      <c r="AF33" s="111">
        <f>Economic!D35</f>
        <v>7257.7</v>
      </c>
      <c r="AG33" s="111">
        <f>Economic!E35</f>
        <v>7350.2</v>
      </c>
      <c r="AH33" s="111">
        <f>Economic!F35</f>
        <v>589.4</v>
      </c>
      <c r="AI33" s="111">
        <f>Economic!G35</f>
        <v>596.20000000000005</v>
      </c>
      <c r="AJ33" s="111">
        <f>Economic!J35</f>
        <v>139.69999999999982</v>
      </c>
      <c r="AK33" s="111">
        <f>Economic!K35</f>
        <v>142.59999999999945</v>
      </c>
      <c r="AL33" s="111">
        <f>Economic!L35</f>
        <v>19.399999999999977</v>
      </c>
      <c r="AM33" s="111">
        <f>Economic!M35</f>
        <v>23.300000000000068</v>
      </c>
      <c r="AN33" s="111">
        <f>Economic!N35</f>
        <v>25066.79999999993</v>
      </c>
      <c r="AO33" s="111">
        <f>Economic!O35</f>
        <v>9327</v>
      </c>
      <c r="AP33" s="28">
        <f>Weather!D33</f>
        <v>20.291935483870969</v>
      </c>
      <c r="AQ33" s="28">
        <f>Weather!E33</f>
        <v>25.450000000000003</v>
      </c>
      <c r="AR33" s="28">
        <f>Weather!F33</f>
        <v>34.500000000000007</v>
      </c>
      <c r="AS33" s="28">
        <f>Weather!G33</f>
        <v>8.2375000000000007</v>
      </c>
      <c r="AT33" s="28">
        <f>Weather!H33</f>
        <v>79.287499999999994</v>
      </c>
      <c r="AU33" s="28">
        <f>Weather!I33</f>
        <v>3.0000000000000036</v>
      </c>
      <c r="AV33" s="28">
        <f>Weather!J33</f>
        <v>136.05000000000001</v>
      </c>
      <c r="AW33" s="28">
        <f>Weather!K33</f>
        <v>0</v>
      </c>
      <c r="AX33" s="28">
        <f>Weather!L33</f>
        <v>195.04999999999998</v>
      </c>
      <c r="AY33" s="28">
        <f>Weather!M33</f>
        <v>0</v>
      </c>
      <c r="AZ33" s="28">
        <f>Weather!N33</f>
        <v>257.05</v>
      </c>
      <c r="BA33" s="28">
        <f>Weather!O33</f>
        <v>0</v>
      </c>
      <c r="BB33" s="28">
        <f>Weather!P33</f>
        <v>319.05000000000013</v>
      </c>
      <c r="BC33" s="28">
        <f>Weather!Q33</f>
        <v>0</v>
      </c>
      <c r="BD33" s="28">
        <f>Weather!R33</f>
        <v>381.05000000000013</v>
      </c>
      <c r="BE33">
        <v>0</v>
      </c>
      <c r="BF33">
        <v>0</v>
      </c>
      <c r="BG33">
        <v>0</v>
      </c>
      <c r="BH33">
        <v>0</v>
      </c>
      <c r="BI33">
        <v>0</v>
      </c>
      <c r="BJ33">
        <v>0</v>
      </c>
      <c r="BK33">
        <v>0</v>
      </c>
      <c r="BL33">
        <v>1</v>
      </c>
      <c r="BM33">
        <v>0</v>
      </c>
      <c r="BN33">
        <v>0</v>
      </c>
      <c r="BO33">
        <v>0</v>
      </c>
      <c r="BP33">
        <v>0</v>
      </c>
      <c r="BQ33">
        <v>0</v>
      </c>
      <c r="BR33">
        <v>0</v>
      </c>
      <c r="BS33">
        <v>0</v>
      </c>
      <c r="BT33" s="1">
        <f t="shared" si="37"/>
        <v>32</v>
      </c>
      <c r="BU33">
        <v>31</v>
      </c>
      <c r="BV33">
        <v>22</v>
      </c>
      <c r="BW33">
        <v>0</v>
      </c>
      <c r="BX33">
        <v>0</v>
      </c>
      <c r="BY33">
        <v>0</v>
      </c>
      <c r="BZ33">
        <v>0</v>
      </c>
      <c r="CA33">
        <f t="shared" si="2"/>
        <v>0</v>
      </c>
      <c r="CB33">
        <f t="shared" si="3"/>
        <v>0</v>
      </c>
      <c r="CC33">
        <f t="shared" si="4"/>
        <v>0</v>
      </c>
      <c r="CD33">
        <f t="shared" si="5"/>
        <v>0</v>
      </c>
      <c r="CE33">
        <f t="shared" si="6"/>
        <v>0</v>
      </c>
      <c r="CF33">
        <f t="shared" si="7"/>
        <v>0</v>
      </c>
      <c r="CG33">
        <f t="shared" si="8"/>
        <v>0</v>
      </c>
      <c r="CH33">
        <f t="shared" si="9"/>
        <v>0</v>
      </c>
      <c r="CI33">
        <f t="shared" si="10"/>
        <v>0</v>
      </c>
      <c r="CJ33">
        <f t="shared" si="11"/>
        <v>0</v>
      </c>
      <c r="CK33">
        <f t="shared" si="12"/>
        <v>0</v>
      </c>
      <c r="CL33">
        <f t="shared" si="13"/>
        <v>0</v>
      </c>
      <c r="CM33">
        <f t="shared" si="14"/>
        <v>0</v>
      </c>
      <c r="CN33">
        <f t="shared" si="15"/>
        <v>0</v>
      </c>
      <c r="CO33" s="14">
        <f t="shared" si="39"/>
        <v>0</v>
      </c>
      <c r="CP33" s="14">
        <f t="shared" si="17"/>
        <v>0</v>
      </c>
      <c r="CQ33" s="14">
        <f t="shared" si="18"/>
        <v>0</v>
      </c>
      <c r="CR33" s="14">
        <f t="shared" si="19"/>
        <v>0</v>
      </c>
      <c r="CS33" s="14">
        <f t="shared" si="20"/>
        <v>0</v>
      </c>
      <c r="CT33" s="14">
        <f t="shared" si="21"/>
        <v>0</v>
      </c>
      <c r="CU33" s="14">
        <f t="shared" si="22"/>
        <v>0</v>
      </c>
      <c r="CV33" s="14">
        <f t="shared" si="23"/>
        <v>0</v>
      </c>
      <c r="CW33" s="14">
        <f t="shared" si="24"/>
        <v>0</v>
      </c>
      <c r="CX33" s="14">
        <f t="shared" si="25"/>
        <v>0</v>
      </c>
      <c r="CY33" s="14">
        <f t="shared" si="26"/>
        <v>0</v>
      </c>
      <c r="CZ33" s="14">
        <f t="shared" si="27"/>
        <v>0</v>
      </c>
      <c r="DA33" s="14">
        <f t="shared" si="28"/>
        <v>0</v>
      </c>
      <c r="DB33" s="14">
        <f t="shared" si="29"/>
        <v>0</v>
      </c>
      <c r="DC33" s="72">
        <f>F33/G33</f>
        <v>16.389102678291884</v>
      </c>
      <c r="DD33" s="72">
        <f t="shared" si="30"/>
        <v>0.52868073155780271</v>
      </c>
      <c r="DE33" s="71">
        <f>F33/BU33</f>
        <v>5155.6944941516922</v>
      </c>
      <c r="DF33" s="72">
        <f>J33/K33</f>
        <v>111.66433007752407</v>
      </c>
      <c r="DG33" s="72">
        <f t="shared" si="31"/>
        <v>3.602075163791099</v>
      </c>
      <c r="DH33" s="72">
        <f>J33/BU33</f>
        <v>4635.8707357991443</v>
      </c>
      <c r="DI33" s="72">
        <f>N33/P33</f>
        <v>820.14620999503427</v>
      </c>
      <c r="DJ33" s="72">
        <f t="shared" si="32"/>
        <v>26.456329354678523</v>
      </c>
      <c r="DK33" s="72">
        <f t="shared" si="33"/>
        <v>37.279373181592469</v>
      </c>
      <c r="DL33" s="72">
        <f>N33/BU33</f>
        <v>3941.9930738471003</v>
      </c>
      <c r="DM33" s="72">
        <f>N33/BV33</f>
        <v>5554.6266040572773</v>
      </c>
      <c r="DN33" s="1">
        <v>0</v>
      </c>
      <c r="DO33" s="1">
        <v>0</v>
      </c>
    </row>
    <row r="34" spans="1:119">
      <c r="A34" s="93">
        <f t="shared" si="38"/>
        <v>43344</v>
      </c>
      <c r="B34" s="4">
        <f t="shared" si="0"/>
        <v>2018</v>
      </c>
      <c r="C34" s="4">
        <f t="shared" si="1"/>
        <v>9</v>
      </c>
      <c r="D34" s="56">
        <v>0</v>
      </c>
      <c r="E34" s="56">
        <f>IFERROR(VLOOKUP($B34-1,CDM!$J$6:$P$19,2,FALSE)/12,0)+IFERROR(VLOOKUP($B34,CDM!$J$37:$M$48,2,FALSE)/24,0)+IFERROR(VLOOKUP($B34,CDM!$J$37:$M$48,2,FALSE)/2*$C34/78,0)</f>
        <v>162918.3043291877</v>
      </c>
      <c r="F34" s="56">
        <f t="shared" si="34"/>
        <v>162918.3043291877</v>
      </c>
      <c r="G34" s="301">
        <v>9756</v>
      </c>
      <c r="H34" s="56">
        <v>0</v>
      </c>
      <c r="I34" s="56">
        <f>IFERROR(VLOOKUP($B34-1,CDM!$J$6:$P$19,3,FALSE)/12,0)+IFERROR(VLOOKUP($B34,CDM!$J$37:$M$47,3,FALSE)/24,0)+IFERROR(VLOOKUP($B34,CDM!$J$37:$M$47,3,FALSE)/2*$C34/78,0)</f>
        <v>147599.51961274637</v>
      </c>
      <c r="J34" s="56">
        <f t="shared" si="35"/>
        <v>147599.51961274637</v>
      </c>
      <c r="K34" s="6">
        <v>1286</v>
      </c>
      <c r="L34" s="5">
        <v>0</v>
      </c>
      <c r="M34" s="2">
        <f>IFERROR(VLOOKUP($B34-1,CDM!$J$6:$P$19,4,FALSE)/12,0)+IFERROR(VLOOKUP($B34,CDM!$J$37:$M$47,4,FALSE)/24,0)+IFERROR(VLOOKUP($B34,CDM!$J$37:$M$47,4,FALSE)/2*$C34/78,0)</f>
        <v>125355.45582645046</v>
      </c>
      <c r="N34" s="56">
        <f t="shared" si="36"/>
        <v>125355.45582645046</v>
      </c>
      <c r="O34" s="5">
        <v>0</v>
      </c>
      <c r="P34" s="6">
        <v>149</v>
      </c>
      <c r="Q34" s="5">
        <v>0</v>
      </c>
      <c r="R34" s="5">
        <v>0</v>
      </c>
      <c r="S34" s="6">
        <v>2892</v>
      </c>
      <c r="T34" s="6">
        <v>0</v>
      </c>
      <c r="U34" s="6">
        <v>0</v>
      </c>
      <c r="V34" s="6">
        <v>178</v>
      </c>
      <c r="W34" s="5">
        <v>0</v>
      </c>
      <c r="X34" s="1">
        <v>19</v>
      </c>
      <c r="Y34" s="56">
        <v>3012</v>
      </c>
      <c r="Z34" s="56">
        <v>2016</v>
      </c>
      <c r="AA34" s="71">
        <f>L34-Y34</f>
        <v>-3012</v>
      </c>
      <c r="AB34" s="71">
        <f>N34-Y34</f>
        <v>122343.45582645046</v>
      </c>
      <c r="AC34" s="5">
        <f>O34-Z34</f>
        <v>-2016</v>
      </c>
      <c r="AD34" s="111">
        <f>Economic!H36</f>
        <v>789531.6</v>
      </c>
      <c r="AE34" s="111">
        <f>Economic!I36</f>
        <v>794512</v>
      </c>
      <c r="AF34" s="111">
        <f>Economic!D36</f>
        <v>7273.8</v>
      </c>
      <c r="AG34" s="111">
        <f>Economic!E36</f>
        <v>7316.6</v>
      </c>
      <c r="AH34" s="111">
        <f>Economic!F36</f>
        <v>589.79999999999995</v>
      </c>
      <c r="AI34" s="111">
        <f>Economic!G36</f>
        <v>591.4</v>
      </c>
      <c r="AJ34" s="111">
        <f>Economic!J36</f>
        <v>130.5</v>
      </c>
      <c r="AK34" s="111">
        <f>Economic!K36</f>
        <v>130.90000000000055</v>
      </c>
      <c r="AL34" s="111">
        <f>Economic!L36</f>
        <v>19.899999999999977</v>
      </c>
      <c r="AM34" s="111">
        <f>Economic!M36</f>
        <v>23.299999999999955</v>
      </c>
      <c r="AN34" s="111">
        <f>Economic!N36</f>
        <v>25066.79999999993</v>
      </c>
      <c r="AO34" s="111">
        <f>Economic!O36</f>
        <v>9327</v>
      </c>
      <c r="AP34" s="28">
        <f>Weather!D34</f>
        <v>14.931250000000002</v>
      </c>
      <c r="AQ34" s="28">
        <f>Weather!E34</f>
        <v>165.60416666666669</v>
      </c>
      <c r="AR34" s="28">
        <f>Weather!F34</f>
        <v>13.541666666666668</v>
      </c>
      <c r="AS34" s="28">
        <f>Weather!G34</f>
        <v>123.21250000000003</v>
      </c>
      <c r="AT34" s="28">
        <f>Weather!H34</f>
        <v>31.15</v>
      </c>
      <c r="AU34" s="28">
        <f>Weather!I34</f>
        <v>88.558333333333337</v>
      </c>
      <c r="AV34" s="28">
        <f>Weather!J34</f>
        <v>56.495833333333323</v>
      </c>
      <c r="AW34" s="28">
        <f>Weather!K34</f>
        <v>58.179166666666674</v>
      </c>
      <c r="AX34" s="28">
        <f>Weather!L34</f>
        <v>86.11666666666666</v>
      </c>
      <c r="AY34" s="28">
        <f>Weather!M34</f>
        <v>32.887500000000003</v>
      </c>
      <c r="AZ34" s="28">
        <f>Weather!N34</f>
        <v>120.82499999999999</v>
      </c>
      <c r="BA34" s="28">
        <f>Weather!O34</f>
        <v>13.166666666666668</v>
      </c>
      <c r="BB34" s="28">
        <f>Weather!P34</f>
        <v>161.10416666666669</v>
      </c>
      <c r="BC34" s="28">
        <f>Weather!Q34</f>
        <v>4.2458333333333336</v>
      </c>
      <c r="BD34" s="28">
        <f>Weather!R34</f>
        <v>212.18333333333331</v>
      </c>
      <c r="BE34">
        <v>0</v>
      </c>
      <c r="BF34">
        <v>0</v>
      </c>
      <c r="BG34">
        <v>0</v>
      </c>
      <c r="BH34">
        <v>0</v>
      </c>
      <c r="BI34">
        <v>0</v>
      </c>
      <c r="BJ34">
        <v>0</v>
      </c>
      <c r="BK34">
        <v>0</v>
      </c>
      <c r="BL34">
        <v>0</v>
      </c>
      <c r="BM34">
        <v>1</v>
      </c>
      <c r="BN34">
        <v>0</v>
      </c>
      <c r="BO34">
        <v>0</v>
      </c>
      <c r="BP34">
        <v>0</v>
      </c>
      <c r="BQ34">
        <v>0</v>
      </c>
      <c r="BR34">
        <v>1</v>
      </c>
      <c r="BS34">
        <v>1</v>
      </c>
      <c r="BT34" s="1">
        <f t="shared" si="37"/>
        <v>33</v>
      </c>
      <c r="BU34">
        <v>30</v>
      </c>
      <c r="BV34">
        <v>21</v>
      </c>
      <c r="BW34">
        <v>0</v>
      </c>
      <c r="BX34">
        <v>0</v>
      </c>
      <c r="BY34">
        <v>0</v>
      </c>
      <c r="BZ34">
        <v>0</v>
      </c>
      <c r="CA34">
        <f t="shared" si="2"/>
        <v>0</v>
      </c>
      <c r="CB34">
        <f t="shared" si="3"/>
        <v>0</v>
      </c>
      <c r="CC34">
        <f t="shared" si="4"/>
        <v>0</v>
      </c>
      <c r="CD34">
        <f t="shared" si="5"/>
        <v>0</v>
      </c>
      <c r="CE34">
        <f t="shared" si="6"/>
        <v>0</v>
      </c>
      <c r="CF34">
        <f t="shared" si="7"/>
        <v>0</v>
      </c>
      <c r="CG34">
        <f t="shared" si="8"/>
        <v>0</v>
      </c>
      <c r="CH34">
        <f t="shared" si="9"/>
        <v>0</v>
      </c>
      <c r="CI34">
        <f t="shared" si="10"/>
        <v>0</v>
      </c>
      <c r="CJ34">
        <f t="shared" si="11"/>
        <v>0</v>
      </c>
      <c r="CK34">
        <f t="shared" si="12"/>
        <v>0</v>
      </c>
      <c r="CL34">
        <f t="shared" si="13"/>
        <v>0</v>
      </c>
      <c r="CM34">
        <f t="shared" si="14"/>
        <v>0</v>
      </c>
      <c r="CN34">
        <f t="shared" si="15"/>
        <v>0</v>
      </c>
      <c r="CO34" s="14">
        <f t="shared" si="39"/>
        <v>0</v>
      </c>
      <c r="CP34" s="14">
        <f t="shared" si="17"/>
        <v>0</v>
      </c>
      <c r="CQ34" s="14">
        <f t="shared" si="18"/>
        <v>0</v>
      </c>
      <c r="CR34" s="14">
        <f t="shared" si="19"/>
        <v>0</v>
      </c>
      <c r="CS34" s="14">
        <f t="shared" si="20"/>
        <v>0</v>
      </c>
      <c r="CT34" s="14">
        <f t="shared" si="21"/>
        <v>0</v>
      </c>
      <c r="CU34" s="14">
        <f t="shared" si="22"/>
        <v>0</v>
      </c>
      <c r="CV34" s="14">
        <f t="shared" si="23"/>
        <v>0</v>
      </c>
      <c r="CW34" s="14">
        <f t="shared" si="24"/>
        <v>0</v>
      </c>
      <c r="CX34" s="14">
        <f t="shared" si="25"/>
        <v>0</v>
      </c>
      <c r="CY34" s="14">
        <f t="shared" si="26"/>
        <v>0</v>
      </c>
      <c r="CZ34" s="14">
        <f t="shared" si="27"/>
        <v>0</v>
      </c>
      <c r="DA34" s="14">
        <f t="shared" si="28"/>
        <v>0</v>
      </c>
      <c r="DB34" s="14">
        <f t="shared" si="29"/>
        <v>0</v>
      </c>
      <c r="DC34" s="72">
        <f>F34/G34</f>
        <v>16.699293186673607</v>
      </c>
      <c r="DD34" s="72">
        <f t="shared" si="30"/>
        <v>0.55664310622245361</v>
      </c>
      <c r="DE34" s="71">
        <f>F34/BU34</f>
        <v>5430.6101443062562</v>
      </c>
      <c r="DF34" s="72">
        <f>J34/K34</f>
        <v>114.77412100524602</v>
      </c>
      <c r="DG34" s="72">
        <f t="shared" si="31"/>
        <v>3.8258040335082004</v>
      </c>
      <c r="DH34" s="72">
        <f>J34/BU34</f>
        <v>4919.9839870915457</v>
      </c>
      <c r="DI34" s="72">
        <f>N34/P34</f>
        <v>841.31178407013726</v>
      </c>
      <c r="DJ34" s="72">
        <f t="shared" si="32"/>
        <v>28.043726135671243</v>
      </c>
      <c r="DK34" s="72">
        <f t="shared" si="33"/>
        <v>40.062465908101771</v>
      </c>
      <c r="DL34" s="72">
        <f>N34/BU34</f>
        <v>4178.5151942150151</v>
      </c>
      <c r="DM34" s="72">
        <f>N34/BV34</f>
        <v>5969.3074203071646</v>
      </c>
      <c r="DN34" s="1">
        <v>0</v>
      </c>
      <c r="DO34" s="1">
        <v>0</v>
      </c>
    </row>
    <row r="35" spans="1:119">
      <c r="A35" s="93">
        <f t="shared" si="38"/>
        <v>43374</v>
      </c>
      <c r="B35" s="4">
        <f t="shared" si="0"/>
        <v>2018</v>
      </c>
      <c r="C35" s="4">
        <f t="shared" si="1"/>
        <v>10</v>
      </c>
      <c r="D35" s="56">
        <v>0</v>
      </c>
      <c r="E35" s="56">
        <f>IFERROR(VLOOKUP($B35-1,CDM!$J$6:$P$19,2,FALSE)/12,0)+IFERROR(VLOOKUP($B35,CDM!$J$37:$M$48,2,FALSE)/24,0)+IFERROR(VLOOKUP($B35,CDM!$J$37:$M$48,2,FALSE)/2*$C35/78,0)</f>
        <v>166010.07933967293</v>
      </c>
      <c r="F35" s="56">
        <f t="shared" si="34"/>
        <v>166010.07933967293</v>
      </c>
      <c r="G35" s="301">
        <v>9769</v>
      </c>
      <c r="H35" s="56">
        <v>0</v>
      </c>
      <c r="I35" s="56">
        <f>IFERROR(VLOOKUP($B35-1,CDM!$J$6:$P$19,3,FALSE)/12,0)+IFERROR(VLOOKUP($B35,CDM!$J$37:$M$47,3,FALSE)/24,0)+IFERROR(VLOOKUP($B35,CDM!$J$37:$M$47,3,FALSE)/2*$C35/78,0)</f>
        <v>151487.04641571926</v>
      </c>
      <c r="J35" s="56">
        <f t="shared" si="35"/>
        <v>151487.04641571926</v>
      </c>
      <c r="K35" s="6">
        <v>1286</v>
      </c>
      <c r="L35" s="5">
        <v>0</v>
      </c>
      <c r="M35" s="2">
        <f>IFERROR(VLOOKUP($B35-1,CDM!$J$6:$P$19,4,FALSE)/12,0)+IFERROR(VLOOKUP($B35,CDM!$J$37:$M$47,4,FALSE)/24,0)+IFERROR(VLOOKUP($B35,CDM!$J$37:$M$47,4,FALSE)/2*$C35/78,0)</f>
        <v>128509.12636364081</v>
      </c>
      <c r="N35" s="56">
        <f t="shared" si="36"/>
        <v>128509.12636364081</v>
      </c>
      <c r="O35" s="5">
        <v>0</v>
      </c>
      <c r="P35" s="6">
        <v>149</v>
      </c>
      <c r="Q35" s="5">
        <v>0</v>
      </c>
      <c r="R35" s="5">
        <v>0</v>
      </c>
      <c r="S35" s="6">
        <v>2893</v>
      </c>
      <c r="T35" s="6">
        <v>0</v>
      </c>
      <c r="U35" s="6">
        <v>0</v>
      </c>
      <c r="V35" s="6">
        <v>178</v>
      </c>
      <c r="W35" s="5">
        <v>0</v>
      </c>
      <c r="X35" s="1">
        <v>19</v>
      </c>
      <c r="Y35" s="56">
        <v>3146.4</v>
      </c>
      <c r="Z35" s="56">
        <v>4788.8</v>
      </c>
      <c r="AA35" s="71">
        <f>L35-Y35</f>
        <v>-3146.4</v>
      </c>
      <c r="AB35" s="71">
        <f>N35-Y35</f>
        <v>125362.72636364082</v>
      </c>
      <c r="AC35" s="5">
        <f>O35-Z35</f>
        <v>-4788.8</v>
      </c>
      <c r="AD35" s="111">
        <f>Economic!H37</f>
        <v>789531.6</v>
      </c>
      <c r="AE35" s="111">
        <f>Economic!I37</f>
        <v>799922</v>
      </c>
      <c r="AF35" s="111">
        <f>Economic!D37</f>
        <v>7269.1</v>
      </c>
      <c r="AG35" s="111">
        <f>Economic!E37</f>
        <v>7285.3</v>
      </c>
      <c r="AH35" s="111">
        <f>Economic!F37</f>
        <v>590.4</v>
      </c>
      <c r="AI35" s="111">
        <f>Economic!G37</f>
        <v>587</v>
      </c>
      <c r="AJ35" s="111">
        <f>Economic!J37</f>
        <v>110.80000000000018</v>
      </c>
      <c r="AK35" s="111">
        <f>Economic!K37</f>
        <v>105.5</v>
      </c>
      <c r="AL35" s="111">
        <f>Economic!L37</f>
        <v>21.299999999999955</v>
      </c>
      <c r="AM35" s="111">
        <f>Economic!M37</f>
        <v>21</v>
      </c>
      <c r="AN35" s="111">
        <f>Economic!N37</f>
        <v>25066.79999999993</v>
      </c>
      <c r="AO35" s="111">
        <f>Economic!O37</f>
        <v>5410</v>
      </c>
      <c r="AP35" s="28">
        <f>Weather!D35</f>
        <v>5.8143817204301067</v>
      </c>
      <c r="AQ35" s="28">
        <f>Weather!E35</f>
        <v>439.75416666666661</v>
      </c>
      <c r="AR35" s="28">
        <f>Weather!F35</f>
        <v>0</v>
      </c>
      <c r="AS35" s="28">
        <f>Weather!G35</f>
        <v>377.75416666666661</v>
      </c>
      <c r="AT35" s="28">
        <f>Weather!H35</f>
        <v>0</v>
      </c>
      <c r="AU35" s="28">
        <f>Weather!I35</f>
        <v>317.70833333333331</v>
      </c>
      <c r="AV35" s="28">
        <f>Weather!J35</f>
        <v>1.9541666666666693</v>
      </c>
      <c r="AW35" s="28">
        <f>Weather!K35</f>
        <v>259.37916666666666</v>
      </c>
      <c r="AX35" s="28">
        <f>Weather!L35</f>
        <v>5.625</v>
      </c>
      <c r="AY35" s="28">
        <f>Weather!M35</f>
        <v>204.70416666666665</v>
      </c>
      <c r="AZ35" s="28">
        <f>Weather!N35</f>
        <v>12.950000000000003</v>
      </c>
      <c r="BA35" s="28">
        <f>Weather!O35</f>
        <v>151.83749999999998</v>
      </c>
      <c r="BB35" s="28">
        <f>Weather!P35</f>
        <v>22.083333333333336</v>
      </c>
      <c r="BC35" s="28">
        <f>Weather!Q35</f>
        <v>101.21666666666665</v>
      </c>
      <c r="BD35" s="28">
        <f>Weather!R35</f>
        <v>33.462500000000006</v>
      </c>
      <c r="BE35">
        <v>0</v>
      </c>
      <c r="BF35">
        <v>0</v>
      </c>
      <c r="BG35">
        <v>0</v>
      </c>
      <c r="BH35">
        <v>0</v>
      </c>
      <c r="BI35">
        <v>0</v>
      </c>
      <c r="BJ35">
        <v>0</v>
      </c>
      <c r="BK35">
        <v>0</v>
      </c>
      <c r="BL35">
        <v>0</v>
      </c>
      <c r="BM35">
        <v>0</v>
      </c>
      <c r="BN35">
        <v>1</v>
      </c>
      <c r="BO35">
        <v>0</v>
      </c>
      <c r="BP35">
        <v>0</v>
      </c>
      <c r="BQ35">
        <v>0</v>
      </c>
      <c r="BR35">
        <v>1</v>
      </c>
      <c r="BS35">
        <v>1</v>
      </c>
      <c r="BT35" s="1">
        <f t="shared" si="37"/>
        <v>34</v>
      </c>
      <c r="BU35">
        <v>31</v>
      </c>
      <c r="BV35">
        <v>20</v>
      </c>
      <c r="BW35">
        <v>0</v>
      </c>
      <c r="BX35">
        <v>0</v>
      </c>
      <c r="BY35">
        <v>0</v>
      </c>
      <c r="BZ35">
        <v>0</v>
      </c>
      <c r="CA35">
        <f t="shared" si="2"/>
        <v>0</v>
      </c>
      <c r="CB35">
        <f t="shared" si="3"/>
        <v>0</v>
      </c>
      <c r="CC35">
        <f t="shared" si="4"/>
        <v>0</v>
      </c>
      <c r="CD35">
        <f t="shared" si="5"/>
        <v>0</v>
      </c>
      <c r="CE35">
        <f t="shared" si="6"/>
        <v>0</v>
      </c>
      <c r="CF35">
        <f t="shared" si="7"/>
        <v>0</v>
      </c>
      <c r="CG35">
        <f t="shared" si="8"/>
        <v>0</v>
      </c>
      <c r="CH35">
        <f t="shared" si="9"/>
        <v>0</v>
      </c>
      <c r="CI35">
        <f t="shared" si="10"/>
        <v>0</v>
      </c>
      <c r="CJ35">
        <f t="shared" si="11"/>
        <v>0</v>
      </c>
      <c r="CK35">
        <f t="shared" si="12"/>
        <v>0</v>
      </c>
      <c r="CL35">
        <f t="shared" si="13"/>
        <v>0</v>
      </c>
      <c r="CM35">
        <f t="shared" si="14"/>
        <v>0</v>
      </c>
      <c r="CN35">
        <f t="shared" si="15"/>
        <v>0</v>
      </c>
      <c r="CO35" s="14">
        <f t="shared" si="39"/>
        <v>0</v>
      </c>
      <c r="CP35" s="14">
        <f t="shared" si="17"/>
        <v>0</v>
      </c>
      <c r="CQ35" s="14">
        <f t="shared" si="18"/>
        <v>0</v>
      </c>
      <c r="CR35" s="14">
        <f t="shared" si="19"/>
        <v>0</v>
      </c>
      <c r="CS35" s="14">
        <f t="shared" si="20"/>
        <v>0</v>
      </c>
      <c r="CT35" s="14">
        <f t="shared" si="21"/>
        <v>0</v>
      </c>
      <c r="CU35" s="14">
        <f t="shared" si="22"/>
        <v>0</v>
      </c>
      <c r="CV35" s="14">
        <f t="shared" si="23"/>
        <v>0</v>
      </c>
      <c r="CW35" s="14">
        <f t="shared" si="24"/>
        <v>0</v>
      </c>
      <c r="CX35" s="14">
        <f t="shared" si="25"/>
        <v>0</v>
      </c>
      <c r="CY35" s="14">
        <f t="shared" si="26"/>
        <v>0</v>
      </c>
      <c r="CZ35" s="14">
        <f t="shared" si="27"/>
        <v>0</v>
      </c>
      <c r="DA35" s="14">
        <f t="shared" si="28"/>
        <v>0</v>
      </c>
      <c r="DB35" s="14">
        <f t="shared" si="29"/>
        <v>0</v>
      </c>
      <c r="DC35" s="72">
        <f>F35/G35</f>
        <v>16.99355915034015</v>
      </c>
      <c r="DD35" s="72">
        <f t="shared" si="30"/>
        <v>0.54817932743032738</v>
      </c>
      <c r="DE35" s="71">
        <f>F35/BU35</f>
        <v>5355.1638496668684</v>
      </c>
      <c r="DF35" s="72">
        <f>J35/K35</f>
        <v>117.79708119418294</v>
      </c>
      <c r="DG35" s="72">
        <f t="shared" si="31"/>
        <v>3.7999058449736429</v>
      </c>
      <c r="DH35" s="72">
        <f>J35/BU35</f>
        <v>4886.678916636105</v>
      </c>
      <c r="DI35" s="72">
        <f>N35/P35</f>
        <v>862.47735814524037</v>
      </c>
      <c r="DJ35" s="72">
        <f t="shared" si="32"/>
        <v>27.821850262749688</v>
      </c>
      <c r="DK35" s="72">
        <f t="shared" si="33"/>
        <v>43.123867907262017</v>
      </c>
      <c r="DL35" s="72">
        <f>N35/BU35</f>
        <v>4145.4556891497032</v>
      </c>
      <c r="DM35" s="72">
        <f>N35/BV35</f>
        <v>6425.4563181820404</v>
      </c>
      <c r="DN35" s="1">
        <v>0</v>
      </c>
      <c r="DO35" s="1">
        <v>0</v>
      </c>
    </row>
    <row r="36" spans="1:119">
      <c r="A36" s="93">
        <f t="shared" si="38"/>
        <v>43405</v>
      </c>
      <c r="B36" s="4">
        <f t="shared" si="0"/>
        <v>2018</v>
      </c>
      <c r="C36" s="4">
        <f t="shared" si="1"/>
        <v>11</v>
      </c>
      <c r="D36" s="56">
        <v>0</v>
      </c>
      <c r="E36" s="56">
        <f>IFERROR(VLOOKUP($B36-1,CDM!$J$6:$P$19,2,FALSE)/12,0)+IFERROR(VLOOKUP($B36,CDM!$J$37:$M$48,2,FALSE)/24,0)+IFERROR(VLOOKUP($B36,CDM!$J$37:$M$48,2,FALSE)/2*$C36/78,0)</f>
        <v>169101.85435015816</v>
      </c>
      <c r="F36" s="56">
        <f t="shared" si="34"/>
        <v>169101.85435015816</v>
      </c>
      <c r="G36" s="301">
        <v>9802</v>
      </c>
      <c r="H36" s="56">
        <v>0</v>
      </c>
      <c r="I36" s="56">
        <f>IFERROR(VLOOKUP($B36-1,CDM!$J$6:$P$19,3,FALSE)/12,0)+IFERROR(VLOOKUP($B36,CDM!$J$37:$M$47,3,FALSE)/24,0)+IFERROR(VLOOKUP($B36,CDM!$J$37:$M$47,3,FALSE)/2*$C36/78,0)</f>
        <v>155374.57321869212</v>
      </c>
      <c r="J36" s="56">
        <f t="shared" si="35"/>
        <v>155374.57321869212</v>
      </c>
      <c r="K36" s="6">
        <v>1291</v>
      </c>
      <c r="L36" s="5">
        <v>0</v>
      </c>
      <c r="M36" s="2">
        <f>IFERROR(VLOOKUP($B36-1,CDM!$J$6:$P$19,4,FALSE)/12,0)+IFERROR(VLOOKUP($B36,CDM!$J$37:$M$47,4,FALSE)/24,0)+IFERROR(VLOOKUP($B36,CDM!$J$37:$M$47,4,FALSE)/2*$C36/78,0)</f>
        <v>131662.79690083116</v>
      </c>
      <c r="N36" s="56">
        <f t="shared" si="36"/>
        <v>131662.79690083116</v>
      </c>
      <c r="O36" s="5">
        <v>0</v>
      </c>
      <c r="P36" s="6">
        <v>149</v>
      </c>
      <c r="Q36" s="5">
        <v>0</v>
      </c>
      <c r="R36" s="5">
        <v>0</v>
      </c>
      <c r="S36" s="6">
        <v>2893</v>
      </c>
      <c r="T36" s="6">
        <v>0</v>
      </c>
      <c r="U36" s="6">
        <v>0</v>
      </c>
      <c r="V36" s="6">
        <v>178</v>
      </c>
      <c r="W36" s="5">
        <v>0</v>
      </c>
      <c r="X36" s="1">
        <v>19</v>
      </c>
      <c r="Y36" s="56">
        <v>168930</v>
      </c>
      <c r="Z36" s="56">
        <v>6312</v>
      </c>
      <c r="AA36" s="71">
        <f>L36-Y36</f>
        <v>-168930</v>
      </c>
      <c r="AB36" s="71">
        <f>N36-Y36</f>
        <v>-37267.203099168837</v>
      </c>
      <c r="AC36" s="5">
        <f>O36-Z36</f>
        <v>-6312</v>
      </c>
      <c r="AD36" s="111">
        <f>Economic!H38</f>
        <v>789531.6</v>
      </c>
      <c r="AE36" s="111">
        <f>Economic!I38</f>
        <v>799922</v>
      </c>
      <c r="AF36" s="111">
        <f>Economic!D38</f>
        <v>7289.9</v>
      </c>
      <c r="AG36" s="111">
        <f>Economic!E38</f>
        <v>7286.3</v>
      </c>
      <c r="AH36" s="111">
        <f>Economic!F38</f>
        <v>589.29999999999995</v>
      </c>
      <c r="AI36" s="111">
        <f>Economic!G38</f>
        <v>585</v>
      </c>
      <c r="AJ36" s="111">
        <f>Economic!J38</f>
        <v>107.69999999999982</v>
      </c>
      <c r="AK36" s="111">
        <f>Economic!K38</f>
        <v>103.80000000000018</v>
      </c>
      <c r="AL36" s="111">
        <f>Economic!L38</f>
        <v>16.799999999999955</v>
      </c>
      <c r="AM36" s="111">
        <f>Economic!M38</f>
        <v>15.600000000000023</v>
      </c>
      <c r="AN36" s="111">
        <f>Economic!N38</f>
        <v>25066.79999999993</v>
      </c>
      <c r="AO36" s="111">
        <f>Economic!O38</f>
        <v>5410</v>
      </c>
      <c r="AP36" s="28">
        <f>Weather!D36</f>
        <v>-2.707777777777777</v>
      </c>
      <c r="AQ36" s="28">
        <f>Weather!E36</f>
        <v>681.23333333333335</v>
      </c>
      <c r="AR36" s="28">
        <f>Weather!F36</f>
        <v>0</v>
      </c>
      <c r="AS36" s="28">
        <f>Weather!G36</f>
        <v>621.23333333333335</v>
      </c>
      <c r="AT36" s="28">
        <f>Weather!H36</f>
        <v>0</v>
      </c>
      <c r="AU36" s="28">
        <f>Weather!I36</f>
        <v>561.23333333333335</v>
      </c>
      <c r="AV36" s="28">
        <f>Weather!J36</f>
        <v>0</v>
      </c>
      <c r="AW36" s="28">
        <f>Weather!K36</f>
        <v>501.23333333333341</v>
      </c>
      <c r="AX36" s="28">
        <f>Weather!L36</f>
        <v>0</v>
      </c>
      <c r="AY36" s="28">
        <f>Weather!M36</f>
        <v>441.23333333333341</v>
      </c>
      <c r="AZ36" s="28">
        <f>Weather!N36</f>
        <v>0</v>
      </c>
      <c r="BA36" s="28">
        <f>Weather!O36</f>
        <v>381.23333333333341</v>
      </c>
      <c r="BB36" s="28">
        <f>Weather!P36</f>
        <v>0</v>
      </c>
      <c r="BC36" s="28">
        <f>Weather!Q36</f>
        <v>321.23333333333341</v>
      </c>
      <c r="BD36" s="28">
        <f>Weather!R36</f>
        <v>0</v>
      </c>
      <c r="BE36">
        <v>0</v>
      </c>
      <c r="BF36">
        <v>0</v>
      </c>
      <c r="BG36">
        <v>0</v>
      </c>
      <c r="BH36">
        <v>0</v>
      </c>
      <c r="BI36">
        <v>0</v>
      </c>
      <c r="BJ36">
        <v>0</v>
      </c>
      <c r="BK36">
        <v>0</v>
      </c>
      <c r="BL36">
        <v>0</v>
      </c>
      <c r="BM36">
        <v>0</v>
      </c>
      <c r="BN36">
        <v>0</v>
      </c>
      <c r="BO36">
        <v>1</v>
      </c>
      <c r="BP36">
        <v>0</v>
      </c>
      <c r="BQ36">
        <v>0</v>
      </c>
      <c r="BR36">
        <v>1</v>
      </c>
      <c r="BS36">
        <v>1</v>
      </c>
      <c r="BT36" s="1">
        <f t="shared" si="37"/>
        <v>35</v>
      </c>
      <c r="BU36">
        <v>30</v>
      </c>
      <c r="BV36">
        <v>22</v>
      </c>
      <c r="BW36">
        <v>0</v>
      </c>
      <c r="BX36">
        <v>0</v>
      </c>
      <c r="BY36">
        <v>0</v>
      </c>
      <c r="BZ36">
        <v>0</v>
      </c>
      <c r="CA36">
        <f t="shared" si="2"/>
        <v>0</v>
      </c>
      <c r="CB36">
        <f t="shared" si="3"/>
        <v>0</v>
      </c>
      <c r="CC36">
        <f t="shared" si="4"/>
        <v>0</v>
      </c>
      <c r="CD36">
        <f t="shared" si="5"/>
        <v>0</v>
      </c>
      <c r="CE36">
        <f t="shared" si="6"/>
        <v>0</v>
      </c>
      <c r="CF36">
        <f t="shared" si="7"/>
        <v>0</v>
      </c>
      <c r="CG36">
        <f t="shared" si="8"/>
        <v>0</v>
      </c>
      <c r="CH36">
        <f t="shared" si="9"/>
        <v>0</v>
      </c>
      <c r="CI36">
        <f t="shared" si="10"/>
        <v>0</v>
      </c>
      <c r="CJ36">
        <f t="shared" si="11"/>
        <v>0</v>
      </c>
      <c r="CK36">
        <f t="shared" si="12"/>
        <v>0</v>
      </c>
      <c r="CL36">
        <f t="shared" si="13"/>
        <v>0</v>
      </c>
      <c r="CM36">
        <f t="shared" si="14"/>
        <v>0</v>
      </c>
      <c r="CN36">
        <f t="shared" si="15"/>
        <v>0</v>
      </c>
      <c r="CO36" s="14">
        <f t="shared" si="39"/>
        <v>0</v>
      </c>
      <c r="CP36" s="14">
        <f t="shared" si="17"/>
        <v>0</v>
      </c>
      <c r="CQ36" s="14">
        <f t="shared" si="18"/>
        <v>0</v>
      </c>
      <c r="CR36" s="14">
        <f t="shared" si="19"/>
        <v>0</v>
      </c>
      <c r="CS36" s="14">
        <f t="shared" si="20"/>
        <v>0</v>
      </c>
      <c r="CT36" s="14">
        <f t="shared" si="21"/>
        <v>0</v>
      </c>
      <c r="CU36" s="14">
        <f t="shared" si="22"/>
        <v>0</v>
      </c>
      <c r="CV36" s="14">
        <f t="shared" si="23"/>
        <v>0</v>
      </c>
      <c r="CW36" s="14">
        <f t="shared" si="24"/>
        <v>0</v>
      </c>
      <c r="CX36" s="14">
        <f t="shared" si="25"/>
        <v>0</v>
      </c>
      <c r="CY36" s="14">
        <f t="shared" si="26"/>
        <v>0</v>
      </c>
      <c r="CZ36" s="14">
        <f t="shared" si="27"/>
        <v>0</v>
      </c>
      <c r="DA36" s="14">
        <f t="shared" si="28"/>
        <v>0</v>
      </c>
      <c r="DB36" s="14">
        <f t="shared" si="29"/>
        <v>0</v>
      </c>
      <c r="DC36" s="72">
        <f>F36/G36</f>
        <v>17.251770490732316</v>
      </c>
      <c r="DD36" s="72">
        <f t="shared" si="30"/>
        <v>0.57505901635774381</v>
      </c>
      <c r="DE36" s="71">
        <f>F36/BU36</f>
        <v>5636.7284783386049</v>
      </c>
      <c r="DF36" s="72">
        <f>J36/K36</f>
        <v>120.35210938705819</v>
      </c>
      <c r="DG36" s="72">
        <f t="shared" si="31"/>
        <v>4.0117369795686066</v>
      </c>
      <c r="DH36" s="72">
        <f>J36/BU36</f>
        <v>5179.152440623071</v>
      </c>
      <c r="DI36" s="72">
        <f>N36/P36</f>
        <v>883.64293222034337</v>
      </c>
      <c r="DJ36" s="72">
        <f t="shared" si="32"/>
        <v>29.454764407344779</v>
      </c>
      <c r="DK36" s="72">
        <f t="shared" si="33"/>
        <v>40.165587828197424</v>
      </c>
      <c r="DL36" s="72">
        <f>N36/BU36</f>
        <v>4388.7598966943724</v>
      </c>
      <c r="DM36" s="72">
        <f>N36/BV36</f>
        <v>5984.6725864014161</v>
      </c>
      <c r="DN36" s="1">
        <v>0</v>
      </c>
      <c r="DO36" s="1">
        <v>0</v>
      </c>
    </row>
    <row r="37" spans="1:119">
      <c r="A37" s="93">
        <f t="shared" si="38"/>
        <v>43435</v>
      </c>
      <c r="B37" s="4">
        <f t="shared" si="0"/>
        <v>2018</v>
      </c>
      <c r="C37" s="4">
        <f t="shared" si="1"/>
        <v>12</v>
      </c>
      <c r="D37" s="56">
        <v>81716499</v>
      </c>
      <c r="E37" s="56">
        <f>IFERROR(VLOOKUP($B37-1,CDM!$J$6:$P$19,2,FALSE)/12,0)+IFERROR(VLOOKUP($B37,CDM!$J$37:$M$48,2,FALSE)/24,0)+IFERROR(VLOOKUP($B37,CDM!$J$37:$M$48,2,FALSE)/2*$C37/78,0)</f>
        <v>172193.62936064339</v>
      </c>
      <c r="F37" s="56">
        <f t="shared" si="34"/>
        <v>81888692.629360646</v>
      </c>
      <c r="G37" s="301">
        <v>9809</v>
      </c>
      <c r="H37" s="56">
        <v>30060062</v>
      </c>
      <c r="I37" s="56">
        <f>IFERROR(VLOOKUP($B37-1,CDM!$J$6:$P$19,3,FALSE)/12,0)+IFERROR(VLOOKUP($B37,CDM!$J$37:$M$47,3,FALSE)/24,0)+IFERROR(VLOOKUP($B37,CDM!$J$37:$M$47,3,FALSE)/2*$C37/78,0)</f>
        <v>159262.10002166501</v>
      </c>
      <c r="J37" s="56">
        <f t="shared" si="35"/>
        <v>30219324.100021664</v>
      </c>
      <c r="K37" s="6">
        <v>1289</v>
      </c>
      <c r="L37" s="5">
        <v>71502339</v>
      </c>
      <c r="M37" s="2">
        <f>IFERROR(VLOOKUP($B37-1,CDM!$J$6:$P$19,4,FALSE)/12,0)+IFERROR(VLOOKUP($B37,CDM!$J$37:$M$47,4,FALSE)/24,0)+IFERROR(VLOOKUP($B37,CDM!$J$37:$M$47,4,FALSE)/2*$C37/78,0)</f>
        <v>134816.46743802153</v>
      </c>
      <c r="N37" s="56">
        <f t="shared" si="36"/>
        <v>71637155.467438027</v>
      </c>
      <c r="O37" s="5">
        <v>229114</v>
      </c>
      <c r="P37" s="6">
        <v>149</v>
      </c>
      <c r="Q37" s="5">
        <v>1110658</v>
      </c>
      <c r="R37" s="5">
        <v>3152</v>
      </c>
      <c r="S37" s="6">
        <v>2893</v>
      </c>
      <c r="T37" s="6">
        <v>203849</v>
      </c>
      <c r="U37" s="6">
        <v>529</v>
      </c>
      <c r="V37" s="6">
        <v>178</v>
      </c>
      <c r="W37" s="5">
        <v>605298.17000000004</v>
      </c>
      <c r="X37" s="1">
        <v>19</v>
      </c>
      <c r="Y37" s="56">
        <v>41917.199999999997</v>
      </c>
      <c r="Z37" s="56">
        <v>4433.6000000000004</v>
      </c>
      <c r="AA37" s="71">
        <f>L37-Y37</f>
        <v>71460421.799999997</v>
      </c>
      <c r="AB37" s="71">
        <f>N37-Y37</f>
        <v>71595238.267438024</v>
      </c>
      <c r="AC37" s="5">
        <f>O37-Z37</f>
        <v>224680.4</v>
      </c>
      <c r="AD37" s="111">
        <f>Economic!H39</f>
        <v>789531.6</v>
      </c>
      <c r="AE37" s="111">
        <f>Economic!I39</f>
        <v>799922</v>
      </c>
      <c r="AF37" s="111">
        <f>Economic!D39</f>
        <v>7296.4</v>
      </c>
      <c r="AG37" s="111">
        <f>Economic!E39</f>
        <v>7306.9</v>
      </c>
      <c r="AH37" s="111">
        <f>Economic!F39</f>
        <v>587.20000000000005</v>
      </c>
      <c r="AI37" s="111">
        <f>Economic!G39</f>
        <v>585.9</v>
      </c>
      <c r="AJ37" s="111">
        <f>Economic!J39</f>
        <v>99.599999999999454</v>
      </c>
      <c r="AK37" s="111">
        <f>Economic!K39</f>
        <v>101.89999999999964</v>
      </c>
      <c r="AL37" s="111">
        <f>Economic!L39</f>
        <v>10.800000000000068</v>
      </c>
      <c r="AM37" s="111">
        <f>Economic!M39</f>
        <v>9.7999999999999545</v>
      </c>
      <c r="AN37" s="111">
        <f>Economic!N39</f>
        <v>25066.79999999993</v>
      </c>
      <c r="AO37" s="111">
        <f>Economic!O39</f>
        <v>5410</v>
      </c>
      <c r="AP37" s="28">
        <f>Weather!D37</f>
        <v>-7.5935483870967735</v>
      </c>
      <c r="AQ37" s="28">
        <f>Weather!E37</f>
        <v>855.4000000000002</v>
      </c>
      <c r="AR37" s="28">
        <f>Weather!F37</f>
        <v>0</v>
      </c>
      <c r="AS37" s="28">
        <f>Weather!G37</f>
        <v>793.4000000000002</v>
      </c>
      <c r="AT37" s="28">
        <f>Weather!H37</f>
        <v>0</v>
      </c>
      <c r="AU37" s="28">
        <f>Weather!I37</f>
        <v>731.4000000000002</v>
      </c>
      <c r="AV37" s="28">
        <f>Weather!J37</f>
        <v>0</v>
      </c>
      <c r="AW37" s="28">
        <f>Weather!K37</f>
        <v>669.4000000000002</v>
      </c>
      <c r="AX37" s="28">
        <f>Weather!L37</f>
        <v>0</v>
      </c>
      <c r="AY37" s="28">
        <f>Weather!M37</f>
        <v>607.4000000000002</v>
      </c>
      <c r="AZ37" s="28">
        <f>Weather!N37</f>
        <v>0</v>
      </c>
      <c r="BA37" s="28">
        <f>Weather!O37</f>
        <v>545.40000000000009</v>
      </c>
      <c r="BB37" s="28">
        <f>Weather!P37</f>
        <v>0</v>
      </c>
      <c r="BC37" s="28">
        <f>Weather!Q37</f>
        <v>483.40000000000003</v>
      </c>
      <c r="BD37" s="28">
        <f>Weather!R37</f>
        <v>0</v>
      </c>
      <c r="BE37">
        <v>0</v>
      </c>
      <c r="BF37">
        <v>0</v>
      </c>
      <c r="BG37">
        <v>0</v>
      </c>
      <c r="BH37">
        <v>0</v>
      </c>
      <c r="BI37">
        <v>0</v>
      </c>
      <c r="BJ37">
        <v>0</v>
      </c>
      <c r="BK37">
        <v>0</v>
      </c>
      <c r="BL37">
        <v>0</v>
      </c>
      <c r="BM37">
        <v>0</v>
      </c>
      <c r="BN37">
        <v>0</v>
      </c>
      <c r="BO37">
        <v>0</v>
      </c>
      <c r="BP37">
        <v>1</v>
      </c>
      <c r="BQ37">
        <v>0</v>
      </c>
      <c r="BR37">
        <v>0</v>
      </c>
      <c r="BS37">
        <v>0</v>
      </c>
      <c r="BT37" s="1">
        <f t="shared" si="37"/>
        <v>36</v>
      </c>
      <c r="BU37">
        <v>31</v>
      </c>
      <c r="BV37">
        <v>20</v>
      </c>
      <c r="BW37">
        <v>0</v>
      </c>
      <c r="BX37">
        <v>0</v>
      </c>
      <c r="BY37">
        <v>0</v>
      </c>
      <c r="BZ37">
        <v>0</v>
      </c>
      <c r="CA37">
        <f t="shared" si="2"/>
        <v>0</v>
      </c>
      <c r="CB37">
        <f t="shared" si="3"/>
        <v>0</v>
      </c>
      <c r="CC37">
        <f t="shared" si="4"/>
        <v>0</v>
      </c>
      <c r="CD37">
        <f t="shared" si="5"/>
        <v>0</v>
      </c>
      <c r="CE37">
        <f t="shared" si="6"/>
        <v>0</v>
      </c>
      <c r="CF37">
        <f t="shared" si="7"/>
        <v>0</v>
      </c>
      <c r="CG37">
        <f t="shared" si="8"/>
        <v>0</v>
      </c>
      <c r="CH37">
        <f t="shared" si="9"/>
        <v>0</v>
      </c>
      <c r="CI37">
        <f t="shared" si="10"/>
        <v>0</v>
      </c>
      <c r="CJ37">
        <f t="shared" si="11"/>
        <v>0</v>
      </c>
      <c r="CK37">
        <f t="shared" si="12"/>
        <v>0</v>
      </c>
      <c r="CL37">
        <f t="shared" si="13"/>
        <v>0</v>
      </c>
      <c r="CM37">
        <f t="shared" si="14"/>
        <v>0</v>
      </c>
      <c r="CN37">
        <f t="shared" si="15"/>
        <v>0</v>
      </c>
      <c r="CO37" s="14">
        <f t="shared" si="39"/>
        <v>0</v>
      </c>
      <c r="CP37" s="14">
        <f t="shared" si="17"/>
        <v>0</v>
      </c>
      <c r="CQ37" s="14">
        <f t="shared" si="18"/>
        <v>0</v>
      </c>
      <c r="CR37" s="14">
        <f t="shared" si="19"/>
        <v>0</v>
      </c>
      <c r="CS37" s="14">
        <f t="shared" si="20"/>
        <v>0</v>
      </c>
      <c r="CT37" s="14">
        <f t="shared" si="21"/>
        <v>0</v>
      </c>
      <c r="CU37" s="14">
        <f t="shared" si="22"/>
        <v>0</v>
      </c>
      <c r="CV37" s="14">
        <f t="shared" si="23"/>
        <v>0</v>
      </c>
      <c r="CW37" s="14">
        <f t="shared" si="24"/>
        <v>0</v>
      </c>
      <c r="CX37" s="14">
        <f t="shared" si="25"/>
        <v>0</v>
      </c>
      <c r="CY37" s="14">
        <f t="shared" si="26"/>
        <v>0</v>
      </c>
      <c r="CZ37" s="14">
        <f t="shared" si="27"/>
        <v>0</v>
      </c>
      <c r="DA37" s="14">
        <f t="shared" si="28"/>
        <v>0</v>
      </c>
      <c r="DB37" s="14">
        <f t="shared" si="29"/>
        <v>0</v>
      </c>
      <c r="DC37" s="72">
        <f>F37/G37</f>
        <v>8348.3222172862315</v>
      </c>
      <c r="DD37" s="72">
        <f t="shared" si="30"/>
        <v>269.30071668665261</v>
      </c>
      <c r="DE37" s="71">
        <f>F37/BU37</f>
        <v>2641570.7299793758</v>
      </c>
      <c r="DF37" s="72">
        <f>J37/K37</f>
        <v>23444.006283957846</v>
      </c>
      <c r="DG37" s="72">
        <f t="shared" si="31"/>
        <v>756.25826722444663</v>
      </c>
      <c r="DH37" s="72">
        <f>J37/BU37</f>
        <v>974816.90645231178</v>
      </c>
      <c r="DI37" s="72">
        <f>N37/P37</f>
        <v>480786.27830495319</v>
      </c>
      <c r="DJ37" s="72">
        <f t="shared" si="32"/>
        <v>15509.234784030748</v>
      </c>
      <c r="DK37" s="72">
        <f t="shared" si="33"/>
        <v>24039.313915247658</v>
      </c>
      <c r="DL37" s="72">
        <f>N37/BU37</f>
        <v>2310875.9828205816</v>
      </c>
      <c r="DM37" s="72">
        <f>N37/BV37</f>
        <v>3581857.7733719014</v>
      </c>
      <c r="DN37" s="1">
        <v>0</v>
      </c>
      <c r="DO37" s="1">
        <v>0</v>
      </c>
    </row>
    <row r="38" spans="1:119">
      <c r="A38" s="93">
        <f t="shared" si="38"/>
        <v>43466</v>
      </c>
      <c r="B38" s="4">
        <f t="shared" si="0"/>
        <v>2019</v>
      </c>
      <c r="C38" s="4">
        <f t="shared" si="1"/>
        <v>1</v>
      </c>
      <c r="D38" s="56">
        <v>0</v>
      </c>
      <c r="E38" s="56">
        <f>IFERROR(VLOOKUP($B38-1,CDM!$J$6:$P$19,2,FALSE)/12,0)+IFERROR(VLOOKUP($B38,CDM!$J$37:$M$48,2,FALSE)/24,0)+IFERROR(VLOOKUP($B38,CDM!$J$37:$M$48,2,FALSE)/2*$C38/78,0)</f>
        <v>159020.88139322816</v>
      </c>
      <c r="F38" s="56">
        <f t="shared" si="34"/>
        <v>159020.88139322816</v>
      </c>
      <c r="G38" s="301">
        <v>9816</v>
      </c>
      <c r="H38" s="56">
        <v>0</v>
      </c>
      <c r="I38" s="56">
        <f>IFERROR(VLOOKUP($B38-1,CDM!$J$6:$P$19,3,FALSE)/12,0)+IFERROR(VLOOKUP($B38,CDM!$J$37:$M$47,3,FALSE)/24,0)+IFERROR(VLOOKUP($B38,CDM!$J$37:$M$47,3,FALSE)/2*$C38/78,0)</f>
        <v>151405.07528035509</v>
      </c>
      <c r="J38" s="56">
        <f t="shared" si="35"/>
        <v>151405.07528035509</v>
      </c>
      <c r="K38" s="6">
        <v>1290</v>
      </c>
      <c r="L38" s="5">
        <v>0</v>
      </c>
      <c r="M38" s="2">
        <f>IFERROR(VLOOKUP($B38-1,CDM!$J$6:$P$19,4,FALSE)/12,0)+IFERROR(VLOOKUP($B38,CDM!$J$37:$M$47,4,FALSE)/24,0)+IFERROR(VLOOKUP($B38,CDM!$J$37:$M$47,4,FALSE)/2*$C38/78,0)</f>
        <v>128861.79026130038</v>
      </c>
      <c r="N38" s="56">
        <f t="shared" si="36"/>
        <v>128861.79026130038</v>
      </c>
      <c r="O38" s="5">
        <v>0</v>
      </c>
      <c r="P38" s="6">
        <v>149</v>
      </c>
      <c r="Q38" s="5">
        <v>0</v>
      </c>
      <c r="R38" s="5">
        <v>0</v>
      </c>
      <c r="S38" s="6">
        <v>2897</v>
      </c>
      <c r="T38" s="6">
        <v>0</v>
      </c>
      <c r="U38" s="6">
        <v>0</v>
      </c>
      <c r="V38" s="6">
        <v>175</v>
      </c>
      <c r="W38" s="5">
        <v>0</v>
      </c>
      <c r="X38" s="1">
        <v>19</v>
      </c>
      <c r="Y38" s="56">
        <v>217986.8</v>
      </c>
      <c r="Z38" s="56">
        <v>4433.6000000000004</v>
      </c>
      <c r="AA38" s="71">
        <f>L38-Y38</f>
        <v>-217986.8</v>
      </c>
      <c r="AB38" s="71">
        <f>N38-Y38</f>
        <v>-89125.009738699606</v>
      </c>
      <c r="AC38" s="5">
        <f>O38-Z38</f>
        <v>-4433.6000000000004</v>
      </c>
      <c r="AD38" s="111">
        <f>Economic!H40</f>
        <v>807274.5</v>
      </c>
      <c r="AE38" s="111">
        <f>Economic!I40</f>
        <v>800743</v>
      </c>
      <c r="AF38" s="111">
        <f>Economic!D40</f>
        <v>7306.5</v>
      </c>
      <c r="AG38" s="111">
        <f>Economic!E40</f>
        <v>7280.1</v>
      </c>
      <c r="AH38" s="111">
        <f>Economic!F40</f>
        <v>588.4</v>
      </c>
      <c r="AI38" s="111">
        <f>Economic!G40</f>
        <v>585.29999999999995</v>
      </c>
      <c r="AJ38" s="111">
        <f>Economic!J40</f>
        <v>111.5</v>
      </c>
      <c r="AK38" s="111">
        <f>Economic!K40</f>
        <v>115.10000000000036</v>
      </c>
      <c r="AL38" s="111">
        <f>Economic!L40</f>
        <v>7.8999999999999773</v>
      </c>
      <c r="AM38" s="111">
        <f>Economic!M40</f>
        <v>6.0999999999999091</v>
      </c>
      <c r="AN38" s="111">
        <f>Economic!N40</f>
        <v>17742.900000000023</v>
      </c>
      <c r="AO38" s="111">
        <f>Economic!O40</f>
        <v>821</v>
      </c>
      <c r="AP38" s="28">
        <f>Weather!D38</f>
        <v>-14.022580645161291</v>
      </c>
      <c r="AQ38" s="28">
        <f>Weather!E38</f>
        <v>1054.7000000000003</v>
      </c>
      <c r="AR38" s="28">
        <f>Weather!F38</f>
        <v>0</v>
      </c>
      <c r="AS38" s="28">
        <f>Weather!G38</f>
        <v>992.70000000000027</v>
      </c>
      <c r="AT38" s="28">
        <f>Weather!H38</f>
        <v>0</v>
      </c>
      <c r="AU38" s="28">
        <f>Weather!I38</f>
        <v>930.70000000000027</v>
      </c>
      <c r="AV38" s="28">
        <f>Weather!J38</f>
        <v>0</v>
      </c>
      <c r="AW38" s="28">
        <f>Weather!K38</f>
        <v>868.70000000000027</v>
      </c>
      <c r="AX38" s="28">
        <f>Weather!L38</f>
        <v>0</v>
      </c>
      <c r="AY38" s="28">
        <f>Weather!M38</f>
        <v>806.70000000000027</v>
      </c>
      <c r="AZ38" s="28">
        <f>Weather!N38</f>
        <v>0</v>
      </c>
      <c r="BA38" s="28">
        <f>Weather!O38</f>
        <v>744.70000000000027</v>
      </c>
      <c r="BB38" s="28">
        <f>Weather!P38</f>
        <v>0</v>
      </c>
      <c r="BC38" s="28">
        <f>Weather!Q38</f>
        <v>682.70000000000016</v>
      </c>
      <c r="BD38" s="28">
        <f>Weather!R38</f>
        <v>0</v>
      </c>
      <c r="BE38">
        <v>1</v>
      </c>
      <c r="BF38">
        <v>0</v>
      </c>
      <c r="BG38">
        <v>0</v>
      </c>
      <c r="BH38">
        <v>0</v>
      </c>
      <c r="BI38">
        <v>0</v>
      </c>
      <c r="BJ38">
        <v>0</v>
      </c>
      <c r="BK38">
        <v>0</v>
      </c>
      <c r="BL38">
        <v>0</v>
      </c>
      <c r="BM38">
        <v>0</v>
      </c>
      <c r="BN38">
        <v>0</v>
      </c>
      <c r="BO38">
        <v>0</v>
      </c>
      <c r="BP38">
        <v>0</v>
      </c>
      <c r="BQ38">
        <v>0</v>
      </c>
      <c r="BR38">
        <v>0</v>
      </c>
      <c r="BS38">
        <v>0</v>
      </c>
      <c r="BT38" s="1">
        <f t="shared" si="37"/>
        <v>37</v>
      </c>
      <c r="BU38">
        <v>31</v>
      </c>
      <c r="BV38">
        <v>22</v>
      </c>
      <c r="BW38">
        <v>0</v>
      </c>
      <c r="BX38">
        <v>0</v>
      </c>
      <c r="BY38">
        <v>0</v>
      </c>
      <c r="BZ38">
        <v>0</v>
      </c>
      <c r="CA38">
        <f t="shared" si="2"/>
        <v>0</v>
      </c>
      <c r="CB38">
        <f t="shared" si="3"/>
        <v>0</v>
      </c>
      <c r="CC38">
        <f t="shared" si="4"/>
        <v>0</v>
      </c>
      <c r="CD38">
        <f t="shared" si="5"/>
        <v>0</v>
      </c>
      <c r="CE38">
        <f t="shared" si="6"/>
        <v>0</v>
      </c>
      <c r="CF38">
        <f t="shared" si="7"/>
        <v>0</v>
      </c>
      <c r="CG38">
        <f t="shared" si="8"/>
        <v>0</v>
      </c>
      <c r="CH38">
        <f t="shared" si="9"/>
        <v>0</v>
      </c>
      <c r="CI38">
        <f t="shared" si="10"/>
        <v>0</v>
      </c>
      <c r="CJ38">
        <f t="shared" si="11"/>
        <v>0</v>
      </c>
      <c r="CK38">
        <f t="shared" si="12"/>
        <v>0</v>
      </c>
      <c r="CL38">
        <f t="shared" si="13"/>
        <v>0</v>
      </c>
      <c r="CM38">
        <f t="shared" si="14"/>
        <v>0</v>
      </c>
      <c r="CN38">
        <f t="shared" si="15"/>
        <v>0</v>
      </c>
      <c r="CO38" s="14">
        <f t="shared" si="39"/>
        <v>0</v>
      </c>
      <c r="CP38" s="14">
        <f t="shared" si="17"/>
        <v>0</v>
      </c>
      <c r="CQ38" s="14">
        <f t="shared" si="18"/>
        <v>0</v>
      </c>
      <c r="CR38" s="14">
        <f t="shared" si="19"/>
        <v>0</v>
      </c>
      <c r="CS38" s="14">
        <f t="shared" si="20"/>
        <v>0</v>
      </c>
      <c r="CT38" s="14">
        <f t="shared" si="21"/>
        <v>0</v>
      </c>
      <c r="CU38" s="14">
        <f t="shared" si="22"/>
        <v>0</v>
      </c>
      <c r="CV38" s="14">
        <f t="shared" si="23"/>
        <v>0</v>
      </c>
      <c r="CW38" s="14">
        <f t="shared" si="24"/>
        <v>0</v>
      </c>
      <c r="CX38" s="14">
        <f t="shared" si="25"/>
        <v>0</v>
      </c>
      <c r="CY38" s="14">
        <f t="shared" si="26"/>
        <v>0</v>
      </c>
      <c r="CZ38" s="14">
        <f t="shared" si="27"/>
        <v>0</v>
      </c>
      <c r="DA38" s="14">
        <f t="shared" si="28"/>
        <v>0</v>
      </c>
      <c r="DB38" s="14">
        <f t="shared" si="29"/>
        <v>0</v>
      </c>
      <c r="DC38" s="72">
        <f>F38/G38</f>
        <v>16.200171291078664</v>
      </c>
      <c r="DD38" s="72">
        <f t="shared" si="30"/>
        <v>0.52258617067995694</v>
      </c>
      <c r="DE38" s="71">
        <f>F38/BU38</f>
        <v>5129.7058513944567</v>
      </c>
      <c r="DF38" s="72">
        <f>J38/K38</f>
        <v>117.36827541112797</v>
      </c>
      <c r="DG38" s="72">
        <f t="shared" si="31"/>
        <v>3.7860734003589669</v>
      </c>
      <c r="DH38" s="72">
        <f>J38/BU38</f>
        <v>4884.0346864630674</v>
      </c>
      <c r="DI38" s="72">
        <f>N38/P38</f>
        <v>864.84422994161332</v>
      </c>
      <c r="DJ38" s="72">
        <f t="shared" si="32"/>
        <v>27.898200965858493</v>
      </c>
      <c r="DK38" s="72">
        <f t="shared" si="33"/>
        <v>39.311101360982427</v>
      </c>
      <c r="DL38" s="72">
        <f>N38/BU38</f>
        <v>4156.8319439129154</v>
      </c>
      <c r="DM38" s="72">
        <f>N38/BV38</f>
        <v>5857.3541027863812</v>
      </c>
      <c r="DN38" s="1">
        <v>0</v>
      </c>
      <c r="DO38" s="1">
        <v>0</v>
      </c>
    </row>
    <row r="39" spans="1:119">
      <c r="A39" s="93">
        <f t="shared" si="38"/>
        <v>43497</v>
      </c>
      <c r="B39" s="4">
        <f t="shared" si="0"/>
        <v>2019</v>
      </c>
      <c r="C39" s="4">
        <f t="shared" si="1"/>
        <v>2</v>
      </c>
      <c r="D39" s="56">
        <v>0</v>
      </c>
      <c r="E39" s="56">
        <f>IFERROR(VLOOKUP($B39-1,CDM!$J$6:$P$19,2,FALSE)/12,0)+IFERROR(VLOOKUP($B39,CDM!$J$37:$M$48,2,FALSE)/24,0)+IFERROR(VLOOKUP($B39,CDM!$J$37:$M$48,2,FALSE)/2*$C39/78,0)</f>
        <v>159531.81667192865</v>
      </c>
      <c r="F39" s="56">
        <f t="shared" si="34"/>
        <v>159531.81667192865</v>
      </c>
      <c r="G39" s="301">
        <v>9816</v>
      </c>
      <c r="H39" s="56">
        <v>0</v>
      </c>
      <c r="I39" s="56">
        <f>IFERROR(VLOOKUP($B39-1,CDM!$J$6:$P$19,3,FALSE)/12,0)+IFERROR(VLOOKUP($B39,CDM!$J$37:$M$47,3,FALSE)/24,0)+IFERROR(VLOOKUP($B39,CDM!$J$37:$M$47,3,FALSE)/2*$C39/78,0)</f>
        <v>153208.32497036053</v>
      </c>
      <c r="J39" s="56">
        <f t="shared" si="35"/>
        <v>153208.32497036053</v>
      </c>
      <c r="K39" s="6">
        <v>1288</v>
      </c>
      <c r="L39" s="5">
        <v>0</v>
      </c>
      <c r="M39" s="2">
        <f>IFERROR(VLOOKUP($B39-1,CDM!$J$6:$P$19,4,FALSE)/12,0)+IFERROR(VLOOKUP($B39,CDM!$J$37:$M$47,4,FALSE)/24,0)+IFERROR(VLOOKUP($B39,CDM!$J$37:$M$47,4,FALSE)/2*$C39/78,0)</f>
        <v>130380.52503167716</v>
      </c>
      <c r="N39" s="56">
        <f t="shared" si="36"/>
        <v>130380.52503167716</v>
      </c>
      <c r="O39" s="5">
        <v>0</v>
      </c>
      <c r="P39" s="6">
        <v>149</v>
      </c>
      <c r="Q39" s="5">
        <v>0</v>
      </c>
      <c r="R39" s="5">
        <v>0</v>
      </c>
      <c r="S39" s="6">
        <v>2897</v>
      </c>
      <c r="T39" s="6">
        <v>0</v>
      </c>
      <c r="U39" s="6">
        <v>0</v>
      </c>
      <c r="V39" s="6">
        <v>175</v>
      </c>
      <c r="W39" s="5">
        <v>0</v>
      </c>
      <c r="X39" s="1">
        <v>19</v>
      </c>
      <c r="Y39" s="56">
        <v>73564.800000000003</v>
      </c>
      <c r="Z39" s="56">
        <v>3744</v>
      </c>
      <c r="AA39" s="71">
        <f>L39-Y39</f>
        <v>-73564.800000000003</v>
      </c>
      <c r="AB39" s="71">
        <f>N39-Y39</f>
        <v>56815.725031677153</v>
      </c>
      <c r="AC39" s="5">
        <f>O39-Z39</f>
        <v>-3744</v>
      </c>
      <c r="AD39" s="111">
        <f>Economic!H41</f>
        <v>807274.5</v>
      </c>
      <c r="AE39" s="111">
        <f>Economic!I41</f>
        <v>800743</v>
      </c>
      <c r="AF39" s="111">
        <f>Economic!D41</f>
        <v>7329.7</v>
      </c>
      <c r="AG39" s="111">
        <f>Economic!E41</f>
        <v>7264.2</v>
      </c>
      <c r="AH39" s="111">
        <f>Economic!F41</f>
        <v>594.4</v>
      </c>
      <c r="AI39" s="111">
        <f>Economic!G41</f>
        <v>591.5</v>
      </c>
      <c r="AJ39" s="111">
        <f>Economic!J41</f>
        <v>145.80000000000018</v>
      </c>
      <c r="AK39" s="111">
        <f>Economic!K41</f>
        <v>148.19999999999982</v>
      </c>
      <c r="AL39" s="111">
        <f>Economic!L41</f>
        <v>14.199999999999932</v>
      </c>
      <c r="AM39" s="111">
        <f>Economic!M41</f>
        <v>12.799999999999955</v>
      </c>
      <c r="AN39" s="111">
        <f>Economic!N41</f>
        <v>17742.900000000023</v>
      </c>
      <c r="AO39" s="111">
        <f>Economic!O41</f>
        <v>821</v>
      </c>
      <c r="AP39" s="28">
        <f>Weather!D39</f>
        <v>-10.674181547619048</v>
      </c>
      <c r="AQ39" s="28">
        <f>Weather!E39</f>
        <v>858.87708333333342</v>
      </c>
      <c r="AR39" s="28">
        <f>Weather!F39</f>
        <v>0</v>
      </c>
      <c r="AS39" s="28">
        <f>Weather!G39</f>
        <v>802.87708333333342</v>
      </c>
      <c r="AT39" s="28">
        <f>Weather!H39</f>
        <v>0</v>
      </c>
      <c r="AU39" s="28">
        <f>Weather!I39</f>
        <v>746.87708333333342</v>
      </c>
      <c r="AV39" s="28">
        <f>Weather!J39</f>
        <v>0</v>
      </c>
      <c r="AW39" s="28">
        <f>Weather!K39</f>
        <v>690.87708333333342</v>
      </c>
      <c r="AX39" s="28">
        <f>Weather!L39</f>
        <v>0</v>
      </c>
      <c r="AY39" s="28">
        <f>Weather!M39</f>
        <v>634.8770833333333</v>
      </c>
      <c r="AZ39" s="28">
        <f>Weather!N39</f>
        <v>0</v>
      </c>
      <c r="BA39" s="28">
        <f>Weather!O39</f>
        <v>578.87708333333319</v>
      </c>
      <c r="BB39" s="28">
        <f>Weather!P39</f>
        <v>0</v>
      </c>
      <c r="BC39" s="28">
        <f>Weather!Q39</f>
        <v>522.8770833333333</v>
      </c>
      <c r="BD39" s="28">
        <f>Weather!R39</f>
        <v>0</v>
      </c>
      <c r="BE39">
        <v>0</v>
      </c>
      <c r="BF39">
        <v>1</v>
      </c>
      <c r="BG39">
        <v>0</v>
      </c>
      <c r="BH39">
        <v>0</v>
      </c>
      <c r="BI39">
        <v>0</v>
      </c>
      <c r="BJ39">
        <v>0</v>
      </c>
      <c r="BK39">
        <v>0</v>
      </c>
      <c r="BL39">
        <v>0</v>
      </c>
      <c r="BM39">
        <v>0</v>
      </c>
      <c r="BN39">
        <v>0</v>
      </c>
      <c r="BO39">
        <v>0</v>
      </c>
      <c r="BP39">
        <v>0</v>
      </c>
      <c r="BQ39">
        <v>0</v>
      </c>
      <c r="BR39">
        <v>0</v>
      </c>
      <c r="BS39">
        <v>0</v>
      </c>
      <c r="BT39" s="1">
        <f t="shared" si="37"/>
        <v>38</v>
      </c>
      <c r="BU39">
        <v>28</v>
      </c>
      <c r="BV39">
        <v>19</v>
      </c>
      <c r="BW39">
        <v>0</v>
      </c>
      <c r="BX39">
        <v>0</v>
      </c>
      <c r="BY39">
        <v>0</v>
      </c>
      <c r="BZ39">
        <v>0</v>
      </c>
      <c r="CA39">
        <f t="shared" si="2"/>
        <v>0</v>
      </c>
      <c r="CB39">
        <f t="shared" si="3"/>
        <v>0</v>
      </c>
      <c r="CC39">
        <f t="shared" si="4"/>
        <v>0</v>
      </c>
      <c r="CD39">
        <f t="shared" si="5"/>
        <v>0</v>
      </c>
      <c r="CE39">
        <f t="shared" si="6"/>
        <v>0</v>
      </c>
      <c r="CF39">
        <f t="shared" si="7"/>
        <v>0</v>
      </c>
      <c r="CG39">
        <f t="shared" si="8"/>
        <v>0</v>
      </c>
      <c r="CH39">
        <f t="shared" si="9"/>
        <v>0</v>
      </c>
      <c r="CI39">
        <f t="shared" si="10"/>
        <v>0</v>
      </c>
      <c r="CJ39">
        <f t="shared" si="11"/>
        <v>0</v>
      </c>
      <c r="CK39">
        <f t="shared" si="12"/>
        <v>0</v>
      </c>
      <c r="CL39">
        <f t="shared" si="13"/>
        <v>0</v>
      </c>
      <c r="CM39">
        <f t="shared" si="14"/>
        <v>0</v>
      </c>
      <c r="CN39">
        <f t="shared" si="15"/>
        <v>0</v>
      </c>
      <c r="CO39" s="14">
        <f t="shared" si="39"/>
        <v>0</v>
      </c>
      <c r="CP39" s="14">
        <f t="shared" si="17"/>
        <v>0</v>
      </c>
      <c r="CQ39" s="14">
        <f t="shared" si="18"/>
        <v>0</v>
      </c>
      <c r="CR39" s="14">
        <f t="shared" si="19"/>
        <v>0</v>
      </c>
      <c r="CS39" s="14">
        <f t="shared" si="20"/>
        <v>0</v>
      </c>
      <c r="CT39" s="14">
        <f t="shared" si="21"/>
        <v>0</v>
      </c>
      <c r="CU39" s="14">
        <f t="shared" si="22"/>
        <v>0</v>
      </c>
      <c r="CV39" s="14">
        <f t="shared" si="23"/>
        <v>0</v>
      </c>
      <c r="CW39" s="14">
        <f t="shared" si="24"/>
        <v>0</v>
      </c>
      <c r="CX39" s="14">
        <f t="shared" si="25"/>
        <v>0</v>
      </c>
      <c r="CY39" s="14">
        <f t="shared" si="26"/>
        <v>0</v>
      </c>
      <c r="CZ39" s="14">
        <f t="shared" si="27"/>
        <v>0</v>
      </c>
      <c r="DA39" s="14">
        <f t="shared" si="28"/>
        <v>0</v>
      </c>
      <c r="DB39" s="14">
        <f t="shared" si="29"/>
        <v>0</v>
      </c>
      <c r="DC39" s="72">
        <f>F39/G39</f>
        <v>16.25222256233992</v>
      </c>
      <c r="DD39" s="72">
        <f t="shared" si="30"/>
        <v>0.58043652008356861</v>
      </c>
      <c r="DE39" s="71">
        <f>F39/BU39</f>
        <v>5697.5648811403089</v>
      </c>
      <c r="DF39" s="72">
        <f>J39/K39</f>
        <v>118.95056286518674</v>
      </c>
      <c r="DG39" s="72">
        <f t="shared" si="31"/>
        <v>4.2482343880423832</v>
      </c>
      <c r="DH39" s="72">
        <f>J39/BU39</f>
        <v>5471.7258917985901</v>
      </c>
      <c r="DI39" s="72">
        <f>N39/P39</f>
        <v>875.03708074951112</v>
      </c>
      <c r="DJ39" s="72">
        <f t="shared" si="32"/>
        <v>31.251324312482542</v>
      </c>
      <c r="DK39" s="72">
        <f t="shared" si="33"/>
        <v>46.054583197342687</v>
      </c>
      <c r="DL39" s="72">
        <f>N39/BU39</f>
        <v>4656.4473225598986</v>
      </c>
      <c r="DM39" s="72">
        <f>N39/BV39</f>
        <v>6862.1328964040613</v>
      </c>
      <c r="DN39" s="1">
        <v>0</v>
      </c>
      <c r="DO39" s="1">
        <v>0</v>
      </c>
    </row>
    <row r="40" spans="1:119">
      <c r="A40" s="93">
        <f t="shared" si="38"/>
        <v>43525</v>
      </c>
      <c r="B40" s="4">
        <f t="shared" si="0"/>
        <v>2019</v>
      </c>
      <c r="C40" s="4">
        <f t="shared" si="1"/>
        <v>3</v>
      </c>
      <c r="D40" s="56">
        <v>0</v>
      </c>
      <c r="E40" s="56">
        <f>IFERROR(VLOOKUP($B40-1,CDM!$J$6:$P$19,2,FALSE)/12,0)+IFERROR(VLOOKUP($B40,CDM!$J$37:$M$48,2,FALSE)/24,0)+IFERROR(VLOOKUP($B40,CDM!$J$37:$M$48,2,FALSE)/2*$C40/78,0)</f>
        <v>160042.75195062911</v>
      </c>
      <c r="F40" s="56">
        <f t="shared" si="34"/>
        <v>160042.75195062911</v>
      </c>
      <c r="G40" s="301">
        <v>9831</v>
      </c>
      <c r="H40" s="56">
        <v>0</v>
      </c>
      <c r="I40" s="56">
        <f>IFERROR(VLOOKUP($B40-1,CDM!$J$6:$P$19,3,FALSE)/12,0)+IFERROR(VLOOKUP($B40,CDM!$J$37:$M$47,3,FALSE)/24,0)+IFERROR(VLOOKUP($B40,CDM!$J$37:$M$47,3,FALSE)/2*$C40/78,0)</f>
        <v>155011.57466036599</v>
      </c>
      <c r="J40" s="56">
        <f t="shared" si="35"/>
        <v>155011.57466036599</v>
      </c>
      <c r="K40" s="6">
        <v>1287</v>
      </c>
      <c r="L40" s="5">
        <v>0</v>
      </c>
      <c r="M40" s="2">
        <f>IFERROR(VLOOKUP($B40-1,CDM!$J$6:$P$19,4,FALSE)/12,0)+IFERROR(VLOOKUP($B40,CDM!$J$37:$M$47,4,FALSE)/24,0)+IFERROR(VLOOKUP($B40,CDM!$J$37:$M$47,4,FALSE)/2*$C40/78,0)</f>
        <v>131899.25980205394</v>
      </c>
      <c r="N40" s="56">
        <f t="shared" si="36"/>
        <v>131899.25980205394</v>
      </c>
      <c r="O40" s="5">
        <v>0</v>
      </c>
      <c r="P40" s="6">
        <v>149</v>
      </c>
      <c r="Q40" s="5">
        <v>0</v>
      </c>
      <c r="R40" s="5">
        <v>0</v>
      </c>
      <c r="S40" s="6">
        <v>2897</v>
      </c>
      <c r="T40" s="6">
        <v>0</v>
      </c>
      <c r="U40" s="6">
        <v>0</v>
      </c>
      <c r="V40" s="6">
        <v>175</v>
      </c>
      <c r="W40" s="5">
        <v>0</v>
      </c>
      <c r="X40" s="1">
        <v>19</v>
      </c>
      <c r="Y40" s="56">
        <v>5464.8</v>
      </c>
      <c r="Z40" s="56">
        <v>6883.2</v>
      </c>
      <c r="AA40" s="71">
        <f>L40-Y40</f>
        <v>-5464.8</v>
      </c>
      <c r="AB40" s="71">
        <f>N40-Y40</f>
        <v>126434.45980205394</v>
      </c>
      <c r="AC40" s="5">
        <f>O40-Z40</f>
        <v>-6883.2</v>
      </c>
      <c r="AD40" s="111">
        <f>Economic!H42</f>
        <v>807274.5</v>
      </c>
      <c r="AE40" s="111">
        <f>Economic!I42</f>
        <v>800743</v>
      </c>
      <c r="AF40" s="111">
        <f>Economic!D42</f>
        <v>7341.9</v>
      </c>
      <c r="AG40" s="111">
        <f>Economic!E42</f>
        <v>7239.5</v>
      </c>
      <c r="AH40" s="111">
        <f>Economic!F42</f>
        <v>596.9</v>
      </c>
      <c r="AI40" s="111">
        <f>Economic!G42</f>
        <v>591.9</v>
      </c>
      <c r="AJ40" s="111">
        <f>Economic!J42</f>
        <v>158.19999999999982</v>
      </c>
      <c r="AK40" s="111">
        <f>Economic!K42</f>
        <v>159.39999999999964</v>
      </c>
      <c r="AL40" s="111">
        <f>Economic!L42</f>
        <v>12.899999999999977</v>
      </c>
      <c r="AM40" s="111">
        <f>Economic!M42</f>
        <v>10.899999999999977</v>
      </c>
      <c r="AN40" s="111">
        <f>Economic!N42</f>
        <v>17742.900000000023</v>
      </c>
      <c r="AO40" s="111">
        <f>Economic!O42</f>
        <v>821</v>
      </c>
      <c r="AP40" s="28">
        <f>Weather!D40</f>
        <v>-4.9610215053763458</v>
      </c>
      <c r="AQ40" s="28">
        <f>Weather!E40</f>
        <v>773.79166666666663</v>
      </c>
      <c r="AR40" s="28">
        <f>Weather!F40</f>
        <v>0</v>
      </c>
      <c r="AS40" s="28">
        <f>Weather!G40</f>
        <v>711.79166666666663</v>
      </c>
      <c r="AT40" s="28">
        <f>Weather!H40</f>
        <v>0</v>
      </c>
      <c r="AU40" s="28">
        <f>Weather!I40</f>
        <v>649.79166666666663</v>
      </c>
      <c r="AV40" s="28">
        <f>Weather!J40</f>
        <v>0</v>
      </c>
      <c r="AW40" s="28">
        <f>Weather!K40</f>
        <v>587.79166666666663</v>
      </c>
      <c r="AX40" s="28">
        <f>Weather!L40</f>
        <v>0</v>
      </c>
      <c r="AY40" s="28">
        <f>Weather!M40</f>
        <v>525.79166666666674</v>
      </c>
      <c r="AZ40" s="28">
        <f>Weather!N40</f>
        <v>0</v>
      </c>
      <c r="BA40" s="28">
        <f>Weather!O40</f>
        <v>463.79166666666674</v>
      </c>
      <c r="BB40" s="28">
        <f>Weather!P40</f>
        <v>0</v>
      </c>
      <c r="BC40" s="28">
        <f>Weather!Q40</f>
        <v>401.79166666666669</v>
      </c>
      <c r="BD40" s="28">
        <f>Weather!R40</f>
        <v>0</v>
      </c>
      <c r="BE40">
        <v>0</v>
      </c>
      <c r="BF40">
        <v>0</v>
      </c>
      <c r="BG40">
        <v>1</v>
      </c>
      <c r="BH40">
        <v>0</v>
      </c>
      <c r="BI40">
        <v>0</v>
      </c>
      <c r="BJ40">
        <v>0</v>
      </c>
      <c r="BK40">
        <v>0</v>
      </c>
      <c r="BL40">
        <v>0</v>
      </c>
      <c r="BM40">
        <v>0</v>
      </c>
      <c r="BN40">
        <v>0</v>
      </c>
      <c r="BO40">
        <v>0</v>
      </c>
      <c r="BP40">
        <v>0</v>
      </c>
      <c r="BQ40">
        <v>1</v>
      </c>
      <c r="BR40">
        <v>0</v>
      </c>
      <c r="BS40">
        <v>1</v>
      </c>
      <c r="BT40" s="1">
        <f t="shared" si="37"/>
        <v>39</v>
      </c>
      <c r="BU40">
        <v>31</v>
      </c>
      <c r="BV40">
        <v>23</v>
      </c>
      <c r="BW40">
        <v>0</v>
      </c>
      <c r="BX40">
        <v>0</v>
      </c>
      <c r="BY40">
        <v>0</v>
      </c>
      <c r="BZ40">
        <v>0</v>
      </c>
      <c r="CA40">
        <f t="shared" si="2"/>
        <v>0</v>
      </c>
      <c r="CB40">
        <f t="shared" si="3"/>
        <v>0</v>
      </c>
      <c r="CC40">
        <f t="shared" si="4"/>
        <v>0</v>
      </c>
      <c r="CD40">
        <f t="shared" si="5"/>
        <v>0</v>
      </c>
      <c r="CE40">
        <f t="shared" si="6"/>
        <v>0</v>
      </c>
      <c r="CF40">
        <f t="shared" si="7"/>
        <v>0</v>
      </c>
      <c r="CG40">
        <f t="shared" si="8"/>
        <v>0</v>
      </c>
      <c r="CH40">
        <f t="shared" si="9"/>
        <v>0</v>
      </c>
      <c r="CI40">
        <f t="shared" si="10"/>
        <v>0</v>
      </c>
      <c r="CJ40">
        <f t="shared" si="11"/>
        <v>0</v>
      </c>
      <c r="CK40">
        <f t="shared" si="12"/>
        <v>0</v>
      </c>
      <c r="CL40">
        <f t="shared" si="13"/>
        <v>0</v>
      </c>
      <c r="CM40">
        <f t="shared" si="14"/>
        <v>0</v>
      </c>
      <c r="CN40">
        <f t="shared" si="15"/>
        <v>0</v>
      </c>
      <c r="CO40" s="14">
        <f t="shared" si="39"/>
        <v>0</v>
      </c>
      <c r="CP40" s="14">
        <f t="shared" si="17"/>
        <v>0</v>
      </c>
      <c r="CQ40" s="14">
        <f t="shared" si="18"/>
        <v>0</v>
      </c>
      <c r="CR40" s="14">
        <f t="shared" si="19"/>
        <v>0</v>
      </c>
      <c r="CS40" s="14">
        <f t="shared" si="20"/>
        <v>0</v>
      </c>
      <c r="CT40" s="14">
        <f t="shared" si="21"/>
        <v>0</v>
      </c>
      <c r="CU40" s="14">
        <f t="shared" si="22"/>
        <v>0</v>
      </c>
      <c r="CV40" s="14">
        <f t="shared" si="23"/>
        <v>0</v>
      </c>
      <c r="CW40" s="14">
        <f t="shared" si="24"/>
        <v>0</v>
      </c>
      <c r="CX40" s="14">
        <f t="shared" si="25"/>
        <v>0</v>
      </c>
      <c r="CY40" s="14">
        <f t="shared" si="26"/>
        <v>0</v>
      </c>
      <c r="CZ40" s="14">
        <f t="shared" si="27"/>
        <v>0</v>
      </c>
      <c r="DA40" s="14">
        <f t="shared" si="28"/>
        <v>0</v>
      </c>
      <c r="DB40" s="14">
        <f t="shared" si="29"/>
        <v>0</v>
      </c>
      <c r="DC40" s="72">
        <f>F40/G40</f>
        <v>16.279397004437911</v>
      </c>
      <c r="DD40" s="72">
        <f t="shared" si="30"/>
        <v>0.52514183885283583</v>
      </c>
      <c r="DE40" s="71">
        <f>F40/BU40</f>
        <v>5162.6694177622294</v>
      </c>
      <c r="DF40" s="72">
        <f>J40/K40</f>
        <v>120.44411395521833</v>
      </c>
      <c r="DG40" s="72">
        <f t="shared" si="31"/>
        <v>3.8852939985554298</v>
      </c>
      <c r="DH40" s="72">
        <f>J40/BU40</f>
        <v>5000.3733761408384</v>
      </c>
      <c r="DI40" s="72">
        <f>N40/P40</f>
        <v>885.22993155740903</v>
      </c>
      <c r="DJ40" s="72">
        <f t="shared" si="32"/>
        <v>28.555804243787389</v>
      </c>
      <c r="DK40" s="72">
        <f t="shared" si="33"/>
        <v>38.488257893800395</v>
      </c>
      <c r="DL40" s="72">
        <f>N40/BU40</f>
        <v>4254.8148323243204</v>
      </c>
      <c r="DM40" s="72">
        <f>N40/BV40</f>
        <v>5734.7504261762588</v>
      </c>
      <c r="DN40" s="1">
        <v>0</v>
      </c>
      <c r="DO40" s="1">
        <v>0</v>
      </c>
    </row>
    <row r="41" spans="1:119">
      <c r="A41" s="93">
        <f t="shared" si="38"/>
        <v>43556</v>
      </c>
      <c r="B41" s="4">
        <f t="shared" si="0"/>
        <v>2019</v>
      </c>
      <c r="C41" s="4">
        <f t="shared" si="1"/>
        <v>4</v>
      </c>
      <c r="D41" s="56">
        <v>0</v>
      </c>
      <c r="E41" s="56">
        <f>IFERROR(VLOOKUP($B41-1,CDM!$J$6:$P$19,2,FALSE)/12,0)+IFERROR(VLOOKUP($B41,CDM!$J$37:$M$48,2,FALSE)/24,0)+IFERROR(VLOOKUP($B41,CDM!$J$37:$M$48,2,FALSE)/2*$C41/78,0)</f>
        <v>160553.68722932957</v>
      </c>
      <c r="F41" s="56">
        <f t="shared" si="34"/>
        <v>160553.68722932957</v>
      </c>
      <c r="G41" s="301">
        <v>9847</v>
      </c>
      <c r="H41" s="56">
        <v>0</v>
      </c>
      <c r="I41" s="56">
        <f>IFERROR(VLOOKUP($B41-1,CDM!$J$6:$P$19,3,FALSE)/12,0)+IFERROR(VLOOKUP($B41,CDM!$J$37:$M$47,3,FALSE)/24,0)+IFERROR(VLOOKUP($B41,CDM!$J$37:$M$47,3,FALSE)/2*$C41/78,0)</f>
        <v>156814.82435037143</v>
      </c>
      <c r="J41" s="56">
        <f t="shared" si="35"/>
        <v>156814.82435037143</v>
      </c>
      <c r="K41" s="6">
        <v>1287</v>
      </c>
      <c r="L41" s="5">
        <v>0</v>
      </c>
      <c r="M41" s="2">
        <f>IFERROR(VLOOKUP($B41-1,CDM!$J$6:$P$19,4,FALSE)/12,0)+IFERROR(VLOOKUP($B41,CDM!$J$37:$M$47,4,FALSE)/24,0)+IFERROR(VLOOKUP($B41,CDM!$J$37:$M$47,4,FALSE)/2*$C41/78,0)</f>
        <v>133417.9945724307</v>
      </c>
      <c r="N41" s="56">
        <f t="shared" si="36"/>
        <v>133417.9945724307</v>
      </c>
      <c r="O41" s="5">
        <v>0</v>
      </c>
      <c r="P41" s="6">
        <v>149</v>
      </c>
      <c r="Q41" s="5">
        <v>0</v>
      </c>
      <c r="R41" s="5">
        <v>0</v>
      </c>
      <c r="S41" s="6">
        <v>2897</v>
      </c>
      <c r="T41" s="6">
        <v>0</v>
      </c>
      <c r="U41" s="6">
        <v>0</v>
      </c>
      <c r="V41" s="6">
        <v>175</v>
      </c>
      <c r="W41" s="5">
        <v>0</v>
      </c>
      <c r="X41" s="1">
        <v>19</v>
      </c>
      <c r="Y41" s="56">
        <v>73895.199999999997</v>
      </c>
      <c r="Z41" s="56">
        <v>6675.2</v>
      </c>
      <c r="AA41" s="71">
        <f>L41-Y41</f>
        <v>-73895.199999999997</v>
      </c>
      <c r="AB41" s="71">
        <f>N41-Y41</f>
        <v>59522.794572430706</v>
      </c>
      <c r="AC41" s="5">
        <f>O41-Z41</f>
        <v>-6675.2</v>
      </c>
      <c r="AD41" s="111">
        <f>Economic!H43</f>
        <v>807274.5</v>
      </c>
      <c r="AE41" s="111">
        <f>Economic!I43</f>
        <v>806729</v>
      </c>
      <c r="AF41" s="111">
        <f>Economic!D43</f>
        <v>7361.6</v>
      </c>
      <c r="AG41" s="111">
        <f>Economic!E43</f>
        <v>7275.7</v>
      </c>
      <c r="AH41" s="111">
        <f>Economic!F43</f>
        <v>595</v>
      </c>
      <c r="AI41" s="111">
        <f>Economic!G43</f>
        <v>593.70000000000005</v>
      </c>
      <c r="AJ41" s="111">
        <f>Economic!J43</f>
        <v>165.60000000000036</v>
      </c>
      <c r="AK41" s="111">
        <f>Economic!K43</f>
        <v>168.59999999999945</v>
      </c>
      <c r="AL41" s="111">
        <f>Economic!L43</f>
        <v>4.2000000000000455</v>
      </c>
      <c r="AM41" s="111">
        <f>Economic!M43</f>
        <v>3.4000000000000909</v>
      </c>
      <c r="AN41" s="111">
        <f>Economic!N43</f>
        <v>17742.900000000023</v>
      </c>
      <c r="AO41" s="111">
        <f>Economic!O43</f>
        <v>5986</v>
      </c>
      <c r="AP41" s="28">
        <f>Weather!D41</f>
        <v>3.2954166666666667</v>
      </c>
      <c r="AQ41" s="28">
        <f>Weather!E41</f>
        <v>501.13749999999999</v>
      </c>
      <c r="AR41" s="28">
        <f>Weather!F41</f>
        <v>0</v>
      </c>
      <c r="AS41" s="28">
        <f>Weather!G41</f>
        <v>441.13750000000005</v>
      </c>
      <c r="AT41" s="28">
        <f>Weather!H41</f>
        <v>0</v>
      </c>
      <c r="AU41" s="28">
        <f>Weather!I41</f>
        <v>381.13750000000005</v>
      </c>
      <c r="AV41" s="28">
        <f>Weather!J41</f>
        <v>0</v>
      </c>
      <c r="AW41" s="28">
        <f>Weather!K41</f>
        <v>321.13750000000005</v>
      </c>
      <c r="AX41" s="28">
        <f>Weather!L41</f>
        <v>0</v>
      </c>
      <c r="AY41" s="28">
        <f>Weather!M41</f>
        <v>261.13750000000005</v>
      </c>
      <c r="AZ41" s="28">
        <f>Weather!N41</f>
        <v>0</v>
      </c>
      <c r="BA41" s="28">
        <f>Weather!O41</f>
        <v>201.13750000000002</v>
      </c>
      <c r="BB41" s="28">
        <f>Weather!P41</f>
        <v>0</v>
      </c>
      <c r="BC41" s="28">
        <f>Weather!Q41</f>
        <v>142.56249999999997</v>
      </c>
      <c r="BD41" s="28">
        <f>Weather!R41</f>
        <v>1.4250000000000007</v>
      </c>
      <c r="BE41">
        <v>0</v>
      </c>
      <c r="BF41">
        <v>0</v>
      </c>
      <c r="BG41">
        <v>0</v>
      </c>
      <c r="BH41">
        <v>1</v>
      </c>
      <c r="BI41">
        <v>0</v>
      </c>
      <c r="BJ41">
        <v>0</v>
      </c>
      <c r="BK41">
        <v>0</v>
      </c>
      <c r="BL41">
        <v>0</v>
      </c>
      <c r="BM41">
        <v>0</v>
      </c>
      <c r="BN41">
        <v>0</v>
      </c>
      <c r="BO41">
        <v>0</v>
      </c>
      <c r="BP41">
        <v>0</v>
      </c>
      <c r="BQ41">
        <v>1</v>
      </c>
      <c r="BR41">
        <v>0</v>
      </c>
      <c r="BS41">
        <v>1</v>
      </c>
      <c r="BT41" s="1">
        <f t="shared" si="37"/>
        <v>40</v>
      </c>
      <c r="BU41">
        <v>30</v>
      </c>
      <c r="BV41">
        <v>19</v>
      </c>
      <c r="BW41">
        <v>0</v>
      </c>
      <c r="BX41">
        <v>0</v>
      </c>
      <c r="BY41">
        <v>0</v>
      </c>
      <c r="BZ41">
        <v>0</v>
      </c>
      <c r="CA41">
        <f t="shared" si="2"/>
        <v>0</v>
      </c>
      <c r="CB41">
        <f t="shared" si="3"/>
        <v>0</v>
      </c>
      <c r="CC41">
        <f t="shared" si="4"/>
        <v>0</v>
      </c>
      <c r="CD41">
        <f t="shared" si="5"/>
        <v>0</v>
      </c>
      <c r="CE41">
        <f t="shared" si="6"/>
        <v>0</v>
      </c>
      <c r="CF41">
        <f t="shared" si="7"/>
        <v>0</v>
      </c>
      <c r="CG41">
        <f t="shared" si="8"/>
        <v>0</v>
      </c>
      <c r="CH41">
        <f t="shared" si="9"/>
        <v>0</v>
      </c>
      <c r="CI41">
        <f t="shared" si="10"/>
        <v>0</v>
      </c>
      <c r="CJ41">
        <f t="shared" si="11"/>
        <v>0</v>
      </c>
      <c r="CK41">
        <f t="shared" si="12"/>
        <v>0</v>
      </c>
      <c r="CL41">
        <f t="shared" si="13"/>
        <v>0</v>
      </c>
      <c r="CM41">
        <f t="shared" si="14"/>
        <v>0</v>
      </c>
      <c r="CN41">
        <f t="shared" si="15"/>
        <v>0</v>
      </c>
      <c r="CO41" s="14">
        <f t="shared" si="39"/>
        <v>0</v>
      </c>
      <c r="CP41" s="14">
        <f t="shared" si="17"/>
        <v>0</v>
      </c>
      <c r="CQ41" s="14">
        <f t="shared" si="18"/>
        <v>0</v>
      </c>
      <c r="CR41" s="14">
        <f t="shared" si="19"/>
        <v>0</v>
      </c>
      <c r="CS41" s="14">
        <f t="shared" si="20"/>
        <v>0</v>
      </c>
      <c r="CT41" s="14">
        <f t="shared" si="21"/>
        <v>0</v>
      </c>
      <c r="CU41" s="14">
        <f t="shared" si="22"/>
        <v>0</v>
      </c>
      <c r="CV41" s="14">
        <f t="shared" si="23"/>
        <v>0</v>
      </c>
      <c r="CW41" s="14">
        <f t="shared" si="24"/>
        <v>0</v>
      </c>
      <c r="CX41" s="14">
        <f t="shared" si="25"/>
        <v>0</v>
      </c>
      <c r="CY41" s="14">
        <f t="shared" si="26"/>
        <v>0</v>
      </c>
      <c r="CZ41" s="14">
        <f t="shared" si="27"/>
        <v>0</v>
      </c>
      <c r="DA41" s="14">
        <f t="shared" si="28"/>
        <v>0</v>
      </c>
      <c r="DB41" s="14">
        <f t="shared" si="29"/>
        <v>0</v>
      </c>
      <c r="DC41" s="72">
        <f>F41/G41</f>
        <v>16.304832662671835</v>
      </c>
      <c r="DD41" s="72">
        <f t="shared" si="30"/>
        <v>0.54349442208906118</v>
      </c>
      <c r="DE41" s="71">
        <f>F41/BU41</f>
        <v>5351.7895743109857</v>
      </c>
      <c r="DF41" s="72">
        <f>J41/K41</f>
        <v>121.84524036547897</v>
      </c>
      <c r="DG41" s="72">
        <f t="shared" si="31"/>
        <v>4.0615080121826326</v>
      </c>
      <c r="DH41" s="72">
        <f>J41/BU41</f>
        <v>5227.1608116790476</v>
      </c>
      <c r="DI41" s="72">
        <f>N41/P41</f>
        <v>895.42278236530672</v>
      </c>
      <c r="DJ41" s="72">
        <f t="shared" si="32"/>
        <v>29.847426078843558</v>
      </c>
      <c r="DK41" s="72">
        <f t="shared" si="33"/>
        <v>47.127514861331932</v>
      </c>
      <c r="DL41" s="72">
        <f>N41/BU41</f>
        <v>4447.2664857476902</v>
      </c>
      <c r="DM41" s="72">
        <f>N41/BV41</f>
        <v>7021.999714338458</v>
      </c>
      <c r="DN41" s="1">
        <v>0</v>
      </c>
      <c r="DO41" s="1">
        <v>0</v>
      </c>
    </row>
    <row r="42" spans="1:119">
      <c r="A42" s="93">
        <f t="shared" si="38"/>
        <v>43586</v>
      </c>
      <c r="B42" s="4">
        <f t="shared" si="0"/>
        <v>2019</v>
      </c>
      <c r="C42" s="4">
        <f t="shared" si="1"/>
        <v>5</v>
      </c>
      <c r="D42" s="56">
        <v>0</v>
      </c>
      <c r="E42" s="56">
        <f>IFERROR(VLOOKUP($B42-1,CDM!$J$6:$P$19,2,FALSE)/12,0)+IFERROR(VLOOKUP($B42,CDM!$J$37:$M$48,2,FALSE)/24,0)+IFERROR(VLOOKUP($B42,CDM!$J$37:$M$48,2,FALSE)/2*$C42/78,0)</f>
        <v>161064.62250803006</v>
      </c>
      <c r="F42" s="56">
        <f t="shared" si="34"/>
        <v>161064.62250803006</v>
      </c>
      <c r="G42" s="301">
        <v>9859</v>
      </c>
      <c r="H42" s="56">
        <v>0</v>
      </c>
      <c r="I42" s="56">
        <f>IFERROR(VLOOKUP($B42-1,CDM!$J$6:$P$19,3,FALSE)/12,0)+IFERROR(VLOOKUP($B42,CDM!$J$37:$M$47,3,FALSE)/24,0)+IFERROR(VLOOKUP($B42,CDM!$J$37:$M$47,3,FALSE)/2*$C42/78,0)</f>
        <v>158618.0740403769</v>
      </c>
      <c r="J42" s="56">
        <f t="shared" si="35"/>
        <v>158618.0740403769</v>
      </c>
      <c r="K42" s="6">
        <v>1286</v>
      </c>
      <c r="L42" s="5">
        <v>0</v>
      </c>
      <c r="M42" s="2">
        <f>IFERROR(VLOOKUP($B42-1,CDM!$J$6:$P$19,4,FALSE)/12,0)+IFERROR(VLOOKUP($B42,CDM!$J$37:$M$47,4,FALSE)/24,0)+IFERROR(VLOOKUP($B42,CDM!$J$37:$M$47,4,FALSE)/2*$C42/78,0)</f>
        <v>134936.72934280749</v>
      </c>
      <c r="N42" s="56">
        <f t="shared" si="36"/>
        <v>134936.72934280749</v>
      </c>
      <c r="O42" s="5">
        <v>0</v>
      </c>
      <c r="P42" s="6">
        <v>149</v>
      </c>
      <c r="Q42" s="5">
        <v>0</v>
      </c>
      <c r="R42" s="5">
        <v>0</v>
      </c>
      <c r="S42" s="6">
        <v>2897</v>
      </c>
      <c r="T42" s="6">
        <v>0</v>
      </c>
      <c r="U42" s="6">
        <v>0</v>
      </c>
      <c r="V42" s="6">
        <v>175</v>
      </c>
      <c r="W42" s="5">
        <v>0</v>
      </c>
      <c r="X42" s="1">
        <v>19</v>
      </c>
      <c r="Y42" s="56">
        <v>94198</v>
      </c>
      <c r="Z42" s="56">
        <v>5558.4</v>
      </c>
      <c r="AA42" s="71">
        <f>L42-Y42</f>
        <v>-94198</v>
      </c>
      <c r="AB42" s="71">
        <f>N42-Y42</f>
        <v>40738.729342807492</v>
      </c>
      <c r="AC42" s="5">
        <f>O42-Z42</f>
        <v>-5558.4</v>
      </c>
      <c r="AD42" s="111">
        <f>Economic!H44</f>
        <v>807274.5</v>
      </c>
      <c r="AE42" s="111">
        <f>Economic!I44</f>
        <v>806729</v>
      </c>
      <c r="AF42" s="111">
        <f>Economic!D44</f>
        <v>7376.4</v>
      </c>
      <c r="AG42" s="111">
        <f>Economic!E44</f>
        <v>7345.7</v>
      </c>
      <c r="AH42" s="111">
        <f>Economic!F44</f>
        <v>595.29999999999995</v>
      </c>
      <c r="AI42" s="111">
        <f>Economic!G44</f>
        <v>597.1</v>
      </c>
      <c r="AJ42" s="111">
        <f>Economic!J44</f>
        <v>171.39999999999964</v>
      </c>
      <c r="AK42" s="111">
        <f>Economic!K44</f>
        <v>173.30000000000018</v>
      </c>
      <c r="AL42" s="111">
        <f>Economic!L44</f>
        <v>1.5999999999999091</v>
      </c>
      <c r="AM42" s="111">
        <f>Economic!M44</f>
        <v>1.2000000000000455</v>
      </c>
      <c r="AN42" s="111">
        <f>Economic!N44</f>
        <v>17742.900000000023</v>
      </c>
      <c r="AO42" s="111">
        <f>Economic!O44</f>
        <v>5986</v>
      </c>
      <c r="AP42" s="28">
        <f>Weather!D42</f>
        <v>10.082930107526883</v>
      </c>
      <c r="AQ42" s="28">
        <f>Weather!E42</f>
        <v>307.42916666666667</v>
      </c>
      <c r="AR42" s="28">
        <f>Weather!F42</f>
        <v>0</v>
      </c>
      <c r="AS42" s="28">
        <f>Weather!G42</f>
        <v>245.42916666666662</v>
      </c>
      <c r="AT42" s="28">
        <f>Weather!H42</f>
        <v>0</v>
      </c>
      <c r="AU42" s="28">
        <f>Weather!I42</f>
        <v>184.12083333333331</v>
      </c>
      <c r="AV42" s="28">
        <f>Weather!J42</f>
        <v>0.69166666666666643</v>
      </c>
      <c r="AW42" s="28">
        <f>Weather!K42</f>
        <v>126.47499999999999</v>
      </c>
      <c r="AX42" s="28">
        <f>Weather!L42</f>
        <v>5.0458333333333307</v>
      </c>
      <c r="AY42" s="28">
        <f>Weather!M42</f>
        <v>75.495833333333323</v>
      </c>
      <c r="AZ42" s="28">
        <f>Weather!N42</f>
        <v>16.06666666666667</v>
      </c>
      <c r="BA42" s="28">
        <f>Weather!O42</f>
        <v>37.637500000000003</v>
      </c>
      <c r="BB42" s="28">
        <f>Weather!P42</f>
        <v>40.208333333333343</v>
      </c>
      <c r="BC42" s="28">
        <f>Weather!Q42</f>
        <v>13.55833333333333</v>
      </c>
      <c r="BD42" s="28">
        <f>Weather!R42</f>
        <v>78.129166666666663</v>
      </c>
      <c r="BE42">
        <v>0</v>
      </c>
      <c r="BF42">
        <v>0</v>
      </c>
      <c r="BG42">
        <v>0</v>
      </c>
      <c r="BH42">
        <v>0</v>
      </c>
      <c r="BI42">
        <v>1</v>
      </c>
      <c r="BJ42">
        <v>0</v>
      </c>
      <c r="BK42">
        <v>0</v>
      </c>
      <c r="BL42">
        <v>0</v>
      </c>
      <c r="BM42">
        <v>0</v>
      </c>
      <c r="BN42">
        <v>0</v>
      </c>
      <c r="BO42">
        <v>0</v>
      </c>
      <c r="BP42">
        <v>0</v>
      </c>
      <c r="BQ42">
        <v>1</v>
      </c>
      <c r="BR42">
        <v>0</v>
      </c>
      <c r="BS42">
        <v>1</v>
      </c>
      <c r="BT42" s="1">
        <f t="shared" si="37"/>
        <v>41</v>
      </c>
      <c r="BU42">
        <v>31</v>
      </c>
      <c r="BV42">
        <v>22</v>
      </c>
      <c r="BW42">
        <v>0</v>
      </c>
      <c r="BX42">
        <v>0</v>
      </c>
      <c r="BY42">
        <v>0</v>
      </c>
      <c r="BZ42">
        <v>0</v>
      </c>
      <c r="CA42">
        <f t="shared" si="2"/>
        <v>0</v>
      </c>
      <c r="CB42">
        <f t="shared" si="3"/>
        <v>0</v>
      </c>
      <c r="CC42">
        <f t="shared" si="4"/>
        <v>0</v>
      </c>
      <c r="CD42">
        <f t="shared" si="5"/>
        <v>0</v>
      </c>
      <c r="CE42">
        <f t="shared" si="6"/>
        <v>0</v>
      </c>
      <c r="CF42">
        <f t="shared" si="7"/>
        <v>0</v>
      </c>
      <c r="CG42">
        <f t="shared" si="8"/>
        <v>0</v>
      </c>
      <c r="CH42">
        <f t="shared" si="9"/>
        <v>0</v>
      </c>
      <c r="CI42">
        <f t="shared" si="10"/>
        <v>0</v>
      </c>
      <c r="CJ42">
        <f t="shared" si="11"/>
        <v>0</v>
      </c>
      <c r="CK42">
        <f t="shared" si="12"/>
        <v>0</v>
      </c>
      <c r="CL42">
        <f t="shared" si="13"/>
        <v>0</v>
      </c>
      <c r="CM42">
        <f t="shared" si="14"/>
        <v>0</v>
      </c>
      <c r="CN42">
        <f t="shared" si="15"/>
        <v>0</v>
      </c>
      <c r="CO42" s="14">
        <f t="shared" si="39"/>
        <v>0</v>
      </c>
      <c r="CP42" s="14">
        <f t="shared" si="17"/>
        <v>0</v>
      </c>
      <c r="CQ42" s="14">
        <f t="shared" si="18"/>
        <v>0</v>
      </c>
      <c r="CR42" s="14">
        <f t="shared" si="19"/>
        <v>0</v>
      </c>
      <c r="CS42" s="14">
        <f t="shared" si="20"/>
        <v>0</v>
      </c>
      <c r="CT42" s="14">
        <f t="shared" si="21"/>
        <v>0</v>
      </c>
      <c r="CU42" s="14">
        <f t="shared" si="22"/>
        <v>0</v>
      </c>
      <c r="CV42" s="14">
        <f t="shared" si="23"/>
        <v>0</v>
      </c>
      <c r="CW42" s="14">
        <f t="shared" si="24"/>
        <v>0</v>
      </c>
      <c r="CX42" s="14">
        <f t="shared" si="25"/>
        <v>0</v>
      </c>
      <c r="CY42" s="14">
        <f t="shared" si="26"/>
        <v>0</v>
      </c>
      <c r="CZ42" s="14">
        <f t="shared" si="27"/>
        <v>0</v>
      </c>
      <c r="DA42" s="14">
        <f t="shared" si="28"/>
        <v>0</v>
      </c>
      <c r="DB42" s="14">
        <f t="shared" si="29"/>
        <v>0</v>
      </c>
      <c r="DC42" s="72">
        <f>F42/G42</f>
        <v>16.336811289991893</v>
      </c>
      <c r="DD42" s="72">
        <f t="shared" si="30"/>
        <v>0.52699391258038364</v>
      </c>
      <c r="DE42" s="71">
        <f>F42/BU42</f>
        <v>5195.6329841300021</v>
      </c>
      <c r="DF42" s="72">
        <f>J42/K42</f>
        <v>123.34220376390117</v>
      </c>
      <c r="DG42" s="72">
        <f t="shared" si="31"/>
        <v>3.9787807665774571</v>
      </c>
      <c r="DH42" s="72">
        <f>J42/BU42</f>
        <v>5116.7120658186095</v>
      </c>
      <c r="DI42" s="72">
        <f>N42/P42</f>
        <v>905.61563317320463</v>
      </c>
      <c r="DJ42" s="72">
        <f t="shared" si="32"/>
        <v>29.213407521716277</v>
      </c>
      <c r="DK42" s="72">
        <f t="shared" si="33"/>
        <v>41.164346962418392</v>
      </c>
      <c r="DL42" s="72">
        <f>N42/BU42</f>
        <v>4352.7977207357253</v>
      </c>
      <c r="DM42" s="72">
        <f>N42/BV42</f>
        <v>6133.4876974003409</v>
      </c>
      <c r="DN42" s="1">
        <v>0</v>
      </c>
      <c r="DO42" s="1">
        <v>0</v>
      </c>
    </row>
    <row r="43" spans="1:119">
      <c r="A43" s="93">
        <f t="shared" si="38"/>
        <v>43617</v>
      </c>
      <c r="B43" s="4">
        <f t="shared" si="0"/>
        <v>2019</v>
      </c>
      <c r="C43" s="4">
        <f t="shared" si="1"/>
        <v>6</v>
      </c>
      <c r="D43" s="56">
        <v>0</v>
      </c>
      <c r="E43" s="56">
        <f>IFERROR(VLOOKUP($B43-1,CDM!$J$6:$P$19,2,FALSE)/12,0)+IFERROR(VLOOKUP($B43,CDM!$J$37:$M$48,2,FALSE)/24,0)+IFERROR(VLOOKUP($B43,CDM!$J$37:$M$48,2,FALSE)/2*$C43/78,0)</f>
        <v>161575.55778673053</v>
      </c>
      <c r="F43" s="56">
        <f t="shared" si="34"/>
        <v>161575.55778673053</v>
      </c>
      <c r="G43" s="301">
        <v>9857</v>
      </c>
      <c r="H43" s="56">
        <v>0</v>
      </c>
      <c r="I43" s="56">
        <f>IFERROR(VLOOKUP($B43-1,CDM!$J$6:$P$19,3,FALSE)/12,0)+IFERROR(VLOOKUP($B43,CDM!$J$37:$M$47,3,FALSE)/24,0)+IFERROR(VLOOKUP($B43,CDM!$J$37:$M$47,3,FALSE)/2*$C43/78,0)</f>
        <v>160421.32373038234</v>
      </c>
      <c r="J43" s="56">
        <f t="shared" si="35"/>
        <v>160421.32373038234</v>
      </c>
      <c r="K43" s="6">
        <v>1286</v>
      </c>
      <c r="L43" s="5">
        <v>0</v>
      </c>
      <c r="M43" s="2">
        <f>IFERROR(VLOOKUP($B43-1,CDM!$J$6:$P$19,4,FALSE)/12,0)+IFERROR(VLOOKUP($B43,CDM!$J$37:$M$47,4,FALSE)/24,0)+IFERROR(VLOOKUP($B43,CDM!$J$37:$M$47,4,FALSE)/2*$C43/78,0)</f>
        <v>136455.46411318425</v>
      </c>
      <c r="N43" s="56">
        <f t="shared" si="36"/>
        <v>136455.46411318425</v>
      </c>
      <c r="O43" s="5">
        <v>0</v>
      </c>
      <c r="P43" s="6">
        <v>149</v>
      </c>
      <c r="Q43" s="5">
        <v>0</v>
      </c>
      <c r="R43" s="5">
        <v>0</v>
      </c>
      <c r="S43" s="6">
        <v>2897</v>
      </c>
      <c r="T43" s="6">
        <v>0</v>
      </c>
      <c r="U43" s="6">
        <v>0</v>
      </c>
      <c r="V43" s="6">
        <v>175</v>
      </c>
      <c r="W43" s="5">
        <v>0</v>
      </c>
      <c r="X43" s="1">
        <v>19</v>
      </c>
      <c r="Y43" s="56">
        <v>14962.4</v>
      </c>
      <c r="Z43" s="56">
        <v>2883.2</v>
      </c>
      <c r="AA43" s="71">
        <f>L43-Y43</f>
        <v>-14962.4</v>
      </c>
      <c r="AB43" s="71">
        <f>N43-Y43</f>
        <v>121493.06411318426</v>
      </c>
      <c r="AC43" s="5">
        <f>O43-Z43</f>
        <v>-2883.2</v>
      </c>
      <c r="AD43" s="111">
        <f>Economic!H45</f>
        <v>807274.5</v>
      </c>
      <c r="AE43" s="111">
        <f>Economic!I45</f>
        <v>806729</v>
      </c>
      <c r="AF43" s="111">
        <f>Economic!D45</f>
        <v>7396.1</v>
      </c>
      <c r="AG43" s="111">
        <f>Economic!E45</f>
        <v>7436.8</v>
      </c>
      <c r="AH43" s="111">
        <f>Economic!F45</f>
        <v>597.1</v>
      </c>
      <c r="AI43" s="111">
        <f>Economic!G45</f>
        <v>603.4</v>
      </c>
      <c r="AJ43" s="111">
        <f>Economic!J45</f>
        <v>179.40000000000055</v>
      </c>
      <c r="AK43" s="111">
        <f>Economic!K45</f>
        <v>178.80000000000018</v>
      </c>
      <c r="AL43" s="111">
        <f>Economic!L45</f>
        <v>3.3999999999999773</v>
      </c>
      <c r="AM43" s="111">
        <f>Economic!M45</f>
        <v>3.5</v>
      </c>
      <c r="AN43" s="111">
        <f>Economic!N45</f>
        <v>17742.900000000023</v>
      </c>
      <c r="AO43" s="111">
        <f>Economic!O45</f>
        <v>5986</v>
      </c>
      <c r="AP43" s="28">
        <f>Weather!D43</f>
        <v>16.270833333333336</v>
      </c>
      <c r="AQ43" s="28">
        <f>Weather!E43</f>
        <v>114.8875</v>
      </c>
      <c r="AR43" s="28">
        <f>Weather!F43</f>
        <v>3.0125000000000099</v>
      </c>
      <c r="AS43" s="28">
        <f>Weather!G43</f>
        <v>68.995833333333337</v>
      </c>
      <c r="AT43" s="28">
        <f>Weather!H43</f>
        <v>17.120833333333337</v>
      </c>
      <c r="AU43" s="28">
        <f>Weather!I43</f>
        <v>36.287500000000001</v>
      </c>
      <c r="AV43" s="28">
        <f>Weather!J43</f>
        <v>44.412499999999994</v>
      </c>
      <c r="AW43" s="28">
        <f>Weather!K43</f>
        <v>15.075000000000003</v>
      </c>
      <c r="AX43" s="28">
        <f>Weather!L43</f>
        <v>83.199999999999989</v>
      </c>
      <c r="AY43" s="28">
        <f>Weather!M43</f>
        <v>6.5708333333333382</v>
      </c>
      <c r="AZ43" s="28">
        <f>Weather!N43</f>
        <v>134.69583333333335</v>
      </c>
      <c r="BA43" s="28">
        <f>Weather!O43</f>
        <v>0.80416666666666892</v>
      </c>
      <c r="BB43" s="28">
        <f>Weather!P43</f>
        <v>188.9291666666667</v>
      </c>
      <c r="BC43" s="28">
        <f>Weather!Q43</f>
        <v>0</v>
      </c>
      <c r="BD43" s="28">
        <f>Weather!R43</f>
        <v>248.12500000000006</v>
      </c>
      <c r="BE43">
        <v>0</v>
      </c>
      <c r="BF43">
        <v>0</v>
      </c>
      <c r="BG43">
        <v>0</v>
      </c>
      <c r="BH43">
        <v>0</v>
      </c>
      <c r="BI43">
        <v>0</v>
      </c>
      <c r="BJ43">
        <v>1</v>
      </c>
      <c r="BK43">
        <v>0</v>
      </c>
      <c r="BL43">
        <v>0</v>
      </c>
      <c r="BM43">
        <v>0</v>
      </c>
      <c r="BN43">
        <v>0</v>
      </c>
      <c r="BO43">
        <v>0</v>
      </c>
      <c r="BP43">
        <v>0</v>
      </c>
      <c r="BQ43">
        <v>0</v>
      </c>
      <c r="BR43">
        <v>0</v>
      </c>
      <c r="BS43">
        <v>0</v>
      </c>
      <c r="BT43" s="1">
        <f t="shared" si="37"/>
        <v>42</v>
      </c>
      <c r="BU43">
        <v>30</v>
      </c>
      <c r="BV43">
        <v>22</v>
      </c>
      <c r="BW43">
        <v>0</v>
      </c>
      <c r="BX43">
        <v>0</v>
      </c>
      <c r="BY43">
        <v>0</v>
      </c>
      <c r="BZ43">
        <v>0</v>
      </c>
      <c r="CA43">
        <f t="shared" si="2"/>
        <v>0</v>
      </c>
      <c r="CB43">
        <f t="shared" si="3"/>
        <v>0</v>
      </c>
      <c r="CC43">
        <f t="shared" si="4"/>
        <v>0</v>
      </c>
      <c r="CD43">
        <f t="shared" si="5"/>
        <v>0</v>
      </c>
      <c r="CE43">
        <f t="shared" si="6"/>
        <v>0</v>
      </c>
      <c r="CF43">
        <f t="shared" si="7"/>
        <v>0</v>
      </c>
      <c r="CG43">
        <f t="shared" si="8"/>
        <v>0</v>
      </c>
      <c r="CH43">
        <f t="shared" si="9"/>
        <v>0</v>
      </c>
      <c r="CI43">
        <f t="shared" si="10"/>
        <v>0</v>
      </c>
      <c r="CJ43">
        <f t="shared" si="11"/>
        <v>0</v>
      </c>
      <c r="CK43">
        <f t="shared" si="12"/>
        <v>0</v>
      </c>
      <c r="CL43">
        <f t="shared" si="13"/>
        <v>0</v>
      </c>
      <c r="CM43">
        <f t="shared" si="14"/>
        <v>0</v>
      </c>
      <c r="CN43">
        <f t="shared" si="15"/>
        <v>0</v>
      </c>
      <c r="CO43" s="14">
        <f t="shared" si="39"/>
        <v>0</v>
      </c>
      <c r="CP43" s="14">
        <f t="shared" si="17"/>
        <v>0</v>
      </c>
      <c r="CQ43" s="14">
        <f t="shared" si="18"/>
        <v>0</v>
      </c>
      <c r="CR43" s="14">
        <f t="shared" si="19"/>
        <v>0</v>
      </c>
      <c r="CS43" s="14">
        <f t="shared" si="20"/>
        <v>0</v>
      </c>
      <c r="CT43" s="14">
        <f t="shared" si="21"/>
        <v>0</v>
      </c>
      <c r="CU43" s="14">
        <f t="shared" si="22"/>
        <v>0</v>
      </c>
      <c r="CV43" s="14">
        <f t="shared" si="23"/>
        <v>0</v>
      </c>
      <c r="CW43" s="14">
        <f t="shared" si="24"/>
        <v>0</v>
      </c>
      <c r="CX43" s="14">
        <f t="shared" si="25"/>
        <v>0</v>
      </c>
      <c r="CY43" s="14">
        <f t="shared" si="26"/>
        <v>0</v>
      </c>
      <c r="CZ43" s="14">
        <f t="shared" si="27"/>
        <v>0</v>
      </c>
      <c r="DA43" s="14">
        <f t="shared" si="28"/>
        <v>0</v>
      </c>
      <c r="DB43" s="14">
        <f t="shared" si="29"/>
        <v>0</v>
      </c>
      <c r="DC43" s="72">
        <f>F43/G43</f>
        <v>16.391960818375829</v>
      </c>
      <c r="DD43" s="72">
        <f t="shared" si="30"/>
        <v>0.54639869394586094</v>
      </c>
      <c r="DE43" s="71">
        <f>F43/BU43</f>
        <v>5385.8519262243508</v>
      </c>
      <c r="DF43" s="72">
        <f>J43/K43</f>
        <v>124.74441969703138</v>
      </c>
      <c r="DG43" s="72">
        <f t="shared" si="31"/>
        <v>4.1581473232343793</v>
      </c>
      <c r="DH43" s="72">
        <f>J43/BU43</f>
        <v>5347.3774576794112</v>
      </c>
      <c r="DI43" s="72">
        <f>N43/P43</f>
        <v>915.80848398110231</v>
      </c>
      <c r="DJ43" s="72">
        <f t="shared" si="32"/>
        <v>30.526949466036744</v>
      </c>
      <c r="DK43" s="72">
        <f t="shared" si="33"/>
        <v>41.627658362777375</v>
      </c>
      <c r="DL43" s="72">
        <f>N43/BU43</f>
        <v>4548.5154704394754</v>
      </c>
      <c r="DM43" s="72">
        <f>N43/BV43</f>
        <v>6202.5210960538298</v>
      </c>
      <c r="DN43" s="1">
        <v>0</v>
      </c>
      <c r="DO43" s="1">
        <v>0</v>
      </c>
    </row>
    <row r="44" spans="1:119">
      <c r="A44" s="93">
        <f t="shared" si="38"/>
        <v>43647</v>
      </c>
      <c r="B44" s="4">
        <f t="shared" si="0"/>
        <v>2019</v>
      </c>
      <c r="C44" s="4">
        <f t="shared" si="1"/>
        <v>7</v>
      </c>
      <c r="D44" s="56">
        <v>0</v>
      </c>
      <c r="E44" s="56">
        <f>IFERROR(VLOOKUP($B44-1,CDM!$J$6:$P$19,2,FALSE)/12,0)+IFERROR(VLOOKUP($B44,CDM!$J$37:$M$48,2,FALSE)/24,0)+IFERROR(VLOOKUP($B44,CDM!$J$37:$M$48,2,FALSE)/2*$C44/78,0)</f>
        <v>162086.49306543099</v>
      </c>
      <c r="F44" s="56">
        <f t="shared" si="34"/>
        <v>162086.49306543099</v>
      </c>
      <c r="G44" s="301">
        <v>9864</v>
      </c>
      <c r="H44" s="56">
        <v>0</v>
      </c>
      <c r="I44" s="56">
        <f>IFERROR(VLOOKUP($B44-1,CDM!$J$6:$P$19,3,FALSE)/12,0)+IFERROR(VLOOKUP($B44,CDM!$J$37:$M$47,3,FALSE)/24,0)+IFERROR(VLOOKUP($B44,CDM!$J$37:$M$47,3,FALSE)/2*$C44/78,0)</f>
        <v>162224.57342038781</v>
      </c>
      <c r="J44" s="56">
        <f t="shared" si="35"/>
        <v>162224.57342038781</v>
      </c>
      <c r="K44" s="6">
        <v>1285</v>
      </c>
      <c r="L44" s="5">
        <v>0</v>
      </c>
      <c r="M44" s="2">
        <f>IFERROR(VLOOKUP($B44-1,CDM!$J$6:$P$19,4,FALSE)/12,0)+IFERROR(VLOOKUP($B44,CDM!$J$37:$M$47,4,FALSE)/24,0)+IFERROR(VLOOKUP($B44,CDM!$J$37:$M$47,4,FALSE)/2*$C44/78,0)</f>
        <v>137974.19888356104</v>
      </c>
      <c r="N44" s="56">
        <f t="shared" si="36"/>
        <v>137974.19888356104</v>
      </c>
      <c r="O44" s="5">
        <v>0</v>
      </c>
      <c r="P44" s="6">
        <v>149</v>
      </c>
      <c r="Q44" s="5">
        <v>0</v>
      </c>
      <c r="R44" s="5">
        <v>0</v>
      </c>
      <c r="S44" s="6">
        <v>2897</v>
      </c>
      <c r="T44" s="6">
        <v>0</v>
      </c>
      <c r="U44" s="6">
        <v>0</v>
      </c>
      <c r="V44" s="6">
        <v>175</v>
      </c>
      <c r="W44" s="5">
        <v>0</v>
      </c>
      <c r="X44" s="1">
        <v>19</v>
      </c>
      <c r="Y44" s="56">
        <v>19603.599999999999</v>
      </c>
      <c r="Z44" s="56">
        <v>3529.6</v>
      </c>
      <c r="AA44" s="71">
        <f>L44-Y44</f>
        <v>-19603.599999999999</v>
      </c>
      <c r="AB44" s="71">
        <f>N44-Y44</f>
        <v>118370.59888356103</v>
      </c>
      <c r="AC44" s="5">
        <f>O44-Z44</f>
        <v>-3529.6</v>
      </c>
      <c r="AD44" s="111">
        <f>Economic!H46</f>
        <v>807274.5</v>
      </c>
      <c r="AE44" s="111">
        <f>Economic!I46</f>
        <v>810697</v>
      </c>
      <c r="AF44" s="111">
        <f>Economic!D46</f>
        <v>7399.6</v>
      </c>
      <c r="AG44" s="111">
        <f>Economic!E46</f>
        <v>7484.5</v>
      </c>
      <c r="AH44" s="111">
        <f>Economic!F46</f>
        <v>604.6</v>
      </c>
      <c r="AI44" s="111">
        <f>Economic!G46</f>
        <v>614.5</v>
      </c>
      <c r="AJ44" s="111">
        <f>Economic!J46</f>
        <v>150.5</v>
      </c>
      <c r="AK44" s="111">
        <f>Economic!K46</f>
        <v>145.80000000000018</v>
      </c>
      <c r="AL44" s="111">
        <f>Economic!L46</f>
        <v>14.5</v>
      </c>
      <c r="AM44" s="111">
        <f>Economic!M46</f>
        <v>15.200000000000045</v>
      </c>
      <c r="AN44" s="111">
        <f>Economic!N46</f>
        <v>17742.900000000023</v>
      </c>
      <c r="AO44" s="111">
        <f>Economic!O46</f>
        <v>3968</v>
      </c>
      <c r="AP44" s="28">
        <f>Weather!D44</f>
        <v>21.368951612903224</v>
      </c>
      <c r="AQ44" s="28">
        <f>Weather!E44</f>
        <v>14.054166666666667</v>
      </c>
      <c r="AR44" s="28">
        <f>Weather!F44</f>
        <v>56.491666666666646</v>
      </c>
      <c r="AS44" s="28">
        <f>Weather!G44</f>
        <v>1.4625000000000021</v>
      </c>
      <c r="AT44" s="28">
        <f>Weather!H44</f>
        <v>105.89999999999998</v>
      </c>
      <c r="AU44" s="28">
        <f>Weather!I44</f>
        <v>0</v>
      </c>
      <c r="AV44" s="28">
        <f>Weather!J44</f>
        <v>166.43749999999997</v>
      </c>
      <c r="AW44" s="28">
        <f>Weather!K44</f>
        <v>0</v>
      </c>
      <c r="AX44" s="28">
        <f>Weather!L44</f>
        <v>228.43749999999991</v>
      </c>
      <c r="AY44" s="28">
        <f>Weather!M44</f>
        <v>0</v>
      </c>
      <c r="AZ44" s="28">
        <f>Weather!N44</f>
        <v>290.43749999999994</v>
      </c>
      <c r="BA44" s="28">
        <f>Weather!O44</f>
        <v>0</v>
      </c>
      <c r="BB44" s="28">
        <f>Weather!P44</f>
        <v>352.4375</v>
      </c>
      <c r="BC44" s="28">
        <f>Weather!Q44</f>
        <v>0</v>
      </c>
      <c r="BD44" s="28">
        <f>Weather!R44</f>
        <v>414.4375</v>
      </c>
      <c r="BE44">
        <v>0</v>
      </c>
      <c r="BF44">
        <v>0</v>
      </c>
      <c r="BG44">
        <v>0</v>
      </c>
      <c r="BH44">
        <v>0</v>
      </c>
      <c r="BI44">
        <v>0</v>
      </c>
      <c r="BJ44">
        <v>0</v>
      </c>
      <c r="BK44">
        <v>1</v>
      </c>
      <c r="BL44">
        <v>0</v>
      </c>
      <c r="BM44">
        <v>0</v>
      </c>
      <c r="BN44">
        <v>0</v>
      </c>
      <c r="BO44">
        <v>0</v>
      </c>
      <c r="BP44">
        <v>0</v>
      </c>
      <c r="BQ44">
        <v>0</v>
      </c>
      <c r="BR44">
        <v>0</v>
      </c>
      <c r="BS44">
        <v>0</v>
      </c>
      <c r="BT44" s="1">
        <f t="shared" si="37"/>
        <v>43</v>
      </c>
      <c r="BU44">
        <v>31</v>
      </c>
      <c r="BV44">
        <v>20</v>
      </c>
      <c r="BW44">
        <v>0</v>
      </c>
      <c r="BX44">
        <v>0</v>
      </c>
      <c r="BY44">
        <v>0</v>
      </c>
      <c r="BZ44">
        <v>0</v>
      </c>
      <c r="CA44">
        <f t="shared" si="2"/>
        <v>0</v>
      </c>
      <c r="CB44">
        <f t="shared" si="3"/>
        <v>0</v>
      </c>
      <c r="CC44">
        <f t="shared" si="4"/>
        <v>0</v>
      </c>
      <c r="CD44">
        <f t="shared" si="5"/>
        <v>0</v>
      </c>
      <c r="CE44">
        <f t="shared" si="6"/>
        <v>0</v>
      </c>
      <c r="CF44">
        <f t="shared" si="7"/>
        <v>0</v>
      </c>
      <c r="CG44">
        <f t="shared" si="8"/>
        <v>0</v>
      </c>
      <c r="CH44">
        <f t="shared" si="9"/>
        <v>0</v>
      </c>
      <c r="CI44">
        <f t="shared" si="10"/>
        <v>0</v>
      </c>
      <c r="CJ44">
        <f t="shared" si="11"/>
        <v>0</v>
      </c>
      <c r="CK44">
        <f t="shared" si="12"/>
        <v>0</v>
      </c>
      <c r="CL44">
        <f t="shared" si="13"/>
        <v>0</v>
      </c>
      <c r="CM44">
        <f t="shared" si="14"/>
        <v>0</v>
      </c>
      <c r="CN44">
        <f t="shared" si="15"/>
        <v>0</v>
      </c>
      <c r="CO44" s="14">
        <f t="shared" si="39"/>
        <v>0</v>
      </c>
      <c r="CP44" s="14">
        <f t="shared" si="17"/>
        <v>0</v>
      </c>
      <c r="CQ44" s="14">
        <f t="shared" si="18"/>
        <v>0</v>
      </c>
      <c r="CR44" s="14">
        <f t="shared" si="19"/>
        <v>0</v>
      </c>
      <c r="CS44" s="14">
        <f t="shared" si="20"/>
        <v>0</v>
      </c>
      <c r="CT44" s="14">
        <f t="shared" si="21"/>
        <v>0</v>
      </c>
      <c r="CU44" s="14">
        <f t="shared" si="22"/>
        <v>0</v>
      </c>
      <c r="CV44" s="14">
        <f t="shared" si="23"/>
        <v>0</v>
      </c>
      <c r="CW44" s="14">
        <f t="shared" si="24"/>
        <v>0</v>
      </c>
      <c r="CX44" s="14">
        <f t="shared" si="25"/>
        <v>0</v>
      </c>
      <c r="CY44" s="14">
        <f t="shared" si="26"/>
        <v>0</v>
      </c>
      <c r="CZ44" s="14">
        <f t="shared" si="27"/>
        <v>0</v>
      </c>
      <c r="DA44" s="14">
        <f t="shared" si="28"/>
        <v>0</v>
      </c>
      <c r="DB44" s="14">
        <f t="shared" si="29"/>
        <v>0</v>
      </c>
      <c r="DC44" s="72">
        <f>F44/G44</f>
        <v>16.432126223178322</v>
      </c>
      <c r="DD44" s="72">
        <f t="shared" si="30"/>
        <v>0.53006858784446198</v>
      </c>
      <c r="DE44" s="71">
        <f>F44/BU44</f>
        <v>5228.5965504977739</v>
      </c>
      <c r="DF44" s="72">
        <f>J44/K44</f>
        <v>126.24480421820063</v>
      </c>
      <c r="DG44" s="72">
        <f t="shared" si="31"/>
        <v>4.0724130392967943</v>
      </c>
      <c r="DH44" s="72">
        <f>J44/BU44</f>
        <v>5233.0507554963806</v>
      </c>
      <c r="DI44" s="72">
        <f>N44/P44</f>
        <v>926.00133478900023</v>
      </c>
      <c r="DJ44" s="72">
        <f t="shared" si="32"/>
        <v>29.87101079964517</v>
      </c>
      <c r="DK44" s="72">
        <f t="shared" si="33"/>
        <v>46.30006673945001</v>
      </c>
      <c r="DL44" s="72">
        <f>N44/BU44</f>
        <v>4450.7806091471302</v>
      </c>
      <c r="DM44" s="72">
        <f>N44/BV44</f>
        <v>6898.709944178052</v>
      </c>
      <c r="DN44" s="1">
        <v>0</v>
      </c>
      <c r="DO44" s="1">
        <v>0</v>
      </c>
    </row>
    <row r="45" spans="1:119">
      <c r="A45" s="93">
        <f t="shared" si="38"/>
        <v>43678</v>
      </c>
      <c r="B45" s="4">
        <f t="shared" si="0"/>
        <v>2019</v>
      </c>
      <c r="C45" s="4">
        <f t="shared" si="1"/>
        <v>8</v>
      </c>
      <c r="D45" s="56">
        <v>0</v>
      </c>
      <c r="E45" s="56">
        <f>IFERROR(VLOOKUP($B45-1,CDM!$J$6:$P$19,2,FALSE)/12,0)+IFERROR(VLOOKUP($B45,CDM!$J$37:$M$48,2,FALSE)/24,0)+IFERROR(VLOOKUP($B45,CDM!$J$37:$M$48,2,FALSE)/2*$C45/78,0)</f>
        <v>162597.42834413148</v>
      </c>
      <c r="F45" s="56">
        <f t="shared" si="34"/>
        <v>162597.42834413148</v>
      </c>
      <c r="G45" s="301">
        <v>9866</v>
      </c>
      <c r="H45" s="56">
        <v>0</v>
      </c>
      <c r="I45" s="56">
        <f>IFERROR(VLOOKUP($B45-1,CDM!$J$6:$P$19,3,FALSE)/12,0)+IFERROR(VLOOKUP($B45,CDM!$J$37:$M$47,3,FALSE)/24,0)+IFERROR(VLOOKUP($B45,CDM!$J$37:$M$47,3,FALSE)/2*$C45/78,0)</f>
        <v>164027.82311039325</v>
      </c>
      <c r="J45" s="56">
        <f t="shared" si="35"/>
        <v>164027.82311039325</v>
      </c>
      <c r="K45" s="6">
        <v>1283</v>
      </c>
      <c r="L45" s="5">
        <v>0</v>
      </c>
      <c r="M45" s="2">
        <f>IFERROR(VLOOKUP($B45-1,CDM!$J$6:$P$19,4,FALSE)/12,0)+IFERROR(VLOOKUP($B45,CDM!$J$37:$M$47,4,FALSE)/24,0)+IFERROR(VLOOKUP($B45,CDM!$J$37:$M$47,4,FALSE)/2*$C45/78,0)</f>
        <v>139492.9336539378</v>
      </c>
      <c r="N45" s="56">
        <f t="shared" si="36"/>
        <v>139492.9336539378</v>
      </c>
      <c r="O45" s="5">
        <v>0</v>
      </c>
      <c r="P45" s="6">
        <v>150</v>
      </c>
      <c r="Q45" s="5">
        <v>0</v>
      </c>
      <c r="R45" s="5">
        <v>0</v>
      </c>
      <c r="S45" s="6">
        <v>2897</v>
      </c>
      <c r="T45" s="6">
        <v>0</v>
      </c>
      <c r="U45" s="6">
        <v>0</v>
      </c>
      <c r="V45" s="6">
        <v>175</v>
      </c>
      <c r="W45" s="5">
        <v>0</v>
      </c>
      <c r="X45" s="1">
        <v>19</v>
      </c>
      <c r="Y45" s="56">
        <v>14506</v>
      </c>
      <c r="Z45" s="56">
        <v>3667.2</v>
      </c>
      <c r="AA45" s="71">
        <f>L45-Y45</f>
        <v>-14506</v>
      </c>
      <c r="AB45" s="71">
        <f>N45-Y45</f>
        <v>124986.9336539378</v>
      </c>
      <c r="AC45" s="5">
        <f>O45-Z45</f>
        <v>-3667.2</v>
      </c>
      <c r="AD45" s="111">
        <f>Economic!H47</f>
        <v>807274.5</v>
      </c>
      <c r="AE45" s="111">
        <f>Economic!I47</f>
        <v>810697</v>
      </c>
      <c r="AF45" s="111">
        <f>Economic!D47</f>
        <v>7414</v>
      </c>
      <c r="AG45" s="111">
        <f>Economic!E47</f>
        <v>7501.5</v>
      </c>
      <c r="AH45" s="111">
        <f>Economic!F47</f>
        <v>616.6</v>
      </c>
      <c r="AI45" s="111">
        <f>Economic!G47</f>
        <v>624.4</v>
      </c>
      <c r="AJ45" s="111">
        <f>Economic!J47</f>
        <v>156.30000000000018</v>
      </c>
      <c r="AK45" s="111">
        <f>Economic!K47</f>
        <v>151.30000000000018</v>
      </c>
      <c r="AL45" s="111">
        <f>Economic!L47</f>
        <v>27.200000000000045</v>
      </c>
      <c r="AM45" s="111">
        <f>Economic!M47</f>
        <v>28.199999999999932</v>
      </c>
      <c r="AN45" s="111">
        <f>Economic!N47</f>
        <v>17742.900000000023</v>
      </c>
      <c r="AO45" s="111">
        <f>Economic!O47</f>
        <v>3968</v>
      </c>
      <c r="AP45" s="28">
        <f>Weather!D45</f>
        <v>18.445295698924728</v>
      </c>
      <c r="AQ45" s="28">
        <f>Weather!E45</f>
        <v>58.420833333333356</v>
      </c>
      <c r="AR45" s="28">
        <f>Weather!F45</f>
        <v>10.224999999999994</v>
      </c>
      <c r="AS45" s="28">
        <f>Weather!G45</f>
        <v>21.250000000000011</v>
      </c>
      <c r="AT45" s="28">
        <f>Weather!H45</f>
        <v>35.05416666666666</v>
      </c>
      <c r="AU45" s="28">
        <f>Weather!I45</f>
        <v>4.0625000000000018</v>
      </c>
      <c r="AV45" s="28">
        <f>Weather!J45</f>
        <v>79.866666666666632</v>
      </c>
      <c r="AW45" s="28">
        <f>Weather!K45</f>
        <v>0</v>
      </c>
      <c r="AX45" s="28">
        <f>Weather!L45</f>
        <v>137.80416666666662</v>
      </c>
      <c r="AY45" s="28">
        <f>Weather!M45</f>
        <v>0</v>
      </c>
      <c r="AZ45" s="28">
        <f>Weather!N45</f>
        <v>199.80416666666667</v>
      </c>
      <c r="BA45" s="28">
        <f>Weather!O45</f>
        <v>0</v>
      </c>
      <c r="BB45" s="28">
        <f>Weather!P45</f>
        <v>261.80416666666673</v>
      </c>
      <c r="BC45" s="28">
        <f>Weather!Q45</f>
        <v>0</v>
      </c>
      <c r="BD45" s="28">
        <f>Weather!R45</f>
        <v>323.80416666666667</v>
      </c>
      <c r="BE45">
        <v>0</v>
      </c>
      <c r="BF45">
        <v>0</v>
      </c>
      <c r="BG45">
        <v>0</v>
      </c>
      <c r="BH45">
        <v>0</v>
      </c>
      <c r="BI45">
        <v>0</v>
      </c>
      <c r="BJ45">
        <v>0</v>
      </c>
      <c r="BK45">
        <v>0</v>
      </c>
      <c r="BL45">
        <v>1</v>
      </c>
      <c r="BM45">
        <v>0</v>
      </c>
      <c r="BN45">
        <v>0</v>
      </c>
      <c r="BO45">
        <v>0</v>
      </c>
      <c r="BP45">
        <v>0</v>
      </c>
      <c r="BQ45">
        <v>0</v>
      </c>
      <c r="BR45">
        <v>0</v>
      </c>
      <c r="BS45">
        <v>0</v>
      </c>
      <c r="BT45" s="1">
        <f t="shared" si="37"/>
        <v>44</v>
      </c>
      <c r="BU45">
        <v>31</v>
      </c>
      <c r="BV45">
        <v>22</v>
      </c>
      <c r="BW45">
        <v>0</v>
      </c>
      <c r="BX45">
        <v>0</v>
      </c>
      <c r="BY45">
        <v>0</v>
      </c>
      <c r="BZ45">
        <v>0</v>
      </c>
      <c r="CA45">
        <f t="shared" si="2"/>
        <v>0</v>
      </c>
      <c r="CB45">
        <f t="shared" si="3"/>
        <v>0</v>
      </c>
      <c r="CC45">
        <f t="shared" si="4"/>
        <v>0</v>
      </c>
      <c r="CD45">
        <f t="shared" si="5"/>
        <v>0</v>
      </c>
      <c r="CE45">
        <f t="shared" si="6"/>
        <v>0</v>
      </c>
      <c r="CF45">
        <f t="shared" si="7"/>
        <v>0</v>
      </c>
      <c r="CG45">
        <f t="shared" si="8"/>
        <v>0</v>
      </c>
      <c r="CH45">
        <f t="shared" si="9"/>
        <v>0</v>
      </c>
      <c r="CI45">
        <f t="shared" si="10"/>
        <v>0</v>
      </c>
      <c r="CJ45">
        <f t="shared" si="11"/>
        <v>0</v>
      </c>
      <c r="CK45">
        <f t="shared" si="12"/>
        <v>0</v>
      </c>
      <c r="CL45">
        <f t="shared" si="13"/>
        <v>0</v>
      </c>
      <c r="CM45">
        <f t="shared" si="14"/>
        <v>0</v>
      </c>
      <c r="CN45">
        <f t="shared" si="15"/>
        <v>0</v>
      </c>
      <c r="CO45" s="14">
        <f t="shared" si="39"/>
        <v>0</v>
      </c>
      <c r="CP45" s="14">
        <f t="shared" si="17"/>
        <v>0</v>
      </c>
      <c r="CQ45" s="14">
        <f t="shared" si="18"/>
        <v>0</v>
      </c>
      <c r="CR45" s="14">
        <f t="shared" si="19"/>
        <v>0</v>
      </c>
      <c r="CS45" s="14">
        <f t="shared" si="20"/>
        <v>0</v>
      </c>
      <c r="CT45" s="14">
        <f t="shared" si="21"/>
        <v>0</v>
      </c>
      <c r="CU45" s="14">
        <f t="shared" si="22"/>
        <v>0</v>
      </c>
      <c r="CV45" s="14">
        <f t="shared" si="23"/>
        <v>0</v>
      </c>
      <c r="CW45" s="14">
        <f t="shared" si="24"/>
        <v>0</v>
      </c>
      <c r="CX45" s="14">
        <f t="shared" si="25"/>
        <v>0</v>
      </c>
      <c r="CY45" s="14">
        <f t="shared" si="26"/>
        <v>0</v>
      </c>
      <c r="CZ45" s="14">
        <f t="shared" si="27"/>
        <v>0</v>
      </c>
      <c r="DA45" s="14">
        <f t="shared" si="28"/>
        <v>0</v>
      </c>
      <c r="DB45" s="14">
        <f t="shared" si="29"/>
        <v>0</v>
      </c>
      <c r="DC45" s="72">
        <f>F45/G45</f>
        <v>16.480582641813449</v>
      </c>
      <c r="DD45" s="72">
        <f t="shared" si="30"/>
        <v>0.53163169812301447</v>
      </c>
      <c r="DE45" s="71">
        <f>F45/BU45</f>
        <v>5245.0783336816603</v>
      </c>
      <c r="DF45" s="72">
        <f>J45/K45</f>
        <v>127.84709517567673</v>
      </c>
      <c r="DG45" s="72">
        <f t="shared" si="31"/>
        <v>4.1240998443766683</v>
      </c>
      <c r="DH45" s="72">
        <f>J45/BU45</f>
        <v>5291.2201003352657</v>
      </c>
      <c r="DI45" s="72">
        <f>N45/P45</f>
        <v>929.95289102625202</v>
      </c>
      <c r="DJ45" s="72">
        <f t="shared" si="32"/>
        <v>29.998480355685547</v>
      </c>
      <c r="DK45" s="72">
        <f t="shared" si="33"/>
        <v>42.270585955738731</v>
      </c>
      <c r="DL45" s="72">
        <f>N45/BU45</f>
        <v>4499.7720533528318</v>
      </c>
      <c r="DM45" s="72">
        <f>N45/BV45</f>
        <v>6340.5878933608092</v>
      </c>
      <c r="DN45" s="1">
        <v>0</v>
      </c>
      <c r="DO45" s="1">
        <v>0</v>
      </c>
    </row>
    <row r="46" spans="1:119">
      <c r="A46" s="93">
        <f t="shared" si="38"/>
        <v>43709</v>
      </c>
      <c r="B46" s="4">
        <f t="shared" si="0"/>
        <v>2019</v>
      </c>
      <c r="C46" s="4">
        <f t="shared" si="1"/>
        <v>9</v>
      </c>
      <c r="D46" s="56">
        <v>0</v>
      </c>
      <c r="E46" s="56">
        <f>IFERROR(VLOOKUP($B46-1,CDM!$J$6:$P$19,2,FALSE)/12,0)+IFERROR(VLOOKUP($B46,CDM!$J$37:$M$48,2,FALSE)/24,0)+IFERROR(VLOOKUP($B46,CDM!$J$37:$M$48,2,FALSE)/2*$C46/78,0)</f>
        <v>163108.36362283194</v>
      </c>
      <c r="F46" s="56">
        <f t="shared" si="34"/>
        <v>163108.36362283194</v>
      </c>
      <c r="G46" s="301">
        <v>9874</v>
      </c>
      <c r="H46" s="56">
        <v>0</v>
      </c>
      <c r="I46" s="56">
        <f>IFERROR(VLOOKUP($B46-1,CDM!$J$6:$P$19,3,FALSE)/12,0)+IFERROR(VLOOKUP($B46,CDM!$J$37:$M$47,3,FALSE)/24,0)+IFERROR(VLOOKUP($B46,CDM!$J$37:$M$47,3,FALSE)/2*$C46/78,0)</f>
        <v>165831.07280039872</v>
      </c>
      <c r="J46" s="56">
        <f t="shared" si="35"/>
        <v>165831.07280039872</v>
      </c>
      <c r="K46" s="6">
        <v>1286</v>
      </c>
      <c r="L46" s="5">
        <v>0</v>
      </c>
      <c r="M46" s="2">
        <f>IFERROR(VLOOKUP($B46-1,CDM!$J$6:$P$19,4,FALSE)/12,0)+IFERROR(VLOOKUP($B46,CDM!$J$37:$M$47,4,FALSE)/24,0)+IFERROR(VLOOKUP($B46,CDM!$J$37:$M$47,4,FALSE)/2*$C46/78,0)</f>
        <v>141011.66842431459</v>
      </c>
      <c r="N46" s="56">
        <f t="shared" si="36"/>
        <v>141011.66842431459</v>
      </c>
      <c r="O46" s="5">
        <v>0</v>
      </c>
      <c r="P46" s="6">
        <v>150</v>
      </c>
      <c r="Q46" s="5">
        <v>0</v>
      </c>
      <c r="R46" s="5">
        <v>0</v>
      </c>
      <c r="S46" s="6">
        <v>2897</v>
      </c>
      <c r="T46" s="6">
        <v>0</v>
      </c>
      <c r="U46" s="6">
        <v>0</v>
      </c>
      <c r="V46" s="6">
        <v>175</v>
      </c>
      <c r="W46" s="5">
        <v>0</v>
      </c>
      <c r="X46" s="1">
        <v>19</v>
      </c>
      <c r="Y46" s="56">
        <v>7091.6</v>
      </c>
      <c r="Z46" s="56">
        <v>2145.6</v>
      </c>
      <c r="AA46" s="71">
        <f>L46-Y46</f>
        <v>-7091.6</v>
      </c>
      <c r="AB46" s="71">
        <f>N46-Y46</f>
        <v>133920.06842431458</v>
      </c>
      <c r="AC46" s="5">
        <f>O46-Z46</f>
        <v>-2145.6</v>
      </c>
      <c r="AD46" s="111">
        <f>Economic!H48</f>
        <v>807274.5</v>
      </c>
      <c r="AE46" s="111">
        <f>Economic!I48</f>
        <v>810697</v>
      </c>
      <c r="AF46" s="111">
        <f>Economic!D48</f>
        <v>7432.4</v>
      </c>
      <c r="AG46" s="111">
        <f>Economic!E48</f>
        <v>7489.3</v>
      </c>
      <c r="AH46" s="111">
        <f>Economic!F48</f>
        <v>627.70000000000005</v>
      </c>
      <c r="AI46" s="111">
        <f>Economic!G48</f>
        <v>629.9</v>
      </c>
      <c r="AJ46" s="111">
        <f>Economic!J48</f>
        <v>158.59999999999945</v>
      </c>
      <c r="AK46" s="111">
        <f>Economic!K48</f>
        <v>172.69999999999982</v>
      </c>
      <c r="AL46" s="111">
        <f>Economic!L48</f>
        <v>37.900000000000091</v>
      </c>
      <c r="AM46" s="111">
        <f>Economic!M48</f>
        <v>38.5</v>
      </c>
      <c r="AN46" s="111">
        <f>Economic!N48</f>
        <v>17742.900000000023</v>
      </c>
      <c r="AO46" s="111">
        <f>Economic!O48</f>
        <v>3968</v>
      </c>
      <c r="AP46" s="28">
        <f>Weather!D46</f>
        <v>13.743055555555555</v>
      </c>
      <c r="AQ46" s="28">
        <f>Weather!E46</f>
        <v>189.70000000000007</v>
      </c>
      <c r="AR46" s="28">
        <f>Weather!F46</f>
        <v>1.9916666666666636</v>
      </c>
      <c r="AS46" s="28">
        <f>Weather!G46</f>
        <v>133.26666666666668</v>
      </c>
      <c r="AT46" s="28">
        <f>Weather!H46</f>
        <v>5.55833333333333</v>
      </c>
      <c r="AU46" s="28">
        <f>Weather!I46</f>
        <v>81.733333333333348</v>
      </c>
      <c r="AV46" s="28">
        <f>Weather!J46</f>
        <v>14.024999999999991</v>
      </c>
      <c r="AW46" s="28">
        <f>Weather!K46</f>
        <v>39.104166666666664</v>
      </c>
      <c r="AX46" s="28">
        <f>Weather!L46</f>
        <v>31.395833333333321</v>
      </c>
      <c r="AY46" s="28">
        <f>Weather!M46</f>
        <v>14.300000000000004</v>
      </c>
      <c r="AZ46" s="28">
        <f>Weather!N46</f>
        <v>66.591666666666669</v>
      </c>
      <c r="BA46" s="28">
        <f>Weather!O46</f>
        <v>4.2375000000000025</v>
      </c>
      <c r="BB46" s="28">
        <f>Weather!P46</f>
        <v>116.52916666666667</v>
      </c>
      <c r="BC46" s="28">
        <f>Weather!Q46</f>
        <v>0.42916666666666714</v>
      </c>
      <c r="BD46" s="28">
        <f>Weather!R46</f>
        <v>172.72083333333327</v>
      </c>
      <c r="BE46">
        <v>0</v>
      </c>
      <c r="BF46">
        <v>0</v>
      </c>
      <c r="BG46">
        <v>0</v>
      </c>
      <c r="BH46">
        <v>0</v>
      </c>
      <c r="BI46">
        <v>0</v>
      </c>
      <c r="BJ46">
        <v>0</v>
      </c>
      <c r="BK46">
        <v>0</v>
      </c>
      <c r="BL46">
        <v>0</v>
      </c>
      <c r="BM46">
        <v>1</v>
      </c>
      <c r="BN46">
        <v>0</v>
      </c>
      <c r="BO46">
        <v>0</v>
      </c>
      <c r="BP46">
        <v>0</v>
      </c>
      <c r="BQ46">
        <v>0</v>
      </c>
      <c r="BR46">
        <v>1</v>
      </c>
      <c r="BS46">
        <v>1</v>
      </c>
      <c r="BT46" s="1">
        <f t="shared" si="37"/>
        <v>45</v>
      </c>
      <c r="BU46">
        <v>30</v>
      </c>
      <c r="BV46">
        <v>20</v>
      </c>
      <c r="BW46">
        <v>0</v>
      </c>
      <c r="BX46">
        <v>0</v>
      </c>
      <c r="BY46">
        <v>0</v>
      </c>
      <c r="BZ46">
        <v>0</v>
      </c>
      <c r="CA46">
        <f t="shared" si="2"/>
        <v>0</v>
      </c>
      <c r="CB46">
        <f t="shared" si="3"/>
        <v>0</v>
      </c>
      <c r="CC46">
        <f t="shared" si="4"/>
        <v>0</v>
      </c>
      <c r="CD46">
        <f t="shared" si="5"/>
        <v>0</v>
      </c>
      <c r="CE46">
        <f t="shared" si="6"/>
        <v>0</v>
      </c>
      <c r="CF46">
        <f t="shared" si="7"/>
        <v>0</v>
      </c>
      <c r="CG46">
        <f t="shared" si="8"/>
        <v>0</v>
      </c>
      <c r="CH46">
        <f t="shared" si="9"/>
        <v>0</v>
      </c>
      <c r="CI46">
        <f t="shared" si="10"/>
        <v>0</v>
      </c>
      <c r="CJ46">
        <f t="shared" si="11"/>
        <v>0</v>
      </c>
      <c r="CK46">
        <f t="shared" si="12"/>
        <v>0</v>
      </c>
      <c r="CL46">
        <f t="shared" si="13"/>
        <v>0</v>
      </c>
      <c r="CM46">
        <f t="shared" si="14"/>
        <v>0</v>
      </c>
      <c r="CN46">
        <f t="shared" si="15"/>
        <v>0</v>
      </c>
      <c r="CO46" s="14">
        <f t="shared" si="39"/>
        <v>0</v>
      </c>
      <c r="CP46" s="14">
        <f t="shared" si="17"/>
        <v>0</v>
      </c>
      <c r="CQ46" s="14">
        <f t="shared" si="18"/>
        <v>0</v>
      </c>
      <c r="CR46" s="14">
        <f t="shared" si="19"/>
        <v>0</v>
      </c>
      <c r="CS46" s="14">
        <f t="shared" si="20"/>
        <v>0</v>
      </c>
      <c r="CT46" s="14">
        <f t="shared" si="21"/>
        <v>0</v>
      </c>
      <c r="CU46" s="14">
        <f t="shared" si="22"/>
        <v>0</v>
      </c>
      <c r="CV46" s="14">
        <f t="shared" si="23"/>
        <v>0</v>
      </c>
      <c r="CW46" s="14">
        <f t="shared" si="24"/>
        <v>0</v>
      </c>
      <c r="CX46" s="14">
        <f t="shared" si="25"/>
        <v>0</v>
      </c>
      <c r="CY46" s="14">
        <f t="shared" si="26"/>
        <v>0</v>
      </c>
      <c r="CZ46" s="14">
        <f t="shared" si="27"/>
        <v>0</v>
      </c>
      <c r="DA46" s="14">
        <f t="shared" si="28"/>
        <v>0</v>
      </c>
      <c r="DB46" s="14">
        <f t="shared" si="29"/>
        <v>0</v>
      </c>
      <c r="DC46" s="72">
        <f>F46/G46</f>
        <v>16.51897545299088</v>
      </c>
      <c r="DD46" s="72">
        <f t="shared" si="30"/>
        <v>0.55063251509969602</v>
      </c>
      <c r="DE46" s="71">
        <f>F46/BU46</f>
        <v>5436.945454094398</v>
      </c>
      <c r="DF46" s="72">
        <f>J46/K46</f>
        <v>128.95106749642201</v>
      </c>
      <c r="DG46" s="72">
        <f t="shared" si="31"/>
        <v>4.2983689165474006</v>
      </c>
      <c r="DH46" s="72">
        <f>J46/BU46</f>
        <v>5527.7024266799572</v>
      </c>
      <c r="DI46" s="72">
        <f>N46/P46</f>
        <v>940.07778949543058</v>
      </c>
      <c r="DJ46" s="72">
        <f t="shared" si="32"/>
        <v>31.335926316514353</v>
      </c>
      <c r="DK46" s="72">
        <f t="shared" si="33"/>
        <v>47.003889474771526</v>
      </c>
      <c r="DL46" s="72">
        <f>N46/BU46</f>
        <v>4700.3889474771531</v>
      </c>
      <c r="DM46" s="72">
        <f>N46/BV46</f>
        <v>7050.5834212157297</v>
      </c>
      <c r="DN46" s="1">
        <v>0</v>
      </c>
      <c r="DO46" s="1">
        <v>0</v>
      </c>
    </row>
    <row r="47" spans="1:119">
      <c r="A47" s="93">
        <f t="shared" si="38"/>
        <v>43739</v>
      </c>
      <c r="B47" s="4">
        <f t="shared" si="0"/>
        <v>2019</v>
      </c>
      <c r="C47" s="4">
        <f t="shared" si="1"/>
        <v>10</v>
      </c>
      <c r="D47" s="56">
        <v>0</v>
      </c>
      <c r="E47" s="56">
        <f>IFERROR(VLOOKUP($B47-1,CDM!$J$6:$P$19,2,FALSE)/12,0)+IFERROR(VLOOKUP($B47,CDM!$J$37:$M$48,2,FALSE)/24,0)+IFERROR(VLOOKUP($B47,CDM!$J$37:$M$48,2,FALSE)/2*$C47/78,0)</f>
        <v>163619.2989015324</v>
      </c>
      <c r="F47" s="56">
        <f t="shared" si="34"/>
        <v>163619.2989015324</v>
      </c>
      <c r="G47" s="301">
        <v>9881</v>
      </c>
      <c r="H47" s="56">
        <v>0</v>
      </c>
      <c r="I47" s="56">
        <f>IFERROR(VLOOKUP($B47-1,CDM!$J$6:$P$19,3,FALSE)/12,0)+IFERROR(VLOOKUP($B47,CDM!$J$37:$M$47,3,FALSE)/24,0)+IFERROR(VLOOKUP($B47,CDM!$J$37:$M$47,3,FALSE)/2*$C47/78,0)</f>
        <v>167634.32249040419</v>
      </c>
      <c r="J47" s="56">
        <f t="shared" si="35"/>
        <v>167634.32249040419</v>
      </c>
      <c r="K47" s="6">
        <v>1285</v>
      </c>
      <c r="L47" s="5">
        <v>0</v>
      </c>
      <c r="M47" s="2">
        <f>IFERROR(VLOOKUP($B47-1,CDM!$J$6:$P$19,4,FALSE)/12,0)+IFERROR(VLOOKUP($B47,CDM!$J$37:$M$47,4,FALSE)/24,0)+IFERROR(VLOOKUP($B47,CDM!$J$37:$M$47,4,FALSE)/2*$C47/78,0)</f>
        <v>142530.40319469135</v>
      </c>
      <c r="N47" s="56">
        <f t="shared" si="36"/>
        <v>142530.40319469135</v>
      </c>
      <c r="O47" s="5">
        <v>0</v>
      </c>
      <c r="P47" s="6">
        <v>150</v>
      </c>
      <c r="Q47" s="5">
        <v>0</v>
      </c>
      <c r="R47" s="5">
        <v>0</v>
      </c>
      <c r="S47" s="6">
        <v>2897</v>
      </c>
      <c r="T47" s="6">
        <v>0</v>
      </c>
      <c r="U47" s="6">
        <v>0</v>
      </c>
      <c r="V47" s="6">
        <v>175</v>
      </c>
      <c r="W47" s="5">
        <v>0</v>
      </c>
      <c r="X47" s="1">
        <v>19</v>
      </c>
      <c r="Y47" s="56">
        <v>5152.3999999999996</v>
      </c>
      <c r="Z47" s="56">
        <v>3112</v>
      </c>
      <c r="AA47" s="71">
        <f>L47-Y47</f>
        <v>-5152.3999999999996</v>
      </c>
      <c r="AB47" s="71">
        <f>N47-Y47</f>
        <v>137378.00319469135</v>
      </c>
      <c r="AC47" s="5">
        <f>O47-Z47</f>
        <v>-3112</v>
      </c>
      <c r="AD47" s="111">
        <f>Economic!H49</f>
        <v>807274.5</v>
      </c>
      <c r="AE47" s="111">
        <f>Economic!I49</f>
        <v>812164</v>
      </c>
      <c r="AF47" s="111">
        <f>Economic!D49</f>
        <v>7450</v>
      </c>
      <c r="AG47" s="111">
        <f>Economic!E49</f>
        <v>7491.1</v>
      </c>
      <c r="AH47" s="111">
        <f>Economic!F49</f>
        <v>639.1</v>
      </c>
      <c r="AI47" s="111">
        <f>Economic!G49</f>
        <v>635.79999999999995</v>
      </c>
      <c r="AJ47" s="111">
        <f>Economic!J49</f>
        <v>180.89999999999964</v>
      </c>
      <c r="AK47" s="111">
        <f>Economic!K49</f>
        <v>205.80000000000018</v>
      </c>
      <c r="AL47" s="111">
        <f>Economic!L49</f>
        <v>48.700000000000045</v>
      </c>
      <c r="AM47" s="111">
        <f>Economic!M49</f>
        <v>48.799999999999955</v>
      </c>
      <c r="AN47" s="111">
        <f>Economic!N49</f>
        <v>17742.900000000023</v>
      </c>
      <c r="AO47" s="111">
        <f>Economic!O49</f>
        <v>1467</v>
      </c>
      <c r="AP47" s="28">
        <f>Weather!D47</f>
        <v>7.2086021505376339</v>
      </c>
      <c r="AQ47" s="28">
        <f>Weather!E47</f>
        <v>396.53333333333319</v>
      </c>
      <c r="AR47" s="28">
        <f>Weather!F47</f>
        <v>0</v>
      </c>
      <c r="AS47" s="28">
        <f>Weather!G47</f>
        <v>334.53333333333325</v>
      </c>
      <c r="AT47" s="28">
        <f>Weather!H47</f>
        <v>0</v>
      </c>
      <c r="AU47" s="28">
        <f>Weather!I47</f>
        <v>272.53333333333336</v>
      </c>
      <c r="AV47" s="28">
        <f>Weather!J47</f>
        <v>0</v>
      </c>
      <c r="AW47" s="28">
        <f>Weather!K47</f>
        <v>210.53333333333336</v>
      </c>
      <c r="AX47" s="28">
        <f>Weather!L47</f>
        <v>0</v>
      </c>
      <c r="AY47" s="28">
        <f>Weather!M47</f>
        <v>149.125</v>
      </c>
      <c r="AZ47" s="28">
        <f>Weather!N47</f>
        <v>0.59166666666666856</v>
      </c>
      <c r="BA47" s="28">
        <f>Weather!O47</f>
        <v>93.254166666666663</v>
      </c>
      <c r="BB47" s="28">
        <f>Weather!P47</f>
        <v>6.7208333333333332</v>
      </c>
      <c r="BC47" s="28">
        <f>Weather!Q47</f>
        <v>45.054166666666674</v>
      </c>
      <c r="BD47" s="28">
        <f>Weather!R47</f>
        <v>20.520833333333329</v>
      </c>
      <c r="BE47">
        <v>0</v>
      </c>
      <c r="BF47">
        <v>0</v>
      </c>
      <c r="BG47">
        <v>0</v>
      </c>
      <c r="BH47">
        <v>0</v>
      </c>
      <c r="BI47">
        <v>0</v>
      </c>
      <c r="BJ47">
        <v>0</v>
      </c>
      <c r="BK47">
        <v>0</v>
      </c>
      <c r="BL47">
        <v>0</v>
      </c>
      <c r="BM47">
        <v>0</v>
      </c>
      <c r="BN47">
        <v>1</v>
      </c>
      <c r="BO47">
        <v>0</v>
      </c>
      <c r="BP47">
        <v>0</v>
      </c>
      <c r="BQ47">
        <v>0</v>
      </c>
      <c r="BR47">
        <v>1</v>
      </c>
      <c r="BS47">
        <v>1</v>
      </c>
      <c r="BT47" s="1">
        <f t="shared" si="37"/>
        <v>46</v>
      </c>
      <c r="BU47">
        <v>31</v>
      </c>
      <c r="BV47">
        <v>21</v>
      </c>
      <c r="BW47">
        <v>0</v>
      </c>
      <c r="BX47">
        <v>0</v>
      </c>
      <c r="BY47">
        <v>0</v>
      </c>
      <c r="BZ47">
        <v>0</v>
      </c>
      <c r="CA47">
        <f t="shared" si="2"/>
        <v>0</v>
      </c>
      <c r="CB47">
        <f t="shared" si="3"/>
        <v>0</v>
      </c>
      <c r="CC47">
        <f t="shared" si="4"/>
        <v>0</v>
      </c>
      <c r="CD47">
        <f t="shared" si="5"/>
        <v>0</v>
      </c>
      <c r="CE47">
        <f t="shared" si="6"/>
        <v>0</v>
      </c>
      <c r="CF47">
        <f t="shared" si="7"/>
        <v>0</v>
      </c>
      <c r="CG47">
        <f t="shared" si="8"/>
        <v>0</v>
      </c>
      <c r="CH47">
        <f t="shared" si="9"/>
        <v>0</v>
      </c>
      <c r="CI47">
        <f t="shared" si="10"/>
        <v>0</v>
      </c>
      <c r="CJ47">
        <f t="shared" si="11"/>
        <v>0</v>
      </c>
      <c r="CK47">
        <f t="shared" si="12"/>
        <v>0</v>
      </c>
      <c r="CL47">
        <f t="shared" si="13"/>
        <v>0</v>
      </c>
      <c r="CM47">
        <f t="shared" si="14"/>
        <v>0</v>
      </c>
      <c r="CN47">
        <f t="shared" si="15"/>
        <v>0</v>
      </c>
      <c r="CO47" s="14">
        <f t="shared" si="39"/>
        <v>0</v>
      </c>
      <c r="CP47" s="14">
        <f t="shared" si="17"/>
        <v>0</v>
      </c>
      <c r="CQ47" s="14">
        <f t="shared" si="18"/>
        <v>0</v>
      </c>
      <c r="CR47" s="14">
        <f t="shared" si="19"/>
        <v>0</v>
      </c>
      <c r="CS47" s="14">
        <f t="shared" si="20"/>
        <v>0</v>
      </c>
      <c r="CT47" s="14">
        <f t="shared" si="21"/>
        <v>0</v>
      </c>
      <c r="CU47" s="14">
        <f t="shared" si="22"/>
        <v>0</v>
      </c>
      <c r="CV47" s="14">
        <f t="shared" si="23"/>
        <v>0</v>
      </c>
      <c r="CW47" s="14">
        <f t="shared" si="24"/>
        <v>0</v>
      </c>
      <c r="CX47" s="14">
        <f t="shared" si="25"/>
        <v>0</v>
      </c>
      <c r="CY47" s="14">
        <f t="shared" si="26"/>
        <v>0</v>
      </c>
      <c r="CZ47" s="14">
        <f t="shared" si="27"/>
        <v>0</v>
      </c>
      <c r="DA47" s="14">
        <f t="shared" si="28"/>
        <v>0</v>
      </c>
      <c r="DB47" s="14">
        <f t="shared" si="29"/>
        <v>0</v>
      </c>
      <c r="DC47" s="72">
        <f>F47/G47</f>
        <v>16.558981773254974</v>
      </c>
      <c r="DD47" s="72">
        <f t="shared" si="30"/>
        <v>0.53416070236306368</v>
      </c>
      <c r="DE47" s="71">
        <f>F47/BU47</f>
        <v>5278.0419000494321</v>
      </c>
      <c r="DF47" s="72">
        <f>J47/K47</f>
        <v>130.4547256734663</v>
      </c>
      <c r="DG47" s="72">
        <f t="shared" si="31"/>
        <v>4.2082169572085899</v>
      </c>
      <c r="DH47" s="72">
        <f>J47/BU47</f>
        <v>5407.5587900130386</v>
      </c>
      <c r="DI47" s="72">
        <f>N47/P47</f>
        <v>950.20268796460903</v>
      </c>
      <c r="DJ47" s="72">
        <f t="shared" si="32"/>
        <v>30.651699611761583</v>
      </c>
      <c r="DK47" s="72">
        <f t="shared" si="33"/>
        <v>45.247747045933764</v>
      </c>
      <c r="DL47" s="72">
        <f>N47/BU47</f>
        <v>4597.7549417642367</v>
      </c>
      <c r="DM47" s="72">
        <f>N47/BV47</f>
        <v>6787.1620568900644</v>
      </c>
      <c r="DN47" s="1">
        <v>0</v>
      </c>
      <c r="DO47" s="1">
        <v>0</v>
      </c>
    </row>
    <row r="48" spans="1:119">
      <c r="A48" s="93">
        <f t="shared" si="38"/>
        <v>43770</v>
      </c>
      <c r="B48" s="4">
        <f t="shared" si="0"/>
        <v>2019</v>
      </c>
      <c r="C48" s="4">
        <f t="shared" si="1"/>
        <v>11</v>
      </c>
      <c r="D48" s="56">
        <v>0</v>
      </c>
      <c r="E48" s="56">
        <f>IFERROR(VLOOKUP($B48-1,CDM!$J$6:$P$19,2,FALSE)/12,0)+IFERROR(VLOOKUP($B48,CDM!$J$37:$M$48,2,FALSE)/24,0)+IFERROR(VLOOKUP($B48,CDM!$J$37:$M$48,2,FALSE)/2*$C48/78,0)</f>
        <v>164130.23418023289</v>
      </c>
      <c r="F48" s="56">
        <f t="shared" si="34"/>
        <v>164130.23418023289</v>
      </c>
      <c r="G48" s="301">
        <v>9888</v>
      </c>
      <c r="H48" s="56">
        <v>0</v>
      </c>
      <c r="I48" s="56">
        <f>IFERROR(VLOOKUP($B48-1,CDM!$J$6:$P$19,3,FALSE)/12,0)+IFERROR(VLOOKUP($B48,CDM!$J$37:$M$47,3,FALSE)/24,0)+IFERROR(VLOOKUP($B48,CDM!$J$37:$M$47,3,FALSE)/2*$C48/78,0)</f>
        <v>169437.57218040962</v>
      </c>
      <c r="J48" s="56">
        <f t="shared" si="35"/>
        <v>169437.57218040962</v>
      </c>
      <c r="K48" s="6">
        <v>1283</v>
      </c>
      <c r="L48" s="5">
        <v>0</v>
      </c>
      <c r="M48" s="2">
        <f>IFERROR(VLOOKUP($B48-1,CDM!$J$6:$P$19,4,FALSE)/12,0)+IFERROR(VLOOKUP($B48,CDM!$J$37:$M$47,4,FALSE)/24,0)+IFERROR(VLOOKUP($B48,CDM!$J$37:$M$47,4,FALSE)/2*$C48/78,0)</f>
        <v>144049.13796506813</v>
      </c>
      <c r="N48" s="56">
        <f t="shared" si="36"/>
        <v>144049.13796506813</v>
      </c>
      <c r="O48" s="5">
        <v>0</v>
      </c>
      <c r="P48" s="6">
        <v>150</v>
      </c>
      <c r="Q48" s="5">
        <v>0</v>
      </c>
      <c r="R48" s="5">
        <v>0</v>
      </c>
      <c r="S48" s="6">
        <v>2897</v>
      </c>
      <c r="T48" s="6">
        <v>0</v>
      </c>
      <c r="U48" s="6">
        <v>0</v>
      </c>
      <c r="V48" s="6">
        <v>175</v>
      </c>
      <c r="W48" s="5">
        <v>0</v>
      </c>
      <c r="X48" s="1">
        <v>19</v>
      </c>
      <c r="Y48" s="56">
        <v>133759.20000000001</v>
      </c>
      <c r="Z48" s="56">
        <v>3568</v>
      </c>
      <c r="AA48" s="71">
        <f>L48-Y48</f>
        <v>-133759.20000000001</v>
      </c>
      <c r="AB48" s="71">
        <f>N48-Y48</f>
        <v>10289.937965068122</v>
      </c>
      <c r="AC48" s="5">
        <f>O48-Z48</f>
        <v>-3568</v>
      </c>
      <c r="AD48" s="111">
        <f>Economic!H50</f>
        <v>807274.5</v>
      </c>
      <c r="AE48" s="111">
        <f>Economic!I50</f>
        <v>812164</v>
      </c>
      <c r="AF48" s="111">
        <f>Economic!D50</f>
        <v>7458.2</v>
      </c>
      <c r="AG48" s="111">
        <f>Economic!E50</f>
        <v>7479.5</v>
      </c>
      <c r="AH48" s="111">
        <f>Economic!F50</f>
        <v>639.9</v>
      </c>
      <c r="AI48" s="111">
        <f>Economic!G50</f>
        <v>637</v>
      </c>
      <c r="AJ48" s="111">
        <f>Economic!J50</f>
        <v>168.30000000000018</v>
      </c>
      <c r="AK48" s="111">
        <f>Economic!K50</f>
        <v>193.19999999999982</v>
      </c>
      <c r="AL48" s="111">
        <f>Economic!L50</f>
        <v>50.600000000000023</v>
      </c>
      <c r="AM48" s="111">
        <f>Economic!M50</f>
        <v>52</v>
      </c>
      <c r="AN48" s="111">
        <f>Economic!N50</f>
        <v>17742.900000000023</v>
      </c>
      <c r="AO48" s="111">
        <f>Economic!O50</f>
        <v>1467</v>
      </c>
      <c r="AP48" s="28">
        <f>Weather!D48</f>
        <v>-2.736388888888889</v>
      </c>
      <c r="AQ48" s="28">
        <f>Weather!E48</f>
        <v>682.0916666666667</v>
      </c>
      <c r="AR48" s="28">
        <f>Weather!F48</f>
        <v>0</v>
      </c>
      <c r="AS48" s="28">
        <f>Weather!G48</f>
        <v>622.09166666666681</v>
      </c>
      <c r="AT48" s="28">
        <f>Weather!H48</f>
        <v>0</v>
      </c>
      <c r="AU48" s="28">
        <f>Weather!I48</f>
        <v>562.09166666666681</v>
      </c>
      <c r="AV48" s="28">
        <f>Weather!J48</f>
        <v>0</v>
      </c>
      <c r="AW48" s="28">
        <f>Weather!K48</f>
        <v>502.09166666666675</v>
      </c>
      <c r="AX48" s="28">
        <f>Weather!L48</f>
        <v>0</v>
      </c>
      <c r="AY48" s="28">
        <f>Weather!M48</f>
        <v>442.09166666666675</v>
      </c>
      <c r="AZ48" s="28">
        <f>Weather!N48</f>
        <v>0</v>
      </c>
      <c r="BA48" s="28">
        <f>Weather!O48</f>
        <v>382.0916666666667</v>
      </c>
      <c r="BB48" s="28">
        <f>Weather!P48</f>
        <v>0</v>
      </c>
      <c r="BC48" s="28">
        <f>Weather!Q48</f>
        <v>322.09166666666664</v>
      </c>
      <c r="BD48" s="28">
        <f>Weather!R48</f>
        <v>0</v>
      </c>
      <c r="BE48">
        <v>0</v>
      </c>
      <c r="BF48">
        <v>0</v>
      </c>
      <c r="BG48">
        <v>0</v>
      </c>
      <c r="BH48">
        <v>0</v>
      </c>
      <c r="BI48">
        <v>0</v>
      </c>
      <c r="BJ48">
        <v>0</v>
      </c>
      <c r="BK48">
        <v>0</v>
      </c>
      <c r="BL48">
        <v>0</v>
      </c>
      <c r="BM48">
        <v>0</v>
      </c>
      <c r="BN48">
        <v>0</v>
      </c>
      <c r="BO48">
        <v>1</v>
      </c>
      <c r="BP48">
        <v>0</v>
      </c>
      <c r="BQ48">
        <v>0</v>
      </c>
      <c r="BR48">
        <v>1</v>
      </c>
      <c r="BS48">
        <v>1</v>
      </c>
      <c r="BT48" s="1">
        <f t="shared" si="37"/>
        <v>47</v>
      </c>
      <c r="BU48">
        <v>30</v>
      </c>
      <c r="BV48">
        <v>22</v>
      </c>
      <c r="BW48">
        <v>0</v>
      </c>
      <c r="BX48">
        <v>0</v>
      </c>
      <c r="BY48">
        <v>0</v>
      </c>
      <c r="BZ48">
        <v>0</v>
      </c>
      <c r="CA48">
        <f t="shared" si="2"/>
        <v>0</v>
      </c>
      <c r="CB48">
        <f t="shared" si="3"/>
        <v>0</v>
      </c>
      <c r="CC48">
        <f t="shared" si="4"/>
        <v>0</v>
      </c>
      <c r="CD48">
        <f t="shared" si="5"/>
        <v>0</v>
      </c>
      <c r="CE48">
        <f t="shared" si="6"/>
        <v>0</v>
      </c>
      <c r="CF48">
        <f t="shared" si="7"/>
        <v>0</v>
      </c>
      <c r="CG48">
        <f t="shared" si="8"/>
        <v>0</v>
      </c>
      <c r="CH48">
        <f t="shared" si="9"/>
        <v>0</v>
      </c>
      <c r="CI48">
        <f t="shared" si="10"/>
        <v>0</v>
      </c>
      <c r="CJ48">
        <f t="shared" si="11"/>
        <v>0</v>
      </c>
      <c r="CK48">
        <f t="shared" si="12"/>
        <v>0</v>
      </c>
      <c r="CL48">
        <f t="shared" si="13"/>
        <v>0</v>
      </c>
      <c r="CM48">
        <f t="shared" si="14"/>
        <v>0</v>
      </c>
      <c r="CN48">
        <f t="shared" si="15"/>
        <v>0</v>
      </c>
      <c r="CO48" s="14">
        <f t="shared" si="39"/>
        <v>0</v>
      </c>
      <c r="CP48" s="14">
        <f t="shared" si="17"/>
        <v>0</v>
      </c>
      <c r="CQ48" s="14">
        <f t="shared" si="18"/>
        <v>0</v>
      </c>
      <c r="CR48" s="14">
        <f t="shared" si="19"/>
        <v>0</v>
      </c>
      <c r="CS48" s="14">
        <f t="shared" si="20"/>
        <v>0</v>
      </c>
      <c r="CT48" s="14">
        <f t="shared" si="21"/>
        <v>0</v>
      </c>
      <c r="CU48" s="14">
        <f t="shared" si="22"/>
        <v>0</v>
      </c>
      <c r="CV48" s="14">
        <f t="shared" si="23"/>
        <v>0</v>
      </c>
      <c r="CW48" s="14">
        <f t="shared" si="24"/>
        <v>0</v>
      </c>
      <c r="CX48" s="14">
        <f t="shared" si="25"/>
        <v>0</v>
      </c>
      <c r="CY48" s="14">
        <f t="shared" si="26"/>
        <v>0</v>
      </c>
      <c r="CZ48" s="14">
        <f t="shared" si="27"/>
        <v>0</v>
      </c>
      <c r="DA48" s="14">
        <f t="shared" si="28"/>
        <v>0</v>
      </c>
      <c r="DB48" s="14">
        <f t="shared" si="29"/>
        <v>0</v>
      </c>
      <c r="DC48" s="72">
        <f>F48/G48</f>
        <v>16.598931450266271</v>
      </c>
      <c r="DD48" s="72">
        <f t="shared" si="30"/>
        <v>0.5532977150088757</v>
      </c>
      <c r="DE48" s="71">
        <f>F48/BU48</f>
        <v>5471.0078060077631</v>
      </c>
      <c r="DF48" s="72">
        <f>J48/K48</f>
        <v>132.06357925207297</v>
      </c>
      <c r="DG48" s="72">
        <f t="shared" si="31"/>
        <v>4.4021193084024324</v>
      </c>
      <c r="DH48" s="72">
        <f>J48/BU48</f>
        <v>5647.9190726803208</v>
      </c>
      <c r="DI48" s="72">
        <f>N48/P48</f>
        <v>960.32758643378759</v>
      </c>
      <c r="DJ48" s="72">
        <f t="shared" si="32"/>
        <v>32.010919547792916</v>
      </c>
      <c r="DK48" s="72">
        <f t="shared" si="33"/>
        <v>43.651253928808529</v>
      </c>
      <c r="DL48" s="72">
        <f>N48/BU48</f>
        <v>4801.6379321689374</v>
      </c>
      <c r="DM48" s="72">
        <f>N48/BV48</f>
        <v>6547.6880893212792</v>
      </c>
      <c r="DN48" s="1">
        <v>0</v>
      </c>
      <c r="DO48" s="1">
        <v>0</v>
      </c>
    </row>
    <row r="49" spans="1:119">
      <c r="A49" s="93">
        <f t="shared" si="38"/>
        <v>43800</v>
      </c>
      <c r="B49" s="4">
        <f t="shared" si="0"/>
        <v>2019</v>
      </c>
      <c r="C49" s="4">
        <f t="shared" si="1"/>
        <v>12</v>
      </c>
      <c r="D49" s="56">
        <v>85932903</v>
      </c>
      <c r="E49" s="56">
        <f>IFERROR(VLOOKUP($B49-1,CDM!$J$6:$P$19,2,FALSE)/12,0)+IFERROR(VLOOKUP($B49,CDM!$J$37:$M$48,2,FALSE)/24,0)+IFERROR(VLOOKUP($B49,CDM!$J$37:$M$48,2,FALSE)/2*$C49/78,0)</f>
        <v>164641.16945893335</v>
      </c>
      <c r="F49" s="56">
        <f t="shared" si="34"/>
        <v>86097544.169458941</v>
      </c>
      <c r="G49" s="301">
        <v>9888</v>
      </c>
      <c r="H49" s="56">
        <v>30767208</v>
      </c>
      <c r="I49" s="56">
        <f>IFERROR(VLOOKUP($B49-1,CDM!$J$6:$P$19,3,FALSE)/12,0)+IFERROR(VLOOKUP($B49,CDM!$J$37:$M$47,3,FALSE)/24,0)+IFERROR(VLOOKUP($B49,CDM!$J$37:$M$47,3,FALSE)/2*$C49/78,0)</f>
        <v>171240.82187041509</v>
      </c>
      <c r="J49" s="56">
        <f t="shared" si="35"/>
        <v>30938448.821870416</v>
      </c>
      <c r="K49" s="6">
        <v>1283</v>
      </c>
      <c r="L49" s="5">
        <v>73532152</v>
      </c>
      <c r="M49" s="2">
        <f>IFERROR(VLOOKUP($B49-1,CDM!$J$6:$P$19,4,FALSE)/12,0)+IFERROR(VLOOKUP($B49,CDM!$J$37:$M$47,4,FALSE)/24,0)+IFERROR(VLOOKUP($B49,CDM!$J$37:$M$47,4,FALSE)/2*$C49/78,0)</f>
        <v>145567.87273544489</v>
      </c>
      <c r="N49" s="56">
        <f t="shared" si="36"/>
        <v>73677719.872735441</v>
      </c>
      <c r="O49" s="5">
        <v>230501</v>
      </c>
      <c r="P49" s="6">
        <v>149</v>
      </c>
      <c r="Q49" s="5">
        <v>1053969</v>
      </c>
      <c r="R49" s="5">
        <v>2923</v>
      </c>
      <c r="S49" s="6">
        <v>2897</v>
      </c>
      <c r="T49" s="6">
        <v>211785</v>
      </c>
      <c r="U49" s="6">
        <v>517</v>
      </c>
      <c r="V49" s="6">
        <v>175</v>
      </c>
      <c r="W49" s="5">
        <v>613238</v>
      </c>
      <c r="X49" s="1">
        <v>19</v>
      </c>
      <c r="Y49" s="56">
        <v>51856.39</v>
      </c>
      <c r="Z49" s="56">
        <v>2316.8000000000002</v>
      </c>
      <c r="AA49" s="71">
        <f>L49-Y49</f>
        <v>73480295.609999999</v>
      </c>
      <c r="AB49" s="71">
        <f>N49-Y49</f>
        <v>73625863.48273544</v>
      </c>
      <c r="AC49" s="5">
        <f>O49-Z49</f>
        <v>228184.2</v>
      </c>
      <c r="AD49" s="111">
        <f>Economic!H51</f>
        <v>807274.5</v>
      </c>
      <c r="AE49" s="111">
        <f>Economic!I51</f>
        <v>812164</v>
      </c>
      <c r="AF49" s="111">
        <f>Economic!D51</f>
        <v>7474</v>
      </c>
      <c r="AG49" s="111">
        <f>Economic!E51</f>
        <v>7485.8</v>
      </c>
      <c r="AH49" s="111">
        <f>Economic!F51</f>
        <v>641.70000000000005</v>
      </c>
      <c r="AI49" s="111">
        <f>Economic!G51</f>
        <v>640.29999999999995</v>
      </c>
      <c r="AJ49" s="111">
        <f>Economic!J51</f>
        <v>177.60000000000036</v>
      </c>
      <c r="AK49" s="111">
        <f>Economic!K51</f>
        <v>178.90000000000055</v>
      </c>
      <c r="AL49" s="111">
        <f>Economic!L51</f>
        <v>54.5</v>
      </c>
      <c r="AM49" s="111">
        <f>Economic!M51</f>
        <v>54.399999999999977</v>
      </c>
      <c r="AN49" s="111">
        <f>Economic!N51</f>
        <v>17742.900000000023</v>
      </c>
      <c r="AO49" s="111">
        <f>Economic!O51</f>
        <v>1467</v>
      </c>
      <c r="AP49" s="28">
        <f>Weather!D49</f>
        <v>-6.1836021505376344</v>
      </c>
      <c r="AQ49" s="28">
        <f>Weather!E49</f>
        <v>811.69166666666661</v>
      </c>
      <c r="AR49" s="28">
        <f>Weather!F49</f>
        <v>0</v>
      </c>
      <c r="AS49" s="28">
        <f>Weather!G49</f>
        <v>749.69166666666661</v>
      </c>
      <c r="AT49" s="28">
        <f>Weather!H49</f>
        <v>0</v>
      </c>
      <c r="AU49" s="28">
        <f>Weather!I49</f>
        <v>687.69166666666661</v>
      </c>
      <c r="AV49" s="28">
        <f>Weather!J49</f>
        <v>0</v>
      </c>
      <c r="AW49" s="28">
        <f>Weather!K49</f>
        <v>625.69166666666649</v>
      </c>
      <c r="AX49" s="28">
        <f>Weather!L49</f>
        <v>0</v>
      </c>
      <c r="AY49" s="28">
        <f>Weather!M49</f>
        <v>563.69166666666649</v>
      </c>
      <c r="AZ49" s="28">
        <f>Weather!N49</f>
        <v>0</v>
      </c>
      <c r="BA49" s="28">
        <f>Weather!O49</f>
        <v>501.69166666666649</v>
      </c>
      <c r="BB49" s="28">
        <f>Weather!P49</f>
        <v>0</v>
      </c>
      <c r="BC49" s="28">
        <f>Weather!Q49</f>
        <v>439.69166666666661</v>
      </c>
      <c r="BD49" s="28">
        <f>Weather!R49</f>
        <v>0</v>
      </c>
      <c r="BE49">
        <v>0</v>
      </c>
      <c r="BF49">
        <v>0</v>
      </c>
      <c r="BG49">
        <v>0</v>
      </c>
      <c r="BH49">
        <v>0</v>
      </c>
      <c r="BI49">
        <v>0</v>
      </c>
      <c r="BJ49">
        <v>0</v>
      </c>
      <c r="BK49">
        <v>0</v>
      </c>
      <c r="BL49">
        <v>0</v>
      </c>
      <c r="BM49">
        <v>0</v>
      </c>
      <c r="BN49">
        <v>0</v>
      </c>
      <c r="BO49">
        <v>0</v>
      </c>
      <c r="BP49">
        <v>1</v>
      </c>
      <c r="BQ49">
        <v>0</v>
      </c>
      <c r="BR49">
        <v>0</v>
      </c>
      <c r="BS49">
        <v>0</v>
      </c>
      <c r="BT49" s="1">
        <f t="shared" si="37"/>
        <v>48</v>
      </c>
      <c r="BU49">
        <v>31</v>
      </c>
      <c r="BV49">
        <v>19</v>
      </c>
      <c r="BW49">
        <v>0</v>
      </c>
      <c r="BX49">
        <v>0</v>
      </c>
      <c r="BY49">
        <v>0</v>
      </c>
      <c r="BZ49">
        <v>0</v>
      </c>
      <c r="CA49">
        <f t="shared" si="2"/>
        <v>0</v>
      </c>
      <c r="CB49">
        <f t="shared" si="3"/>
        <v>0</v>
      </c>
      <c r="CC49">
        <f t="shared" si="4"/>
        <v>0</v>
      </c>
      <c r="CD49">
        <f t="shared" si="5"/>
        <v>0</v>
      </c>
      <c r="CE49">
        <f t="shared" si="6"/>
        <v>0</v>
      </c>
      <c r="CF49">
        <f t="shared" si="7"/>
        <v>0</v>
      </c>
      <c r="CG49">
        <f t="shared" si="8"/>
        <v>0</v>
      </c>
      <c r="CH49">
        <f t="shared" si="9"/>
        <v>0</v>
      </c>
      <c r="CI49">
        <f t="shared" si="10"/>
        <v>0</v>
      </c>
      <c r="CJ49">
        <f t="shared" si="11"/>
        <v>0</v>
      </c>
      <c r="CK49">
        <f t="shared" si="12"/>
        <v>0</v>
      </c>
      <c r="CL49">
        <f t="shared" si="13"/>
        <v>0</v>
      </c>
      <c r="CM49">
        <f t="shared" si="14"/>
        <v>0</v>
      </c>
      <c r="CN49">
        <f t="shared" si="15"/>
        <v>0</v>
      </c>
      <c r="CO49" s="14">
        <f t="shared" si="39"/>
        <v>0</v>
      </c>
      <c r="CP49" s="14">
        <f t="shared" si="17"/>
        <v>0</v>
      </c>
      <c r="CQ49" s="14">
        <f t="shared" si="18"/>
        <v>0</v>
      </c>
      <c r="CR49" s="14">
        <f t="shared" si="19"/>
        <v>0</v>
      </c>
      <c r="CS49" s="14">
        <f t="shared" si="20"/>
        <v>0</v>
      </c>
      <c r="CT49" s="14">
        <f t="shared" si="21"/>
        <v>0</v>
      </c>
      <c r="CU49" s="14">
        <f t="shared" si="22"/>
        <v>0</v>
      </c>
      <c r="CV49" s="14">
        <f t="shared" si="23"/>
        <v>0</v>
      </c>
      <c r="CW49" s="14">
        <f t="shared" si="24"/>
        <v>0</v>
      </c>
      <c r="CX49" s="14">
        <f t="shared" si="25"/>
        <v>0</v>
      </c>
      <c r="CY49" s="14">
        <f t="shared" si="26"/>
        <v>0</v>
      </c>
      <c r="CZ49" s="14">
        <f t="shared" si="27"/>
        <v>0</v>
      </c>
      <c r="DA49" s="14">
        <f t="shared" si="28"/>
        <v>0</v>
      </c>
      <c r="DB49" s="14">
        <f t="shared" si="29"/>
        <v>0</v>
      </c>
      <c r="DC49" s="72">
        <f>F49/G49</f>
        <v>8707.2759071054752</v>
      </c>
      <c r="DD49" s="72">
        <f t="shared" si="30"/>
        <v>280.87986797114434</v>
      </c>
      <c r="DE49" s="71">
        <f>F49/BU49</f>
        <v>2777340.1344986754</v>
      </c>
      <c r="DF49" s="72">
        <f>J49/K49</f>
        <v>24114.145613305078</v>
      </c>
      <c r="DG49" s="72">
        <f t="shared" si="31"/>
        <v>777.87566494532507</v>
      </c>
      <c r="DH49" s="72">
        <f>J49/BU49</f>
        <v>998014.47812485218</v>
      </c>
      <c r="DI49" s="72">
        <f>N49/P49</f>
        <v>494481.34142775461</v>
      </c>
      <c r="DJ49" s="72">
        <f t="shared" si="32"/>
        <v>15951.011013798536</v>
      </c>
      <c r="DK49" s="72">
        <f t="shared" si="33"/>
        <v>26025.333759355504</v>
      </c>
      <c r="DL49" s="72">
        <f>N49/BU49</f>
        <v>2376700.6410559821</v>
      </c>
      <c r="DM49" s="72">
        <f>N49/BV49</f>
        <v>3877774.7301439703</v>
      </c>
      <c r="DN49" s="1">
        <v>0</v>
      </c>
      <c r="DO49" s="1">
        <v>0</v>
      </c>
    </row>
    <row r="50" spans="1:119">
      <c r="A50" s="93">
        <f t="shared" si="38"/>
        <v>43831</v>
      </c>
      <c r="B50" s="4">
        <f t="shared" si="0"/>
        <v>2020</v>
      </c>
      <c r="C50" s="4">
        <f t="shared" si="1"/>
        <v>1</v>
      </c>
      <c r="D50" s="56">
        <v>8252808</v>
      </c>
      <c r="E50" s="56">
        <f>IFERROR(VLOOKUP($B50-1,CDM!$J$6:$P$19,2,FALSE)/12,0)+IFERROR(VLOOKUP($B50,CDM!$J$37:$M$48,2,FALSE)/24,0)+IFERROR(VLOOKUP($B50,CDM!$J$37:$M$48,2,FALSE)/2*$C50/78,0)</f>
        <v>161846.16965684996</v>
      </c>
      <c r="F50" s="56">
        <f t="shared" si="34"/>
        <v>8414654.1696568504</v>
      </c>
      <c r="G50" s="301">
        <v>9912</v>
      </c>
      <c r="H50" s="56">
        <v>2851727</v>
      </c>
      <c r="I50" s="56">
        <f>IFERROR(VLOOKUP($B50-1,CDM!$J$6:$P$19,3,FALSE)/12,0)+IFERROR(VLOOKUP($B50,CDM!$J$37:$M$47,3,FALSE)/24,0)+IFERROR(VLOOKUP($B50,CDM!$J$37:$M$47,3,FALSE)/2*$C50/78,0)</f>
        <v>158440.25749514051</v>
      </c>
      <c r="J50" s="56">
        <f t="shared" si="35"/>
        <v>3010167.2574951407</v>
      </c>
      <c r="K50" s="6">
        <v>1282</v>
      </c>
      <c r="L50" s="5">
        <v>6440679</v>
      </c>
      <c r="M50" s="2">
        <f>IFERROR(VLOOKUP($B50-1,CDM!$J$6:$P$19,4,FALSE)/12,0)+IFERROR(VLOOKUP($B50,CDM!$J$37:$M$47,4,FALSE)/24,0)+IFERROR(VLOOKUP($B50,CDM!$J$37:$M$47,4,FALSE)/2*$C50/78,0)</f>
        <v>136236.96273915505</v>
      </c>
      <c r="N50" s="56">
        <f t="shared" si="36"/>
        <v>6576915.9627391547</v>
      </c>
      <c r="O50" s="5">
        <v>15098</v>
      </c>
      <c r="P50" s="6">
        <v>149</v>
      </c>
      <c r="Q50" s="5">
        <v>106653</v>
      </c>
      <c r="R50" s="5">
        <v>236</v>
      </c>
      <c r="S50" s="6">
        <v>2875</v>
      </c>
      <c r="T50" s="6">
        <v>19661</v>
      </c>
      <c r="U50" s="6">
        <v>43</v>
      </c>
      <c r="V50" s="6">
        <v>171</v>
      </c>
      <c r="W50" s="5">
        <v>51241</v>
      </c>
      <c r="X50" s="1">
        <v>19</v>
      </c>
      <c r="Y50" s="56">
        <v>77811.460000000006</v>
      </c>
      <c r="Z50" s="56">
        <v>7319.9</v>
      </c>
      <c r="AA50" s="71">
        <f>L50-Y50</f>
        <v>6362867.54</v>
      </c>
      <c r="AB50" s="71">
        <f>N50-Y50</f>
        <v>6499104.5027391547</v>
      </c>
      <c r="AC50" s="5">
        <f>O50-Z50</f>
        <v>7778.1</v>
      </c>
      <c r="AD50" s="111">
        <f>Economic!H52</f>
        <v>769942</v>
      </c>
      <c r="AE50" s="111">
        <f>Economic!I52</f>
        <v>801246</v>
      </c>
      <c r="AF50" s="111">
        <f>Economic!D52</f>
        <v>7498.1</v>
      </c>
      <c r="AG50" s="111">
        <f>Economic!E52</f>
        <v>7464.7</v>
      </c>
      <c r="AH50" s="111">
        <f>Economic!F52</f>
        <v>635.9</v>
      </c>
      <c r="AI50" s="111">
        <f>Economic!G52</f>
        <v>631.6</v>
      </c>
      <c r="AJ50" s="111">
        <f>Economic!J52</f>
        <v>191.60000000000036</v>
      </c>
      <c r="AK50" s="111">
        <f>Economic!K52</f>
        <v>184.59999999999945</v>
      </c>
      <c r="AL50" s="111">
        <f>Economic!L52</f>
        <v>47.5</v>
      </c>
      <c r="AM50" s="111">
        <f>Economic!M52</f>
        <v>46.300000000000068</v>
      </c>
      <c r="AN50" s="111">
        <f>Economic!N52</f>
        <v>-37332.5</v>
      </c>
      <c r="AO50" s="111">
        <f>Economic!O52</f>
        <v>-10918</v>
      </c>
      <c r="AP50" s="28">
        <f>Weather!D50</f>
        <v>-7.4672043010752693</v>
      </c>
      <c r="AQ50" s="28">
        <f>Weather!E50</f>
        <v>851.48333333333335</v>
      </c>
      <c r="AR50" s="28">
        <f>Weather!F50</f>
        <v>0</v>
      </c>
      <c r="AS50" s="28">
        <f>Weather!G50</f>
        <v>789.48333333333335</v>
      </c>
      <c r="AT50" s="28">
        <f>Weather!H50</f>
        <v>0</v>
      </c>
      <c r="AU50" s="28">
        <f>Weather!I50</f>
        <v>727.48333333333335</v>
      </c>
      <c r="AV50" s="28">
        <f>Weather!J50</f>
        <v>0</v>
      </c>
      <c r="AW50" s="28">
        <f>Weather!K50</f>
        <v>665.48333333333335</v>
      </c>
      <c r="AX50" s="28">
        <f>Weather!L50</f>
        <v>0</v>
      </c>
      <c r="AY50" s="28">
        <f>Weather!M50</f>
        <v>603.48333333333335</v>
      </c>
      <c r="AZ50" s="28">
        <f>Weather!N50</f>
        <v>0</v>
      </c>
      <c r="BA50" s="28">
        <f>Weather!O50</f>
        <v>541.48333333333335</v>
      </c>
      <c r="BB50" s="28">
        <f>Weather!P50</f>
        <v>0</v>
      </c>
      <c r="BC50" s="28">
        <f>Weather!Q50</f>
        <v>479.48333333333323</v>
      </c>
      <c r="BD50" s="28">
        <f>Weather!R50</f>
        <v>0</v>
      </c>
      <c r="BE50">
        <v>1</v>
      </c>
      <c r="BF50">
        <v>0</v>
      </c>
      <c r="BG50">
        <v>0</v>
      </c>
      <c r="BH50">
        <v>0</v>
      </c>
      <c r="BI50">
        <v>0</v>
      </c>
      <c r="BJ50">
        <v>0</v>
      </c>
      <c r="BK50">
        <v>0</v>
      </c>
      <c r="BL50">
        <v>0</v>
      </c>
      <c r="BM50">
        <v>0</v>
      </c>
      <c r="BN50">
        <v>0</v>
      </c>
      <c r="BO50">
        <v>0</v>
      </c>
      <c r="BP50">
        <v>0</v>
      </c>
      <c r="BQ50">
        <v>0</v>
      </c>
      <c r="BR50">
        <v>0</v>
      </c>
      <c r="BS50">
        <v>0</v>
      </c>
      <c r="BT50" s="1">
        <f t="shared" si="37"/>
        <v>49</v>
      </c>
      <c r="BU50">
        <v>31</v>
      </c>
      <c r="BV50">
        <v>22</v>
      </c>
      <c r="BW50">
        <v>0</v>
      </c>
      <c r="BX50">
        <v>0</v>
      </c>
      <c r="BY50">
        <v>0</v>
      </c>
      <c r="BZ50">
        <v>0</v>
      </c>
      <c r="CA50">
        <f t="shared" si="2"/>
        <v>0</v>
      </c>
      <c r="CB50">
        <f t="shared" si="3"/>
        <v>0</v>
      </c>
      <c r="CC50">
        <f t="shared" si="4"/>
        <v>0</v>
      </c>
      <c r="CD50">
        <f t="shared" si="5"/>
        <v>0</v>
      </c>
      <c r="CE50">
        <f t="shared" si="6"/>
        <v>0</v>
      </c>
      <c r="CF50">
        <f t="shared" si="7"/>
        <v>0</v>
      </c>
      <c r="CG50">
        <f t="shared" si="8"/>
        <v>0</v>
      </c>
      <c r="CH50">
        <f t="shared" si="9"/>
        <v>0</v>
      </c>
      <c r="CI50">
        <f t="shared" si="10"/>
        <v>0</v>
      </c>
      <c r="CJ50">
        <f t="shared" si="11"/>
        <v>0</v>
      </c>
      <c r="CK50">
        <f t="shared" si="12"/>
        <v>0</v>
      </c>
      <c r="CL50">
        <f t="shared" si="13"/>
        <v>0</v>
      </c>
      <c r="CM50">
        <f t="shared" si="14"/>
        <v>0</v>
      </c>
      <c r="CN50">
        <f t="shared" si="15"/>
        <v>0</v>
      </c>
      <c r="CO50" s="14">
        <f t="shared" si="39"/>
        <v>0</v>
      </c>
      <c r="CP50" s="14">
        <f t="shared" si="17"/>
        <v>0</v>
      </c>
      <c r="CQ50" s="14">
        <f t="shared" si="18"/>
        <v>0</v>
      </c>
      <c r="CR50" s="14">
        <f t="shared" si="19"/>
        <v>0</v>
      </c>
      <c r="CS50" s="14">
        <f t="shared" si="20"/>
        <v>0</v>
      </c>
      <c r="CT50" s="14">
        <f t="shared" si="21"/>
        <v>0</v>
      </c>
      <c r="CU50" s="14">
        <f t="shared" si="22"/>
        <v>0</v>
      </c>
      <c r="CV50" s="14">
        <f t="shared" si="23"/>
        <v>0</v>
      </c>
      <c r="CW50" s="14">
        <f t="shared" si="24"/>
        <v>0</v>
      </c>
      <c r="CX50" s="14">
        <f t="shared" si="25"/>
        <v>0</v>
      </c>
      <c r="CY50" s="14">
        <f t="shared" si="26"/>
        <v>0</v>
      </c>
      <c r="CZ50" s="14">
        <f t="shared" si="27"/>
        <v>0</v>
      </c>
      <c r="DA50" s="14">
        <f t="shared" si="28"/>
        <v>0</v>
      </c>
      <c r="DB50" s="14">
        <f t="shared" si="29"/>
        <v>0</v>
      </c>
      <c r="DC50" s="72">
        <f>F50/G50</f>
        <v>848.9360542430237</v>
      </c>
      <c r="DD50" s="72">
        <f t="shared" si="30"/>
        <v>27.385034007839476</v>
      </c>
      <c r="DE50" s="71">
        <f>F50/BU50</f>
        <v>271440.45708570484</v>
      </c>
      <c r="DF50" s="72">
        <f>J50/K50</f>
        <v>2348.0243818214826</v>
      </c>
      <c r="DG50" s="72">
        <f t="shared" si="31"/>
        <v>75.742721994241379</v>
      </c>
      <c r="DH50" s="72">
        <f>J50/BU50</f>
        <v>97102.169596617445</v>
      </c>
      <c r="DI50" s="72">
        <f>N50/P50</f>
        <v>44140.375588853385</v>
      </c>
      <c r="DJ50" s="72">
        <f t="shared" si="32"/>
        <v>1423.8830835113995</v>
      </c>
      <c r="DK50" s="72">
        <f t="shared" si="33"/>
        <v>2006.3807085842448</v>
      </c>
      <c r="DL50" s="72">
        <f>N50/BU50</f>
        <v>212158.57944319854</v>
      </c>
      <c r="DM50" s="72">
        <f>N50/BV50</f>
        <v>298950.72557905247</v>
      </c>
      <c r="DN50" s="1">
        <v>0</v>
      </c>
      <c r="DO50" s="1">
        <v>0</v>
      </c>
    </row>
    <row r="51" spans="1:119">
      <c r="A51" s="93">
        <f t="shared" si="38"/>
        <v>43862</v>
      </c>
      <c r="B51" s="4">
        <f t="shared" si="0"/>
        <v>2020</v>
      </c>
      <c r="C51" s="4">
        <f t="shared" si="1"/>
        <v>2</v>
      </c>
      <c r="D51" s="56">
        <v>7653590</v>
      </c>
      <c r="E51" s="56">
        <f>IFERROR(VLOOKUP($B51-1,CDM!$J$6:$P$19,2,FALSE)/12,0)+IFERROR(VLOOKUP($B51,CDM!$J$37:$M$48,2,FALSE)/24,0)+IFERROR(VLOOKUP($B51,CDM!$J$37:$M$48,2,FALSE)/2*$C51/78,0)</f>
        <v>161848.18888761921</v>
      </c>
      <c r="F51" s="56">
        <f t="shared" si="34"/>
        <v>7815438.1888876194</v>
      </c>
      <c r="G51" s="301">
        <v>9916</v>
      </c>
      <c r="H51" s="56">
        <v>2655070</v>
      </c>
      <c r="I51" s="56">
        <f>IFERROR(VLOOKUP($B51-1,CDM!$J$6:$P$19,3,FALSE)/12,0)+IFERROR(VLOOKUP($B51,CDM!$J$37:$M$47,3,FALSE)/24,0)+IFERROR(VLOOKUP($B51,CDM!$J$37:$M$47,3,FALSE)/2*$C51/78,0)</f>
        <v>158055.89868444126</v>
      </c>
      <c r="J51" s="56">
        <f t="shared" si="35"/>
        <v>2813125.8986844411</v>
      </c>
      <c r="K51" s="6">
        <v>1280</v>
      </c>
      <c r="L51" s="5">
        <v>5907939</v>
      </c>
      <c r="M51" s="2">
        <f>IFERROR(VLOOKUP($B51-1,CDM!$J$6:$P$19,4,FALSE)/12,0)+IFERROR(VLOOKUP($B51,CDM!$J$37:$M$47,4,FALSE)/24,0)+IFERROR(VLOOKUP($B51,CDM!$J$37:$M$47,4,FALSE)/2*$C51/78,0)</f>
        <v>136106.58023792601</v>
      </c>
      <c r="N51" s="56">
        <f t="shared" si="36"/>
        <v>6044045.580237926</v>
      </c>
      <c r="O51" s="5">
        <v>14713</v>
      </c>
      <c r="P51" s="6">
        <v>149</v>
      </c>
      <c r="Q51" s="5">
        <v>91818</v>
      </c>
      <c r="R51" s="5">
        <v>236</v>
      </c>
      <c r="S51" s="6">
        <v>2875</v>
      </c>
      <c r="T51" s="6">
        <v>16528</v>
      </c>
      <c r="U51" s="6">
        <v>43</v>
      </c>
      <c r="V51" s="6">
        <v>171</v>
      </c>
      <c r="W51" s="5">
        <v>48847</v>
      </c>
      <c r="X51" s="1">
        <v>19</v>
      </c>
      <c r="Y51" s="56">
        <v>218008</v>
      </c>
      <c r="Z51" s="56">
        <v>5116.8</v>
      </c>
      <c r="AA51" s="71">
        <f>L51-Y51</f>
        <v>5689931</v>
      </c>
      <c r="AB51" s="71">
        <f>N51-Y51</f>
        <v>5826037.580237926</v>
      </c>
      <c r="AC51" s="5">
        <f>O51-Z51</f>
        <v>9596.2000000000007</v>
      </c>
      <c r="AD51" s="111">
        <f>Economic!H53</f>
        <v>769942</v>
      </c>
      <c r="AE51" s="111">
        <f>Economic!I53</f>
        <v>801246</v>
      </c>
      <c r="AF51" s="111">
        <f>Economic!D53</f>
        <v>7508</v>
      </c>
      <c r="AG51" s="111">
        <f>Economic!E53</f>
        <v>7439</v>
      </c>
      <c r="AH51" s="111">
        <f>Economic!F53</f>
        <v>627.79999999999995</v>
      </c>
      <c r="AI51" s="111">
        <f>Economic!G53</f>
        <v>621.9</v>
      </c>
      <c r="AJ51" s="111">
        <f>Economic!J53</f>
        <v>178.30000000000018</v>
      </c>
      <c r="AK51" s="111">
        <f>Economic!K53</f>
        <v>174.80000000000018</v>
      </c>
      <c r="AL51" s="111">
        <f>Economic!L53</f>
        <v>33.399999999999977</v>
      </c>
      <c r="AM51" s="111">
        <f>Economic!M53</f>
        <v>30.399999999999977</v>
      </c>
      <c r="AN51" s="111">
        <f>Economic!N53</f>
        <v>-37332.5</v>
      </c>
      <c r="AO51" s="111">
        <f>Economic!O53</f>
        <v>-10918</v>
      </c>
      <c r="AP51" s="28">
        <f>Weather!D51</f>
        <v>-7.7364942528735607</v>
      </c>
      <c r="AQ51" s="28">
        <f>Weather!E51</f>
        <v>804.35833333333335</v>
      </c>
      <c r="AR51" s="28">
        <f>Weather!F51</f>
        <v>0</v>
      </c>
      <c r="AS51" s="28">
        <f>Weather!G51</f>
        <v>746.35833333333335</v>
      </c>
      <c r="AT51" s="28">
        <f>Weather!H51</f>
        <v>0</v>
      </c>
      <c r="AU51" s="28">
        <f>Weather!I51</f>
        <v>688.35833333333335</v>
      </c>
      <c r="AV51" s="28">
        <f>Weather!J51</f>
        <v>0</v>
      </c>
      <c r="AW51" s="28">
        <f>Weather!K51</f>
        <v>630.35833333333323</v>
      </c>
      <c r="AX51" s="28">
        <f>Weather!L51</f>
        <v>0</v>
      </c>
      <c r="AY51" s="28">
        <f>Weather!M51</f>
        <v>572.35833333333323</v>
      </c>
      <c r="AZ51" s="28">
        <f>Weather!N51</f>
        <v>0</v>
      </c>
      <c r="BA51" s="28">
        <f>Weather!O51</f>
        <v>514.35833333333323</v>
      </c>
      <c r="BB51" s="28">
        <f>Weather!P51</f>
        <v>0</v>
      </c>
      <c r="BC51" s="28">
        <f>Weather!Q51</f>
        <v>456.35833333333329</v>
      </c>
      <c r="BD51" s="28">
        <f>Weather!R51</f>
        <v>0</v>
      </c>
      <c r="BE51">
        <v>0</v>
      </c>
      <c r="BF51">
        <v>1</v>
      </c>
      <c r="BG51">
        <v>0</v>
      </c>
      <c r="BH51">
        <v>0</v>
      </c>
      <c r="BI51">
        <v>0</v>
      </c>
      <c r="BJ51">
        <v>0</v>
      </c>
      <c r="BK51">
        <v>0</v>
      </c>
      <c r="BL51">
        <v>0</v>
      </c>
      <c r="BM51">
        <v>0</v>
      </c>
      <c r="BN51">
        <v>0</v>
      </c>
      <c r="BO51">
        <v>0</v>
      </c>
      <c r="BP51">
        <v>0</v>
      </c>
      <c r="BQ51">
        <v>0</v>
      </c>
      <c r="BR51">
        <v>0</v>
      </c>
      <c r="BS51">
        <v>0</v>
      </c>
      <c r="BT51" s="1">
        <f t="shared" si="37"/>
        <v>50</v>
      </c>
      <c r="BU51">
        <v>28</v>
      </c>
      <c r="BV51">
        <v>19</v>
      </c>
      <c r="BW51">
        <v>0</v>
      </c>
      <c r="BX51">
        <v>0</v>
      </c>
      <c r="BY51">
        <v>0</v>
      </c>
      <c r="BZ51">
        <v>0</v>
      </c>
      <c r="CA51">
        <f t="shared" si="2"/>
        <v>0</v>
      </c>
      <c r="CB51">
        <f t="shared" si="3"/>
        <v>0</v>
      </c>
      <c r="CC51">
        <f t="shared" si="4"/>
        <v>0</v>
      </c>
      <c r="CD51">
        <f t="shared" si="5"/>
        <v>0</v>
      </c>
      <c r="CE51">
        <f t="shared" si="6"/>
        <v>0</v>
      </c>
      <c r="CF51">
        <f t="shared" si="7"/>
        <v>0</v>
      </c>
      <c r="CG51">
        <f t="shared" si="8"/>
        <v>0</v>
      </c>
      <c r="CH51">
        <f t="shared" si="9"/>
        <v>0</v>
      </c>
      <c r="CI51">
        <f t="shared" si="10"/>
        <v>0</v>
      </c>
      <c r="CJ51">
        <f t="shared" si="11"/>
        <v>0</v>
      </c>
      <c r="CK51">
        <f t="shared" si="12"/>
        <v>0</v>
      </c>
      <c r="CL51">
        <f t="shared" si="13"/>
        <v>0</v>
      </c>
      <c r="CM51">
        <f t="shared" si="14"/>
        <v>0</v>
      </c>
      <c r="CN51">
        <f t="shared" si="15"/>
        <v>0</v>
      </c>
      <c r="CO51" s="14">
        <f t="shared" si="39"/>
        <v>0</v>
      </c>
      <c r="CP51" s="14">
        <f t="shared" si="17"/>
        <v>0</v>
      </c>
      <c r="CQ51" s="14">
        <f t="shared" si="18"/>
        <v>0</v>
      </c>
      <c r="CR51" s="14">
        <f t="shared" si="19"/>
        <v>0</v>
      </c>
      <c r="CS51" s="14">
        <f t="shared" si="20"/>
        <v>0</v>
      </c>
      <c r="CT51" s="14">
        <f t="shared" si="21"/>
        <v>0</v>
      </c>
      <c r="CU51" s="14">
        <f t="shared" si="22"/>
        <v>0</v>
      </c>
      <c r="CV51" s="14">
        <f t="shared" si="23"/>
        <v>0</v>
      </c>
      <c r="CW51" s="14">
        <f t="shared" si="24"/>
        <v>0</v>
      </c>
      <c r="CX51" s="14">
        <f t="shared" si="25"/>
        <v>0</v>
      </c>
      <c r="CY51" s="14">
        <f t="shared" si="26"/>
        <v>0</v>
      </c>
      <c r="CZ51" s="14">
        <f t="shared" si="27"/>
        <v>0</v>
      </c>
      <c r="DA51" s="14">
        <f t="shared" si="28"/>
        <v>0</v>
      </c>
      <c r="DB51" s="14">
        <f t="shared" si="29"/>
        <v>0</v>
      </c>
      <c r="DC51" s="72">
        <f>F51/G51</f>
        <v>788.16439984748081</v>
      </c>
      <c r="DD51" s="72">
        <f t="shared" si="30"/>
        <v>28.148728565981457</v>
      </c>
      <c r="DE51" s="71">
        <f>F51/BU51</f>
        <v>279122.79246027215</v>
      </c>
      <c r="DF51" s="72">
        <f>J51/K51</f>
        <v>2197.7546083472198</v>
      </c>
      <c r="DG51" s="72">
        <f t="shared" si="31"/>
        <v>78.491236012400705</v>
      </c>
      <c r="DH51" s="72">
        <f>J51/BU51</f>
        <v>100468.7820958729</v>
      </c>
      <c r="DI51" s="72">
        <f>N51/P51</f>
        <v>40564.064296898832</v>
      </c>
      <c r="DJ51" s="72">
        <f t="shared" si="32"/>
        <v>1448.7165820321011</v>
      </c>
      <c r="DK51" s="72">
        <f t="shared" si="33"/>
        <v>2134.9507524683595</v>
      </c>
      <c r="DL51" s="72">
        <f>N51/BU51</f>
        <v>215858.77072278308</v>
      </c>
      <c r="DM51" s="72">
        <f>N51/BV51</f>
        <v>318107.6621177856</v>
      </c>
      <c r="DN51" s="1">
        <v>0</v>
      </c>
      <c r="DO51" s="1">
        <v>0</v>
      </c>
    </row>
    <row r="52" spans="1:119">
      <c r="A52" s="93">
        <f t="shared" si="38"/>
        <v>43891</v>
      </c>
      <c r="B52" s="4">
        <f t="shared" si="0"/>
        <v>2020</v>
      </c>
      <c r="C52" s="4">
        <f t="shared" si="1"/>
        <v>3</v>
      </c>
      <c r="D52" s="56">
        <v>7390200</v>
      </c>
      <c r="E52" s="56">
        <f>IFERROR(VLOOKUP($B52-1,CDM!$J$6:$P$19,2,FALSE)/12,0)+IFERROR(VLOOKUP($B52,CDM!$J$37:$M$48,2,FALSE)/24,0)+IFERROR(VLOOKUP($B52,CDM!$J$37:$M$48,2,FALSE)/2*$C52/78,0)</f>
        <v>161850.20811838843</v>
      </c>
      <c r="F52" s="56">
        <f t="shared" si="34"/>
        <v>7552050.2081183884</v>
      </c>
      <c r="G52" s="301">
        <v>9928</v>
      </c>
      <c r="H52" s="56">
        <v>2392130</v>
      </c>
      <c r="I52" s="56">
        <f>IFERROR(VLOOKUP($B52-1,CDM!$J$6:$P$19,3,FALSE)/12,0)+IFERROR(VLOOKUP($B52,CDM!$J$37:$M$47,3,FALSE)/24,0)+IFERROR(VLOOKUP($B52,CDM!$J$37:$M$47,3,FALSE)/2*$C52/78,0)</f>
        <v>157671.53987374197</v>
      </c>
      <c r="J52" s="56">
        <f t="shared" si="35"/>
        <v>2549801.539873742</v>
      </c>
      <c r="K52" s="6">
        <v>1280</v>
      </c>
      <c r="L52" s="5">
        <v>5610578</v>
      </c>
      <c r="M52" s="2">
        <f>IFERROR(VLOOKUP($B52-1,CDM!$J$6:$P$19,4,FALSE)/12,0)+IFERROR(VLOOKUP($B52,CDM!$J$37:$M$47,4,FALSE)/24,0)+IFERROR(VLOOKUP($B52,CDM!$J$37:$M$47,4,FALSE)/2*$C52/78,0)</f>
        <v>135976.19773669701</v>
      </c>
      <c r="N52" s="56">
        <f t="shared" si="36"/>
        <v>5746554.1977366973</v>
      </c>
      <c r="O52" s="5">
        <v>14021</v>
      </c>
      <c r="P52" s="6">
        <v>149</v>
      </c>
      <c r="Q52" s="5">
        <v>87913</v>
      </c>
      <c r="R52" s="5">
        <v>236</v>
      </c>
      <c r="S52" s="6">
        <v>2875</v>
      </c>
      <c r="T52" s="6">
        <v>16258</v>
      </c>
      <c r="U52" s="6">
        <v>44</v>
      </c>
      <c r="V52" s="6">
        <v>171</v>
      </c>
      <c r="W52" s="5">
        <v>49981</v>
      </c>
      <c r="X52" s="1">
        <v>19</v>
      </c>
      <c r="Y52" s="56">
        <v>16681.759999999998</v>
      </c>
      <c r="Z52" s="56">
        <v>3181.4</v>
      </c>
      <c r="AA52" s="71">
        <f>L52-Y52</f>
        <v>5593896.2400000002</v>
      </c>
      <c r="AB52" s="71">
        <f>N52-Y52</f>
        <v>5729872.4377366975</v>
      </c>
      <c r="AC52" s="5">
        <f>O52-Z52</f>
        <v>10839.6</v>
      </c>
      <c r="AD52" s="111">
        <f>Economic!H54</f>
        <v>769942</v>
      </c>
      <c r="AE52" s="111">
        <f>Economic!I54</f>
        <v>801246</v>
      </c>
      <c r="AF52" s="111">
        <f>Economic!D54</f>
        <v>7351.6</v>
      </c>
      <c r="AG52" s="111">
        <f>Economic!E54</f>
        <v>7258.8</v>
      </c>
      <c r="AH52" s="111">
        <f>Economic!F54</f>
        <v>611.6</v>
      </c>
      <c r="AI52" s="111">
        <f>Economic!G54</f>
        <v>605.20000000000005</v>
      </c>
      <c r="AJ52" s="111">
        <f>Economic!J54</f>
        <v>9.7000000000007276</v>
      </c>
      <c r="AK52" s="111">
        <f>Economic!K54</f>
        <v>19.300000000000182</v>
      </c>
      <c r="AL52" s="111">
        <f>Economic!L54</f>
        <v>14.700000000000045</v>
      </c>
      <c r="AM52" s="111">
        <f>Economic!M54</f>
        <v>13.300000000000068</v>
      </c>
      <c r="AN52" s="111">
        <f>Economic!N54</f>
        <v>-37332.5</v>
      </c>
      <c r="AO52" s="111">
        <f>Economic!O54</f>
        <v>-10918</v>
      </c>
      <c r="AP52" s="28">
        <f>Weather!D52</f>
        <v>-1.2733870967741934</v>
      </c>
      <c r="AQ52" s="28">
        <f>Weather!E52</f>
        <v>659.47500000000002</v>
      </c>
      <c r="AR52" s="28">
        <f>Weather!F52</f>
        <v>0</v>
      </c>
      <c r="AS52" s="28">
        <f>Weather!G52</f>
        <v>597.47499999999991</v>
      </c>
      <c r="AT52" s="28">
        <f>Weather!H52</f>
        <v>0</v>
      </c>
      <c r="AU52" s="28">
        <f>Weather!I52</f>
        <v>535.47499999999991</v>
      </c>
      <c r="AV52" s="28">
        <f>Weather!J52</f>
        <v>0</v>
      </c>
      <c r="AW52" s="28">
        <f>Weather!K52</f>
        <v>473.47499999999997</v>
      </c>
      <c r="AX52" s="28">
        <f>Weather!L52</f>
        <v>0</v>
      </c>
      <c r="AY52" s="28">
        <f>Weather!M52</f>
        <v>411.47500000000002</v>
      </c>
      <c r="AZ52" s="28">
        <f>Weather!N52</f>
        <v>0</v>
      </c>
      <c r="BA52" s="28">
        <f>Weather!O52</f>
        <v>349.47500000000014</v>
      </c>
      <c r="BB52" s="28">
        <f>Weather!P52</f>
        <v>0</v>
      </c>
      <c r="BC52" s="28">
        <f>Weather!Q52</f>
        <v>287.47500000000008</v>
      </c>
      <c r="BD52" s="28">
        <f>Weather!R52</f>
        <v>0</v>
      </c>
      <c r="BE52">
        <v>0</v>
      </c>
      <c r="BF52">
        <v>0</v>
      </c>
      <c r="BG52">
        <v>1</v>
      </c>
      <c r="BH52">
        <v>0</v>
      </c>
      <c r="BI52">
        <v>0</v>
      </c>
      <c r="BJ52">
        <v>0</v>
      </c>
      <c r="BK52">
        <v>0</v>
      </c>
      <c r="BL52">
        <v>0</v>
      </c>
      <c r="BM52">
        <v>0</v>
      </c>
      <c r="BN52">
        <v>0</v>
      </c>
      <c r="BO52">
        <v>0</v>
      </c>
      <c r="BP52">
        <v>0</v>
      </c>
      <c r="BQ52">
        <v>1</v>
      </c>
      <c r="BR52">
        <v>0</v>
      </c>
      <c r="BS52">
        <v>1</v>
      </c>
      <c r="BT52" s="1">
        <f t="shared" si="37"/>
        <v>51</v>
      </c>
      <c r="BU52">
        <v>31</v>
      </c>
      <c r="BV52">
        <v>21</v>
      </c>
      <c r="BW52" s="1">
        <v>1</v>
      </c>
      <c r="BX52" s="1">
        <v>0.5</v>
      </c>
      <c r="BY52" s="1">
        <v>0.5</v>
      </c>
      <c r="BZ52" s="1">
        <v>0.5</v>
      </c>
      <c r="CA52">
        <f t="shared" si="2"/>
        <v>329.73750000000001</v>
      </c>
      <c r="CB52">
        <f t="shared" si="3"/>
        <v>0</v>
      </c>
      <c r="CC52">
        <f t="shared" si="4"/>
        <v>298.73749999999995</v>
      </c>
      <c r="CD52">
        <f t="shared" si="5"/>
        <v>0</v>
      </c>
      <c r="CE52">
        <f t="shared" si="6"/>
        <v>267.73749999999995</v>
      </c>
      <c r="CF52">
        <f t="shared" si="7"/>
        <v>0</v>
      </c>
      <c r="CG52">
        <f t="shared" si="8"/>
        <v>236.73749999999998</v>
      </c>
      <c r="CH52">
        <f t="shared" si="9"/>
        <v>0</v>
      </c>
      <c r="CI52">
        <f t="shared" si="10"/>
        <v>205.73750000000001</v>
      </c>
      <c r="CJ52">
        <f t="shared" si="11"/>
        <v>0</v>
      </c>
      <c r="CK52">
        <f t="shared" si="12"/>
        <v>174.73750000000007</v>
      </c>
      <c r="CL52">
        <f t="shared" si="13"/>
        <v>0</v>
      </c>
      <c r="CM52">
        <f t="shared" si="14"/>
        <v>143.73750000000004</v>
      </c>
      <c r="CN52">
        <f t="shared" si="15"/>
        <v>0</v>
      </c>
      <c r="CO52" s="14">
        <f t="shared" si="39"/>
        <v>329.73750000000001</v>
      </c>
      <c r="CP52" s="14">
        <f t="shared" si="17"/>
        <v>0</v>
      </c>
      <c r="CQ52" s="14">
        <f t="shared" si="18"/>
        <v>298.73749999999995</v>
      </c>
      <c r="CR52" s="14">
        <f t="shared" si="19"/>
        <v>0</v>
      </c>
      <c r="CS52" s="14">
        <f t="shared" si="20"/>
        <v>267.73749999999995</v>
      </c>
      <c r="CT52" s="14">
        <f t="shared" si="21"/>
        <v>0</v>
      </c>
      <c r="CU52" s="14">
        <f t="shared" si="22"/>
        <v>236.73749999999998</v>
      </c>
      <c r="CV52" s="14">
        <f t="shared" si="23"/>
        <v>0</v>
      </c>
      <c r="CW52" s="14">
        <f t="shared" si="24"/>
        <v>205.73750000000001</v>
      </c>
      <c r="CX52" s="14">
        <f t="shared" si="25"/>
        <v>0</v>
      </c>
      <c r="CY52" s="14">
        <f t="shared" si="26"/>
        <v>174.73750000000007</v>
      </c>
      <c r="CZ52" s="14">
        <f t="shared" si="27"/>
        <v>0</v>
      </c>
      <c r="DA52" s="14">
        <f t="shared" si="28"/>
        <v>143.73750000000004</v>
      </c>
      <c r="DB52" s="14">
        <f t="shared" si="29"/>
        <v>0</v>
      </c>
      <c r="DC52" s="72">
        <f>F52/G52</f>
        <v>760.68193071297219</v>
      </c>
      <c r="DD52" s="72">
        <f t="shared" si="30"/>
        <v>24.53812679719265</v>
      </c>
      <c r="DE52" s="71">
        <f>F52/BU52</f>
        <v>243614.52284252865</v>
      </c>
      <c r="DF52" s="72">
        <f>J52/K52</f>
        <v>1992.0324530263611</v>
      </c>
      <c r="DG52" s="72">
        <f t="shared" si="31"/>
        <v>64.259111387947129</v>
      </c>
      <c r="DH52" s="72">
        <f>J52/BU52</f>
        <v>82251.662576572329</v>
      </c>
      <c r="DI52" s="72">
        <f>N52/P52</f>
        <v>38567.477837159044</v>
      </c>
      <c r="DJ52" s="72">
        <f t="shared" si="32"/>
        <v>1244.1121882954531</v>
      </c>
      <c r="DK52" s="72">
        <f t="shared" si="33"/>
        <v>1836.5465636742401</v>
      </c>
      <c r="DL52" s="72">
        <f>N52/BU52</f>
        <v>185372.7160560225</v>
      </c>
      <c r="DM52" s="72">
        <f>N52/BV52</f>
        <v>273645.4379874618</v>
      </c>
      <c r="DN52" s="1">
        <v>0</v>
      </c>
      <c r="DO52" s="1">
        <v>0</v>
      </c>
    </row>
    <row r="53" spans="1:119">
      <c r="A53" s="93">
        <f t="shared" si="38"/>
        <v>43922</v>
      </c>
      <c r="B53" s="4">
        <f t="shared" si="0"/>
        <v>2020</v>
      </c>
      <c r="C53" s="4">
        <f t="shared" si="1"/>
        <v>4</v>
      </c>
      <c r="D53" s="56">
        <v>6556759</v>
      </c>
      <c r="E53" s="56">
        <f>IFERROR(VLOOKUP($B53-1,CDM!$J$6:$P$19,2,FALSE)/12,0)+IFERROR(VLOOKUP($B53,CDM!$J$37:$M$48,2,FALSE)/24,0)+IFERROR(VLOOKUP($B53,CDM!$J$37:$M$48,2,FALSE)/2*$C53/78,0)</f>
        <v>161852.22734915768</v>
      </c>
      <c r="F53" s="56">
        <f t="shared" si="34"/>
        <v>6718611.2273491574</v>
      </c>
      <c r="G53" s="301">
        <v>9943</v>
      </c>
      <c r="H53" s="56">
        <v>1855781</v>
      </c>
      <c r="I53" s="56">
        <f>IFERROR(VLOOKUP($B53-1,CDM!$J$6:$P$19,3,FALSE)/12,0)+IFERROR(VLOOKUP($B53,CDM!$J$37:$M$47,3,FALSE)/24,0)+IFERROR(VLOOKUP($B53,CDM!$J$37:$M$47,3,FALSE)/2*$C53/78,0)</f>
        <v>157287.18106304272</v>
      </c>
      <c r="J53" s="56">
        <f t="shared" si="35"/>
        <v>2013068.1810630427</v>
      </c>
      <c r="K53" s="6">
        <v>1281</v>
      </c>
      <c r="L53" s="5">
        <v>4999240</v>
      </c>
      <c r="M53" s="2">
        <f>IFERROR(VLOOKUP($B53-1,CDM!$J$6:$P$19,4,FALSE)/12,0)+IFERROR(VLOOKUP($B53,CDM!$J$37:$M$47,4,FALSE)/24,0)+IFERROR(VLOOKUP($B53,CDM!$J$37:$M$47,4,FALSE)/2*$C53/78,0)</f>
        <v>135845.81523546801</v>
      </c>
      <c r="N53" s="56">
        <f t="shared" si="36"/>
        <v>5135085.8152354676</v>
      </c>
      <c r="O53" s="515">
        <f>AVERAGE(O52/N52,O54/N54)*N53</f>
        <v>13418.878736616729</v>
      </c>
      <c r="P53" s="6">
        <v>149</v>
      </c>
      <c r="Q53" s="5">
        <v>74549</v>
      </c>
      <c r="R53" s="5">
        <v>236</v>
      </c>
      <c r="S53" s="6">
        <v>2875</v>
      </c>
      <c r="T53" s="6">
        <v>16645</v>
      </c>
      <c r="U53" s="6">
        <v>43</v>
      </c>
      <c r="V53" s="6">
        <v>171</v>
      </c>
      <c r="W53" s="5">
        <v>46957</v>
      </c>
      <c r="X53" s="1">
        <v>19</v>
      </c>
      <c r="Y53" s="56">
        <v>3969.44</v>
      </c>
      <c r="Z53" s="56">
        <v>6635.5</v>
      </c>
      <c r="AA53" s="71">
        <f>L53-Y53</f>
        <v>4995270.5599999996</v>
      </c>
      <c r="AB53" s="71">
        <f>N53-Y53</f>
        <v>5131116.3752354672</v>
      </c>
      <c r="AC53" s="5">
        <f>O53-Z53</f>
        <v>6783.3787366167289</v>
      </c>
      <c r="AD53" s="111">
        <f>Economic!H55</f>
        <v>769942</v>
      </c>
      <c r="AE53" s="111">
        <f>Economic!I55</f>
        <v>705711</v>
      </c>
      <c r="AF53" s="111">
        <f>Economic!D55</f>
        <v>6961.6</v>
      </c>
      <c r="AG53" s="111">
        <f>Economic!E55</f>
        <v>6893.7</v>
      </c>
      <c r="AH53" s="111">
        <f>Economic!F55</f>
        <v>585</v>
      </c>
      <c r="AI53" s="111">
        <f>Economic!G55</f>
        <v>582.4</v>
      </c>
      <c r="AJ53" s="111">
        <f>Economic!J55</f>
        <v>-400</v>
      </c>
      <c r="AK53" s="111">
        <f>Economic!K55</f>
        <v>-382</v>
      </c>
      <c r="AL53" s="111">
        <f>Economic!L55</f>
        <v>-10</v>
      </c>
      <c r="AM53" s="111">
        <f>Economic!M55</f>
        <v>-11.300000000000068</v>
      </c>
      <c r="AN53" s="111">
        <f>Economic!N55</f>
        <v>-37332.5</v>
      </c>
      <c r="AO53" s="111">
        <f>Economic!O55</f>
        <v>-95535</v>
      </c>
      <c r="AP53" s="28">
        <f>Weather!D53</f>
        <v>3.5943055555555548</v>
      </c>
      <c r="AQ53" s="28">
        <f>Weather!E53</f>
        <v>492.17083333333346</v>
      </c>
      <c r="AR53" s="28">
        <f>Weather!F53</f>
        <v>0</v>
      </c>
      <c r="AS53" s="28">
        <f>Weather!G53</f>
        <v>432.17083333333341</v>
      </c>
      <c r="AT53" s="28">
        <f>Weather!H53</f>
        <v>0</v>
      </c>
      <c r="AU53" s="28">
        <f>Weather!I53</f>
        <v>372.17083333333352</v>
      </c>
      <c r="AV53" s="28">
        <f>Weather!J53</f>
        <v>0</v>
      </c>
      <c r="AW53" s="28">
        <f>Weather!K53</f>
        <v>312.17083333333341</v>
      </c>
      <c r="AX53" s="28">
        <f>Weather!L53</f>
        <v>0</v>
      </c>
      <c r="AY53" s="28">
        <f>Weather!M53</f>
        <v>252.17083333333329</v>
      </c>
      <c r="AZ53" s="28">
        <f>Weather!N53</f>
        <v>0</v>
      </c>
      <c r="BA53" s="28">
        <f>Weather!O53</f>
        <v>192.94166666666663</v>
      </c>
      <c r="BB53" s="28">
        <f>Weather!P53</f>
        <v>0.77083333333333393</v>
      </c>
      <c r="BC53" s="28">
        <f>Weather!Q53</f>
        <v>135.62916666666663</v>
      </c>
      <c r="BD53" s="28">
        <f>Weather!R53</f>
        <v>3.4583333333333339</v>
      </c>
      <c r="BE53">
        <v>0</v>
      </c>
      <c r="BF53">
        <v>0</v>
      </c>
      <c r="BG53">
        <v>0</v>
      </c>
      <c r="BH53">
        <v>1</v>
      </c>
      <c r="BI53">
        <v>0</v>
      </c>
      <c r="BJ53">
        <v>0</v>
      </c>
      <c r="BK53">
        <v>0</v>
      </c>
      <c r="BL53">
        <v>0</v>
      </c>
      <c r="BM53">
        <v>0</v>
      </c>
      <c r="BN53">
        <v>0</v>
      </c>
      <c r="BO53">
        <v>0</v>
      </c>
      <c r="BP53">
        <v>0</v>
      </c>
      <c r="BQ53">
        <v>1</v>
      </c>
      <c r="BR53">
        <v>0</v>
      </c>
      <c r="BS53">
        <v>1</v>
      </c>
      <c r="BT53" s="1">
        <f t="shared" si="37"/>
        <v>52</v>
      </c>
      <c r="BU53">
        <v>30</v>
      </c>
      <c r="BV53">
        <v>21</v>
      </c>
      <c r="BW53" s="1">
        <v>1</v>
      </c>
      <c r="BX53" s="1">
        <v>1</v>
      </c>
      <c r="BY53" s="1">
        <v>1</v>
      </c>
      <c r="BZ53" s="1">
        <v>1</v>
      </c>
      <c r="CA53">
        <f t="shared" si="2"/>
        <v>492.17083333333346</v>
      </c>
      <c r="CB53">
        <f t="shared" si="3"/>
        <v>0</v>
      </c>
      <c r="CC53">
        <f t="shared" si="4"/>
        <v>432.17083333333341</v>
      </c>
      <c r="CD53">
        <f t="shared" si="5"/>
        <v>0</v>
      </c>
      <c r="CE53">
        <f t="shared" si="6"/>
        <v>372.17083333333352</v>
      </c>
      <c r="CF53">
        <f t="shared" si="7"/>
        <v>0</v>
      </c>
      <c r="CG53">
        <f t="shared" si="8"/>
        <v>312.17083333333341</v>
      </c>
      <c r="CH53">
        <f t="shared" si="9"/>
        <v>0</v>
      </c>
      <c r="CI53">
        <f t="shared" si="10"/>
        <v>252.17083333333329</v>
      </c>
      <c r="CJ53">
        <f t="shared" si="11"/>
        <v>0</v>
      </c>
      <c r="CK53">
        <f t="shared" si="12"/>
        <v>192.94166666666663</v>
      </c>
      <c r="CL53">
        <f t="shared" si="13"/>
        <v>0.77083333333333393</v>
      </c>
      <c r="CM53">
        <f t="shared" si="14"/>
        <v>135.62916666666663</v>
      </c>
      <c r="CN53">
        <f t="shared" si="15"/>
        <v>3.4583333333333339</v>
      </c>
      <c r="CO53" s="14">
        <f t="shared" si="39"/>
        <v>492.17083333333346</v>
      </c>
      <c r="CP53" s="14">
        <f t="shared" si="17"/>
        <v>0</v>
      </c>
      <c r="CQ53" s="14">
        <f t="shared" si="18"/>
        <v>432.17083333333341</v>
      </c>
      <c r="CR53" s="14">
        <f t="shared" si="19"/>
        <v>0</v>
      </c>
      <c r="CS53" s="14">
        <f t="shared" si="20"/>
        <v>372.17083333333352</v>
      </c>
      <c r="CT53" s="14">
        <f t="shared" si="21"/>
        <v>0</v>
      </c>
      <c r="CU53" s="14">
        <f t="shared" si="22"/>
        <v>312.17083333333341</v>
      </c>
      <c r="CV53" s="14">
        <f t="shared" si="23"/>
        <v>0</v>
      </c>
      <c r="CW53" s="14">
        <f t="shared" si="24"/>
        <v>252.17083333333329</v>
      </c>
      <c r="CX53" s="14">
        <f t="shared" si="25"/>
        <v>0</v>
      </c>
      <c r="CY53" s="14">
        <f t="shared" si="26"/>
        <v>192.94166666666663</v>
      </c>
      <c r="CZ53" s="14">
        <f t="shared" si="27"/>
        <v>0.77083333333333393</v>
      </c>
      <c r="DA53" s="14">
        <f t="shared" si="28"/>
        <v>135.62916666666663</v>
      </c>
      <c r="DB53" s="14">
        <f t="shared" si="29"/>
        <v>3.4583333333333339</v>
      </c>
      <c r="DC53" s="72">
        <f>F53/G53</f>
        <v>675.71268503964166</v>
      </c>
      <c r="DD53" s="72">
        <f t="shared" si="30"/>
        <v>22.523756167988054</v>
      </c>
      <c r="DE53" s="71">
        <f>F53/BU53</f>
        <v>223953.70757830524</v>
      </c>
      <c r="DF53" s="72">
        <f>J53/K53</f>
        <v>1571.481796302141</v>
      </c>
      <c r="DG53" s="72">
        <f t="shared" si="31"/>
        <v>52.382726543404701</v>
      </c>
      <c r="DH53" s="72">
        <f>J53/BU53</f>
        <v>67102.272702101429</v>
      </c>
      <c r="DI53" s="72">
        <f>N53/P53</f>
        <v>34463.663189499784</v>
      </c>
      <c r="DJ53" s="72">
        <f t="shared" si="32"/>
        <v>1148.7887729833262</v>
      </c>
      <c r="DK53" s="72">
        <f t="shared" si="33"/>
        <v>1641.1268185476088</v>
      </c>
      <c r="DL53" s="72">
        <f>N53/BU53</f>
        <v>171169.52717451559</v>
      </c>
      <c r="DM53" s="72">
        <f>N53/BV53</f>
        <v>244527.89596359371</v>
      </c>
      <c r="DN53" s="1">
        <v>0</v>
      </c>
      <c r="DO53" s="1">
        <v>0</v>
      </c>
    </row>
    <row r="54" spans="1:119">
      <c r="A54" s="93">
        <f t="shared" si="38"/>
        <v>43952</v>
      </c>
      <c r="B54" s="4">
        <f t="shared" si="0"/>
        <v>2020</v>
      </c>
      <c r="C54" s="4">
        <f t="shared" si="1"/>
        <v>5</v>
      </c>
      <c r="D54" s="56">
        <v>6323124</v>
      </c>
      <c r="E54" s="56">
        <f>IFERROR(VLOOKUP($B54-1,CDM!$J$6:$P$19,2,FALSE)/12,0)+IFERROR(VLOOKUP($B54,CDM!$J$37:$M$48,2,FALSE)/24,0)+IFERROR(VLOOKUP($B54,CDM!$J$37:$M$48,2,FALSE)/2*$C54/78,0)</f>
        <v>161854.2465799269</v>
      </c>
      <c r="F54" s="56">
        <f t="shared" si="34"/>
        <v>6484978.2465799265</v>
      </c>
      <c r="G54" s="301">
        <v>9945</v>
      </c>
      <c r="H54" s="56">
        <v>1785317</v>
      </c>
      <c r="I54" s="56">
        <f>IFERROR(VLOOKUP($B54-1,CDM!$J$6:$P$19,3,FALSE)/12,0)+IFERROR(VLOOKUP($B54,CDM!$J$37:$M$47,3,FALSE)/24,0)+IFERROR(VLOOKUP($B54,CDM!$J$37:$M$47,3,FALSE)/2*$C54/78,0)</f>
        <v>156902.82225234344</v>
      </c>
      <c r="J54" s="56">
        <f t="shared" si="35"/>
        <v>1942219.8222523434</v>
      </c>
      <c r="K54" s="6">
        <v>1281</v>
      </c>
      <c r="L54" s="5">
        <v>4744682</v>
      </c>
      <c r="M54" s="2">
        <f>IFERROR(VLOOKUP($B54-1,CDM!$J$6:$P$19,4,FALSE)/12,0)+IFERROR(VLOOKUP($B54,CDM!$J$37:$M$47,4,FALSE)/24,0)+IFERROR(VLOOKUP($B54,CDM!$J$37:$M$47,4,FALSE)/2*$C54/78,0)</f>
        <v>135715.432734239</v>
      </c>
      <c r="N54" s="56">
        <f t="shared" si="36"/>
        <v>4880397.4327342389</v>
      </c>
      <c r="O54" s="5">
        <v>13599</v>
      </c>
      <c r="P54" s="6">
        <v>150</v>
      </c>
      <c r="Q54" s="5">
        <v>67740</v>
      </c>
      <c r="R54" s="5">
        <v>236</v>
      </c>
      <c r="S54" s="6">
        <v>2920</v>
      </c>
      <c r="T54" s="6">
        <v>16468</v>
      </c>
      <c r="U54" s="6">
        <v>43</v>
      </c>
      <c r="V54" s="6">
        <v>171</v>
      </c>
      <c r="W54" s="5">
        <v>50359</v>
      </c>
      <c r="X54" s="1">
        <v>19</v>
      </c>
      <c r="Y54" s="56">
        <v>528</v>
      </c>
      <c r="Z54" s="56">
        <v>524.79999999999995</v>
      </c>
      <c r="AA54" s="71">
        <f>L54-Y54</f>
        <v>4744154</v>
      </c>
      <c r="AB54" s="71">
        <f>N54-Y54</f>
        <v>4879869.4327342389</v>
      </c>
      <c r="AC54" s="5">
        <f>O54-Z54</f>
        <v>13074.2</v>
      </c>
      <c r="AD54" s="111">
        <f>Economic!H56</f>
        <v>769942</v>
      </c>
      <c r="AE54" s="111">
        <f>Economic!I56</f>
        <v>705711</v>
      </c>
      <c r="AF54" s="111">
        <f>Economic!D56</f>
        <v>6572.6</v>
      </c>
      <c r="AG54" s="111">
        <f>Economic!E56</f>
        <v>6550.9</v>
      </c>
      <c r="AH54" s="111">
        <f>Economic!F56</f>
        <v>564.20000000000005</v>
      </c>
      <c r="AI54" s="111">
        <f>Economic!G56</f>
        <v>564.5</v>
      </c>
      <c r="AJ54" s="111">
        <f>Economic!J56</f>
        <v>-803.79999999999927</v>
      </c>
      <c r="AK54" s="111">
        <f>Economic!K56</f>
        <v>-794.80000000000018</v>
      </c>
      <c r="AL54" s="111">
        <f>Economic!L56</f>
        <v>-31.099999999999909</v>
      </c>
      <c r="AM54" s="111">
        <f>Economic!M56</f>
        <v>-32.600000000000023</v>
      </c>
      <c r="AN54" s="111">
        <f>Economic!N56</f>
        <v>-37332.5</v>
      </c>
      <c r="AO54" s="111">
        <f>Economic!O56</f>
        <v>-95535</v>
      </c>
      <c r="AP54" s="28">
        <f>Weather!D54</f>
        <v>11.401881720430106</v>
      </c>
      <c r="AQ54" s="28">
        <f>Weather!E54</f>
        <v>278.21250000000003</v>
      </c>
      <c r="AR54" s="28">
        <f>Weather!F54</f>
        <v>11.670833333333331</v>
      </c>
      <c r="AS54" s="28">
        <f>Weather!G54</f>
        <v>227.03749999999999</v>
      </c>
      <c r="AT54" s="28">
        <f>Weather!H54</f>
        <v>22.49583333333333</v>
      </c>
      <c r="AU54" s="28">
        <f>Weather!I54</f>
        <v>182.64583333333334</v>
      </c>
      <c r="AV54" s="28">
        <f>Weather!J54</f>
        <v>40.104166666666657</v>
      </c>
      <c r="AW54" s="28">
        <f>Weather!K54</f>
        <v>140.46666666666664</v>
      </c>
      <c r="AX54" s="28">
        <f>Weather!L54</f>
        <v>59.924999999999997</v>
      </c>
      <c r="AY54" s="28">
        <f>Weather!M54</f>
        <v>102.67499999999998</v>
      </c>
      <c r="AZ54" s="28">
        <f>Weather!N54</f>
        <v>84.133333333333326</v>
      </c>
      <c r="BA54" s="28">
        <f>Weather!O54</f>
        <v>71.387499999999989</v>
      </c>
      <c r="BB54" s="28">
        <f>Weather!P54</f>
        <v>114.84583333333335</v>
      </c>
      <c r="BC54" s="28">
        <f>Weather!Q54</f>
        <v>47.325000000000003</v>
      </c>
      <c r="BD54" s="28">
        <f>Weather!R54</f>
        <v>152.78333333333336</v>
      </c>
      <c r="BE54">
        <v>0</v>
      </c>
      <c r="BF54">
        <v>0</v>
      </c>
      <c r="BG54">
        <v>0</v>
      </c>
      <c r="BH54">
        <v>0</v>
      </c>
      <c r="BI54">
        <v>1</v>
      </c>
      <c r="BJ54">
        <v>0</v>
      </c>
      <c r="BK54">
        <v>0</v>
      </c>
      <c r="BL54">
        <v>0</v>
      </c>
      <c r="BM54">
        <v>0</v>
      </c>
      <c r="BN54">
        <v>0</v>
      </c>
      <c r="BO54">
        <v>0</v>
      </c>
      <c r="BP54">
        <v>0</v>
      </c>
      <c r="BQ54">
        <v>1</v>
      </c>
      <c r="BR54">
        <v>0</v>
      </c>
      <c r="BS54">
        <v>1</v>
      </c>
      <c r="BT54" s="1">
        <f t="shared" si="37"/>
        <v>53</v>
      </c>
      <c r="BU54">
        <v>31</v>
      </c>
      <c r="BV54">
        <v>22</v>
      </c>
      <c r="BW54" s="1">
        <v>1</v>
      </c>
      <c r="BX54" s="1">
        <v>1</v>
      </c>
      <c r="BY54" s="1">
        <v>1</v>
      </c>
      <c r="BZ54" s="1">
        <v>1</v>
      </c>
      <c r="CA54">
        <f t="shared" si="2"/>
        <v>278.21250000000003</v>
      </c>
      <c r="CB54">
        <f t="shared" si="3"/>
        <v>11.670833333333331</v>
      </c>
      <c r="CC54">
        <f t="shared" si="4"/>
        <v>227.03749999999999</v>
      </c>
      <c r="CD54">
        <f t="shared" si="5"/>
        <v>22.49583333333333</v>
      </c>
      <c r="CE54">
        <f t="shared" si="6"/>
        <v>182.64583333333334</v>
      </c>
      <c r="CF54">
        <f t="shared" si="7"/>
        <v>40.104166666666657</v>
      </c>
      <c r="CG54">
        <f t="shared" si="8"/>
        <v>140.46666666666664</v>
      </c>
      <c r="CH54">
        <f t="shared" si="9"/>
        <v>59.924999999999997</v>
      </c>
      <c r="CI54">
        <f t="shared" si="10"/>
        <v>102.67499999999998</v>
      </c>
      <c r="CJ54">
        <f t="shared" si="11"/>
        <v>84.133333333333326</v>
      </c>
      <c r="CK54">
        <f t="shared" si="12"/>
        <v>71.387499999999989</v>
      </c>
      <c r="CL54">
        <f t="shared" si="13"/>
        <v>114.84583333333335</v>
      </c>
      <c r="CM54">
        <f t="shared" si="14"/>
        <v>47.325000000000003</v>
      </c>
      <c r="CN54">
        <f t="shared" si="15"/>
        <v>152.78333333333336</v>
      </c>
      <c r="CO54" s="14">
        <f t="shared" si="39"/>
        <v>278.21250000000003</v>
      </c>
      <c r="CP54" s="14">
        <f t="shared" si="17"/>
        <v>11.670833333333331</v>
      </c>
      <c r="CQ54" s="14">
        <f t="shared" si="18"/>
        <v>227.03749999999999</v>
      </c>
      <c r="CR54" s="14">
        <f t="shared" si="19"/>
        <v>22.49583333333333</v>
      </c>
      <c r="CS54" s="14">
        <f t="shared" si="20"/>
        <v>182.64583333333334</v>
      </c>
      <c r="CT54" s="14">
        <f t="shared" si="21"/>
        <v>40.104166666666657</v>
      </c>
      <c r="CU54" s="14">
        <f t="shared" si="22"/>
        <v>140.46666666666664</v>
      </c>
      <c r="CV54" s="14">
        <f t="shared" si="23"/>
        <v>59.924999999999997</v>
      </c>
      <c r="CW54" s="14">
        <f t="shared" si="24"/>
        <v>102.67499999999998</v>
      </c>
      <c r="CX54" s="14">
        <f t="shared" si="25"/>
        <v>84.133333333333326</v>
      </c>
      <c r="CY54" s="14">
        <f t="shared" si="26"/>
        <v>71.387499999999989</v>
      </c>
      <c r="CZ54" s="14">
        <f t="shared" si="27"/>
        <v>114.84583333333335</v>
      </c>
      <c r="DA54" s="14">
        <f t="shared" si="28"/>
        <v>47.325000000000003</v>
      </c>
      <c r="DB54" s="14">
        <f t="shared" si="29"/>
        <v>152.78333333333336</v>
      </c>
      <c r="DC54" s="72">
        <f>F54/G54</f>
        <v>652.084288243331</v>
      </c>
      <c r="DD54" s="72">
        <f t="shared" si="30"/>
        <v>21.034977040107453</v>
      </c>
      <c r="DE54" s="71">
        <f>F54/BU54</f>
        <v>209192.84666386861</v>
      </c>
      <c r="DF54" s="72">
        <f>J54/K54</f>
        <v>1516.1747246310254</v>
      </c>
      <c r="DG54" s="72">
        <f t="shared" si="31"/>
        <v>48.908862084871785</v>
      </c>
      <c r="DH54" s="72">
        <f>J54/BU54</f>
        <v>62652.252330720752</v>
      </c>
      <c r="DI54" s="72">
        <f>N54/P54</f>
        <v>32535.982884894926</v>
      </c>
      <c r="DJ54" s="72">
        <f t="shared" si="32"/>
        <v>1049.5478349966104</v>
      </c>
      <c r="DK54" s="72">
        <f t="shared" si="33"/>
        <v>1478.9083129497694</v>
      </c>
      <c r="DL54" s="72">
        <f>N54/BU54</f>
        <v>157432.17524949159</v>
      </c>
      <c r="DM54" s="72">
        <f>N54/BV54</f>
        <v>221836.2469424654</v>
      </c>
      <c r="DN54" s="1">
        <v>0</v>
      </c>
      <c r="DO54" s="1">
        <v>0</v>
      </c>
    </row>
    <row r="55" spans="1:119">
      <c r="A55" s="93">
        <f t="shared" si="38"/>
        <v>43983</v>
      </c>
      <c r="B55" s="4">
        <f t="shared" si="0"/>
        <v>2020</v>
      </c>
      <c r="C55" s="4">
        <f t="shared" si="1"/>
        <v>6</v>
      </c>
      <c r="D55" s="56">
        <v>6629679</v>
      </c>
      <c r="E55" s="56">
        <f>IFERROR(VLOOKUP($B55-1,CDM!$J$6:$P$19,2,FALSE)/12,0)+IFERROR(VLOOKUP($B55,CDM!$J$37:$M$48,2,FALSE)/24,0)+IFERROR(VLOOKUP($B55,CDM!$J$37:$M$48,2,FALSE)/2*$C55/78,0)</f>
        <v>161856.26581069612</v>
      </c>
      <c r="F55" s="56">
        <f t="shared" si="34"/>
        <v>6791535.2658106964</v>
      </c>
      <c r="G55" s="301">
        <v>9949</v>
      </c>
      <c r="H55" s="56">
        <v>1892488</v>
      </c>
      <c r="I55" s="56">
        <f>IFERROR(VLOOKUP($B55-1,CDM!$J$6:$P$19,3,FALSE)/12,0)+IFERROR(VLOOKUP($B55,CDM!$J$37:$M$47,3,FALSE)/24,0)+IFERROR(VLOOKUP($B55,CDM!$J$37:$M$47,3,FALSE)/2*$C55/78,0)</f>
        <v>156518.46344164418</v>
      </c>
      <c r="J55" s="56">
        <f t="shared" si="35"/>
        <v>2049006.4634416441</v>
      </c>
      <c r="K55" s="6">
        <v>1276</v>
      </c>
      <c r="L55" s="5">
        <v>5036829</v>
      </c>
      <c r="M55" s="2">
        <f>IFERROR(VLOOKUP($B55-1,CDM!$J$6:$P$19,4,FALSE)/12,0)+IFERROR(VLOOKUP($B55,CDM!$J$37:$M$47,4,FALSE)/24,0)+IFERROR(VLOOKUP($B55,CDM!$J$37:$M$47,4,FALSE)/2*$C55/78,0)</f>
        <v>135585.05023300997</v>
      </c>
      <c r="N55" s="56">
        <f t="shared" si="36"/>
        <v>5172414.0502330102</v>
      </c>
      <c r="O55" s="5">
        <v>15696</v>
      </c>
      <c r="P55" s="6">
        <v>150</v>
      </c>
      <c r="Q55" s="5">
        <v>61049</v>
      </c>
      <c r="R55" s="5">
        <v>236</v>
      </c>
      <c r="S55" s="6">
        <v>2920</v>
      </c>
      <c r="T55" s="6">
        <v>16451</v>
      </c>
      <c r="U55" s="6">
        <v>43</v>
      </c>
      <c r="V55" s="6">
        <v>171</v>
      </c>
      <c r="W55" s="5">
        <v>48889</v>
      </c>
      <c r="X55" s="1">
        <v>19</v>
      </c>
      <c r="Y55" s="56">
        <v>3140.96</v>
      </c>
      <c r="Z55" s="56">
        <v>1978.24</v>
      </c>
      <c r="AA55" s="71">
        <f>L55-Y55</f>
        <v>5033688.04</v>
      </c>
      <c r="AB55" s="71">
        <f>N55-Y55</f>
        <v>5169273.0902330102</v>
      </c>
      <c r="AC55" s="5">
        <f>O55-Z55</f>
        <v>13717.76</v>
      </c>
      <c r="AD55" s="111">
        <f>Economic!H57</f>
        <v>769942</v>
      </c>
      <c r="AE55" s="111">
        <f>Economic!I57</f>
        <v>705711</v>
      </c>
      <c r="AF55" s="111">
        <f>Economic!D57</f>
        <v>6477.4</v>
      </c>
      <c r="AG55" s="111">
        <f>Economic!E57</f>
        <v>6515.6</v>
      </c>
      <c r="AH55" s="111">
        <f>Economic!F57</f>
        <v>555.70000000000005</v>
      </c>
      <c r="AI55" s="111">
        <f>Economic!G57</f>
        <v>560.1</v>
      </c>
      <c r="AJ55" s="111">
        <f>Economic!J57</f>
        <v>-918.70000000000073</v>
      </c>
      <c r="AK55" s="111">
        <f>Economic!K57</f>
        <v>-921.19999999999982</v>
      </c>
      <c r="AL55" s="111">
        <f>Economic!L57</f>
        <v>-41.399999999999977</v>
      </c>
      <c r="AM55" s="111">
        <f>Economic!M57</f>
        <v>-43.299999999999955</v>
      </c>
      <c r="AN55" s="111">
        <f>Economic!N57</f>
        <v>-37332.5</v>
      </c>
      <c r="AO55" s="111">
        <f>Economic!O57</f>
        <v>-95535</v>
      </c>
      <c r="AP55" s="28">
        <f>Weather!D55</f>
        <v>17.740833333333331</v>
      </c>
      <c r="AQ55" s="28">
        <f>Weather!E55</f>
        <v>92.391666666666652</v>
      </c>
      <c r="AR55" s="28">
        <f>Weather!F55</f>
        <v>24.616666666666671</v>
      </c>
      <c r="AS55" s="28">
        <f>Weather!G55</f>
        <v>55.38333333333334</v>
      </c>
      <c r="AT55" s="28">
        <f>Weather!H55</f>
        <v>47.608333333333348</v>
      </c>
      <c r="AU55" s="28">
        <f>Weather!I55</f>
        <v>32.708333333333336</v>
      </c>
      <c r="AV55" s="28">
        <f>Weather!J55</f>
        <v>84.933333333333351</v>
      </c>
      <c r="AW55" s="28">
        <f>Weather!K55</f>
        <v>17.537500000000005</v>
      </c>
      <c r="AX55" s="28">
        <f>Weather!L55</f>
        <v>129.76250000000002</v>
      </c>
      <c r="AY55" s="28">
        <f>Weather!M55</f>
        <v>7.287500000000005</v>
      </c>
      <c r="AZ55" s="28">
        <f>Weather!N55</f>
        <v>179.51249999999999</v>
      </c>
      <c r="BA55" s="28">
        <f>Weather!O55</f>
        <v>1.3125</v>
      </c>
      <c r="BB55" s="28">
        <f>Weather!P55</f>
        <v>233.53749999999999</v>
      </c>
      <c r="BC55" s="28">
        <f>Weather!Q55</f>
        <v>0</v>
      </c>
      <c r="BD55" s="28">
        <f>Weather!R55</f>
        <v>292.22500000000002</v>
      </c>
      <c r="BE55">
        <v>0</v>
      </c>
      <c r="BF55">
        <v>0</v>
      </c>
      <c r="BG55">
        <v>0</v>
      </c>
      <c r="BH55">
        <v>0</v>
      </c>
      <c r="BI55">
        <v>0</v>
      </c>
      <c r="BJ55">
        <v>1</v>
      </c>
      <c r="BK55">
        <v>0</v>
      </c>
      <c r="BL55">
        <v>0</v>
      </c>
      <c r="BM55">
        <v>0</v>
      </c>
      <c r="BN55">
        <v>0</v>
      </c>
      <c r="BO55">
        <v>0</v>
      </c>
      <c r="BP55">
        <v>0</v>
      </c>
      <c r="BQ55">
        <v>0</v>
      </c>
      <c r="BR55">
        <v>0</v>
      </c>
      <c r="BS55">
        <v>0</v>
      </c>
      <c r="BT55" s="1">
        <f t="shared" si="37"/>
        <v>54</v>
      </c>
      <c r="BU55">
        <v>30</v>
      </c>
      <c r="BV55">
        <v>21</v>
      </c>
      <c r="BW55" s="1">
        <v>1</v>
      </c>
      <c r="BX55" s="1">
        <v>0.5</v>
      </c>
      <c r="BY55" s="1">
        <v>1</v>
      </c>
      <c r="BZ55" s="1">
        <v>0.5</v>
      </c>
      <c r="CA55">
        <f t="shared" si="2"/>
        <v>46.195833333333326</v>
      </c>
      <c r="CB55">
        <f t="shared" si="3"/>
        <v>12.308333333333335</v>
      </c>
      <c r="CC55">
        <f t="shared" si="4"/>
        <v>27.69166666666667</v>
      </c>
      <c r="CD55">
        <f t="shared" si="5"/>
        <v>23.804166666666674</v>
      </c>
      <c r="CE55">
        <f t="shared" si="6"/>
        <v>16.354166666666668</v>
      </c>
      <c r="CF55">
        <f t="shared" si="7"/>
        <v>42.466666666666676</v>
      </c>
      <c r="CG55">
        <f t="shared" si="8"/>
        <v>8.7687500000000025</v>
      </c>
      <c r="CH55">
        <f t="shared" si="9"/>
        <v>64.881250000000009</v>
      </c>
      <c r="CI55">
        <f t="shared" si="10"/>
        <v>3.6437500000000025</v>
      </c>
      <c r="CJ55">
        <f t="shared" si="11"/>
        <v>89.756249999999994</v>
      </c>
      <c r="CK55">
        <f t="shared" si="12"/>
        <v>0.65625</v>
      </c>
      <c r="CL55">
        <f t="shared" si="13"/>
        <v>116.76875</v>
      </c>
      <c r="CM55">
        <f t="shared" si="14"/>
        <v>0</v>
      </c>
      <c r="CN55">
        <f t="shared" si="15"/>
        <v>146.11250000000001</v>
      </c>
      <c r="CO55" s="14">
        <f t="shared" si="39"/>
        <v>92.391666666666652</v>
      </c>
      <c r="CP55" s="14">
        <f t="shared" si="17"/>
        <v>24.616666666666671</v>
      </c>
      <c r="CQ55" s="14">
        <f t="shared" si="18"/>
        <v>55.38333333333334</v>
      </c>
      <c r="CR55" s="14">
        <f t="shared" si="19"/>
        <v>47.608333333333348</v>
      </c>
      <c r="CS55" s="14">
        <f t="shared" si="20"/>
        <v>32.708333333333336</v>
      </c>
      <c r="CT55" s="14">
        <f t="shared" si="21"/>
        <v>84.933333333333351</v>
      </c>
      <c r="CU55" s="14">
        <f t="shared" si="22"/>
        <v>17.537500000000005</v>
      </c>
      <c r="CV55" s="14">
        <f t="shared" si="23"/>
        <v>129.76250000000002</v>
      </c>
      <c r="CW55" s="14">
        <f t="shared" si="24"/>
        <v>7.287500000000005</v>
      </c>
      <c r="CX55" s="14">
        <f t="shared" si="25"/>
        <v>179.51249999999999</v>
      </c>
      <c r="CY55" s="14">
        <f t="shared" si="26"/>
        <v>1.3125</v>
      </c>
      <c r="CZ55" s="14">
        <f t="shared" si="27"/>
        <v>233.53749999999999</v>
      </c>
      <c r="DA55" s="14">
        <f t="shared" si="28"/>
        <v>0</v>
      </c>
      <c r="DB55" s="14">
        <f t="shared" si="29"/>
        <v>292.22500000000002</v>
      </c>
      <c r="DC55" s="72">
        <f>F55/G55</f>
        <v>682.63496490207024</v>
      </c>
      <c r="DD55" s="72">
        <f t="shared" si="30"/>
        <v>22.754498830069007</v>
      </c>
      <c r="DE55" s="71">
        <f>F55/BU55</f>
        <v>226384.50886035655</v>
      </c>
      <c r="DF55" s="72">
        <f>J55/K55</f>
        <v>1605.8044384338903</v>
      </c>
      <c r="DG55" s="72">
        <f t="shared" si="31"/>
        <v>53.526814614463007</v>
      </c>
      <c r="DH55" s="72">
        <f>J55/BU55</f>
        <v>68300.215448054805</v>
      </c>
      <c r="DI55" s="72">
        <f>N55/P55</f>
        <v>34482.760334886734</v>
      </c>
      <c r="DJ55" s="72">
        <f t="shared" si="32"/>
        <v>1149.4253444962244</v>
      </c>
      <c r="DK55" s="72">
        <f t="shared" si="33"/>
        <v>1642.0362064231779</v>
      </c>
      <c r="DL55" s="72">
        <f>N55/BU55</f>
        <v>172413.80167443366</v>
      </c>
      <c r="DM55" s="72">
        <f>N55/BV55</f>
        <v>246305.43096347668</v>
      </c>
      <c r="DN55" s="1">
        <v>0</v>
      </c>
      <c r="DO55" s="1">
        <v>0</v>
      </c>
    </row>
    <row r="56" spans="1:119">
      <c r="A56" s="93">
        <f t="shared" si="38"/>
        <v>44013</v>
      </c>
      <c r="B56" s="4">
        <f t="shared" si="0"/>
        <v>2020</v>
      </c>
      <c r="C56" s="4">
        <f t="shared" si="1"/>
        <v>7</v>
      </c>
      <c r="D56" s="56">
        <v>8725974</v>
      </c>
      <c r="E56" s="56">
        <f>IFERROR(VLOOKUP($B56-1,CDM!$J$6:$P$19,2,FALSE)/12,0)+IFERROR(VLOOKUP($B56,CDM!$J$37:$M$48,2,FALSE)/24,0)+IFERROR(VLOOKUP($B56,CDM!$J$37:$M$48,2,FALSE)/2*$C56/78,0)</f>
        <v>161858.28504146537</v>
      </c>
      <c r="F56" s="56">
        <f t="shared" si="34"/>
        <v>8887832.2850414645</v>
      </c>
      <c r="G56" s="301">
        <v>9955</v>
      </c>
      <c r="H56" s="56">
        <v>2323074</v>
      </c>
      <c r="I56" s="56">
        <f>IFERROR(VLOOKUP($B56-1,CDM!$J$6:$P$19,3,FALSE)/12,0)+IFERROR(VLOOKUP($B56,CDM!$J$37:$M$47,3,FALSE)/24,0)+IFERROR(VLOOKUP($B56,CDM!$J$37:$M$47,3,FALSE)/2*$C56/78,0)</f>
        <v>156134.1046309449</v>
      </c>
      <c r="J56" s="56">
        <f t="shared" si="35"/>
        <v>2479208.1046309448</v>
      </c>
      <c r="K56" s="6">
        <v>1275</v>
      </c>
      <c r="L56" s="5">
        <v>5743151</v>
      </c>
      <c r="M56" s="2">
        <f>IFERROR(VLOOKUP($B56-1,CDM!$J$6:$P$19,4,FALSE)/12,0)+IFERROR(VLOOKUP($B56,CDM!$J$37:$M$47,4,FALSE)/24,0)+IFERROR(VLOOKUP($B56,CDM!$J$37:$M$47,4,FALSE)/2*$C56/78,0)</f>
        <v>135454.66773178097</v>
      </c>
      <c r="N56" s="56">
        <f t="shared" si="36"/>
        <v>5878605.6677317806</v>
      </c>
      <c r="O56" s="5">
        <v>18614</v>
      </c>
      <c r="P56" s="6">
        <v>150</v>
      </c>
      <c r="Q56" s="5">
        <v>65464</v>
      </c>
      <c r="R56" s="5">
        <v>236</v>
      </c>
      <c r="S56" s="6">
        <v>2920</v>
      </c>
      <c r="T56" s="6">
        <v>16451</v>
      </c>
      <c r="U56" s="6">
        <v>43</v>
      </c>
      <c r="V56" s="6">
        <v>171</v>
      </c>
      <c r="W56" s="5">
        <v>50149</v>
      </c>
      <c r="X56" s="1">
        <v>19</v>
      </c>
      <c r="Y56" s="56">
        <v>44336.800000000003</v>
      </c>
      <c r="Z56" s="56">
        <v>4268.8</v>
      </c>
      <c r="AA56" s="71">
        <f>L56-Y56</f>
        <v>5698814.2000000002</v>
      </c>
      <c r="AB56" s="71">
        <f>N56-Y56</f>
        <v>5834268.8677317807</v>
      </c>
      <c r="AC56" s="5">
        <f>O56-Z56</f>
        <v>14345.2</v>
      </c>
      <c r="AD56" s="111">
        <f>Economic!H58</f>
        <v>769942</v>
      </c>
      <c r="AE56" s="111">
        <f>Economic!I58</f>
        <v>778294</v>
      </c>
      <c r="AF56" s="111">
        <f>Economic!D58</f>
        <v>6666.4</v>
      </c>
      <c r="AG56" s="111">
        <f>Economic!E58</f>
        <v>6730.9</v>
      </c>
      <c r="AH56" s="111">
        <f>Economic!F58</f>
        <v>567.1</v>
      </c>
      <c r="AI56" s="111">
        <f>Economic!G58</f>
        <v>575.70000000000005</v>
      </c>
      <c r="AJ56" s="111">
        <f>Economic!J58</f>
        <v>-733.20000000000073</v>
      </c>
      <c r="AK56" s="111">
        <f>Economic!K58</f>
        <v>-753.60000000000036</v>
      </c>
      <c r="AL56" s="111">
        <f>Economic!L58</f>
        <v>-37.5</v>
      </c>
      <c r="AM56" s="111">
        <f>Economic!M58</f>
        <v>-38.799999999999955</v>
      </c>
      <c r="AN56" s="111">
        <f>Economic!N58</f>
        <v>-37332.5</v>
      </c>
      <c r="AO56" s="111">
        <f>Economic!O58</f>
        <v>72583</v>
      </c>
      <c r="AP56" s="28">
        <f>Weather!D56</f>
        <v>22.358870967741932</v>
      </c>
      <c r="AQ56" s="28">
        <f>Weather!E56</f>
        <v>3.850000000000005</v>
      </c>
      <c r="AR56" s="28">
        <f>Weather!F56</f>
        <v>76.975000000000023</v>
      </c>
      <c r="AS56" s="28">
        <f>Weather!G56</f>
        <v>0</v>
      </c>
      <c r="AT56" s="28">
        <f>Weather!H56</f>
        <v>135.125</v>
      </c>
      <c r="AU56" s="28">
        <f>Weather!I56</f>
        <v>0</v>
      </c>
      <c r="AV56" s="28">
        <f>Weather!J56</f>
        <v>197.12500000000003</v>
      </c>
      <c r="AW56" s="28">
        <f>Weather!K56</f>
        <v>0</v>
      </c>
      <c r="AX56" s="28">
        <f>Weather!L56</f>
        <v>259.12500000000006</v>
      </c>
      <c r="AY56" s="28">
        <f>Weather!M56</f>
        <v>0</v>
      </c>
      <c r="AZ56" s="28">
        <f>Weather!N56</f>
        <v>321.12500000000011</v>
      </c>
      <c r="BA56" s="28">
        <f>Weather!O56</f>
        <v>0</v>
      </c>
      <c r="BB56" s="28">
        <f>Weather!P56</f>
        <v>383.12500000000017</v>
      </c>
      <c r="BC56" s="28">
        <f>Weather!Q56</f>
        <v>0</v>
      </c>
      <c r="BD56" s="28">
        <f>Weather!R56</f>
        <v>445.12500000000006</v>
      </c>
      <c r="BE56">
        <v>0</v>
      </c>
      <c r="BF56">
        <v>0</v>
      </c>
      <c r="BG56">
        <v>0</v>
      </c>
      <c r="BH56">
        <v>0</v>
      </c>
      <c r="BI56">
        <v>0</v>
      </c>
      <c r="BJ56">
        <v>0</v>
      </c>
      <c r="BK56">
        <v>1</v>
      </c>
      <c r="BL56">
        <v>0</v>
      </c>
      <c r="BM56">
        <v>0</v>
      </c>
      <c r="BN56">
        <v>0</v>
      </c>
      <c r="BO56">
        <v>0</v>
      </c>
      <c r="BP56">
        <v>0</v>
      </c>
      <c r="BQ56">
        <v>0</v>
      </c>
      <c r="BR56">
        <v>0</v>
      </c>
      <c r="BS56">
        <v>0</v>
      </c>
      <c r="BT56" s="1">
        <f t="shared" si="37"/>
        <v>55</v>
      </c>
      <c r="BU56">
        <v>31</v>
      </c>
      <c r="BV56">
        <v>21</v>
      </c>
      <c r="BW56" s="1">
        <v>1</v>
      </c>
      <c r="BX56" s="1">
        <v>0.5</v>
      </c>
      <c r="BY56" s="1">
        <v>1</v>
      </c>
      <c r="BZ56" s="1">
        <v>0</v>
      </c>
      <c r="CA56">
        <f t="shared" si="2"/>
        <v>1.9250000000000025</v>
      </c>
      <c r="CB56">
        <f t="shared" si="3"/>
        <v>38.487500000000011</v>
      </c>
      <c r="CC56">
        <f t="shared" si="4"/>
        <v>0</v>
      </c>
      <c r="CD56">
        <f t="shared" si="5"/>
        <v>67.5625</v>
      </c>
      <c r="CE56">
        <f t="shared" si="6"/>
        <v>0</v>
      </c>
      <c r="CF56">
        <f t="shared" si="7"/>
        <v>98.562500000000014</v>
      </c>
      <c r="CG56">
        <f t="shared" si="8"/>
        <v>0</v>
      </c>
      <c r="CH56">
        <f t="shared" si="9"/>
        <v>129.56250000000003</v>
      </c>
      <c r="CI56">
        <f t="shared" si="10"/>
        <v>0</v>
      </c>
      <c r="CJ56">
        <f t="shared" si="11"/>
        <v>160.56250000000006</v>
      </c>
      <c r="CK56">
        <f t="shared" si="12"/>
        <v>0</v>
      </c>
      <c r="CL56">
        <f t="shared" si="13"/>
        <v>191.56250000000009</v>
      </c>
      <c r="CM56">
        <f t="shared" si="14"/>
        <v>0</v>
      </c>
      <c r="CN56">
        <f t="shared" si="15"/>
        <v>222.56250000000003</v>
      </c>
      <c r="CO56" s="14">
        <f t="shared" si="39"/>
        <v>3.850000000000005</v>
      </c>
      <c r="CP56" s="14">
        <f t="shared" si="17"/>
        <v>76.975000000000023</v>
      </c>
      <c r="CQ56" s="14">
        <f t="shared" si="18"/>
        <v>0</v>
      </c>
      <c r="CR56" s="14">
        <f t="shared" si="19"/>
        <v>135.125</v>
      </c>
      <c r="CS56" s="14">
        <f t="shared" si="20"/>
        <v>0</v>
      </c>
      <c r="CT56" s="14">
        <f t="shared" si="21"/>
        <v>197.12500000000003</v>
      </c>
      <c r="CU56" s="14">
        <f t="shared" si="22"/>
        <v>0</v>
      </c>
      <c r="CV56" s="14">
        <f t="shared" si="23"/>
        <v>259.12500000000006</v>
      </c>
      <c r="CW56" s="14">
        <f t="shared" si="24"/>
        <v>0</v>
      </c>
      <c r="CX56" s="14">
        <f t="shared" si="25"/>
        <v>321.12500000000011</v>
      </c>
      <c r="CY56" s="14">
        <f t="shared" si="26"/>
        <v>0</v>
      </c>
      <c r="CZ56" s="14">
        <f t="shared" si="27"/>
        <v>383.12500000000017</v>
      </c>
      <c r="DA56" s="14">
        <f t="shared" si="28"/>
        <v>0</v>
      </c>
      <c r="DB56" s="14">
        <f t="shared" si="29"/>
        <v>445.12500000000006</v>
      </c>
      <c r="DC56" s="72">
        <f>F56/G56</f>
        <v>892.80083224926818</v>
      </c>
      <c r="DD56" s="72">
        <f t="shared" si="30"/>
        <v>28.800026846750587</v>
      </c>
      <c r="DE56" s="71">
        <f>F56/BU56</f>
        <v>286704.26725940208</v>
      </c>
      <c r="DF56" s="72">
        <f>J56/K56</f>
        <v>1944.4769448085842</v>
      </c>
      <c r="DG56" s="72">
        <f t="shared" si="31"/>
        <v>62.72506273576078</v>
      </c>
      <c r="DH56" s="72">
        <f>J56/BU56</f>
        <v>79974.454988094993</v>
      </c>
      <c r="DI56" s="72">
        <f>N56/P56</f>
        <v>39190.704451545207</v>
      </c>
      <c r="DJ56" s="72">
        <f t="shared" si="32"/>
        <v>1264.2162726304905</v>
      </c>
      <c r="DK56" s="72">
        <f t="shared" si="33"/>
        <v>1866.2240215021527</v>
      </c>
      <c r="DL56" s="72">
        <f>N56/BU56</f>
        <v>189632.44089457358</v>
      </c>
      <c r="DM56" s="72">
        <f>N56/BV56</f>
        <v>279933.60322532291</v>
      </c>
      <c r="DN56" s="1">
        <v>0</v>
      </c>
      <c r="DO56" s="1">
        <v>0</v>
      </c>
    </row>
    <row r="57" spans="1:119">
      <c r="A57" s="93">
        <f t="shared" si="38"/>
        <v>44044</v>
      </c>
      <c r="B57" s="4">
        <f t="shared" si="0"/>
        <v>2020</v>
      </c>
      <c r="C57" s="4">
        <f t="shared" si="1"/>
        <v>8</v>
      </c>
      <c r="D57" s="56">
        <v>6819648</v>
      </c>
      <c r="E57" s="56">
        <f>IFERROR(VLOOKUP($B57-1,CDM!$J$6:$P$19,2,FALSE)/12,0)+IFERROR(VLOOKUP($B57,CDM!$J$37:$M$48,2,FALSE)/24,0)+IFERROR(VLOOKUP($B57,CDM!$J$37:$M$48,2,FALSE)/2*$C57/78,0)</f>
        <v>161860.30427223459</v>
      </c>
      <c r="F57" s="56">
        <f t="shared" si="34"/>
        <v>6981508.3042722344</v>
      </c>
      <c r="G57" s="301">
        <v>9965</v>
      </c>
      <c r="H57" s="56">
        <v>2013319</v>
      </c>
      <c r="I57" s="56">
        <f>IFERROR(VLOOKUP($B57-1,CDM!$J$6:$P$19,3,FALSE)/12,0)+IFERROR(VLOOKUP($B57,CDM!$J$37:$M$47,3,FALSE)/24,0)+IFERROR(VLOOKUP($B57,CDM!$J$37:$M$47,3,FALSE)/2*$C57/78,0)</f>
        <v>155749.74582024562</v>
      </c>
      <c r="J57" s="56">
        <f t="shared" si="35"/>
        <v>2169068.7458202457</v>
      </c>
      <c r="K57" s="6">
        <v>1274</v>
      </c>
      <c r="L57" s="5">
        <v>5542475</v>
      </c>
      <c r="M57" s="2">
        <f>IFERROR(VLOOKUP($B57-1,CDM!$J$6:$P$19,4,FALSE)/12,0)+IFERROR(VLOOKUP($B57,CDM!$J$37:$M$47,4,FALSE)/24,0)+IFERROR(VLOOKUP($B57,CDM!$J$37:$M$47,4,FALSE)/2*$C57/78,0)</f>
        <v>135324.28523055196</v>
      </c>
      <c r="N57" s="56">
        <f t="shared" si="36"/>
        <v>5677799.2852305518</v>
      </c>
      <c r="O57" s="5">
        <v>18179</v>
      </c>
      <c r="P57" s="6">
        <v>150</v>
      </c>
      <c r="Q57" s="5">
        <v>73705</v>
      </c>
      <c r="R57" s="5">
        <v>236</v>
      </c>
      <c r="S57" s="6">
        <v>2920</v>
      </c>
      <c r="T57" s="6">
        <v>16457</v>
      </c>
      <c r="U57" s="6">
        <v>43</v>
      </c>
      <c r="V57" s="6">
        <v>171</v>
      </c>
      <c r="W57" s="5">
        <v>49855</v>
      </c>
      <c r="X57" s="1">
        <v>19</v>
      </c>
      <c r="Y57" s="56">
        <v>7553.6</v>
      </c>
      <c r="Z57" s="56">
        <v>3788.8</v>
      </c>
      <c r="AA57" s="71">
        <f>L57-Y57</f>
        <v>5534921.4000000004</v>
      </c>
      <c r="AB57" s="71">
        <f>N57-Y57</f>
        <v>5670245.6852305522</v>
      </c>
      <c r="AC57" s="5">
        <f>O57-Z57</f>
        <v>14390.2</v>
      </c>
      <c r="AD57" s="111">
        <f>Economic!H59</f>
        <v>769942</v>
      </c>
      <c r="AE57" s="111">
        <f>Economic!I59</f>
        <v>778294</v>
      </c>
      <c r="AF57" s="111">
        <f>Economic!D59</f>
        <v>6904.3</v>
      </c>
      <c r="AG57" s="111">
        <f>Economic!E59</f>
        <v>6971.5</v>
      </c>
      <c r="AH57" s="111">
        <f>Economic!F59</f>
        <v>579.20000000000005</v>
      </c>
      <c r="AI57" s="111">
        <f>Economic!G59</f>
        <v>586.6</v>
      </c>
      <c r="AJ57" s="111">
        <f>Economic!J59</f>
        <v>-509.69999999999982</v>
      </c>
      <c r="AK57" s="111">
        <f>Economic!K59</f>
        <v>-530</v>
      </c>
      <c r="AL57" s="111">
        <f>Economic!L59</f>
        <v>-37.399999999999977</v>
      </c>
      <c r="AM57" s="111">
        <f>Economic!M59</f>
        <v>-37.799999999999955</v>
      </c>
      <c r="AN57" s="111">
        <f>Economic!N59</f>
        <v>-37332.5</v>
      </c>
      <c r="AO57" s="111">
        <f>Economic!O59</f>
        <v>72583</v>
      </c>
      <c r="AP57" s="28">
        <f>Weather!D57</f>
        <v>17.764784946236556</v>
      </c>
      <c r="AQ57" s="28">
        <f>Weather!E57</f>
        <v>79.675000000000011</v>
      </c>
      <c r="AR57" s="28">
        <f>Weather!F57</f>
        <v>10.383333333333329</v>
      </c>
      <c r="AS57" s="28">
        <f>Weather!G57</f>
        <v>40.033333333333331</v>
      </c>
      <c r="AT57" s="28">
        <f>Weather!H57</f>
        <v>32.741666666666674</v>
      </c>
      <c r="AU57" s="28">
        <f>Weather!I57</f>
        <v>17.466666666666679</v>
      </c>
      <c r="AV57" s="28">
        <f>Weather!J57</f>
        <v>72.175000000000011</v>
      </c>
      <c r="AW57" s="28">
        <f>Weather!K57</f>
        <v>3.958333333333341</v>
      </c>
      <c r="AX57" s="28">
        <f>Weather!L57</f>
        <v>120.66666666666664</v>
      </c>
      <c r="AY57" s="28">
        <f>Weather!M57</f>
        <v>0</v>
      </c>
      <c r="AZ57" s="28">
        <f>Weather!N57</f>
        <v>178.70833333333334</v>
      </c>
      <c r="BA57" s="28">
        <f>Weather!O57</f>
        <v>0</v>
      </c>
      <c r="BB57" s="28">
        <f>Weather!P57</f>
        <v>240.70833333333334</v>
      </c>
      <c r="BC57" s="28">
        <f>Weather!Q57</f>
        <v>0</v>
      </c>
      <c r="BD57" s="28">
        <f>Weather!R57</f>
        <v>302.70833333333326</v>
      </c>
      <c r="BE57">
        <v>0</v>
      </c>
      <c r="BF57">
        <v>0</v>
      </c>
      <c r="BG57">
        <v>0</v>
      </c>
      <c r="BH57">
        <v>0</v>
      </c>
      <c r="BI57">
        <v>0</v>
      </c>
      <c r="BJ57">
        <v>0</v>
      </c>
      <c r="BK57">
        <v>0</v>
      </c>
      <c r="BL57">
        <v>1</v>
      </c>
      <c r="BM57">
        <v>0</v>
      </c>
      <c r="BN57">
        <v>0</v>
      </c>
      <c r="BO57">
        <v>0</v>
      </c>
      <c r="BP57">
        <v>0</v>
      </c>
      <c r="BQ57">
        <v>0</v>
      </c>
      <c r="BR57">
        <v>0</v>
      </c>
      <c r="BS57">
        <v>0</v>
      </c>
      <c r="BT57" s="1">
        <f t="shared" si="37"/>
        <v>56</v>
      </c>
      <c r="BU57">
        <v>31</v>
      </c>
      <c r="BV57">
        <v>22</v>
      </c>
      <c r="BW57" s="1">
        <v>1</v>
      </c>
      <c r="BX57" s="1">
        <v>0.5</v>
      </c>
      <c r="BY57" s="1">
        <v>1</v>
      </c>
      <c r="BZ57" s="1">
        <v>0</v>
      </c>
      <c r="CA57">
        <f t="shared" si="2"/>
        <v>39.837500000000006</v>
      </c>
      <c r="CB57">
        <f t="shared" si="3"/>
        <v>5.1916666666666647</v>
      </c>
      <c r="CC57">
        <f t="shared" si="4"/>
        <v>20.016666666666666</v>
      </c>
      <c r="CD57">
        <f t="shared" si="5"/>
        <v>16.370833333333337</v>
      </c>
      <c r="CE57">
        <f t="shared" si="6"/>
        <v>8.7333333333333396</v>
      </c>
      <c r="CF57">
        <f t="shared" si="7"/>
        <v>36.087500000000006</v>
      </c>
      <c r="CG57">
        <f t="shared" si="8"/>
        <v>1.9791666666666705</v>
      </c>
      <c r="CH57">
        <f t="shared" si="9"/>
        <v>60.333333333333321</v>
      </c>
      <c r="CI57">
        <f t="shared" si="10"/>
        <v>0</v>
      </c>
      <c r="CJ57">
        <f t="shared" si="11"/>
        <v>89.354166666666671</v>
      </c>
      <c r="CK57">
        <f t="shared" si="12"/>
        <v>0</v>
      </c>
      <c r="CL57">
        <f t="shared" si="13"/>
        <v>120.35416666666667</v>
      </c>
      <c r="CM57">
        <f t="shared" si="14"/>
        <v>0</v>
      </c>
      <c r="CN57">
        <f t="shared" si="15"/>
        <v>151.35416666666663</v>
      </c>
      <c r="CO57" s="14">
        <f t="shared" si="39"/>
        <v>79.675000000000011</v>
      </c>
      <c r="CP57" s="14">
        <f t="shared" si="17"/>
        <v>10.383333333333329</v>
      </c>
      <c r="CQ57" s="14">
        <f t="shared" si="18"/>
        <v>40.033333333333331</v>
      </c>
      <c r="CR57" s="14">
        <f t="shared" si="19"/>
        <v>32.741666666666674</v>
      </c>
      <c r="CS57" s="14">
        <f t="shared" si="20"/>
        <v>17.466666666666679</v>
      </c>
      <c r="CT57" s="14">
        <f t="shared" si="21"/>
        <v>72.175000000000011</v>
      </c>
      <c r="CU57" s="14">
        <f t="shared" si="22"/>
        <v>3.958333333333341</v>
      </c>
      <c r="CV57" s="14">
        <f t="shared" si="23"/>
        <v>120.66666666666664</v>
      </c>
      <c r="CW57" s="14">
        <f t="shared" si="24"/>
        <v>0</v>
      </c>
      <c r="CX57" s="14">
        <f t="shared" si="25"/>
        <v>178.70833333333334</v>
      </c>
      <c r="CY57" s="14">
        <f t="shared" si="26"/>
        <v>0</v>
      </c>
      <c r="CZ57" s="14">
        <f t="shared" si="27"/>
        <v>240.70833333333334</v>
      </c>
      <c r="DA57" s="14">
        <f t="shared" si="28"/>
        <v>0</v>
      </c>
      <c r="DB57" s="14">
        <f t="shared" si="29"/>
        <v>302.70833333333326</v>
      </c>
      <c r="DC57" s="72">
        <f>F57/G57</f>
        <v>700.60294071974249</v>
      </c>
      <c r="DD57" s="72">
        <f t="shared" si="30"/>
        <v>22.600094861927179</v>
      </c>
      <c r="DE57" s="71">
        <f>F57/BU57</f>
        <v>225209.94529910435</v>
      </c>
      <c r="DF57" s="72">
        <f>J57/K57</f>
        <v>1702.5657345527832</v>
      </c>
      <c r="DG57" s="72">
        <f t="shared" si="31"/>
        <v>54.921475308154292</v>
      </c>
      <c r="DH57" s="72">
        <f>J57/BU57</f>
        <v>69969.959542588578</v>
      </c>
      <c r="DI57" s="72">
        <f>N57/P57</f>
        <v>37851.995234870345</v>
      </c>
      <c r="DJ57" s="72">
        <f t="shared" si="32"/>
        <v>1221.0321043506563</v>
      </c>
      <c r="DK57" s="72">
        <f t="shared" si="33"/>
        <v>1720.5452379486521</v>
      </c>
      <c r="DL57" s="72">
        <f>N57/BU57</f>
        <v>183154.81565259845</v>
      </c>
      <c r="DM57" s="72">
        <f>N57/BV57</f>
        <v>258081.78569229782</v>
      </c>
      <c r="DN57" s="1">
        <v>0</v>
      </c>
      <c r="DO57" s="1">
        <v>0</v>
      </c>
    </row>
    <row r="58" spans="1:119">
      <c r="A58" s="93">
        <f t="shared" si="38"/>
        <v>44075</v>
      </c>
      <c r="B58" s="4">
        <f t="shared" si="0"/>
        <v>2020</v>
      </c>
      <c r="C58" s="4">
        <f t="shared" si="1"/>
        <v>9</v>
      </c>
      <c r="D58" s="56">
        <v>5431156</v>
      </c>
      <c r="E58" s="56">
        <f>IFERROR(VLOOKUP($B58-1,CDM!$J$6:$P$19,2,FALSE)/12,0)+IFERROR(VLOOKUP($B58,CDM!$J$37:$M$48,2,FALSE)/24,0)+IFERROR(VLOOKUP($B58,CDM!$J$37:$M$48,2,FALSE)/2*$C58/78,0)</f>
        <v>161862.3235030038</v>
      </c>
      <c r="F58" s="56">
        <f t="shared" si="34"/>
        <v>5593018.3235030035</v>
      </c>
      <c r="G58" s="301">
        <v>9980</v>
      </c>
      <c r="H58" s="56">
        <v>1782342</v>
      </c>
      <c r="I58" s="56">
        <f>IFERROR(VLOOKUP($B58-1,CDM!$J$6:$P$19,3,FALSE)/12,0)+IFERROR(VLOOKUP($B58,CDM!$J$37:$M$47,3,FALSE)/24,0)+IFERROR(VLOOKUP($B58,CDM!$J$37:$M$47,3,FALSE)/2*$C58/78,0)</f>
        <v>155365.38700954636</v>
      </c>
      <c r="J58" s="56">
        <f t="shared" si="35"/>
        <v>1937707.3870095464</v>
      </c>
      <c r="K58" s="6">
        <v>1274</v>
      </c>
      <c r="L58" s="5">
        <v>4718668</v>
      </c>
      <c r="M58" s="2">
        <f>IFERROR(VLOOKUP($B58-1,CDM!$J$6:$P$19,4,FALSE)/12,0)+IFERROR(VLOOKUP($B58,CDM!$J$37:$M$47,4,FALSE)/24,0)+IFERROR(VLOOKUP($B58,CDM!$J$37:$M$47,4,FALSE)/2*$C58/78,0)</f>
        <v>135193.90272932296</v>
      </c>
      <c r="N58" s="56">
        <f t="shared" si="36"/>
        <v>4853861.9027293231</v>
      </c>
      <c r="O58" s="5">
        <v>15554</v>
      </c>
      <c r="P58" s="6">
        <v>150</v>
      </c>
      <c r="Q58" s="5">
        <v>81378</v>
      </c>
      <c r="R58" s="5">
        <v>236</v>
      </c>
      <c r="S58" s="6">
        <v>2920</v>
      </c>
      <c r="T58" s="6">
        <v>16312</v>
      </c>
      <c r="U58" s="6">
        <v>43</v>
      </c>
      <c r="V58" s="6">
        <v>171</v>
      </c>
      <c r="W58" s="5">
        <v>49681</v>
      </c>
      <c r="X58" s="1">
        <v>19</v>
      </c>
      <c r="Y58" s="56">
        <v>1851.2</v>
      </c>
      <c r="Z58" s="56">
        <v>2880</v>
      </c>
      <c r="AA58" s="71">
        <f>L58-Y58</f>
        <v>4716816.8</v>
      </c>
      <c r="AB58" s="71">
        <f>N58-Y58</f>
        <v>4852010.7027293229</v>
      </c>
      <c r="AC58" s="5">
        <f>O58-Z58</f>
        <v>12674</v>
      </c>
      <c r="AD58" s="111">
        <f>Economic!H60</f>
        <v>769942</v>
      </c>
      <c r="AE58" s="111">
        <f>Economic!I60</f>
        <v>778294</v>
      </c>
      <c r="AF58" s="111">
        <f>Economic!D60</f>
        <v>7065.2</v>
      </c>
      <c r="AG58" s="111">
        <f>Economic!E60</f>
        <v>7098.8</v>
      </c>
      <c r="AH58" s="111">
        <f>Economic!F60</f>
        <v>589.6</v>
      </c>
      <c r="AI58" s="111">
        <f>Economic!G60</f>
        <v>592</v>
      </c>
      <c r="AJ58" s="111">
        <f>Economic!J60</f>
        <v>-367.19999999999982</v>
      </c>
      <c r="AK58" s="111">
        <f>Economic!K60</f>
        <v>-390.5</v>
      </c>
      <c r="AL58" s="111">
        <f>Economic!L60</f>
        <v>-38.100000000000023</v>
      </c>
      <c r="AM58" s="111">
        <f>Economic!M60</f>
        <v>-37.899999999999977</v>
      </c>
      <c r="AN58" s="111">
        <f>Economic!N60</f>
        <v>-37332.5</v>
      </c>
      <c r="AO58" s="111">
        <f>Economic!O60</f>
        <v>72583</v>
      </c>
      <c r="AP58" s="28">
        <f>Weather!D58</f>
        <v>13.116250000000001</v>
      </c>
      <c r="AQ58" s="28">
        <f>Weather!E58</f>
        <v>206.67499999999998</v>
      </c>
      <c r="AR58" s="28">
        <f>Weather!F58</f>
        <v>0.16249999999999432</v>
      </c>
      <c r="AS58" s="28">
        <f>Weather!G58</f>
        <v>153.40416666666664</v>
      </c>
      <c r="AT58" s="28">
        <f>Weather!H58</f>
        <v>6.8916666666666622</v>
      </c>
      <c r="AU58" s="28">
        <f>Weather!I58</f>
        <v>104.86666666666669</v>
      </c>
      <c r="AV58" s="28">
        <f>Weather!J58</f>
        <v>18.354166666666668</v>
      </c>
      <c r="AW58" s="28">
        <f>Weather!K58</f>
        <v>66.750000000000014</v>
      </c>
      <c r="AX58" s="28">
        <f>Weather!L58</f>
        <v>40.23749999999999</v>
      </c>
      <c r="AY58" s="28">
        <f>Weather!M58</f>
        <v>34.841666666666669</v>
      </c>
      <c r="AZ58" s="28">
        <f>Weather!N58</f>
        <v>68.32916666666668</v>
      </c>
      <c r="BA58" s="28">
        <f>Weather!O58</f>
        <v>16.437500000000007</v>
      </c>
      <c r="BB58" s="28">
        <f>Weather!P58</f>
        <v>109.925</v>
      </c>
      <c r="BC58" s="28">
        <f>Weather!Q58</f>
        <v>5.3041666666666707</v>
      </c>
      <c r="BD58" s="28">
        <f>Weather!R58</f>
        <v>158.79166666666663</v>
      </c>
      <c r="BE58">
        <v>0</v>
      </c>
      <c r="BF58">
        <v>0</v>
      </c>
      <c r="BG58">
        <v>0</v>
      </c>
      <c r="BH58">
        <v>0</v>
      </c>
      <c r="BI58">
        <v>0</v>
      </c>
      <c r="BJ58">
        <v>0</v>
      </c>
      <c r="BK58">
        <v>0</v>
      </c>
      <c r="BL58">
        <v>0</v>
      </c>
      <c r="BM58">
        <v>1</v>
      </c>
      <c r="BN58">
        <v>0</v>
      </c>
      <c r="BO58">
        <v>0</v>
      </c>
      <c r="BP58">
        <v>0</v>
      </c>
      <c r="BQ58">
        <v>0</v>
      </c>
      <c r="BR58">
        <v>1</v>
      </c>
      <c r="BS58">
        <v>1</v>
      </c>
      <c r="BT58" s="1">
        <f t="shared" si="37"/>
        <v>57</v>
      </c>
      <c r="BU58">
        <v>30</v>
      </c>
      <c r="BV58">
        <v>19</v>
      </c>
      <c r="BW58" s="1">
        <v>1</v>
      </c>
      <c r="BX58" s="1">
        <v>0.5</v>
      </c>
      <c r="BY58" s="1">
        <v>1</v>
      </c>
      <c r="BZ58" s="1">
        <v>0</v>
      </c>
      <c r="CA58">
        <f t="shared" si="2"/>
        <v>103.33749999999999</v>
      </c>
      <c r="CB58">
        <f t="shared" si="3"/>
        <v>8.1249999999997158E-2</v>
      </c>
      <c r="CC58">
        <f t="shared" si="4"/>
        <v>76.70208333333332</v>
      </c>
      <c r="CD58">
        <f t="shared" si="5"/>
        <v>3.4458333333333311</v>
      </c>
      <c r="CE58">
        <f t="shared" si="6"/>
        <v>52.433333333333344</v>
      </c>
      <c r="CF58">
        <f t="shared" si="7"/>
        <v>9.1770833333333339</v>
      </c>
      <c r="CG58">
        <f t="shared" si="8"/>
        <v>33.375000000000007</v>
      </c>
      <c r="CH58">
        <f t="shared" si="9"/>
        <v>20.118749999999995</v>
      </c>
      <c r="CI58">
        <f t="shared" si="10"/>
        <v>17.420833333333334</v>
      </c>
      <c r="CJ58">
        <f t="shared" si="11"/>
        <v>34.16458333333334</v>
      </c>
      <c r="CK58">
        <f t="shared" si="12"/>
        <v>8.2187500000000036</v>
      </c>
      <c r="CL58">
        <f t="shared" si="13"/>
        <v>54.962499999999999</v>
      </c>
      <c r="CM58">
        <f t="shared" si="14"/>
        <v>2.6520833333333353</v>
      </c>
      <c r="CN58">
        <f t="shared" si="15"/>
        <v>79.395833333333314</v>
      </c>
      <c r="CO58" s="14">
        <f t="shared" si="39"/>
        <v>206.67499999999998</v>
      </c>
      <c r="CP58" s="14">
        <f t="shared" si="17"/>
        <v>0.16249999999999432</v>
      </c>
      <c r="CQ58" s="14">
        <f t="shared" si="18"/>
        <v>153.40416666666664</v>
      </c>
      <c r="CR58" s="14">
        <f t="shared" si="19"/>
        <v>6.8916666666666622</v>
      </c>
      <c r="CS58" s="14">
        <f t="shared" si="20"/>
        <v>104.86666666666669</v>
      </c>
      <c r="CT58" s="14">
        <f t="shared" si="21"/>
        <v>18.354166666666668</v>
      </c>
      <c r="CU58" s="14">
        <f t="shared" si="22"/>
        <v>66.750000000000014</v>
      </c>
      <c r="CV58" s="14">
        <f t="shared" si="23"/>
        <v>40.23749999999999</v>
      </c>
      <c r="CW58" s="14">
        <f t="shared" si="24"/>
        <v>34.841666666666669</v>
      </c>
      <c r="CX58" s="14">
        <f t="shared" si="25"/>
        <v>68.32916666666668</v>
      </c>
      <c r="CY58" s="14">
        <f t="shared" si="26"/>
        <v>16.437500000000007</v>
      </c>
      <c r="CZ58" s="14">
        <f t="shared" si="27"/>
        <v>109.925</v>
      </c>
      <c r="DA58" s="14">
        <f t="shared" si="28"/>
        <v>5.3041666666666707</v>
      </c>
      <c r="DB58" s="14">
        <f t="shared" si="29"/>
        <v>158.79166666666663</v>
      </c>
      <c r="DC58" s="72">
        <f>F58/G58</f>
        <v>560.42267770571175</v>
      </c>
      <c r="DD58" s="72">
        <f t="shared" si="30"/>
        <v>18.680755923523726</v>
      </c>
      <c r="DE58" s="71">
        <f>F58/BU58</f>
        <v>186433.94411676677</v>
      </c>
      <c r="DF58" s="72">
        <f>J58/K58</f>
        <v>1520.9634120954054</v>
      </c>
      <c r="DG58" s="72">
        <f t="shared" si="31"/>
        <v>50.69878040318018</v>
      </c>
      <c r="DH58" s="72">
        <f>J58/BU58</f>
        <v>64590.246233651545</v>
      </c>
      <c r="DI58" s="72">
        <f>N58/P58</f>
        <v>32359.079351528821</v>
      </c>
      <c r="DJ58" s="72">
        <f t="shared" si="32"/>
        <v>1078.635978384294</v>
      </c>
      <c r="DK58" s="72">
        <f t="shared" si="33"/>
        <v>1703.1094395541484</v>
      </c>
      <c r="DL58" s="72">
        <f>N58/BU58</f>
        <v>161795.39675764411</v>
      </c>
      <c r="DM58" s="72">
        <f>N58/BV58</f>
        <v>255466.41593312228</v>
      </c>
      <c r="DN58" s="1">
        <v>0</v>
      </c>
      <c r="DO58" s="1">
        <v>0</v>
      </c>
    </row>
    <row r="59" spans="1:119">
      <c r="A59" s="93">
        <f t="shared" si="38"/>
        <v>44105</v>
      </c>
      <c r="B59" s="4">
        <f t="shared" si="0"/>
        <v>2020</v>
      </c>
      <c r="C59" s="4">
        <f t="shared" si="1"/>
        <v>10</v>
      </c>
      <c r="D59" s="56">
        <v>6120244</v>
      </c>
      <c r="E59" s="56">
        <f>IFERROR(VLOOKUP($B59-1,CDM!$J$6:$P$19,2,FALSE)/12,0)+IFERROR(VLOOKUP($B59,CDM!$J$37:$M$48,2,FALSE)/24,0)+IFERROR(VLOOKUP($B59,CDM!$J$37:$M$48,2,FALSE)/2*$C59/78,0)</f>
        <v>161864.34273377305</v>
      </c>
      <c r="F59" s="56">
        <f t="shared" si="34"/>
        <v>6282108.3427337734</v>
      </c>
      <c r="G59" s="301">
        <v>9996</v>
      </c>
      <c r="H59" s="56">
        <v>1924819</v>
      </c>
      <c r="I59" s="56">
        <f>IFERROR(VLOOKUP($B59-1,CDM!$J$6:$P$19,3,FALSE)/12,0)+IFERROR(VLOOKUP($B59,CDM!$J$37:$M$47,3,FALSE)/24,0)+IFERROR(VLOOKUP($B59,CDM!$J$37:$M$47,3,FALSE)/2*$C59/78,0)</f>
        <v>154981.02819884708</v>
      </c>
      <c r="J59" s="56">
        <f t="shared" si="35"/>
        <v>2079800.0281988471</v>
      </c>
      <c r="K59" s="6">
        <v>1272</v>
      </c>
      <c r="L59" s="5">
        <v>5012347</v>
      </c>
      <c r="M59" s="2">
        <f>IFERROR(VLOOKUP($B59-1,CDM!$J$6:$P$19,4,FALSE)/12,0)+IFERROR(VLOOKUP($B59,CDM!$J$37:$M$47,4,FALSE)/24,0)+IFERROR(VLOOKUP($B59,CDM!$J$37:$M$47,4,FALSE)/2*$C59/78,0)</f>
        <v>135063.52022809393</v>
      </c>
      <c r="N59" s="56">
        <f t="shared" si="36"/>
        <v>5147410.5202280935</v>
      </c>
      <c r="O59" s="5">
        <v>16239</v>
      </c>
      <c r="P59" s="6">
        <v>150</v>
      </c>
      <c r="Q59" s="5">
        <v>94879</v>
      </c>
      <c r="R59" s="5">
        <v>236</v>
      </c>
      <c r="S59" s="6">
        <v>2920</v>
      </c>
      <c r="T59" s="6">
        <v>16089</v>
      </c>
      <c r="U59" s="6">
        <v>42</v>
      </c>
      <c r="V59" s="6">
        <v>171</v>
      </c>
      <c r="W59" s="5">
        <v>49975</v>
      </c>
      <c r="X59" s="1">
        <v>19</v>
      </c>
      <c r="Y59" s="56">
        <v>1991.2</v>
      </c>
      <c r="Z59" s="56">
        <v>2896</v>
      </c>
      <c r="AA59" s="71">
        <f>L59-Y59</f>
        <v>5010355.8</v>
      </c>
      <c r="AB59" s="71">
        <f>N59-Y59</f>
        <v>5145419.3202280933</v>
      </c>
      <c r="AC59" s="5">
        <f>O59-Z59</f>
        <v>13343</v>
      </c>
      <c r="AD59" s="111">
        <f>Economic!H61</f>
        <v>769942</v>
      </c>
      <c r="AE59" s="111">
        <f>Economic!I61</f>
        <v>797313</v>
      </c>
      <c r="AF59" s="111">
        <f>Economic!D61</f>
        <v>7186.6</v>
      </c>
      <c r="AG59" s="111">
        <f>Economic!E61</f>
        <v>7210.7</v>
      </c>
      <c r="AH59" s="111">
        <f>Economic!F61</f>
        <v>591.20000000000005</v>
      </c>
      <c r="AI59" s="111">
        <f>Economic!G61</f>
        <v>588.29999999999995</v>
      </c>
      <c r="AJ59" s="111">
        <f>Economic!J61</f>
        <v>-263.39999999999964</v>
      </c>
      <c r="AK59" s="111">
        <f>Economic!K61</f>
        <v>-280.40000000000055</v>
      </c>
      <c r="AL59" s="111">
        <f>Economic!L61</f>
        <v>-47.899999999999977</v>
      </c>
      <c r="AM59" s="111">
        <f>Economic!M61</f>
        <v>-47.5</v>
      </c>
      <c r="AN59" s="111">
        <f>Economic!N61</f>
        <v>-37332.5</v>
      </c>
      <c r="AO59" s="111">
        <f>Economic!O61</f>
        <v>19019</v>
      </c>
      <c r="AP59" s="28">
        <f>Weather!D59</f>
        <v>6.0559139784946225</v>
      </c>
      <c r="AQ59" s="28">
        <f>Weather!E59</f>
        <v>432.26666666666665</v>
      </c>
      <c r="AR59" s="28">
        <f>Weather!F59</f>
        <v>0</v>
      </c>
      <c r="AS59" s="28">
        <f>Weather!G59</f>
        <v>370.26666666666665</v>
      </c>
      <c r="AT59" s="28">
        <f>Weather!H59</f>
        <v>0</v>
      </c>
      <c r="AU59" s="28">
        <f>Weather!I59</f>
        <v>308.26666666666671</v>
      </c>
      <c r="AV59" s="28">
        <f>Weather!J59</f>
        <v>0</v>
      </c>
      <c r="AW59" s="28">
        <f>Weather!K59</f>
        <v>246.71666666666667</v>
      </c>
      <c r="AX59" s="28">
        <f>Weather!L59</f>
        <v>0.45000000000000107</v>
      </c>
      <c r="AY59" s="28">
        <f>Weather!M59</f>
        <v>188.41666666666663</v>
      </c>
      <c r="AZ59" s="28">
        <f>Weather!N59</f>
        <v>4.1500000000000021</v>
      </c>
      <c r="BA59" s="28">
        <f>Weather!O59</f>
        <v>132.30000000000001</v>
      </c>
      <c r="BB59" s="28">
        <f>Weather!P59</f>
        <v>10.033333333333337</v>
      </c>
      <c r="BC59" s="28">
        <f>Weather!Q59</f>
        <v>88.15000000000002</v>
      </c>
      <c r="BD59" s="28">
        <f>Weather!R59</f>
        <v>27.883333333333333</v>
      </c>
      <c r="BE59">
        <v>0</v>
      </c>
      <c r="BF59">
        <v>0</v>
      </c>
      <c r="BG59">
        <v>0</v>
      </c>
      <c r="BH59">
        <v>0</v>
      </c>
      <c r="BI59">
        <v>0</v>
      </c>
      <c r="BJ59">
        <v>0</v>
      </c>
      <c r="BK59">
        <v>0</v>
      </c>
      <c r="BL59">
        <v>0</v>
      </c>
      <c r="BM59">
        <v>0</v>
      </c>
      <c r="BN59">
        <v>1</v>
      </c>
      <c r="BO59">
        <v>0</v>
      </c>
      <c r="BP59">
        <v>0</v>
      </c>
      <c r="BQ59">
        <v>0</v>
      </c>
      <c r="BR59">
        <v>1</v>
      </c>
      <c r="BS59">
        <v>1</v>
      </c>
      <c r="BT59" s="1">
        <f t="shared" si="37"/>
        <v>58</v>
      </c>
      <c r="BU59">
        <v>31</v>
      </c>
      <c r="BV59">
        <v>22</v>
      </c>
      <c r="BW59" s="1">
        <v>1</v>
      </c>
      <c r="BX59" s="1">
        <v>0.5</v>
      </c>
      <c r="BY59" s="1">
        <v>1</v>
      </c>
      <c r="BZ59" s="1">
        <v>0</v>
      </c>
      <c r="CA59">
        <f t="shared" si="2"/>
        <v>216.13333333333333</v>
      </c>
      <c r="CB59">
        <f t="shared" si="3"/>
        <v>0</v>
      </c>
      <c r="CC59">
        <f t="shared" si="4"/>
        <v>185.13333333333333</v>
      </c>
      <c r="CD59">
        <f t="shared" si="5"/>
        <v>0</v>
      </c>
      <c r="CE59">
        <f t="shared" si="6"/>
        <v>154.13333333333335</v>
      </c>
      <c r="CF59">
        <f t="shared" si="7"/>
        <v>0</v>
      </c>
      <c r="CG59">
        <f t="shared" si="8"/>
        <v>123.35833333333333</v>
      </c>
      <c r="CH59">
        <f t="shared" si="9"/>
        <v>0.22500000000000053</v>
      </c>
      <c r="CI59">
        <f t="shared" si="10"/>
        <v>94.208333333333314</v>
      </c>
      <c r="CJ59">
        <f t="shared" si="11"/>
        <v>2.0750000000000011</v>
      </c>
      <c r="CK59">
        <f t="shared" si="12"/>
        <v>66.150000000000006</v>
      </c>
      <c r="CL59">
        <f t="shared" si="13"/>
        <v>5.0166666666666684</v>
      </c>
      <c r="CM59">
        <f t="shared" si="14"/>
        <v>44.07500000000001</v>
      </c>
      <c r="CN59">
        <f t="shared" si="15"/>
        <v>13.941666666666666</v>
      </c>
      <c r="CO59" s="14">
        <f t="shared" si="39"/>
        <v>432.26666666666665</v>
      </c>
      <c r="CP59" s="14">
        <f t="shared" si="17"/>
        <v>0</v>
      </c>
      <c r="CQ59" s="14">
        <f t="shared" si="18"/>
        <v>370.26666666666665</v>
      </c>
      <c r="CR59" s="14">
        <f t="shared" si="19"/>
        <v>0</v>
      </c>
      <c r="CS59" s="14">
        <f t="shared" si="20"/>
        <v>308.26666666666671</v>
      </c>
      <c r="CT59" s="14">
        <f t="shared" si="21"/>
        <v>0</v>
      </c>
      <c r="CU59" s="14">
        <f t="shared" si="22"/>
        <v>246.71666666666667</v>
      </c>
      <c r="CV59" s="14">
        <f t="shared" si="23"/>
        <v>0.45000000000000107</v>
      </c>
      <c r="CW59" s="14">
        <f t="shared" si="24"/>
        <v>188.41666666666663</v>
      </c>
      <c r="CX59" s="14">
        <f t="shared" si="25"/>
        <v>4.1500000000000021</v>
      </c>
      <c r="CY59" s="14">
        <f t="shared" si="26"/>
        <v>132.30000000000001</v>
      </c>
      <c r="CZ59" s="14">
        <f t="shared" si="27"/>
        <v>10.033333333333337</v>
      </c>
      <c r="DA59" s="14">
        <f t="shared" si="28"/>
        <v>88.15000000000002</v>
      </c>
      <c r="DB59" s="14">
        <f t="shared" si="29"/>
        <v>27.883333333333333</v>
      </c>
      <c r="DC59" s="72">
        <f>F59/G59</f>
        <v>628.46221916104173</v>
      </c>
      <c r="DD59" s="72">
        <f t="shared" si="30"/>
        <v>20.272974811646506</v>
      </c>
      <c r="DE59" s="71">
        <f>F59/BU59</f>
        <v>202648.65621721849</v>
      </c>
      <c r="DF59" s="72">
        <f>J59/K59</f>
        <v>1635.062915250666</v>
      </c>
      <c r="DG59" s="72">
        <f t="shared" si="31"/>
        <v>52.743965008086001</v>
      </c>
      <c r="DH59" s="72">
        <f>J59/BU59</f>
        <v>67090.323490285387</v>
      </c>
      <c r="DI59" s="72">
        <f>N59/P59</f>
        <v>34316.070134853959</v>
      </c>
      <c r="DJ59" s="72">
        <f t="shared" si="32"/>
        <v>1106.9700043501277</v>
      </c>
      <c r="DK59" s="72">
        <f t="shared" si="33"/>
        <v>1559.821369766089</v>
      </c>
      <c r="DL59" s="72">
        <f>N59/BU59</f>
        <v>166045.50065251914</v>
      </c>
      <c r="DM59" s="72">
        <f>N59/BV59</f>
        <v>233973.20546491334</v>
      </c>
      <c r="DN59" s="1">
        <v>0</v>
      </c>
      <c r="DO59" s="1">
        <v>0</v>
      </c>
    </row>
    <row r="60" spans="1:119">
      <c r="A60" s="93">
        <f t="shared" si="38"/>
        <v>44136</v>
      </c>
      <c r="B60" s="4">
        <f t="shared" si="0"/>
        <v>2020</v>
      </c>
      <c r="C60" s="4">
        <f t="shared" si="1"/>
        <v>11</v>
      </c>
      <c r="D60" s="56">
        <v>6617422</v>
      </c>
      <c r="E60" s="56">
        <f>IFERROR(VLOOKUP($B60-1,CDM!$J$6:$P$19,2,FALSE)/12,0)+IFERROR(VLOOKUP($B60,CDM!$J$37:$M$48,2,FALSE)/24,0)+IFERROR(VLOOKUP($B60,CDM!$J$37:$M$48,2,FALSE)/2*$C60/78,0)</f>
        <v>161866.36196454227</v>
      </c>
      <c r="F60" s="56">
        <f t="shared" si="34"/>
        <v>6779288.3619645424</v>
      </c>
      <c r="G60" s="301">
        <v>10001</v>
      </c>
      <c r="H60" s="56">
        <v>2153940</v>
      </c>
      <c r="I60" s="56">
        <f>IFERROR(VLOOKUP($B60-1,CDM!$J$6:$P$19,3,FALSE)/12,0)+IFERROR(VLOOKUP($B60,CDM!$J$37:$M$47,3,FALSE)/24,0)+IFERROR(VLOOKUP($B60,CDM!$J$37:$M$47,3,FALSE)/2*$C60/78,0)</f>
        <v>154596.66938814783</v>
      </c>
      <c r="J60" s="56">
        <f t="shared" si="35"/>
        <v>2308536.669388148</v>
      </c>
      <c r="K60" s="6">
        <v>1275</v>
      </c>
      <c r="L60" s="5">
        <v>5211201</v>
      </c>
      <c r="M60" s="2">
        <f>IFERROR(VLOOKUP($B60-1,CDM!$J$6:$P$19,4,FALSE)/12,0)+IFERROR(VLOOKUP($B60,CDM!$J$37:$M$47,4,FALSE)/24,0)+IFERROR(VLOOKUP($B60,CDM!$J$37:$M$47,4,FALSE)/2*$C60/78,0)</f>
        <v>134933.13772686492</v>
      </c>
      <c r="N60" s="56">
        <f t="shared" si="36"/>
        <v>5346134.1377268648</v>
      </c>
      <c r="O60" s="5">
        <v>19093</v>
      </c>
      <c r="P60" s="6">
        <v>150</v>
      </c>
      <c r="Q60" s="5">
        <v>101060</v>
      </c>
      <c r="R60" s="5">
        <v>236</v>
      </c>
      <c r="S60" s="6">
        <v>2920</v>
      </c>
      <c r="T60" s="6">
        <v>16052</v>
      </c>
      <c r="U60" s="6">
        <v>43</v>
      </c>
      <c r="V60" s="6">
        <v>171</v>
      </c>
      <c r="W60" s="5">
        <v>52957</v>
      </c>
      <c r="X60" s="1">
        <v>19</v>
      </c>
      <c r="Y60" s="56">
        <v>4040</v>
      </c>
      <c r="Z60" s="56">
        <v>5180.8</v>
      </c>
      <c r="AA60" s="71">
        <f>L60-Y60</f>
        <v>5207161</v>
      </c>
      <c r="AB60" s="71">
        <f>N60-Y60</f>
        <v>5342094.1377268648</v>
      </c>
      <c r="AC60" s="5">
        <f>O60-Z60</f>
        <v>13912.2</v>
      </c>
      <c r="AD60" s="111">
        <f>Economic!H62</f>
        <v>769942</v>
      </c>
      <c r="AE60" s="111">
        <f>Economic!I62</f>
        <v>797313</v>
      </c>
      <c r="AF60" s="111">
        <f>Economic!D62</f>
        <v>7271.8</v>
      </c>
      <c r="AG60" s="111">
        <f>Economic!E62</f>
        <v>7283</v>
      </c>
      <c r="AH60" s="111">
        <f>Economic!F62</f>
        <v>592.70000000000005</v>
      </c>
      <c r="AI60" s="111">
        <f>Economic!G62</f>
        <v>588.9</v>
      </c>
      <c r="AJ60" s="111">
        <f>Economic!J62</f>
        <v>-186.39999999999964</v>
      </c>
      <c r="AK60" s="111">
        <f>Economic!K62</f>
        <v>-196.5</v>
      </c>
      <c r="AL60" s="111">
        <f>Economic!L62</f>
        <v>-47.199999999999932</v>
      </c>
      <c r="AM60" s="111">
        <f>Economic!M62</f>
        <v>-48.100000000000023</v>
      </c>
      <c r="AN60" s="111">
        <f>Economic!N62</f>
        <v>-37332.5</v>
      </c>
      <c r="AO60" s="111">
        <f>Economic!O62</f>
        <v>19019</v>
      </c>
      <c r="AP60" s="28">
        <f>Weather!D60</f>
        <v>2.8723611111111098</v>
      </c>
      <c r="AQ60" s="28">
        <f>Weather!E60</f>
        <v>513.82916666666665</v>
      </c>
      <c r="AR60" s="28">
        <f>Weather!F60</f>
        <v>0</v>
      </c>
      <c r="AS60" s="28">
        <f>Weather!G60</f>
        <v>453.82916666666659</v>
      </c>
      <c r="AT60" s="28">
        <f>Weather!H60</f>
        <v>0</v>
      </c>
      <c r="AU60" s="28">
        <f>Weather!I60</f>
        <v>393.82916666666659</v>
      </c>
      <c r="AV60" s="28">
        <f>Weather!J60</f>
        <v>0</v>
      </c>
      <c r="AW60" s="28">
        <f>Weather!K60</f>
        <v>334.75416666666661</v>
      </c>
      <c r="AX60" s="28">
        <f>Weather!L60</f>
        <v>0.92499999999999893</v>
      </c>
      <c r="AY60" s="28">
        <f>Weather!M60</f>
        <v>278.90416666666664</v>
      </c>
      <c r="AZ60" s="28">
        <f>Weather!N60</f>
        <v>5.0749999999999975</v>
      </c>
      <c r="BA60" s="28">
        <f>Weather!O60</f>
        <v>227.23750000000001</v>
      </c>
      <c r="BB60" s="28">
        <f>Weather!P60</f>
        <v>13.40833333333333</v>
      </c>
      <c r="BC60" s="28">
        <f>Weather!Q60</f>
        <v>180.48333333333335</v>
      </c>
      <c r="BD60" s="28">
        <f>Weather!R60</f>
        <v>26.654166666666661</v>
      </c>
      <c r="BE60">
        <v>0</v>
      </c>
      <c r="BF60">
        <v>0</v>
      </c>
      <c r="BG60">
        <v>0</v>
      </c>
      <c r="BH60">
        <v>0</v>
      </c>
      <c r="BI60">
        <v>0</v>
      </c>
      <c r="BJ60">
        <v>0</v>
      </c>
      <c r="BK60">
        <v>0</v>
      </c>
      <c r="BL60">
        <v>0</v>
      </c>
      <c r="BM60">
        <v>0</v>
      </c>
      <c r="BN60">
        <v>0</v>
      </c>
      <c r="BO60">
        <v>1</v>
      </c>
      <c r="BP60">
        <v>0</v>
      </c>
      <c r="BQ60">
        <v>0</v>
      </c>
      <c r="BR60">
        <v>1</v>
      </c>
      <c r="BS60">
        <v>1</v>
      </c>
      <c r="BT60" s="1">
        <f t="shared" si="37"/>
        <v>59</v>
      </c>
      <c r="BU60">
        <v>30</v>
      </c>
      <c r="BV60">
        <v>22</v>
      </c>
      <c r="BW60" s="1">
        <v>1</v>
      </c>
      <c r="BX60" s="1">
        <v>0.5</v>
      </c>
      <c r="BY60" s="1">
        <v>1</v>
      </c>
      <c r="BZ60" s="1">
        <v>0</v>
      </c>
      <c r="CA60">
        <f t="shared" si="2"/>
        <v>256.91458333333333</v>
      </c>
      <c r="CB60">
        <f t="shared" si="3"/>
        <v>0</v>
      </c>
      <c r="CC60">
        <f t="shared" si="4"/>
        <v>226.9145833333333</v>
      </c>
      <c r="CD60">
        <f t="shared" si="5"/>
        <v>0</v>
      </c>
      <c r="CE60">
        <f t="shared" si="6"/>
        <v>196.9145833333333</v>
      </c>
      <c r="CF60">
        <f t="shared" si="7"/>
        <v>0</v>
      </c>
      <c r="CG60">
        <f t="shared" si="8"/>
        <v>167.3770833333333</v>
      </c>
      <c r="CH60">
        <f t="shared" si="9"/>
        <v>0.46249999999999947</v>
      </c>
      <c r="CI60">
        <f t="shared" si="10"/>
        <v>139.45208333333332</v>
      </c>
      <c r="CJ60">
        <f t="shared" si="11"/>
        <v>2.5374999999999988</v>
      </c>
      <c r="CK60">
        <f t="shared" si="12"/>
        <v>113.61875000000001</v>
      </c>
      <c r="CL60">
        <f t="shared" si="13"/>
        <v>6.7041666666666648</v>
      </c>
      <c r="CM60">
        <f t="shared" si="14"/>
        <v>90.241666666666674</v>
      </c>
      <c r="CN60">
        <f t="shared" si="15"/>
        <v>13.327083333333331</v>
      </c>
      <c r="CO60" s="14">
        <f t="shared" si="39"/>
        <v>513.82916666666665</v>
      </c>
      <c r="CP60" s="14">
        <f t="shared" si="17"/>
        <v>0</v>
      </c>
      <c r="CQ60" s="14">
        <f t="shared" si="18"/>
        <v>453.82916666666659</v>
      </c>
      <c r="CR60" s="14">
        <f t="shared" si="19"/>
        <v>0</v>
      </c>
      <c r="CS60" s="14">
        <f t="shared" si="20"/>
        <v>393.82916666666659</v>
      </c>
      <c r="CT60" s="14">
        <f t="shared" si="21"/>
        <v>0</v>
      </c>
      <c r="CU60" s="14">
        <f t="shared" si="22"/>
        <v>334.75416666666661</v>
      </c>
      <c r="CV60" s="14">
        <f t="shared" si="23"/>
        <v>0.92499999999999893</v>
      </c>
      <c r="CW60" s="14">
        <f t="shared" si="24"/>
        <v>278.90416666666664</v>
      </c>
      <c r="CX60" s="14">
        <f t="shared" si="25"/>
        <v>5.0749999999999975</v>
      </c>
      <c r="CY60" s="14">
        <f t="shared" si="26"/>
        <v>227.23750000000001</v>
      </c>
      <c r="CZ60" s="14">
        <f t="shared" si="27"/>
        <v>13.40833333333333</v>
      </c>
      <c r="DA60" s="14">
        <f t="shared" si="28"/>
        <v>180.48333333333335</v>
      </c>
      <c r="DB60" s="14">
        <f t="shared" si="29"/>
        <v>26.654166666666661</v>
      </c>
      <c r="DC60" s="72">
        <f>F60/G60</f>
        <v>677.86105009144512</v>
      </c>
      <c r="DD60" s="72">
        <f t="shared" si="30"/>
        <v>22.595368336381505</v>
      </c>
      <c r="DE60" s="71">
        <f>F60/BU60</f>
        <v>225976.2787321514</v>
      </c>
      <c r="DF60" s="72">
        <f>J60/K60</f>
        <v>1810.6169955985474</v>
      </c>
      <c r="DG60" s="72">
        <f t="shared" si="31"/>
        <v>60.353899853284915</v>
      </c>
      <c r="DH60" s="72">
        <f>J60/BU60</f>
        <v>76951.222312938262</v>
      </c>
      <c r="DI60" s="72">
        <f>N60/P60</f>
        <v>35640.894251512429</v>
      </c>
      <c r="DJ60" s="72">
        <f t="shared" si="32"/>
        <v>1188.0298083837476</v>
      </c>
      <c r="DK60" s="72">
        <f t="shared" si="33"/>
        <v>1620.0406477960196</v>
      </c>
      <c r="DL60" s="72">
        <f>N60/BU60</f>
        <v>178204.47125756217</v>
      </c>
      <c r="DM60" s="72">
        <f>N60/BV60</f>
        <v>243006.09716940296</v>
      </c>
      <c r="DN60" s="1">
        <v>0</v>
      </c>
      <c r="DO60" s="1">
        <v>0</v>
      </c>
    </row>
    <row r="61" spans="1:119">
      <c r="A61" s="93">
        <f t="shared" si="38"/>
        <v>44166</v>
      </c>
      <c r="B61" s="4">
        <f t="shared" si="0"/>
        <v>2020</v>
      </c>
      <c r="C61" s="4">
        <f t="shared" si="1"/>
        <v>12</v>
      </c>
      <c r="D61" s="56">
        <v>8621253</v>
      </c>
      <c r="E61" s="56">
        <f>IFERROR(VLOOKUP($B61-1,CDM!$J$6:$P$19,2,FALSE)/12,0)+IFERROR(VLOOKUP($B61,CDM!$J$37:$M$48,2,FALSE)/24,0)+IFERROR(VLOOKUP($B61,CDM!$J$37:$M$48,2,FALSE)/2*$C61/78,0)</f>
        <v>161868.38119531152</v>
      </c>
      <c r="F61" s="56">
        <f t="shared" si="34"/>
        <v>8783121.3811953124</v>
      </c>
      <c r="G61" s="301">
        <v>10019</v>
      </c>
      <c r="H61" s="56">
        <v>2603393</v>
      </c>
      <c r="I61" s="56">
        <f>IFERROR(VLOOKUP($B61-1,CDM!$J$6:$P$19,3,FALSE)/12,0)+IFERROR(VLOOKUP($B61,CDM!$J$37:$M$47,3,FALSE)/24,0)+IFERROR(VLOOKUP($B61,CDM!$J$37:$M$47,3,FALSE)/2*$C61/78,0)</f>
        <v>154212.31057744854</v>
      </c>
      <c r="J61" s="56">
        <f t="shared" si="35"/>
        <v>2757605.3105774485</v>
      </c>
      <c r="K61" s="6">
        <v>1273</v>
      </c>
      <c r="L61" s="5">
        <v>6193301</v>
      </c>
      <c r="M61" s="2">
        <f>IFERROR(VLOOKUP($B61-1,CDM!$J$6:$P$19,4,FALSE)/12,0)+IFERROR(VLOOKUP($B61,CDM!$J$37:$M$47,4,FALSE)/24,0)+IFERROR(VLOOKUP($B61,CDM!$J$37:$M$47,4,FALSE)/2*$C61/78,0)</f>
        <v>134802.75522563592</v>
      </c>
      <c r="N61" s="56">
        <f t="shared" si="36"/>
        <v>6328103.7552256361</v>
      </c>
      <c r="O61" s="5">
        <v>19008</v>
      </c>
      <c r="P61" s="6">
        <v>150</v>
      </c>
      <c r="Q61" s="5">
        <v>109459</v>
      </c>
      <c r="R61" s="5">
        <v>236</v>
      </c>
      <c r="S61" s="6">
        <v>2920</v>
      </c>
      <c r="T61" s="6">
        <v>15752</v>
      </c>
      <c r="U61" s="6">
        <v>43</v>
      </c>
      <c r="V61" s="6">
        <v>171</v>
      </c>
      <c r="W61" s="5">
        <v>53209</v>
      </c>
      <c r="X61" s="1">
        <v>19</v>
      </c>
      <c r="Y61" s="56">
        <v>8307.2000000000007</v>
      </c>
      <c r="Z61" s="56">
        <v>4297.6000000000004</v>
      </c>
      <c r="AA61" s="71">
        <f>L61-Y61</f>
        <v>6184993.7999999998</v>
      </c>
      <c r="AB61" s="71">
        <f>N61-Y61</f>
        <v>6319796.5552256359</v>
      </c>
      <c r="AC61" s="5">
        <f>O61-Z61</f>
        <v>14710.4</v>
      </c>
      <c r="AD61" s="111">
        <f>Economic!H63</f>
        <v>769942</v>
      </c>
      <c r="AE61" s="111">
        <f>Economic!I63</f>
        <v>797313</v>
      </c>
      <c r="AF61" s="111">
        <f>Economic!D63</f>
        <v>7289.8</v>
      </c>
      <c r="AG61" s="111">
        <f>Economic!E63</f>
        <v>7300.6</v>
      </c>
      <c r="AH61" s="111">
        <f>Economic!F63</f>
        <v>596.70000000000005</v>
      </c>
      <c r="AI61" s="111">
        <f>Economic!G63</f>
        <v>594.4</v>
      </c>
      <c r="AJ61" s="111">
        <f>Economic!J63</f>
        <v>-184.19999999999982</v>
      </c>
      <c r="AK61" s="111">
        <f>Economic!K63</f>
        <v>-185.19999999999982</v>
      </c>
      <c r="AL61" s="111">
        <f>Economic!L63</f>
        <v>-45</v>
      </c>
      <c r="AM61" s="111">
        <f>Economic!M63</f>
        <v>-45.899999999999977</v>
      </c>
      <c r="AN61" s="111">
        <f>Economic!N63</f>
        <v>-37332.5</v>
      </c>
      <c r="AO61" s="111">
        <f>Economic!O63</f>
        <v>19019</v>
      </c>
      <c r="AP61" s="28">
        <f>Weather!D61</f>
        <v>-5.029569892473118</v>
      </c>
      <c r="AQ61" s="28">
        <f>Weather!E61</f>
        <v>775.91666666666674</v>
      </c>
      <c r="AR61" s="28">
        <f>Weather!F61</f>
        <v>0</v>
      </c>
      <c r="AS61" s="28">
        <f>Weather!G61</f>
        <v>713.91666666666674</v>
      </c>
      <c r="AT61" s="28">
        <f>Weather!H61</f>
        <v>0</v>
      </c>
      <c r="AU61" s="28">
        <f>Weather!I61</f>
        <v>651.91666666666674</v>
      </c>
      <c r="AV61" s="28">
        <f>Weather!J61</f>
        <v>0</v>
      </c>
      <c r="AW61" s="28">
        <f>Weather!K61</f>
        <v>589.91666666666686</v>
      </c>
      <c r="AX61" s="28">
        <f>Weather!L61</f>
        <v>0</v>
      </c>
      <c r="AY61" s="28">
        <f>Weather!M61</f>
        <v>527.91666666666674</v>
      </c>
      <c r="AZ61" s="28">
        <f>Weather!N61</f>
        <v>0</v>
      </c>
      <c r="BA61" s="28">
        <f>Weather!O61</f>
        <v>465.91666666666669</v>
      </c>
      <c r="BB61" s="28">
        <f>Weather!P61</f>
        <v>0</v>
      </c>
      <c r="BC61" s="28">
        <f>Weather!Q61</f>
        <v>403.91666666666663</v>
      </c>
      <c r="BD61" s="28">
        <f>Weather!R61</f>
        <v>0</v>
      </c>
      <c r="BE61">
        <v>0</v>
      </c>
      <c r="BF61">
        <v>0</v>
      </c>
      <c r="BG61">
        <v>0</v>
      </c>
      <c r="BH61">
        <v>0</v>
      </c>
      <c r="BI61">
        <v>0</v>
      </c>
      <c r="BJ61">
        <v>0</v>
      </c>
      <c r="BK61">
        <v>0</v>
      </c>
      <c r="BL61">
        <v>0</v>
      </c>
      <c r="BM61">
        <v>0</v>
      </c>
      <c r="BN61">
        <v>0</v>
      </c>
      <c r="BO61">
        <v>0</v>
      </c>
      <c r="BP61">
        <v>1</v>
      </c>
      <c r="BQ61">
        <v>0</v>
      </c>
      <c r="BR61">
        <v>0</v>
      </c>
      <c r="BS61">
        <v>0</v>
      </c>
      <c r="BT61" s="1">
        <f t="shared" si="37"/>
        <v>60</v>
      </c>
      <c r="BU61">
        <v>31</v>
      </c>
      <c r="BV61">
        <v>19</v>
      </c>
      <c r="BW61" s="1">
        <v>1</v>
      </c>
      <c r="BX61" s="1">
        <v>0.5</v>
      </c>
      <c r="BY61" s="1">
        <v>1</v>
      </c>
      <c r="BZ61" s="1">
        <v>0</v>
      </c>
      <c r="CA61">
        <f t="shared" si="2"/>
        <v>387.95833333333337</v>
      </c>
      <c r="CB61">
        <f t="shared" si="3"/>
        <v>0</v>
      </c>
      <c r="CC61">
        <f t="shared" si="4"/>
        <v>356.95833333333337</v>
      </c>
      <c r="CD61">
        <f t="shared" si="5"/>
        <v>0</v>
      </c>
      <c r="CE61">
        <f t="shared" si="6"/>
        <v>325.95833333333337</v>
      </c>
      <c r="CF61">
        <f t="shared" si="7"/>
        <v>0</v>
      </c>
      <c r="CG61">
        <f t="shared" si="8"/>
        <v>294.95833333333343</v>
      </c>
      <c r="CH61">
        <f t="shared" si="9"/>
        <v>0</v>
      </c>
      <c r="CI61">
        <f t="shared" si="10"/>
        <v>263.95833333333337</v>
      </c>
      <c r="CJ61">
        <f t="shared" si="11"/>
        <v>0</v>
      </c>
      <c r="CK61">
        <f t="shared" si="12"/>
        <v>232.95833333333334</v>
      </c>
      <c r="CL61">
        <f t="shared" si="13"/>
        <v>0</v>
      </c>
      <c r="CM61">
        <f t="shared" si="14"/>
        <v>201.95833333333331</v>
      </c>
      <c r="CN61">
        <f t="shared" si="15"/>
        <v>0</v>
      </c>
      <c r="CO61" s="14">
        <f t="shared" si="39"/>
        <v>775.91666666666674</v>
      </c>
      <c r="CP61" s="14">
        <f t="shared" si="17"/>
        <v>0</v>
      </c>
      <c r="CQ61" s="14">
        <f t="shared" si="18"/>
        <v>713.91666666666674</v>
      </c>
      <c r="CR61" s="14">
        <f t="shared" si="19"/>
        <v>0</v>
      </c>
      <c r="CS61" s="14">
        <f t="shared" si="20"/>
        <v>651.91666666666674</v>
      </c>
      <c r="CT61" s="14">
        <f t="shared" si="21"/>
        <v>0</v>
      </c>
      <c r="CU61" s="14">
        <f t="shared" si="22"/>
        <v>589.91666666666686</v>
      </c>
      <c r="CV61" s="14">
        <f t="shared" si="23"/>
        <v>0</v>
      </c>
      <c r="CW61" s="14">
        <f t="shared" si="24"/>
        <v>527.91666666666674</v>
      </c>
      <c r="CX61" s="14">
        <f t="shared" si="25"/>
        <v>0</v>
      </c>
      <c r="CY61" s="14">
        <f t="shared" si="26"/>
        <v>465.91666666666669</v>
      </c>
      <c r="CZ61" s="14">
        <f t="shared" si="27"/>
        <v>0</v>
      </c>
      <c r="DA61" s="14">
        <f t="shared" si="28"/>
        <v>403.91666666666663</v>
      </c>
      <c r="DB61" s="14">
        <f t="shared" si="29"/>
        <v>0</v>
      </c>
      <c r="DC61" s="72">
        <f>F61/G61</f>
        <v>876.64650975100437</v>
      </c>
      <c r="DD61" s="72">
        <f t="shared" si="30"/>
        <v>28.278919669387239</v>
      </c>
      <c r="DE61" s="71">
        <f>F61/BU61</f>
        <v>283326.49616759073</v>
      </c>
      <c r="DF61" s="72">
        <f>J61/K61</f>
        <v>2166.2256956617821</v>
      </c>
      <c r="DG61" s="72">
        <f t="shared" si="31"/>
        <v>69.878248247154261</v>
      </c>
      <c r="DH61" s="72">
        <f>J61/BU61</f>
        <v>88955.010018627363</v>
      </c>
      <c r="DI61" s="72">
        <f>N61/P61</f>
        <v>42187.358368170906</v>
      </c>
      <c r="DJ61" s="72">
        <f t="shared" si="32"/>
        <v>1360.882528005513</v>
      </c>
      <c r="DK61" s="72">
        <f t="shared" si="33"/>
        <v>2220.387282535311</v>
      </c>
      <c r="DL61" s="72">
        <f>N61/BU61</f>
        <v>204132.37920082698</v>
      </c>
      <c r="DM61" s="72">
        <f>N61/BV61</f>
        <v>333058.09238029661</v>
      </c>
      <c r="DN61" s="1">
        <v>0</v>
      </c>
      <c r="DO61" s="1">
        <v>0</v>
      </c>
    </row>
    <row r="62" spans="1:119">
      <c r="A62" s="93">
        <f t="shared" si="38"/>
        <v>44197</v>
      </c>
      <c r="B62" s="4">
        <f t="shared" si="0"/>
        <v>2021</v>
      </c>
      <c r="C62" s="4">
        <f t="shared" si="1"/>
        <v>1</v>
      </c>
      <c r="D62" s="56">
        <v>8785376</v>
      </c>
      <c r="E62" s="56">
        <f>IFERROR(VLOOKUP($B62-1,CDM!$J$6:$P$19,2,FALSE)/12,0)+IFERROR(VLOOKUP($B62,CDM!$J$37:$M$48,2,FALSE)/24,0)+IFERROR(VLOOKUP($B62,CDM!$J$37:$M$48,2,FALSE)/2*$C62/78,0)</f>
        <v>162318.59604257817</v>
      </c>
      <c r="F62" s="56">
        <f t="shared" si="34"/>
        <v>8947694.596042579</v>
      </c>
      <c r="G62" s="301">
        <v>10021</v>
      </c>
      <c r="H62" s="56">
        <v>2608498</v>
      </c>
      <c r="I62" s="56">
        <f>IFERROR(VLOOKUP($B62-1,CDM!$J$6:$P$19,3,FALSE)/12,0)+IFERROR(VLOOKUP($B62,CDM!$J$37:$M$47,3,FALSE)/24,0)+IFERROR(VLOOKUP($B62,CDM!$J$37:$M$47,3,FALSE)/2*$C62/78,0)</f>
        <v>162595.62412014045</v>
      </c>
      <c r="J62" s="56">
        <f t="shared" si="35"/>
        <v>2771093.6241201404</v>
      </c>
      <c r="K62" s="6">
        <v>1276</v>
      </c>
      <c r="L62" s="5">
        <v>5749753</v>
      </c>
      <c r="M62" s="2">
        <f>IFERROR(VLOOKUP($B62-1,CDM!$J$6:$P$19,4,FALSE)/12,0)+IFERROR(VLOOKUP($B62,CDM!$J$37:$M$47,4,FALSE)/24,0)+IFERROR(VLOOKUP($B62,CDM!$J$37:$M$47,4,FALSE)/2*$C62/78,0)</f>
        <v>143054.35111893041</v>
      </c>
      <c r="N62" s="56">
        <f t="shared" si="36"/>
        <v>5892807.3511189306</v>
      </c>
      <c r="O62" s="5">
        <v>14526.7</v>
      </c>
      <c r="P62" s="6">
        <v>150</v>
      </c>
      <c r="Q62" s="5">
        <v>106503</v>
      </c>
      <c r="R62" s="5">
        <v>235.2</v>
      </c>
      <c r="S62" s="6">
        <v>2920</v>
      </c>
      <c r="T62" s="6">
        <v>15789</v>
      </c>
      <c r="U62" s="6">
        <v>42.599999999999994</v>
      </c>
      <c r="V62" s="6">
        <v>171</v>
      </c>
      <c r="W62" s="5">
        <v>53335</v>
      </c>
      <c r="X62" s="1">
        <v>19</v>
      </c>
      <c r="Y62" s="56">
        <v>7844</v>
      </c>
      <c r="Z62" s="56">
        <v>1104</v>
      </c>
      <c r="AA62" s="71">
        <f>L62-Y62</f>
        <v>5741909</v>
      </c>
      <c r="AB62" s="71">
        <f>N62-Y62</f>
        <v>5884963.3511189306</v>
      </c>
      <c r="AC62" s="5">
        <f>O62-Z62</f>
        <v>13422.7</v>
      </c>
      <c r="AD62" s="111">
        <f>Economic!H64</f>
        <v>817265.5</v>
      </c>
      <c r="AE62" s="111">
        <f>Economic!I64</f>
        <v>809994</v>
      </c>
      <c r="AF62" s="111">
        <f>Economic!D64</f>
        <v>7234.6</v>
      </c>
      <c r="AG62" s="111">
        <f>Economic!E64</f>
        <v>7207.2</v>
      </c>
      <c r="AH62" s="111">
        <f>Economic!F64</f>
        <v>605.20000000000005</v>
      </c>
      <c r="AI62" s="111">
        <f>Economic!G64</f>
        <v>598.5</v>
      </c>
      <c r="AJ62" s="111">
        <f>Economic!J64</f>
        <v>-263.5</v>
      </c>
      <c r="AK62" s="111">
        <f>Economic!K64</f>
        <v>-257.5</v>
      </c>
      <c r="AL62" s="111">
        <f>Economic!L64</f>
        <v>-30.699999999999932</v>
      </c>
      <c r="AM62" s="111">
        <f>Economic!M64</f>
        <v>-33.100000000000023</v>
      </c>
      <c r="AN62" s="111">
        <f>Economic!N64</f>
        <v>47323.5</v>
      </c>
      <c r="AO62" s="111">
        <f>Economic!O64</f>
        <v>12681</v>
      </c>
      <c r="AP62" s="28">
        <f>Weather!D62</f>
        <v>-7.5153225806451642</v>
      </c>
      <c r="AQ62" s="28">
        <f>Weather!E62</f>
        <v>852.97499999999991</v>
      </c>
      <c r="AR62" s="28">
        <f>Weather!F62</f>
        <v>0</v>
      </c>
      <c r="AS62" s="28">
        <f>Weather!G62</f>
        <v>790.97500000000002</v>
      </c>
      <c r="AT62" s="28">
        <f>Weather!H62</f>
        <v>0</v>
      </c>
      <c r="AU62" s="28">
        <f>Weather!I62</f>
        <v>728.97500000000002</v>
      </c>
      <c r="AV62" s="28">
        <f>Weather!J62</f>
        <v>0</v>
      </c>
      <c r="AW62" s="28">
        <f>Weather!K62</f>
        <v>666.97499999999991</v>
      </c>
      <c r="AX62" s="28">
        <f>Weather!L62</f>
        <v>0</v>
      </c>
      <c r="AY62" s="28">
        <f>Weather!M62</f>
        <v>604.97500000000002</v>
      </c>
      <c r="AZ62" s="28">
        <f>Weather!N62</f>
        <v>0</v>
      </c>
      <c r="BA62" s="28">
        <f>Weather!O62</f>
        <v>542.97499999999991</v>
      </c>
      <c r="BB62" s="28">
        <f>Weather!P62</f>
        <v>0</v>
      </c>
      <c r="BC62" s="28">
        <f>Weather!Q62</f>
        <v>480.97499999999997</v>
      </c>
      <c r="BD62" s="28">
        <f>Weather!R62</f>
        <v>0</v>
      </c>
      <c r="BE62">
        <v>1</v>
      </c>
      <c r="BF62">
        <v>0</v>
      </c>
      <c r="BG62">
        <v>0</v>
      </c>
      <c r="BH62">
        <v>0</v>
      </c>
      <c r="BI62">
        <v>0</v>
      </c>
      <c r="BJ62">
        <v>0</v>
      </c>
      <c r="BK62">
        <v>0</v>
      </c>
      <c r="BL62">
        <v>0</v>
      </c>
      <c r="BM62">
        <v>0</v>
      </c>
      <c r="BN62">
        <v>0</v>
      </c>
      <c r="BO62">
        <v>0</v>
      </c>
      <c r="BP62">
        <v>0</v>
      </c>
      <c r="BQ62" s="1">
        <f>BQ50</f>
        <v>0</v>
      </c>
      <c r="BR62" s="1">
        <f>BR50</f>
        <v>0</v>
      </c>
      <c r="BS62" s="1">
        <f>BS50</f>
        <v>0</v>
      </c>
      <c r="BT62" s="1">
        <f t="shared" si="37"/>
        <v>61</v>
      </c>
      <c r="BU62">
        <f>BU14</f>
        <v>31</v>
      </c>
      <c r="BV62">
        <v>22</v>
      </c>
      <c r="BW62" s="1">
        <v>1</v>
      </c>
      <c r="BX62" s="1">
        <v>0.5</v>
      </c>
      <c r="BY62" s="1">
        <v>0.75</v>
      </c>
      <c r="BZ62" s="1">
        <v>0</v>
      </c>
      <c r="CA62">
        <f t="shared" si="2"/>
        <v>426.48749999999995</v>
      </c>
      <c r="CB62">
        <f t="shared" si="3"/>
        <v>0</v>
      </c>
      <c r="CC62">
        <f t="shared" si="4"/>
        <v>395.48750000000001</v>
      </c>
      <c r="CD62">
        <f t="shared" si="5"/>
        <v>0</v>
      </c>
      <c r="CE62">
        <f t="shared" si="6"/>
        <v>364.48750000000001</v>
      </c>
      <c r="CF62">
        <f t="shared" si="7"/>
        <v>0</v>
      </c>
      <c r="CG62">
        <f t="shared" si="8"/>
        <v>333.48749999999995</v>
      </c>
      <c r="CH62">
        <f t="shared" si="9"/>
        <v>0</v>
      </c>
      <c r="CI62">
        <f t="shared" si="10"/>
        <v>302.48750000000001</v>
      </c>
      <c r="CJ62">
        <f t="shared" si="11"/>
        <v>0</v>
      </c>
      <c r="CK62">
        <f t="shared" si="12"/>
        <v>271.48749999999995</v>
      </c>
      <c r="CL62">
        <f t="shared" si="13"/>
        <v>0</v>
      </c>
      <c r="CM62">
        <f t="shared" si="14"/>
        <v>240.48749999999998</v>
      </c>
      <c r="CN62">
        <f t="shared" si="15"/>
        <v>0</v>
      </c>
      <c r="CO62" s="14">
        <f t="shared" si="39"/>
        <v>639.73124999999993</v>
      </c>
      <c r="CP62" s="14">
        <f t="shared" si="17"/>
        <v>0</v>
      </c>
      <c r="CQ62" s="14">
        <f t="shared" si="18"/>
        <v>593.23125000000005</v>
      </c>
      <c r="CR62" s="14">
        <f t="shared" si="19"/>
        <v>0</v>
      </c>
      <c r="CS62" s="14">
        <f t="shared" si="20"/>
        <v>546.73125000000005</v>
      </c>
      <c r="CT62" s="14">
        <f t="shared" si="21"/>
        <v>0</v>
      </c>
      <c r="CU62" s="14">
        <f t="shared" si="22"/>
        <v>500.23124999999993</v>
      </c>
      <c r="CV62" s="14">
        <f t="shared" si="23"/>
        <v>0</v>
      </c>
      <c r="CW62" s="14">
        <f t="shared" si="24"/>
        <v>453.73125000000005</v>
      </c>
      <c r="CX62" s="14">
        <f t="shared" si="25"/>
        <v>0</v>
      </c>
      <c r="CY62" s="14">
        <f t="shared" si="26"/>
        <v>407.23124999999993</v>
      </c>
      <c r="CZ62" s="14">
        <f t="shared" si="27"/>
        <v>0</v>
      </c>
      <c r="DA62" s="14">
        <f t="shared" si="28"/>
        <v>360.73124999999999</v>
      </c>
      <c r="DB62" s="14">
        <f t="shared" si="29"/>
        <v>0</v>
      </c>
      <c r="DC62" s="72">
        <f>F62/G62</f>
        <v>892.89438140331094</v>
      </c>
      <c r="DD62" s="72">
        <f t="shared" si="30"/>
        <v>28.803044561397126</v>
      </c>
      <c r="DE62" s="71">
        <f>F62/BU62</f>
        <v>288635.3095497606</v>
      </c>
      <c r="DF62" s="72">
        <f>J62/K62</f>
        <v>2171.7034671787933</v>
      </c>
      <c r="DG62" s="72">
        <f t="shared" si="31"/>
        <v>70.054950554154615</v>
      </c>
      <c r="DH62" s="72">
        <f>J62/BU62</f>
        <v>89390.116907101299</v>
      </c>
      <c r="DI62" s="72">
        <f>N62/P62</f>
        <v>39285.382340792872</v>
      </c>
      <c r="DJ62" s="72">
        <f t="shared" si="32"/>
        <v>1267.2703980900926</v>
      </c>
      <c r="DK62" s="72">
        <f t="shared" si="33"/>
        <v>1785.699197308767</v>
      </c>
      <c r="DL62" s="72">
        <f>N62/BU62</f>
        <v>190090.55971351388</v>
      </c>
      <c r="DM62" s="72">
        <f>N62/BV62</f>
        <v>267854.87959631503</v>
      </c>
      <c r="DN62" s="1">
        <v>0</v>
      </c>
      <c r="DO62" s="1">
        <v>0</v>
      </c>
    </row>
    <row r="63" spans="1:119">
      <c r="A63" s="93">
        <f t="shared" si="38"/>
        <v>44228</v>
      </c>
      <c r="B63" s="4">
        <f t="shared" si="0"/>
        <v>2021</v>
      </c>
      <c r="C63" s="4">
        <f t="shared" si="1"/>
        <v>2</v>
      </c>
      <c r="D63" s="56">
        <v>8120445</v>
      </c>
      <c r="E63" s="56">
        <f>IFERROR(VLOOKUP($B63-1,CDM!$J$6:$P$19,2,FALSE)/12,0)+IFERROR(VLOOKUP($B63,CDM!$J$37:$M$48,2,FALSE)/24,0)+IFERROR(VLOOKUP($B63,CDM!$J$37:$M$48,2,FALSE)/2*$C63/78,0)</f>
        <v>162380.10545811115</v>
      </c>
      <c r="F63" s="56">
        <f t="shared" si="34"/>
        <v>8282825.1054581115</v>
      </c>
      <c r="G63" s="301">
        <v>10032</v>
      </c>
      <c r="H63" s="56">
        <v>2521210</v>
      </c>
      <c r="I63" s="56">
        <f>IFERROR(VLOOKUP($B63-1,CDM!$J$6:$P$19,3,FALSE)/12,0)+IFERROR(VLOOKUP($B63,CDM!$J$37:$M$47,3,FALSE)/24,0)+IFERROR(VLOOKUP($B63,CDM!$J$37:$M$47,3,FALSE)/2*$C63/78,0)</f>
        <v>163431.53613131988</v>
      </c>
      <c r="J63" s="56">
        <f t="shared" si="35"/>
        <v>2684641.5361313201</v>
      </c>
      <c r="K63" s="6">
        <v>1274</v>
      </c>
      <c r="L63" s="5">
        <v>5518701</v>
      </c>
      <c r="M63" s="2">
        <f>IFERROR(VLOOKUP($B63-1,CDM!$J$6:$P$19,4,FALSE)/12,0)+IFERROR(VLOOKUP($B63,CDM!$J$37:$M$47,4,FALSE)/24,0)+IFERROR(VLOOKUP($B63,CDM!$J$37:$M$47,4,FALSE)/2*$C63/78,0)</f>
        <v>144058.95007046842</v>
      </c>
      <c r="N63" s="56">
        <f t="shared" si="36"/>
        <v>5662759.9500704687</v>
      </c>
      <c r="O63" s="5">
        <v>16001.8</v>
      </c>
      <c r="P63" s="6">
        <v>151</v>
      </c>
      <c r="Q63" s="5">
        <v>88675</v>
      </c>
      <c r="R63" s="5">
        <v>235.2</v>
      </c>
      <c r="S63" s="6">
        <v>2920</v>
      </c>
      <c r="T63" s="6">
        <v>16215</v>
      </c>
      <c r="U63" s="6">
        <v>44.699999999999996</v>
      </c>
      <c r="V63" s="6">
        <v>171</v>
      </c>
      <c r="W63" s="5">
        <v>50185</v>
      </c>
      <c r="X63" s="1">
        <v>19</v>
      </c>
      <c r="Y63" s="56">
        <v>30622.400000000001</v>
      </c>
      <c r="Z63" s="56">
        <v>1894.4</v>
      </c>
      <c r="AA63" s="71">
        <f>L63-Y63</f>
        <v>5488078.5999999996</v>
      </c>
      <c r="AB63" s="71">
        <f>N63-Y63</f>
        <v>5632137.5500704683</v>
      </c>
      <c r="AC63" s="5">
        <f>O63-Z63</f>
        <v>14107.4</v>
      </c>
      <c r="AD63" s="111">
        <f>Economic!H65</f>
        <v>817265.5</v>
      </c>
      <c r="AE63" s="111">
        <f>Economic!I65</f>
        <v>809994</v>
      </c>
      <c r="AF63" s="111">
        <f>Economic!D65</f>
        <v>7209.5</v>
      </c>
      <c r="AG63" s="111">
        <f>Economic!E65</f>
        <v>7151.3</v>
      </c>
      <c r="AH63" s="111">
        <f>Economic!F65</f>
        <v>616.4</v>
      </c>
      <c r="AI63" s="111">
        <f>Economic!G65</f>
        <v>610.9</v>
      </c>
      <c r="AJ63" s="111">
        <f>Economic!J65</f>
        <v>-298.5</v>
      </c>
      <c r="AK63" s="111">
        <f>Economic!K65</f>
        <v>-287.69999999999982</v>
      </c>
      <c r="AL63" s="111">
        <f>Economic!L65</f>
        <v>-11.399999999999977</v>
      </c>
      <c r="AM63" s="111">
        <f>Economic!M65</f>
        <v>-11</v>
      </c>
      <c r="AN63" s="111">
        <f>Economic!N65</f>
        <v>47323.5</v>
      </c>
      <c r="AO63" s="111">
        <f>Economic!O65</f>
        <v>12681</v>
      </c>
      <c r="AP63" s="28">
        <f>Weather!D63</f>
        <v>-9.2827380952380967</v>
      </c>
      <c r="AQ63" s="28">
        <f>Weather!E63</f>
        <v>819.91666666666652</v>
      </c>
      <c r="AR63" s="28">
        <f>Weather!F63</f>
        <v>0</v>
      </c>
      <c r="AS63" s="28">
        <f>Weather!G63</f>
        <v>763.91666666666652</v>
      </c>
      <c r="AT63" s="28">
        <f>Weather!H63</f>
        <v>0</v>
      </c>
      <c r="AU63" s="28">
        <f>Weather!I63</f>
        <v>707.91666666666652</v>
      </c>
      <c r="AV63" s="28">
        <f>Weather!J63</f>
        <v>0</v>
      </c>
      <c r="AW63" s="28">
        <f>Weather!K63</f>
        <v>651.9166666666664</v>
      </c>
      <c r="AX63" s="28">
        <f>Weather!L63</f>
        <v>0</v>
      </c>
      <c r="AY63" s="28">
        <f>Weather!M63</f>
        <v>595.91666666666652</v>
      </c>
      <c r="AZ63" s="28">
        <f>Weather!N63</f>
        <v>0</v>
      </c>
      <c r="BA63" s="28">
        <f>Weather!O63</f>
        <v>539.9166666666664</v>
      </c>
      <c r="BB63" s="28">
        <f>Weather!P63</f>
        <v>0</v>
      </c>
      <c r="BC63" s="28">
        <f>Weather!Q63</f>
        <v>483.91666666666657</v>
      </c>
      <c r="BD63" s="28">
        <f>Weather!R63</f>
        <v>0</v>
      </c>
      <c r="BE63">
        <v>0</v>
      </c>
      <c r="BF63">
        <v>1</v>
      </c>
      <c r="BG63">
        <v>0</v>
      </c>
      <c r="BH63">
        <v>0</v>
      </c>
      <c r="BI63">
        <v>0</v>
      </c>
      <c r="BJ63">
        <v>0</v>
      </c>
      <c r="BK63">
        <v>0</v>
      </c>
      <c r="BL63">
        <v>0</v>
      </c>
      <c r="BM63">
        <v>0</v>
      </c>
      <c r="BN63">
        <v>0</v>
      </c>
      <c r="BO63">
        <v>0</v>
      </c>
      <c r="BP63">
        <v>0</v>
      </c>
      <c r="BQ63" s="1">
        <f t="shared" ref="BQ63:BS78" si="40">BQ51</f>
        <v>0</v>
      </c>
      <c r="BR63" s="1">
        <f t="shared" si="40"/>
        <v>0</v>
      </c>
      <c r="BS63" s="1">
        <f t="shared" si="40"/>
        <v>0</v>
      </c>
      <c r="BT63" s="1">
        <f t="shared" si="37"/>
        <v>62</v>
      </c>
      <c r="BU63">
        <f t="shared" ref="BU63:BU121" si="41">BU15</f>
        <v>28</v>
      </c>
      <c r="BV63">
        <v>19</v>
      </c>
      <c r="BW63" s="1">
        <v>1</v>
      </c>
      <c r="BX63" s="1">
        <v>0.5</v>
      </c>
      <c r="BY63" s="1">
        <v>0.75</v>
      </c>
      <c r="BZ63" s="1">
        <v>0</v>
      </c>
      <c r="CA63">
        <f t="shared" si="2"/>
        <v>409.95833333333326</v>
      </c>
      <c r="CB63">
        <f t="shared" si="3"/>
        <v>0</v>
      </c>
      <c r="CC63">
        <f t="shared" si="4"/>
        <v>381.95833333333326</v>
      </c>
      <c r="CD63">
        <f t="shared" si="5"/>
        <v>0</v>
      </c>
      <c r="CE63">
        <f t="shared" si="6"/>
        <v>353.95833333333326</v>
      </c>
      <c r="CF63">
        <f t="shared" si="7"/>
        <v>0</v>
      </c>
      <c r="CG63">
        <f t="shared" si="8"/>
        <v>325.9583333333332</v>
      </c>
      <c r="CH63">
        <f t="shared" si="9"/>
        <v>0</v>
      </c>
      <c r="CI63">
        <f t="shared" si="10"/>
        <v>297.95833333333326</v>
      </c>
      <c r="CJ63">
        <f t="shared" si="11"/>
        <v>0</v>
      </c>
      <c r="CK63">
        <f t="shared" si="12"/>
        <v>269.9583333333332</v>
      </c>
      <c r="CL63">
        <f t="shared" si="13"/>
        <v>0</v>
      </c>
      <c r="CM63">
        <f t="shared" si="14"/>
        <v>241.95833333333329</v>
      </c>
      <c r="CN63">
        <f t="shared" si="15"/>
        <v>0</v>
      </c>
      <c r="CO63" s="14">
        <f t="shared" si="39"/>
        <v>614.93749999999989</v>
      </c>
      <c r="CP63" s="14">
        <f t="shared" si="17"/>
        <v>0</v>
      </c>
      <c r="CQ63" s="14">
        <f t="shared" si="18"/>
        <v>572.93749999999989</v>
      </c>
      <c r="CR63" s="14">
        <f t="shared" si="19"/>
        <v>0</v>
      </c>
      <c r="CS63" s="14">
        <f t="shared" si="20"/>
        <v>530.93749999999989</v>
      </c>
      <c r="CT63" s="14">
        <f t="shared" si="21"/>
        <v>0</v>
      </c>
      <c r="CU63" s="14">
        <f t="shared" si="22"/>
        <v>488.93749999999977</v>
      </c>
      <c r="CV63" s="14">
        <f t="shared" si="23"/>
        <v>0</v>
      </c>
      <c r="CW63" s="14">
        <f t="shared" si="24"/>
        <v>446.93749999999989</v>
      </c>
      <c r="CX63" s="14">
        <f t="shared" si="25"/>
        <v>0</v>
      </c>
      <c r="CY63" s="14">
        <f t="shared" si="26"/>
        <v>404.93749999999977</v>
      </c>
      <c r="CZ63" s="14">
        <f t="shared" si="27"/>
        <v>0</v>
      </c>
      <c r="DA63" s="14">
        <f t="shared" si="28"/>
        <v>362.93749999999994</v>
      </c>
      <c r="DB63" s="14">
        <f t="shared" si="29"/>
        <v>0</v>
      </c>
      <c r="DC63" s="72">
        <f>F63/G63</f>
        <v>825.64046107038587</v>
      </c>
      <c r="DD63" s="72">
        <f t="shared" si="30"/>
        <v>29.487159323942354</v>
      </c>
      <c r="DE63" s="71">
        <f>F63/BU63</f>
        <v>295815.18233778968</v>
      </c>
      <c r="DF63" s="72">
        <f>J63/K63</f>
        <v>2107.2539530073154</v>
      </c>
      <c r="DG63" s="72">
        <f t="shared" si="31"/>
        <v>75.259069750261261</v>
      </c>
      <c r="DH63" s="72">
        <f>J63/BU63</f>
        <v>95880.054861832861</v>
      </c>
      <c r="DI63" s="72">
        <f>N63/P63</f>
        <v>37501.721523645487</v>
      </c>
      <c r="DJ63" s="72">
        <f t="shared" si="32"/>
        <v>1339.3471972730531</v>
      </c>
      <c r="DK63" s="72">
        <f t="shared" si="33"/>
        <v>1973.774817033973</v>
      </c>
      <c r="DL63" s="72">
        <f>N63/BU63</f>
        <v>202241.42678823104</v>
      </c>
      <c r="DM63" s="72">
        <f>N63/BV63</f>
        <v>298039.99737212993</v>
      </c>
      <c r="DN63" s="1">
        <v>0</v>
      </c>
      <c r="DO63" s="1">
        <v>0</v>
      </c>
    </row>
    <row r="64" spans="1:119">
      <c r="A64" s="93">
        <f t="shared" si="38"/>
        <v>44256</v>
      </c>
      <c r="B64" s="4">
        <f t="shared" si="0"/>
        <v>2021</v>
      </c>
      <c r="C64" s="4">
        <f t="shared" si="1"/>
        <v>3</v>
      </c>
      <c r="D64" s="56">
        <v>7679053</v>
      </c>
      <c r="E64" s="56">
        <f>IFERROR(VLOOKUP($B64-1,CDM!$J$6:$P$19,2,FALSE)/12,0)+IFERROR(VLOOKUP($B64,CDM!$J$37:$M$48,2,FALSE)/24,0)+IFERROR(VLOOKUP($B64,CDM!$J$37:$M$48,2,FALSE)/2*$C64/78,0)</f>
        <v>162441.61487364414</v>
      </c>
      <c r="F64" s="56">
        <f t="shared" si="34"/>
        <v>7841494.614873644</v>
      </c>
      <c r="G64" s="301">
        <v>10053</v>
      </c>
      <c r="H64" s="56">
        <v>2523119</v>
      </c>
      <c r="I64" s="56">
        <f>IFERROR(VLOOKUP($B64-1,CDM!$J$6:$P$19,3,FALSE)/12,0)+IFERROR(VLOOKUP($B64,CDM!$J$37:$M$47,3,FALSE)/24,0)+IFERROR(VLOOKUP($B64,CDM!$J$37:$M$47,3,FALSE)/2*$C64/78,0)</f>
        <v>164267.44814249934</v>
      </c>
      <c r="J64" s="56">
        <f t="shared" si="35"/>
        <v>2687386.4481424992</v>
      </c>
      <c r="K64" s="6">
        <v>1273</v>
      </c>
      <c r="L64" s="5">
        <v>5685859</v>
      </c>
      <c r="M64" s="2">
        <f>IFERROR(VLOOKUP($B64-1,CDM!$J$6:$P$19,4,FALSE)/12,0)+IFERROR(VLOOKUP($B64,CDM!$J$37:$M$47,4,FALSE)/24,0)+IFERROR(VLOOKUP($B64,CDM!$J$37:$M$47,4,FALSE)/2*$C64/78,0)</f>
        <v>145063.54902200639</v>
      </c>
      <c r="N64" s="56">
        <f t="shared" si="36"/>
        <v>5830922.5490220068</v>
      </c>
      <c r="O64" s="5">
        <v>14039.9</v>
      </c>
      <c r="P64" s="6">
        <v>151</v>
      </c>
      <c r="Q64" s="5">
        <v>88166</v>
      </c>
      <c r="R64" s="5">
        <v>235.5</v>
      </c>
      <c r="S64" s="6">
        <v>2920</v>
      </c>
      <c r="T64" s="6">
        <v>15388</v>
      </c>
      <c r="U64" s="6">
        <v>43.300000000000004</v>
      </c>
      <c r="V64" s="6">
        <v>171</v>
      </c>
      <c r="W64" s="5">
        <v>52327</v>
      </c>
      <c r="X64" s="1">
        <v>19</v>
      </c>
      <c r="Y64" s="56">
        <v>34111.199999999997</v>
      </c>
      <c r="Z64" s="56">
        <v>6684.8</v>
      </c>
      <c r="AA64" s="71">
        <f>L64-Y64</f>
        <v>5651747.7999999998</v>
      </c>
      <c r="AB64" s="71">
        <f>N64-Y64</f>
        <v>5796811.3490220066</v>
      </c>
      <c r="AC64" s="5">
        <f>O64-Z64</f>
        <v>7355.0999999999995</v>
      </c>
      <c r="AD64" s="111">
        <f>Economic!H66</f>
        <v>817265.5</v>
      </c>
      <c r="AE64" s="111">
        <f>Economic!I66</f>
        <v>809994</v>
      </c>
      <c r="AF64" s="111">
        <f>Economic!D66</f>
        <v>7237.4</v>
      </c>
      <c r="AG64" s="111">
        <f>Economic!E66</f>
        <v>7153.7</v>
      </c>
      <c r="AH64" s="111">
        <f>Economic!F66</f>
        <v>622.29999999999995</v>
      </c>
      <c r="AI64" s="111">
        <f>Economic!G66</f>
        <v>615.6</v>
      </c>
      <c r="AJ64" s="111">
        <f>Economic!J66</f>
        <v>-114.20000000000073</v>
      </c>
      <c r="AK64" s="111">
        <f>Economic!K66</f>
        <v>-105.10000000000036</v>
      </c>
      <c r="AL64" s="111">
        <f>Economic!L66</f>
        <v>10.699999999999932</v>
      </c>
      <c r="AM64" s="111">
        <f>Economic!M66</f>
        <v>10.399999999999977</v>
      </c>
      <c r="AN64" s="111">
        <f>Economic!N66</f>
        <v>47323.5</v>
      </c>
      <c r="AO64" s="111">
        <f>Economic!O66</f>
        <v>12681</v>
      </c>
      <c r="AP64" s="28">
        <f>Weather!D64</f>
        <v>-1.0211021505376345</v>
      </c>
      <c r="AQ64" s="28">
        <f>Weather!E64</f>
        <v>651.65416666666704</v>
      </c>
      <c r="AR64" s="28">
        <f>Weather!F64</f>
        <v>0</v>
      </c>
      <c r="AS64" s="28">
        <f>Weather!G64</f>
        <v>589.65416666666681</v>
      </c>
      <c r="AT64" s="28">
        <f>Weather!H64</f>
        <v>0</v>
      </c>
      <c r="AU64" s="28">
        <f>Weather!I64</f>
        <v>527.65416666666681</v>
      </c>
      <c r="AV64" s="28">
        <f>Weather!J64</f>
        <v>0</v>
      </c>
      <c r="AW64" s="28">
        <f>Weather!K64</f>
        <v>465.65416666666675</v>
      </c>
      <c r="AX64" s="28">
        <f>Weather!L64</f>
        <v>0</v>
      </c>
      <c r="AY64" s="28">
        <f>Weather!M64</f>
        <v>403.65416666666675</v>
      </c>
      <c r="AZ64" s="28">
        <f>Weather!N64</f>
        <v>0</v>
      </c>
      <c r="BA64" s="28">
        <f>Weather!O64</f>
        <v>342.75416666666672</v>
      </c>
      <c r="BB64" s="28">
        <f>Weather!P64</f>
        <v>1.1000000000000032</v>
      </c>
      <c r="BC64" s="28">
        <f>Weather!Q64</f>
        <v>286.89166666666665</v>
      </c>
      <c r="BD64" s="28">
        <f>Weather!R64</f>
        <v>7.237500000000006</v>
      </c>
      <c r="BE64">
        <v>0</v>
      </c>
      <c r="BF64">
        <v>0</v>
      </c>
      <c r="BG64">
        <v>1</v>
      </c>
      <c r="BH64">
        <v>0</v>
      </c>
      <c r="BI64">
        <v>0</v>
      </c>
      <c r="BJ64">
        <v>0</v>
      </c>
      <c r="BK64">
        <v>0</v>
      </c>
      <c r="BL64">
        <v>0</v>
      </c>
      <c r="BM64">
        <v>0</v>
      </c>
      <c r="BN64">
        <v>0</v>
      </c>
      <c r="BO64">
        <v>0</v>
      </c>
      <c r="BP64">
        <v>0</v>
      </c>
      <c r="BQ64" s="1">
        <f t="shared" si="40"/>
        <v>1</v>
      </c>
      <c r="BR64" s="1">
        <f t="shared" si="40"/>
        <v>0</v>
      </c>
      <c r="BS64" s="1">
        <f t="shared" si="40"/>
        <v>1</v>
      </c>
      <c r="BT64" s="1">
        <f t="shared" si="37"/>
        <v>63</v>
      </c>
      <c r="BU64">
        <f t="shared" si="41"/>
        <v>31</v>
      </c>
      <c r="BV64">
        <v>22</v>
      </c>
      <c r="BW64" s="1">
        <v>1</v>
      </c>
      <c r="BX64" s="1">
        <v>0.5</v>
      </c>
      <c r="BY64" s="1">
        <v>0.75</v>
      </c>
      <c r="BZ64" s="1">
        <v>0</v>
      </c>
      <c r="CA64">
        <f t="shared" si="2"/>
        <v>325.82708333333352</v>
      </c>
      <c r="CB64">
        <f t="shared" si="3"/>
        <v>0</v>
      </c>
      <c r="CC64">
        <f t="shared" si="4"/>
        <v>294.82708333333341</v>
      </c>
      <c r="CD64">
        <f t="shared" si="5"/>
        <v>0</v>
      </c>
      <c r="CE64">
        <f t="shared" si="6"/>
        <v>263.82708333333341</v>
      </c>
      <c r="CF64">
        <f t="shared" si="7"/>
        <v>0</v>
      </c>
      <c r="CG64">
        <f t="shared" si="8"/>
        <v>232.82708333333338</v>
      </c>
      <c r="CH64">
        <f t="shared" si="9"/>
        <v>0</v>
      </c>
      <c r="CI64">
        <f t="shared" si="10"/>
        <v>201.82708333333338</v>
      </c>
      <c r="CJ64">
        <f t="shared" si="11"/>
        <v>0</v>
      </c>
      <c r="CK64">
        <f t="shared" si="12"/>
        <v>171.37708333333336</v>
      </c>
      <c r="CL64">
        <f t="shared" si="13"/>
        <v>0.5500000000000016</v>
      </c>
      <c r="CM64">
        <f t="shared" si="14"/>
        <v>143.44583333333333</v>
      </c>
      <c r="CN64">
        <f t="shared" si="15"/>
        <v>3.618750000000003</v>
      </c>
      <c r="CO64" s="14">
        <f t="shared" si="39"/>
        <v>488.74062500000025</v>
      </c>
      <c r="CP64" s="14">
        <f t="shared" si="17"/>
        <v>0</v>
      </c>
      <c r="CQ64" s="14">
        <f t="shared" si="18"/>
        <v>442.24062500000014</v>
      </c>
      <c r="CR64" s="14">
        <f t="shared" si="19"/>
        <v>0</v>
      </c>
      <c r="CS64" s="14">
        <f t="shared" si="20"/>
        <v>395.74062500000014</v>
      </c>
      <c r="CT64" s="14">
        <f t="shared" si="21"/>
        <v>0</v>
      </c>
      <c r="CU64" s="14">
        <f t="shared" si="22"/>
        <v>349.24062500000008</v>
      </c>
      <c r="CV64" s="14">
        <f t="shared" si="23"/>
        <v>0</v>
      </c>
      <c r="CW64" s="14">
        <f t="shared" si="24"/>
        <v>302.74062500000008</v>
      </c>
      <c r="CX64" s="14">
        <f t="shared" si="25"/>
        <v>0</v>
      </c>
      <c r="CY64" s="14">
        <f t="shared" si="26"/>
        <v>257.06562500000007</v>
      </c>
      <c r="CZ64" s="14">
        <f t="shared" si="27"/>
        <v>0.8250000000000024</v>
      </c>
      <c r="DA64" s="14">
        <f t="shared" si="28"/>
        <v>215.16874999999999</v>
      </c>
      <c r="DB64" s="14">
        <f t="shared" si="29"/>
        <v>5.428125000000005</v>
      </c>
      <c r="DC64" s="72">
        <f>F64/G64</f>
        <v>780.01537997350476</v>
      </c>
      <c r="DD64" s="72">
        <f t="shared" si="30"/>
        <v>25.161786450758218</v>
      </c>
      <c r="DE64" s="71">
        <f>F64/BU64</f>
        <v>252951.43918947238</v>
      </c>
      <c r="DF64" s="72">
        <f>J64/K64</f>
        <v>2111.0655523507457</v>
      </c>
      <c r="DG64" s="72">
        <f t="shared" si="31"/>
        <v>68.098888785507924</v>
      </c>
      <c r="DH64" s="72">
        <f>J64/BU64</f>
        <v>86689.885423951593</v>
      </c>
      <c r="DI64" s="72">
        <f>N64/P64</f>
        <v>38615.381119351041</v>
      </c>
      <c r="DJ64" s="72">
        <f t="shared" si="32"/>
        <v>1245.6574554629367</v>
      </c>
      <c r="DK64" s="72">
        <f t="shared" si="33"/>
        <v>1755.2445963341381</v>
      </c>
      <c r="DL64" s="72">
        <f>N64/BU64</f>
        <v>188094.27577490345</v>
      </c>
      <c r="DM64" s="72">
        <f>N64/BV64</f>
        <v>265041.93404645484</v>
      </c>
      <c r="DN64" s="1">
        <v>0</v>
      </c>
      <c r="DO64" s="1">
        <v>0</v>
      </c>
    </row>
    <row r="65" spans="1:119">
      <c r="A65" s="93">
        <f t="shared" si="38"/>
        <v>44287</v>
      </c>
      <c r="B65" s="4">
        <f t="shared" si="0"/>
        <v>2021</v>
      </c>
      <c r="C65" s="4">
        <f t="shared" si="1"/>
        <v>4</v>
      </c>
      <c r="D65" s="56">
        <v>6013718</v>
      </c>
      <c r="E65" s="56">
        <f>IFERROR(VLOOKUP($B65-1,CDM!$J$6:$P$19,2,FALSE)/12,0)+IFERROR(VLOOKUP($B65,CDM!$J$37:$M$48,2,FALSE)/24,0)+IFERROR(VLOOKUP($B65,CDM!$J$37:$M$48,2,FALSE)/2*$C65/78,0)</f>
        <v>162503.12428917715</v>
      </c>
      <c r="F65" s="56">
        <f t="shared" si="34"/>
        <v>6176221.1242891774</v>
      </c>
      <c r="G65" s="301">
        <v>10059</v>
      </c>
      <c r="H65" s="56">
        <v>1865695</v>
      </c>
      <c r="I65" s="56">
        <f>IFERROR(VLOOKUP($B65-1,CDM!$J$6:$P$19,3,FALSE)/12,0)+IFERROR(VLOOKUP($B65,CDM!$J$37:$M$47,3,FALSE)/24,0)+IFERROR(VLOOKUP($B65,CDM!$J$37:$M$47,3,FALSE)/2*$C65/78,0)</f>
        <v>165103.36015367878</v>
      </c>
      <c r="J65" s="56">
        <f t="shared" si="35"/>
        <v>2030798.3601536788</v>
      </c>
      <c r="K65" s="6">
        <v>1272</v>
      </c>
      <c r="L65" s="5">
        <v>4525427.0225686142</v>
      </c>
      <c r="M65" s="2">
        <f>IFERROR(VLOOKUP($B65-1,CDM!$J$6:$P$19,4,FALSE)/12,0)+IFERROR(VLOOKUP($B65,CDM!$J$37:$M$47,4,FALSE)/24,0)+IFERROR(VLOOKUP($B65,CDM!$J$37:$M$47,4,FALSE)/2*$C65/78,0)</f>
        <v>146068.1479735444</v>
      </c>
      <c r="N65" s="56">
        <f t="shared" si="36"/>
        <v>4671495.1705421582</v>
      </c>
      <c r="O65" s="5">
        <v>12393.2</v>
      </c>
      <c r="P65" s="6">
        <v>151</v>
      </c>
      <c r="Q65" s="5">
        <v>74448</v>
      </c>
      <c r="R65" s="5">
        <v>235.2</v>
      </c>
      <c r="S65" s="6">
        <v>2920</v>
      </c>
      <c r="T65" s="6">
        <v>14996.223582289374</v>
      </c>
      <c r="U65" s="6">
        <v>41.8</v>
      </c>
      <c r="V65" s="6">
        <v>171</v>
      </c>
      <c r="W65" s="5">
        <v>49933</v>
      </c>
      <c r="X65" s="1">
        <v>19</v>
      </c>
      <c r="Y65" s="56">
        <v>0</v>
      </c>
      <c r="Z65" s="56">
        <v>0</v>
      </c>
      <c r="AA65" s="71">
        <f>L65-Y65</f>
        <v>4525427.0225686142</v>
      </c>
      <c r="AB65" s="71">
        <f>N65-Y65</f>
        <v>4671495.1705421582</v>
      </c>
      <c r="AC65" s="5">
        <f>O65-Z65</f>
        <v>12393.2</v>
      </c>
      <c r="AD65" s="111">
        <f>Economic!H67</f>
        <v>817265.5</v>
      </c>
      <c r="AE65" s="111">
        <f>Economic!I67</f>
        <v>803585</v>
      </c>
      <c r="AF65" s="111">
        <f>Economic!D67</f>
        <v>7276.1</v>
      </c>
      <c r="AG65" s="111">
        <f>Economic!E67</f>
        <v>7213.2</v>
      </c>
      <c r="AH65" s="111">
        <f>Economic!F67</f>
        <v>625.70000000000005</v>
      </c>
      <c r="AI65" s="111">
        <f>Economic!G67</f>
        <v>623.70000000000005</v>
      </c>
      <c r="AJ65" s="111">
        <f>Economic!J67</f>
        <v>314.5</v>
      </c>
      <c r="AK65" s="111">
        <f>Economic!K67</f>
        <v>319.5</v>
      </c>
      <c r="AL65" s="111">
        <f>Economic!L67</f>
        <v>40.700000000000045</v>
      </c>
      <c r="AM65" s="111">
        <f>Economic!M67</f>
        <v>41.300000000000068</v>
      </c>
      <c r="AN65" s="111">
        <f>Economic!N67</f>
        <v>47323.5</v>
      </c>
      <c r="AO65" s="111">
        <f>Economic!O67</f>
        <v>-6409</v>
      </c>
      <c r="AP65" s="28">
        <f>Weather!D65</f>
        <v>7.2934722222222224</v>
      </c>
      <c r="AQ65" s="28">
        <f>Weather!E65</f>
        <v>381.19583333333338</v>
      </c>
      <c r="AR65" s="28">
        <f>Weather!F65</f>
        <v>0</v>
      </c>
      <c r="AS65" s="28">
        <f>Weather!G65</f>
        <v>321.19583333333333</v>
      </c>
      <c r="AT65" s="28">
        <f>Weather!H65</f>
        <v>0</v>
      </c>
      <c r="AU65" s="28">
        <f>Weather!I65</f>
        <v>261.19583333333333</v>
      </c>
      <c r="AV65" s="28">
        <f>Weather!J65</f>
        <v>0</v>
      </c>
      <c r="AW65" s="28">
        <f>Weather!K65</f>
        <v>203.17083333333329</v>
      </c>
      <c r="AX65" s="28">
        <f>Weather!L65</f>
        <v>1.9749999999999996</v>
      </c>
      <c r="AY65" s="28">
        <f>Weather!M65</f>
        <v>150.2833333333333</v>
      </c>
      <c r="AZ65" s="28">
        <f>Weather!N65</f>
        <v>9.0875000000000004</v>
      </c>
      <c r="BA65" s="28">
        <f>Weather!O65</f>
        <v>108.31250000000003</v>
      </c>
      <c r="BB65" s="28">
        <f>Weather!P65</f>
        <v>27.116666666666667</v>
      </c>
      <c r="BC65" s="28">
        <f>Weather!Q65</f>
        <v>71.970833333333331</v>
      </c>
      <c r="BD65" s="28">
        <f>Weather!R65</f>
        <v>50.774999999999999</v>
      </c>
      <c r="BE65">
        <v>0</v>
      </c>
      <c r="BF65">
        <v>0</v>
      </c>
      <c r="BG65">
        <v>0</v>
      </c>
      <c r="BH65">
        <v>1</v>
      </c>
      <c r="BI65">
        <v>0</v>
      </c>
      <c r="BJ65">
        <v>0</v>
      </c>
      <c r="BK65">
        <v>0</v>
      </c>
      <c r="BL65">
        <v>0</v>
      </c>
      <c r="BM65">
        <v>0</v>
      </c>
      <c r="BN65">
        <v>0</v>
      </c>
      <c r="BO65">
        <v>0</v>
      </c>
      <c r="BP65">
        <v>0</v>
      </c>
      <c r="BQ65" s="1">
        <f t="shared" si="40"/>
        <v>1</v>
      </c>
      <c r="BR65" s="1">
        <f t="shared" si="40"/>
        <v>0</v>
      </c>
      <c r="BS65" s="1">
        <f t="shared" si="40"/>
        <v>1</v>
      </c>
      <c r="BT65" s="1">
        <f t="shared" si="37"/>
        <v>64</v>
      </c>
      <c r="BU65">
        <f t="shared" si="41"/>
        <v>30</v>
      </c>
      <c r="BV65">
        <v>21</v>
      </c>
      <c r="BW65" s="1">
        <v>1</v>
      </c>
      <c r="BX65" s="1">
        <v>0.5</v>
      </c>
      <c r="BY65" s="1">
        <v>0.75</v>
      </c>
      <c r="BZ65" s="1">
        <v>0</v>
      </c>
      <c r="CA65">
        <f t="shared" si="2"/>
        <v>190.59791666666669</v>
      </c>
      <c r="CB65">
        <f t="shared" si="3"/>
        <v>0</v>
      </c>
      <c r="CC65">
        <f t="shared" si="4"/>
        <v>160.59791666666666</v>
      </c>
      <c r="CD65">
        <f t="shared" si="5"/>
        <v>0</v>
      </c>
      <c r="CE65">
        <f t="shared" si="6"/>
        <v>130.59791666666666</v>
      </c>
      <c r="CF65">
        <f t="shared" si="7"/>
        <v>0</v>
      </c>
      <c r="CG65">
        <f t="shared" si="8"/>
        <v>101.58541666666665</v>
      </c>
      <c r="CH65">
        <f t="shared" si="9"/>
        <v>0.98749999999999982</v>
      </c>
      <c r="CI65">
        <f t="shared" si="10"/>
        <v>75.141666666666652</v>
      </c>
      <c r="CJ65">
        <f t="shared" si="11"/>
        <v>4.5437500000000002</v>
      </c>
      <c r="CK65">
        <f t="shared" si="12"/>
        <v>54.156250000000014</v>
      </c>
      <c r="CL65">
        <f t="shared" si="13"/>
        <v>13.558333333333334</v>
      </c>
      <c r="CM65">
        <f t="shared" si="14"/>
        <v>35.985416666666666</v>
      </c>
      <c r="CN65">
        <f t="shared" si="15"/>
        <v>25.387499999999999</v>
      </c>
      <c r="CO65" s="14">
        <f t="shared" si="39"/>
        <v>285.89687500000002</v>
      </c>
      <c r="CP65" s="14">
        <f t="shared" si="17"/>
        <v>0</v>
      </c>
      <c r="CQ65" s="14">
        <f t="shared" si="18"/>
        <v>240.89687499999999</v>
      </c>
      <c r="CR65" s="14">
        <f t="shared" si="19"/>
        <v>0</v>
      </c>
      <c r="CS65" s="14">
        <f t="shared" si="20"/>
        <v>195.89687499999999</v>
      </c>
      <c r="CT65" s="14">
        <f t="shared" si="21"/>
        <v>0</v>
      </c>
      <c r="CU65" s="14">
        <f t="shared" si="22"/>
        <v>152.37812499999995</v>
      </c>
      <c r="CV65" s="14">
        <f t="shared" si="23"/>
        <v>1.4812499999999997</v>
      </c>
      <c r="CW65" s="14">
        <f t="shared" si="24"/>
        <v>112.71249999999998</v>
      </c>
      <c r="CX65" s="14">
        <f t="shared" si="25"/>
        <v>6.8156250000000007</v>
      </c>
      <c r="CY65" s="14">
        <f t="shared" si="26"/>
        <v>81.234375000000028</v>
      </c>
      <c r="CZ65" s="14">
        <f t="shared" si="27"/>
        <v>20.337499999999999</v>
      </c>
      <c r="DA65" s="14">
        <f t="shared" si="28"/>
        <v>53.978124999999999</v>
      </c>
      <c r="DB65" s="14">
        <f t="shared" si="29"/>
        <v>38.081249999999997</v>
      </c>
      <c r="DC65" s="72">
        <f>F65/G65</f>
        <v>613.99951528871429</v>
      </c>
      <c r="DD65" s="72">
        <f t="shared" si="30"/>
        <v>20.466650509623811</v>
      </c>
      <c r="DE65" s="71">
        <f>F65/BU65</f>
        <v>205874.03747630591</v>
      </c>
      <c r="DF65" s="72">
        <f>J65/K65</f>
        <v>1596.5395913157852</v>
      </c>
      <c r="DG65" s="72">
        <f t="shared" si="31"/>
        <v>53.217986377192837</v>
      </c>
      <c r="DH65" s="72">
        <f>J65/BU65</f>
        <v>67693.278671789289</v>
      </c>
      <c r="DI65" s="72">
        <f>N65/P65</f>
        <v>30937.054109550718</v>
      </c>
      <c r="DJ65" s="72">
        <f t="shared" si="32"/>
        <v>1031.2351369850239</v>
      </c>
      <c r="DK65" s="72">
        <f t="shared" si="33"/>
        <v>1473.1930528357484</v>
      </c>
      <c r="DL65" s="72">
        <f>N65/BU65</f>
        <v>155716.5056847386</v>
      </c>
      <c r="DM65" s="72">
        <f>N65/BV65</f>
        <v>222452.15097819801</v>
      </c>
      <c r="DN65" s="1">
        <v>0</v>
      </c>
      <c r="DO65" s="1">
        <v>0</v>
      </c>
    </row>
    <row r="66" spans="1:119">
      <c r="A66" s="93">
        <f t="shared" si="38"/>
        <v>44317</v>
      </c>
      <c r="B66" s="4">
        <f t="shared" ref="B66:B121" si="42">YEAR(A66)</f>
        <v>2021</v>
      </c>
      <c r="C66" s="4">
        <f t="shared" ref="C66:C121" si="43">MONTH(A66)</f>
        <v>5</v>
      </c>
      <c r="D66" s="56">
        <v>6083974</v>
      </c>
      <c r="E66" s="56">
        <f>IFERROR(VLOOKUP($B66-1,CDM!$J$6:$P$19,2,FALSE)/12,0)+IFERROR(VLOOKUP($B66,CDM!$J$37:$M$48,2,FALSE)/24,0)+IFERROR(VLOOKUP($B66,CDM!$J$37:$M$48,2,FALSE)/2*$C66/78,0)</f>
        <v>162564.63370471014</v>
      </c>
      <c r="F66" s="56">
        <f t="shared" si="34"/>
        <v>6246538.6337047098</v>
      </c>
      <c r="G66" s="301">
        <v>10066</v>
      </c>
      <c r="H66" s="56">
        <v>1895909</v>
      </c>
      <c r="I66" s="56">
        <f>IFERROR(VLOOKUP($B66-1,CDM!$J$6:$P$19,3,FALSE)/12,0)+IFERROR(VLOOKUP($B66,CDM!$J$37:$M$47,3,FALSE)/24,0)+IFERROR(VLOOKUP($B66,CDM!$J$37:$M$47,3,FALSE)/2*$C66/78,0)</f>
        <v>165939.27216485824</v>
      </c>
      <c r="J66" s="56">
        <f t="shared" si="35"/>
        <v>2061848.2721648582</v>
      </c>
      <c r="K66" s="6">
        <v>1272</v>
      </c>
      <c r="L66" s="5">
        <v>4820904.4092952088</v>
      </c>
      <c r="M66" s="2">
        <f>IFERROR(VLOOKUP($B66-1,CDM!$J$6:$P$19,4,FALSE)/12,0)+IFERROR(VLOOKUP($B66,CDM!$J$37:$M$47,4,FALSE)/24,0)+IFERROR(VLOOKUP($B66,CDM!$J$37:$M$47,4,FALSE)/2*$C66/78,0)</f>
        <v>147072.74692508238</v>
      </c>
      <c r="N66" s="56">
        <f t="shared" si="36"/>
        <v>4967977.1562202908</v>
      </c>
      <c r="O66" s="5">
        <v>15080.25</v>
      </c>
      <c r="P66" s="6">
        <v>151</v>
      </c>
      <c r="Q66" s="5">
        <v>67648</v>
      </c>
      <c r="R66" s="5">
        <v>235.2</v>
      </c>
      <c r="S66" s="6">
        <v>2920</v>
      </c>
      <c r="T66" s="6">
        <v>14994.223582289374</v>
      </c>
      <c r="U66" s="6">
        <v>41.800000000000004</v>
      </c>
      <c r="V66" s="6">
        <v>171</v>
      </c>
      <c r="W66" s="5">
        <v>50521</v>
      </c>
      <c r="X66" s="1">
        <v>19</v>
      </c>
      <c r="Y66" s="56">
        <v>1284</v>
      </c>
      <c r="Z66" s="56">
        <v>2643</v>
      </c>
      <c r="AA66" s="71">
        <f>L66-Y66</f>
        <v>4819620.4092952088</v>
      </c>
      <c r="AB66" s="71">
        <f>N66-Y66</f>
        <v>4966693.1562202908</v>
      </c>
      <c r="AC66" s="5">
        <f>O66-Z66</f>
        <v>12437.25</v>
      </c>
      <c r="AD66" s="111">
        <f>Economic!H68</f>
        <v>817265.5</v>
      </c>
      <c r="AE66" s="111">
        <f>Economic!I68</f>
        <v>803585</v>
      </c>
      <c r="AF66" s="111">
        <f>Economic!D68</f>
        <v>7265.7</v>
      </c>
      <c r="AG66" s="111">
        <f>Economic!E68</f>
        <v>7247.3</v>
      </c>
      <c r="AH66" s="111">
        <f>Economic!F68</f>
        <v>626.1</v>
      </c>
      <c r="AI66" s="111">
        <f>Economic!G68</f>
        <v>625.1</v>
      </c>
      <c r="AJ66" s="111">
        <f>Economic!J68</f>
        <v>693.09999999999945</v>
      </c>
      <c r="AK66" s="111">
        <f>Economic!K68</f>
        <v>696.40000000000055</v>
      </c>
      <c r="AL66" s="111">
        <f>Economic!L68</f>
        <v>61.899999999999977</v>
      </c>
      <c r="AM66" s="111">
        <f>Economic!M68</f>
        <v>60.600000000000023</v>
      </c>
      <c r="AN66" s="111">
        <f>Economic!N68</f>
        <v>47323.5</v>
      </c>
      <c r="AO66" s="111">
        <f>Economic!O68</f>
        <v>-6409</v>
      </c>
      <c r="AP66" s="28">
        <f>Weather!D66</f>
        <v>12.099731182795697</v>
      </c>
      <c r="AQ66" s="28">
        <f>Weather!E66</f>
        <v>251.67499999999995</v>
      </c>
      <c r="AR66" s="28">
        <f>Weather!F66</f>
        <v>6.7666666666666657</v>
      </c>
      <c r="AS66" s="28">
        <f>Weather!G66</f>
        <v>201.67500000000001</v>
      </c>
      <c r="AT66" s="28">
        <f>Weather!H66</f>
        <v>18.766666666666666</v>
      </c>
      <c r="AU66" s="28">
        <f>Weather!I66</f>
        <v>153.41666666666669</v>
      </c>
      <c r="AV66" s="28">
        <f>Weather!J66</f>
        <v>32.508333333333333</v>
      </c>
      <c r="AW66" s="28">
        <f>Weather!K66</f>
        <v>110.93750000000001</v>
      </c>
      <c r="AX66" s="28">
        <f>Weather!L66</f>
        <v>52.029166666666661</v>
      </c>
      <c r="AY66" s="28">
        <f>Weather!M66</f>
        <v>75.95</v>
      </c>
      <c r="AZ66" s="28">
        <f>Weather!N66</f>
        <v>79.041666666666686</v>
      </c>
      <c r="BA66" s="28">
        <f>Weather!O66</f>
        <v>44.94166666666667</v>
      </c>
      <c r="BB66" s="28">
        <f>Weather!P66</f>
        <v>110.03333333333333</v>
      </c>
      <c r="BC66" s="28">
        <f>Weather!Q66</f>
        <v>18.94166666666667</v>
      </c>
      <c r="BD66" s="28">
        <f>Weather!R66</f>
        <v>146.03333333333333</v>
      </c>
      <c r="BE66">
        <v>0</v>
      </c>
      <c r="BF66">
        <v>0</v>
      </c>
      <c r="BG66">
        <v>0</v>
      </c>
      <c r="BH66">
        <v>0</v>
      </c>
      <c r="BI66">
        <v>1</v>
      </c>
      <c r="BJ66">
        <v>0</v>
      </c>
      <c r="BK66">
        <v>0</v>
      </c>
      <c r="BL66">
        <v>0</v>
      </c>
      <c r="BM66">
        <v>0</v>
      </c>
      <c r="BN66">
        <v>0</v>
      </c>
      <c r="BO66">
        <v>0</v>
      </c>
      <c r="BP66">
        <v>0</v>
      </c>
      <c r="BQ66" s="1">
        <f t="shared" si="40"/>
        <v>1</v>
      </c>
      <c r="BR66" s="1">
        <f t="shared" si="40"/>
        <v>0</v>
      </c>
      <c r="BS66" s="1">
        <f t="shared" si="40"/>
        <v>1</v>
      </c>
      <c r="BT66" s="1">
        <f t="shared" ref="BT66:BT121" si="44">1+BT65</f>
        <v>65</v>
      </c>
      <c r="BU66">
        <f t="shared" si="41"/>
        <v>31</v>
      </c>
      <c r="BV66">
        <v>20</v>
      </c>
      <c r="BW66" s="1">
        <v>1</v>
      </c>
      <c r="BX66" s="1">
        <v>0.5</v>
      </c>
      <c r="BY66" s="1">
        <v>0.75</v>
      </c>
      <c r="BZ66" s="1">
        <v>0</v>
      </c>
      <c r="CA66">
        <f t="shared" ref="CA66:CA75" si="45">$BX66*AQ66</f>
        <v>125.83749999999998</v>
      </c>
      <c r="CB66">
        <f t="shared" ref="CB66:CB121" si="46">$BX66*AR66</f>
        <v>3.3833333333333329</v>
      </c>
      <c r="CC66">
        <f t="shared" ref="CC66:CC121" si="47">$BX66*AS66</f>
        <v>100.83750000000001</v>
      </c>
      <c r="CD66">
        <f t="shared" ref="CD66:CD121" si="48">$BX66*AT66</f>
        <v>9.3833333333333329</v>
      </c>
      <c r="CE66">
        <f t="shared" ref="CE66:CE121" si="49">$BX66*AU66</f>
        <v>76.708333333333343</v>
      </c>
      <c r="CF66">
        <f t="shared" ref="CF66:CF121" si="50">$BX66*AV66</f>
        <v>16.254166666666666</v>
      </c>
      <c r="CG66">
        <f t="shared" ref="CG66:CG121" si="51">$BX66*AW66</f>
        <v>55.468750000000007</v>
      </c>
      <c r="CH66">
        <f t="shared" ref="CH66:CH121" si="52">$BX66*AX66</f>
        <v>26.014583333333331</v>
      </c>
      <c r="CI66">
        <f t="shared" ref="CI66:CI121" si="53">$BX66*AY66</f>
        <v>37.975000000000001</v>
      </c>
      <c r="CJ66">
        <f t="shared" ref="CJ66:CJ121" si="54">$BX66*AZ66</f>
        <v>39.520833333333343</v>
      </c>
      <c r="CK66">
        <f t="shared" ref="CK66:CK121" si="55">$BX66*BA66</f>
        <v>22.470833333333335</v>
      </c>
      <c r="CL66">
        <f t="shared" ref="CL66:CL121" si="56">$BX66*BB66</f>
        <v>55.016666666666666</v>
      </c>
      <c r="CM66">
        <f t="shared" ref="CM66:CM121" si="57">$BX66*BC66</f>
        <v>9.470833333333335</v>
      </c>
      <c r="CN66">
        <f t="shared" ref="CN66:CN121" si="58">$BX66*BD66</f>
        <v>73.016666666666666</v>
      </c>
      <c r="CO66" s="14">
        <f t="shared" si="39"/>
        <v>188.75624999999997</v>
      </c>
      <c r="CP66" s="14">
        <f t="shared" ref="CP66:CP121" si="59">$BY66*AR66</f>
        <v>5.0749999999999993</v>
      </c>
      <c r="CQ66" s="14">
        <f t="shared" ref="CQ66:CQ121" si="60">$BY66*AS66</f>
        <v>151.25625000000002</v>
      </c>
      <c r="CR66" s="14">
        <f t="shared" ref="CR66:CR121" si="61">$BY66*AT66</f>
        <v>14.074999999999999</v>
      </c>
      <c r="CS66" s="14">
        <f t="shared" ref="CS66:CS121" si="62">$BY66*AU66</f>
        <v>115.06250000000001</v>
      </c>
      <c r="CT66" s="14">
        <f t="shared" ref="CT66:CT121" si="63">$BY66*AV66</f>
        <v>24.381250000000001</v>
      </c>
      <c r="CU66" s="14">
        <f t="shared" ref="CU66:CU121" si="64">$BY66*AW66</f>
        <v>83.203125000000014</v>
      </c>
      <c r="CV66" s="14">
        <f t="shared" ref="CV66:CV121" si="65">$BY66*AX66</f>
        <v>39.021874999999994</v>
      </c>
      <c r="CW66" s="14">
        <f t="shared" ref="CW66:CW121" si="66">$BY66*AY66</f>
        <v>56.962500000000006</v>
      </c>
      <c r="CX66" s="14">
        <f t="shared" ref="CX66:CX121" si="67">$BY66*AZ66</f>
        <v>59.281250000000014</v>
      </c>
      <c r="CY66" s="14">
        <f t="shared" ref="CY66:CY121" si="68">$BY66*BA66</f>
        <v>33.706250000000004</v>
      </c>
      <c r="CZ66" s="14">
        <f t="shared" ref="CZ66:CZ121" si="69">$BY66*BB66</f>
        <v>82.525000000000006</v>
      </c>
      <c r="DA66" s="14">
        <f t="shared" ref="DA66:DA121" si="70">$BY66*BC66</f>
        <v>14.206250000000002</v>
      </c>
      <c r="DB66" s="14">
        <f t="shared" ref="DB66:DB121" si="71">$BY66*BD66</f>
        <v>109.52500000000001</v>
      </c>
      <c r="DC66" s="72">
        <f>F66/G66</f>
        <v>620.5581793865199</v>
      </c>
      <c r="DD66" s="72">
        <f t="shared" ref="DD66:DD73" si="72">DC66/BU66</f>
        <v>20.018005786661931</v>
      </c>
      <c r="DE66" s="71">
        <f>F66/BU66</f>
        <v>201501.24624853901</v>
      </c>
      <c r="DF66" s="72">
        <f>J66/K66</f>
        <v>1620.9498995006747</v>
      </c>
      <c r="DG66" s="72">
        <f t="shared" ref="DG66:DG121" si="73">DF66/BU66</f>
        <v>52.288706435505638</v>
      </c>
      <c r="DH66" s="72">
        <f>J66/BU66</f>
        <v>66511.23458596316</v>
      </c>
      <c r="DI66" s="72">
        <f>N66/P66</f>
        <v>32900.510968346294</v>
      </c>
      <c r="DJ66" s="72">
        <f t="shared" ref="DJ66:DJ121" si="74">DI66/BU66</f>
        <v>1061.3068054305256</v>
      </c>
      <c r="DK66" s="72">
        <f t="shared" ref="DK66:DK121" si="75">DI66/BV66</f>
        <v>1645.0255484173147</v>
      </c>
      <c r="DL66" s="72">
        <f>N66/BU66</f>
        <v>160257.32762000937</v>
      </c>
      <c r="DM66" s="72">
        <f>N66/BV66</f>
        <v>248398.85781101455</v>
      </c>
      <c r="DN66" s="1">
        <v>0</v>
      </c>
      <c r="DO66" s="1">
        <v>0</v>
      </c>
    </row>
    <row r="67" spans="1:119">
      <c r="A67" s="93">
        <f t="shared" si="38"/>
        <v>44348</v>
      </c>
      <c r="B67" s="4">
        <f t="shared" si="42"/>
        <v>2021</v>
      </c>
      <c r="C67" s="4">
        <f t="shared" si="43"/>
        <v>6</v>
      </c>
      <c r="D67" s="56">
        <v>6848419</v>
      </c>
      <c r="E67" s="56">
        <f>IFERROR(VLOOKUP($B67-1,CDM!$J$6:$P$19,2,FALSE)/12,0)+IFERROR(VLOOKUP($B67,CDM!$J$37:$M$48,2,FALSE)/24,0)+IFERROR(VLOOKUP($B67,CDM!$J$37:$M$48,2,FALSE)/2*$C67/78,0)</f>
        <v>162626.14312024313</v>
      </c>
      <c r="F67" s="56">
        <f t="shared" ref="F67:F121" si="76">D67+E67</f>
        <v>7011045.1431202432</v>
      </c>
      <c r="G67" s="301">
        <v>10064</v>
      </c>
      <c r="H67" s="56">
        <v>2035592</v>
      </c>
      <c r="I67" s="56">
        <f>IFERROR(VLOOKUP($B67-1,CDM!$J$6:$P$19,3,FALSE)/12,0)+IFERROR(VLOOKUP($B67,CDM!$J$37:$M$47,3,FALSE)/24,0)+IFERROR(VLOOKUP($B67,CDM!$J$37:$M$47,3,FALSE)/2*$C67/78,0)</f>
        <v>166775.18417603767</v>
      </c>
      <c r="J67" s="56">
        <f t="shared" ref="J67:J121" si="77">H67+I67</f>
        <v>2202367.1841760376</v>
      </c>
      <c r="K67" s="6">
        <v>1285</v>
      </c>
      <c r="L67" s="5">
        <v>5238853.8109400403</v>
      </c>
      <c r="M67" s="2">
        <f>IFERROR(VLOOKUP($B67-1,CDM!$J$6:$P$19,4,FALSE)/12,0)+IFERROR(VLOOKUP($B67,CDM!$J$37:$M$47,4,FALSE)/24,0)+IFERROR(VLOOKUP($B67,CDM!$J$37:$M$47,4,FALSE)/2*$C67/78,0)</f>
        <v>148077.34587662035</v>
      </c>
      <c r="N67" s="56">
        <f t="shared" ref="N67:N121" si="78">L67+M67</f>
        <v>5386931.1568166604</v>
      </c>
      <c r="O67" s="5">
        <v>14816.5</v>
      </c>
      <c r="P67" s="6">
        <v>139</v>
      </c>
      <c r="Q67" s="5">
        <v>60965</v>
      </c>
      <c r="R67" s="5">
        <v>235.2</v>
      </c>
      <c r="S67" s="6">
        <v>2920</v>
      </c>
      <c r="T67" s="6">
        <v>14995.223582289374</v>
      </c>
      <c r="U67" s="6">
        <v>39.699999999999996</v>
      </c>
      <c r="V67" s="6">
        <v>171</v>
      </c>
      <c r="W67" s="5">
        <v>50269</v>
      </c>
      <c r="X67" s="1">
        <v>19</v>
      </c>
      <c r="Y67" s="56">
        <v>2261.6</v>
      </c>
      <c r="Z67" s="56">
        <v>537.6</v>
      </c>
      <c r="AA67" s="71">
        <f>L67-Y67</f>
        <v>5236592.2109400406</v>
      </c>
      <c r="AB67" s="71">
        <f>N67-Y67</f>
        <v>5384669.5568166608</v>
      </c>
      <c r="AC67" s="5">
        <f>O67-Z67</f>
        <v>14278.9</v>
      </c>
      <c r="AD67" s="111">
        <f>Economic!H69</f>
        <v>817265.5</v>
      </c>
      <c r="AE67" s="111">
        <f>Economic!I69</f>
        <v>803585</v>
      </c>
      <c r="AF67" s="111">
        <f>Economic!D69</f>
        <v>7250</v>
      </c>
      <c r="AG67" s="111">
        <f>Economic!E69</f>
        <v>7295.8</v>
      </c>
      <c r="AH67" s="111">
        <f>Economic!F69</f>
        <v>628.20000000000005</v>
      </c>
      <c r="AI67" s="111">
        <f>Economic!G69</f>
        <v>632.6</v>
      </c>
      <c r="AJ67" s="111">
        <f>Economic!J69</f>
        <v>772.60000000000036</v>
      </c>
      <c r="AK67" s="111">
        <f>Economic!K69</f>
        <v>780.19999999999982</v>
      </c>
      <c r="AL67" s="111">
        <f>Economic!L69</f>
        <v>72.5</v>
      </c>
      <c r="AM67" s="111">
        <f>Economic!M69</f>
        <v>72.5</v>
      </c>
      <c r="AN67" s="111">
        <f>Economic!N69</f>
        <v>47323.5</v>
      </c>
      <c r="AO67" s="111">
        <f>Economic!O69</f>
        <v>-6409</v>
      </c>
      <c r="AP67" s="28">
        <f>Weather!D67</f>
        <v>19.186944444444446</v>
      </c>
      <c r="AQ67" s="28">
        <f>Weather!E67</f>
        <v>55.149999999999991</v>
      </c>
      <c r="AR67" s="28">
        <f>Weather!F67</f>
        <v>30.758333333333322</v>
      </c>
      <c r="AS67" s="28">
        <f>Weather!G67</f>
        <v>25.162499999999994</v>
      </c>
      <c r="AT67" s="28">
        <f>Weather!H67</f>
        <v>60.770833333333329</v>
      </c>
      <c r="AU67" s="28">
        <f>Weather!I67</f>
        <v>8.6749999999999989</v>
      </c>
      <c r="AV67" s="28">
        <f>Weather!J67</f>
        <v>104.28333333333333</v>
      </c>
      <c r="AW67" s="28">
        <f>Weather!K67</f>
        <v>2.4833333333333325</v>
      </c>
      <c r="AX67" s="28">
        <f>Weather!L67</f>
        <v>158.0916666666667</v>
      </c>
      <c r="AY67" s="28">
        <f>Weather!M67</f>
        <v>0.4833333333333325</v>
      </c>
      <c r="AZ67" s="28">
        <f>Weather!N67</f>
        <v>216.09166666666664</v>
      </c>
      <c r="BA67" s="28">
        <f>Weather!O67</f>
        <v>0</v>
      </c>
      <c r="BB67" s="28">
        <f>Weather!P67</f>
        <v>275.60833333333329</v>
      </c>
      <c r="BC67" s="28">
        <f>Weather!Q67</f>
        <v>0</v>
      </c>
      <c r="BD67" s="28">
        <f>Weather!R67</f>
        <v>335.60833333333329</v>
      </c>
      <c r="BE67">
        <v>0</v>
      </c>
      <c r="BF67">
        <v>0</v>
      </c>
      <c r="BG67">
        <v>0</v>
      </c>
      <c r="BH67">
        <v>0</v>
      </c>
      <c r="BI67">
        <v>0</v>
      </c>
      <c r="BJ67">
        <v>1</v>
      </c>
      <c r="BK67">
        <v>0</v>
      </c>
      <c r="BL67">
        <v>0</v>
      </c>
      <c r="BM67">
        <v>0</v>
      </c>
      <c r="BN67">
        <v>0</v>
      </c>
      <c r="BO67">
        <v>0</v>
      </c>
      <c r="BP67">
        <v>0</v>
      </c>
      <c r="BQ67" s="1">
        <f t="shared" si="40"/>
        <v>0</v>
      </c>
      <c r="BR67" s="1">
        <f t="shared" si="40"/>
        <v>0</v>
      </c>
      <c r="BS67" s="1">
        <f t="shared" si="40"/>
        <v>0</v>
      </c>
      <c r="BT67" s="1">
        <f t="shared" si="44"/>
        <v>66</v>
      </c>
      <c r="BU67">
        <f t="shared" si="41"/>
        <v>30</v>
      </c>
      <c r="BV67">
        <v>22</v>
      </c>
      <c r="BW67" s="1">
        <v>1</v>
      </c>
      <c r="BX67" s="1">
        <v>0.5</v>
      </c>
      <c r="BY67" s="1">
        <v>0.75</v>
      </c>
      <c r="BZ67" s="1">
        <v>0</v>
      </c>
      <c r="CA67">
        <f t="shared" si="45"/>
        <v>27.574999999999996</v>
      </c>
      <c r="CB67">
        <f t="shared" si="46"/>
        <v>15.379166666666661</v>
      </c>
      <c r="CC67">
        <f t="shared" si="47"/>
        <v>12.581249999999997</v>
      </c>
      <c r="CD67">
        <f t="shared" si="48"/>
        <v>30.385416666666664</v>
      </c>
      <c r="CE67">
        <f t="shared" si="49"/>
        <v>4.3374999999999995</v>
      </c>
      <c r="CF67">
        <f t="shared" si="50"/>
        <v>52.141666666666666</v>
      </c>
      <c r="CG67">
        <f t="shared" si="51"/>
        <v>1.2416666666666663</v>
      </c>
      <c r="CH67">
        <f t="shared" si="52"/>
        <v>79.045833333333348</v>
      </c>
      <c r="CI67">
        <f t="shared" si="53"/>
        <v>0.24166666666666625</v>
      </c>
      <c r="CJ67">
        <f t="shared" si="54"/>
        <v>108.04583333333332</v>
      </c>
      <c r="CK67">
        <f t="shared" si="55"/>
        <v>0</v>
      </c>
      <c r="CL67">
        <f t="shared" si="56"/>
        <v>137.80416666666665</v>
      </c>
      <c r="CM67">
        <f t="shared" si="57"/>
        <v>0</v>
      </c>
      <c r="CN67">
        <f t="shared" si="58"/>
        <v>167.80416666666665</v>
      </c>
      <c r="CO67" s="14">
        <f t="shared" si="39"/>
        <v>41.362499999999997</v>
      </c>
      <c r="CP67" s="14">
        <f t="shared" si="59"/>
        <v>23.068749999999991</v>
      </c>
      <c r="CQ67" s="14">
        <f t="shared" si="60"/>
        <v>18.871874999999996</v>
      </c>
      <c r="CR67" s="14">
        <f t="shared" si="61"/>
        <v>45.578125</v>
      </c>
      <c r="CS67" s="14">
        <f t="shared" si="62"/>
        <v>6.5062499999999996</v>
      </c>
      <c r="CT67" s="14">
        <f t="shared" si="63"/>
        <v>78.212500000000006</v>
      </c>
      <c r="CU67" s="14">
        <f t="shared" si="64"/>
        <v>1.8624999999999994</v>
      </c>
      <c r="CV67" s="14">
        <f t="shared" si="65"/>
        <v>118.56875000000002</v>
      </c>
      <c r="CW67" s="14">
        <f t="shared" si="66"/>
        <v>0.36249999999999938</v>
      </c>
      <c r="CX67" s="14">
        <f t="shared" si="67"/>
        <v>162.06874999999997</v>
      </c>
      <c r="CY67" s="14">
        <f t="shared" si="68"/>
        <v>0</v>
      </c>
      <c r="CZ67" s="14">
        <f t="shared" si="69"/>
        <v>206.70624999999995</v>
      </c>
      <c r="DA67" s="14">
        <f t="shared" si="70"/>
        <v>0</v>
      </c>
      <c r="DB67" s="14">
        <f t="shared" si="71"/>
        <v>251.70624999999995</v>
      </c>
      <c r="DC67" s="72">
        <f>F67/G67</f>
        <v>696.64598003976982</v>
      </c>
      <c r="DD67" s="72">
        <f t="shared" si="72"/>
        <v>23.221532667992328</v>
      </c>
      <c r="DE67" s="71">
        <f>F67/BU67</f>
        <v>233701.50477067477</v>
      </c>
      <c r="DF67" s="72">
        <f>J67/K67</f>
        <v>1713.9044234832977</v>
      </c>
      <c r="DG67" s="72">
        <f t="shared" si="73"/>
        <v>57.130147449443257</v>
      </c>
      <c r="DH67" s="72">
        <f>J67/BU67</f>
        <v>73412.23947253458</v>
      </c>
      <c r="DI67" s="72">
        <f>N67/P67</f>
        <v>38754.900408752954</v>
      </c>
      <c r="DJ67" s="72">
        <f t="shared" si="74"/>
        <v>1291.8300136250984</v>
      </c>
      <c r="DK67" s="72">
        <f t="shared" si="75"/>
        <v>1761.5863822160434</v>
      </c>
      <c r="DL67" s="72">
        <f>N67/BU67</f>
        <v>179564.37189388869</v>
      </c>
      <c r="DM67" s="72">
        <f>N67/BV67</f>
        <v>244860.50712803003</v>
      </c>
      <c r="DN67" s="1">
        <v>0</v>
      </c>
      <c r="DO67" s="1">
        <v>0</v>
      </c>
    </row>
    <row r="68" spans="1:119">
      <c r="A68" s="93">
        <f t="shared" ref="A68:A121" si="79">EOMONTH(A67,0)+1</f>
        <v>44378</v>
      </c>
      <c r="B68" s="4">
        <f t="shared" si="42"/>
        <v>2021</v>
      </c>
      <c r="C68" s="4">
        <f t="shared" si="43"/>
        <v>7</v>
      </c>
      <c r="D68" s="56">
        <v>6984979</v>
      </c>
      <c r="E68" s="56">
        <f>IFERROR(VLOOKUP($B68-1,CDM!$J$6:$P$19,2,FALSE)/12,0)+IFERROR(VLOOKUP($B68,CDM!$J$37:$M$48,2,FALSE)/24,0)+IFERROR(VLOOKUP($B68,CDM!$J$37:$M$48,2,FALSE)/2*$C68/78,0)</f>
        <v>162687.65253577611</v>
      </c>
      <c r="F68" s="56">
        <f t="shared" si="76"/>
        <v>7147666.6525357757</v>
      </c>
      <c r="G68" s="301">
        <v>10086</v>
      </c>
      <c r="H68" s="56">
        <v>2136408</v>
      </c>
      <c r="I68" s="56">
        <f>IFERROR(VLOOKUP($B68-1,CDM!$J$6:$P$19,3,FALSE)/12,0)+IFERROR(VLOOKUP($B68,CDM!$J$37:$M$47,3,FALSE)/24,0)+IFERROR(VLOOKUP($B68,CDM!$J$37:$M$47,3,FALSE)/2*$C68/78,0)</f>
        <v>167611.09618721713</v>
      </c>
      <c r="J68" s="56">
        <f t="shared" si="77"/>
        <v>2304019.0961872172</v>
      </c>
      <c r="K68" s="6">
        <v>1284</v>
      </c>
      <c r="L68" s="5">
        <v>5356667.9970354782</v>
      </c>
      <c r="M68" s="2">
        <f>IFERROR(VLOOKUP($B68-1,CDM!$J$6:$P$19,4,FALSE)/12,0)+IFERROR(VLOOKUP($B68,CDM!$J$37:$M$47,4,FALSE)/24,0)+IFERROR(VLOOKUP($B68,CDM!$J$37:$M$47,4,FALSE)/2*$C68/78,0)</f>
        <v>149081.94482815836</v>
      </c>
      <c r="N68" s="56">
        <f t="shared" si="78"/>
        <v>5505749.9418636365</v>
      </c>
      <c r="O68" s="5">
        <v>17790.900000000001</v>
      </c>
      <c r="P68" s="6">
        <v>139</v>
      </c>
      <c r="Q68" s="5">
        <v>65375</v>
      </c>
      <c r="R68" s="5">
        <v>235.2</v>
      </c>
      <c r="S68" s="6">
        <v>2920</v>
      </c>
      <c r="T68" s="6">
        <v>15787.228937553791</v>
      </c>
      <c r="U68" s="6">
        <v>41.8</v>
      </c>
      <c r="V68" s="6">
        <v>171</v>
      </c>
      <c r="W68" s="5">
        <v>52453</v>
      </c>
      <c r="X68" s="1">
        <v>19</v>
      </c>
      <c r="Y68" s="56">
        <v>16538.240000000002</v>
      </c>
      <c r="Z68" s="56">
        <v>3885.4</v>
      </c>
      <c r="AA68" s="71">
        <f>L68-Y68</f>
        <v>5340129.757035478</v>
      </c>
      <c r="AB68" s="71">
        <f>N68-Y68</f>
        <v>5489211.7018636363</v>
      </c>
      <c r="AC68" s="5">
        <f>O68-Z68</f>
        <v>13905.500000000002</v>
      </c>
      <c r="AD68" s="111">
        <f>Economic!H70</f>
        <v>817265.5</v>
      </c>
      <c r="AE68" s="111">
        <f>Economic!I70</f>
        <v>821006</v>
      </c>
      <c r="AF68" s="111">
        <f>Economic!D70</f>
        <v>7317</v>
      </c>
      <c r="AG68" s="111">
        <f>Economic!E70</f>
        <v>7392.6</v>
      </c>
      <c r="AH68" s="111">
        <f>Economic!F70</f>
        <v>630.5</v>
      </c>
      <c r="AI68" s="111">
        <f>Economic!G70</f>
        <v>639.6</v>
      </c>
      <c r="AJ68" s="111">
        <f>Economic!J70</f>
        <v>650.60000000000036</v>
      </c>
      <c r="AK68" s="111">
        <f>Economic!K70</f>
        <v>661.70000000000073</v>
      </c>
      <c r="AL68" s="111">
        <f>Economic!L70</f>
        <v>63.399999999999977</v>
      </c>
      <c r="AM68" s="111">
        <f>Economic!M70</f>
        <v>63.899999999999977</v>
      </c>
      <c r="AN68" s="111">
        <f>Economic!N70</f>
        <v>47323.5</v>
      </c>
      <c r="AO68" s="111">
        <f>Economic!O70</f>
        <v>17421</v>
      </c>
      <c r="AP68" s="28">
        <f>Weather!D68</f>
        <v>18.637903225806447</v>
      </c>
      <c r="AQ68" s="28">
        <f>Weather!E68</f>
        <v>58.799999999999976</v>
      </c>
      <c r="AR68" s="28">
        <f>Weather!F68</f>
        <v>16.575000000000003</v>
      </c>
      <c r="AS68" s="28">
        <f>Weather!G68</f>
        <v>23.458333333333329</v>
      </c>
      <c r="AT68" s="28">
        <f>Weather!H68</f>
        <v>43.233333333333348</v>
      </c>
      <c r="AU68" s="28">
        <f>Weather!I68</f>
        <v>7.3083333333333336</v>
      </c>
      <c r="AV68" s="28">
        <f>Weather!J68</f>
        <v>89.083333333333343</v>
      </c>
      <c r="AW68" s="28">
        <f>Weather!K68</f>
        <v>0.32916666666666394</v>
      </c>
      <c r="AX68" s="28">
        <f>Weather!L68</f>
        <v>144.10416666666671</v>
      </c>
      <c r="AY68" s="28">
        <f>Weather!M68</f>
        <v>0</v>
      </c>
      <c r="AZ68" s="28">
        <f>Weather!N68</f>
        <v>205.77500000000006</v>
      </c>
      <c r="BA68" s="28">
        <f>Weather!O68</f>
        <v>0</v>
      </c>
      <c r="BB68" s="28">
        <f>Weather!P68</f>
        <v>267.77500000000009</v>
      </c>
      <c r="BC68" s="28">
        <f>Weather!Q68</f>
        <v>0</v>
      </c>
      <c r="BD68" s="28">
        <f>Weather!R68</f>
        <v>329.77500000000009</v>
      </c>
      <c r="BE68">
        <v>0</v>
      </c>
      <c r="BF68">
        <v>0</v>
      </c>
      <c r="BG68">
        <v>0</v>
      </c>
      <c r="BH68">
        <v>0</v>
      </c>
      <c r="BI68">
        <v>0</v>
      </c>
      <c r="BJ68">
        <v>0</v>
      </c>
      <c r="BK68">
        <v>1</v>
      </c>
      <c r="BL68">
        <v>0</v>
      </c>
      <c r="BM68">
        <v>0</v>
      </c>
      <c r="BN68">
        <v>0</v>
      </c>
      <c r="BO68">
        <v>0</v>
      </c>
      <c r="BP68">
        <v>0</v>
      </c>
      <c r="BQ68" s="1">
        <f t="shared" si="40"/>
        <v>0</v>
      </c>
      <c r="BR68" s="1">
        <f t="shared" si="40"/>
        <v>0</v>
      </c>
      <c r="BS68" s="1">
        <f t="shared" si="40"/>
        <v>0</v>
      </c>
      <c r="BT68" s="1">
        <f t="shared" si="44"/>
        <v>67</v>
      </c>
      <c r="BU68">
        <f t="shared" si="41"/>
        <v>31</v>
      </c>
      <c r="BV68">
        <v>22</v>
      </c>
      <c r="BW68" s="1">
        <v>1</v>
      </c>
      <c r="BX68" s="1">
        <v>0.5</v>
      </c>
      <c r="BY68" s="1">
        <v>0.75</v>
      </c>
      <c r="BZ68" s="1">
        <v>0</v>
      </c>
      <c r="CA68">
        <f t="shared" si="45"/>
        <v>29.399999999999988</v>
      </c>
      <c r="CB68">
        <f t="shared" si="46"/>
        <v>8.2875000000000014</v>
      </c>
      <c r="CC68">
        <f t="shared" si="47"/>
        <v>11.729166666666664</v>
      </c>
      <c r="CD68">
        <f t="shared" si="48"/>
        <v>21.616666666666674</v>
      </c>
      <c r="CE68">
        <f t="shared" si="49"/>
        <v>3.6541666666666668</v>
      </c>
      <c r="CF68">
        <f t="shared" si="50"/>
        <v>44.541666666666671</v>
      </c>
      <c r="CG68">
        <f t="shared" si="51"/>
        <v>0.16458333333333197</v>
      </c>
      <c r="CH68">
        <f t="shared" si="52"/>
        <v>72.052083333333357</v>
      </c>
      <c r="CI68">
        <f t="shared" si="53"/>
        <v>0</v>
      </c>
      <c r="CJ68">
        <f t="shared" si="54"/>
        <v>102.88750000000003</v>
      </c>
      <c r="CK68">
        <f t="shared" si="55"/>
        <v>0</v>
      </c>
      <c r="CL68">
        <f t="shared" si="56"/>
        <v>133.88750000000005</v>
      </c>
      <c r="CM68">
        <f t="shared" si="57"/>
        <v>0</v>
      </c>
      <c r="CN68">
        <f t="shared" si="58"/>
        <v>164.88750000000005</v>
      </c>
      <c r="CO68" s="14">
        <f t="shared" si="39"/>
        <v>44.09999999999998</v>
      </c>
      <c r="CP68" s="14">
        <f t="shared" si="59"/>
        <v>12.431250000000002</v>
      </c>
      <c r="CQ68" s="14">
        <f t="shared" si="60"/>
        <v>17.593749999999996</v>
      </c>
      <c r="CR68" s="14">
        <f t="shared" si="61"/>
        <v>32.425000000000011</v>
      </c>
      <c r="CS68" s="14">
        <f t="shared" si="62"/>
        <v>5.4812500000000002</v>
      </c>
      <c r="CT68" s="14">
        <f t="shared" si="63"/>
        <v>66.8125</v>
      </c>
      <c r="CU68" s="14">
        <f t="shared" si="64"/>
        <v>0.24687499999999796</v>
      </c>
      <c r="CV68" s="14">
        <f t="shared" si="65"/>
        <v>108.07812500000003</v>
      </c>
      <c r="CW68" s="14">
        <f t="shared" si="66"/>
        <v>0</v>
      </c>
      <c r="CX68" s="14">
        <f t="shared" si="67"/>
        <v>154.33125000000004</v>
      </c>
      <c r="CY68" s="14">
        <f t="shared" si="68"/>
        <v>0</v>
      </c>
      <c r="CZ68" s="14">
        <f t="shared" si="69"/>
        <v>200.83125000000007</v>
      </c>
      <c r="DA68" s="14">
        <f t="shared" si="70"/>
        <v>0</v>
      </c>
      <c r="DB68" s="14">
        <f t="shared" si="71"/>
        <v>247.33125000000007</v>
      </c>
      <c r="DC68" s="72">
        <f>F68/G68</f>
        <v>708.67208531982703</v>
      </c>
      <c r="DD68" s="72">
        <f t="shared" si="72"/>
        <v>22.860389849026678</v>
      </c>
      <c r="DE68" s="71">
        <f>F68/BU68</f>
        <v>230569.8920172831</v>
      </c>
      <c r="DF68" s="72">
        <f>J68/K68</f>
        <v>1794.4073957844371</v>
      </c>
      <c r="DG68" s="72">
        <f t="shared" si="73"/>
        <v>57.884109541433453</v>
      </c>
      <c r="DH68" s="72">
        <f>J68/BU68</f>
        <v>74323.19665120056</v>
      </c>
      <c r="DI68" s="72">
        <f>N68/P68</f>
        <v>39609.711811968606</v>
      </c>
      <c r="DJ68" s="72">
        <f t="shared" si="74"/>
        <v>1277.7326390957614</v>
      </c>
      <c r="DK68" s="72">
        <f t="shared" si="75"/>
        <v>1800.441445998573</v>
      </c>
      <c r="DL68" s="72">
        <f>N68/BU68</f>
        <v>177604.83683431085</v>
      </c>
      <c r="DM68" s="72">
        <f>N68/BV68</f>
        <v>250261.36099380165</v>
      </c>
      <c r="DN68" s="1">
        <v>0</v>
      </c>
      <c r="DO68" s="1">
        <v>0</v>
      </c>
    </row>
    <row r="69" spans="1:119">
      <c r="A69" s="93">
        <f t="shared" si="79"/>
        <v>44409</v>
      </c>
      <c r="B69" s="4">
        <f t="shared" si="42"/>
        <v>2021</v>
      </c>
      <c r="C69" s="4">
        <f t="shared" si="43"/>
        <v>8</v>
      </c>
      <c r="D69" s="56">
        <v>8202587</v>
      </c>
      <c r="E69" s="56">
        <f>IFERROR(VLOOKUP($B69-1,CDM!$J$6:$P$19,2,FALSE)/12,0)+IFERROR(VLOOKUP($B69,CDM!$J$37:$M$48,2,FALSE)/24,0)+IFERROR(VLOOKUP($B69,CDM!$J$37:$M$48,2,FALSE)/2*$C69/78,0)</f>
        <v>162749.1619513091</v>
      </c>
      <c r="F69" s="56">
        <f t="shared" si="76"/>
        <v>8365336.1619513091</v>
      </c>
      <c r="G69" s="301">
        <v>10096</v>
      </c>
      <c r="H69" s="56">
        <v>2418277</v>
      </c>
      <c r="I69" s="56">
        <f>IFERROR(VLOOKUP($B69-1,CDM!$J$6:$P$19,3,FALSE)/12,0)+IFERROR(VLOOKUP($B69,CDM!$J$37:$M$47,3,FALSE)/24,0)+IFERROR(VLOOKUP($B69,CDM!$J$37:$M$47,3,FALSE)/2*$C69/78,0)</f>
        <v>168447.00819839659</v>
      </c>
      <c r="J69" s="56">
        <f t="shared" si="77"/>
        <v>2586724.0081983968</v>
      </c>
      <c r="K69" s="6">
        <v>1283</v>
      </c>
      <c r="L69" s="5">
        <v>7370478.2650855882</v>
      </c>
      <c r="M69" s="2">
        <f>IFERROR(VLOOKUP($B69-1,CDM!$J$6:$P$19,4,FALSE)/12,0)+IFERROR(VLOOKUP($B69,CDM!$J$37:$M$47,4,FALSE)/24,0)+IFERROR(VLOOKUP($B69,CDM!$J$37:$M$47,4,FALSE)/2*$C69/78,0)</f>
        <v>150086.54377969634</v>
      </c>
      <c r="N69" s="56">
        <f t="shared" si="78"/>
        <v>7520564.8088652845</v>
      </c>
      <c r="O69" s="5">
        <v>17684.349999999999</v>
      </c>
      <c r="P69" s="6">
        <v>140</v>
      </c>
      <c r="Q69" s="5">
        <v>73605</v>
      </c>
      <c r="R69" s="5">
        <v>235.2</v>
      </c>
      <c r="S69" s="6">
        <v>2920</v>
      </c>
      <c r="T69" s="6">
        <v>15500.228937553791</v>
      </c>
      <c r="U69" s="6">
        <v>41.8</v>
      </c>
      <c r="V69" s="6">
        <v>171</v>
      </c>
      <c r="W69" s="5">
        <v>51739</v>
      </c>
      <c r="X69" s="1">
        <v>19</v>
      </c>
      <c r="Y69" s="56">
        <v>0.48</v>
      </c>
      <c r="Z69" s="56">
        <v>1.9</v>
      </c>
      <c r="AA69" s="71">
        <f>L69-Y69</f>
        <v>7370477.7850855878</v>
      </c>
      <c r="AB69" s="71">
        <f>N69-Y69</f>
        <v>7520564.3288652841</v>
      </c>
      <c r="AC69" s="5">
        <f>O69-Z69</f>
        <v>17682.449999999997</v>
      </c>
      <c r="AD69" s="111">
        <f>Economic!H71</f>
        <v>817265.5</v>
      </c>
      <c r="AE69" s="111">
        <f>Economic!I71</f>
        <v>821006</v>
      </c>
      <c r="AF69" s="111">
        <f>Economic!D71</f>
        <v>7405.9</v>
      </c>
      <c r="AG69" s="111">
        <f>Economic!E71</f>
        <v>7474.7</v>
      </c>
      <c r="AH69" s="111">
        <f>Economic!F71</f>
        <v>625.20000000000005</v>
      </c>
      <c r="AI69" s="111">
        <f>Economic!G71</f>
        <v>632.4</v>
      </c>
      <c r="AJ69" s="111">
        <f>Economic!J71</f>
        <v>501.59999999999945</v>
      </c>
      <c r="AK69" s="111">
        <f>Economic!K71</f>
        <v>503.19999999999982</v>
      </c>
      <c r="AL69" s="111">
        <f>Economic!L71</f>
        <v>46</v>
      </c>
      <c r="AM69" s="111">
        <f>Economic!M71</f>
        <v>45.799999999999955</v>
      </c>
      <c r="AN69" s="111">
        <f>Economic!N71</f>
        <v>47323.5</v>
      </c>
      <c r="AO69" s="111">
        <f>Economic!O71</f>
        <v>17421</v>
      </c>
      <c r="AP69" s="28">
        <f>Weather!D69</f>
        <v>21.164650537634408</v>
      </c>
      <c r="AQ69" s="28">
        <f>Weather!E69</f>
        <v>27.104166666666682</v>
      </c>
      <c r="AR69" s="28">
        <f>Weather!F69</f>
        <v>63.208333333333329</v>
      </c>
      <c r="AS69" s="28">
        <f>Weather!G69</f>
        <v>8.2208333333333385</v>
      </c>
      <c r="AT69" s="28">
        <f>Weather!H69</f>
        <v>106.32499999999999</v>
      </c>
      <c r="AU69" s="28">
        <f>Weather!I69</f>
        <v>0.98333333333333428</v>
      </c>
      <c r="AV69" s="28">
        <f>Weather!J69</f>
        <v>161.08749999999998</v>
      </c>
      <c r="AW69" s="28">
        <f>Weather!K69</f>
        <v>0</v>
      </c>
      <c r="AX69" s="28">
        <f>Weather!L69</f>
        <v>222.10416666666663</v>
      </c>
      <c r="AY69" s="28">
        <f>Weather!M69</f>
        <v>0</v>
      </c>
      <c r="AZ69" s="28">
        <f>Weather!N69</f>
        <v>284.10416666666663</v>
      </c>
      <c r="BA69" s="28">
        <f>Weather!O69</f>
        <v>0</v>
      </c>
      <c r="BB69" s="28">
        <f>Weather!P69</f>
        <v>346.10416666666663</v>
      </c>
      <c r="BC69" s="28">
        <f>Weather!Q69</f>
        <v>0</v>
      </c>
      <c r="BD69" s="28">
        <f>Weather!R69</f>
        <v>408.10416666666663</v>
      </c>
      <c r="BE69">
        <v>0</v>
      </c>
      <c r="BF69">
        <v>0</v>
      </c>
      <c r="BG69">
        <v>0</v>
      </c>
      <c r="BH69">
        <v>0</v>
      </c>
      <c r="BI69">
        <v>0</v>
      </c>
      <c r="BJ69">
        <v>0</v>
      </c>
      <c r="BK69">
        <v>0</v>
      </c>
      <c r="BL69">
        <v>1</v>
      </c>
      <c r="BM69">
        <v>0</v>
      </c>
      <c r="BN69">
        <v>0</v>
      </c>
      <c r="BO69">
        <v>0</v>
      </c>
      <c r="BP69">
        <v>0</v>
      </c>
      <c r="BQ69" s="1">
        <f t="shared" si="40"/>
        <v>0</v>
      </c>
      <c r="BR69" s="1">
        <f t="shared" si="40"/>
        <v>0</v>
      </c>
      <c r="BS69" s="1">
        <f t="shared" si="40"/>
        <v>0</v>
      </c>
      <c r="BT69" s="1">
        <f t="shared" si="44"/>
        <v>68</v>
      </c>
      <c r="BU69">
        <f t="shared" si="41"/>
        <v>31</v>
      </c>
      <c r="BV69">
        <v>20</v>
      </c>
      <c r="BW69" s="1">
        <v>1</v>
      </c>
      <c r="BX69" s="1">
        <v>0.5</v>
      </c>
      <c r="BY69" s="1">
        <v>0.75</v>
      </c>
      <c r="BZ69" s="1">
        <v>0</v>
      </c>
      <c r="CA69">
        <f t="shared" si="45"/>
        <v>13.552083333333341</v>
      </c>
      <c r="CB69">
        <f t="shared" si="46"/>
        <v>31.604166666666664</v>
      </c>
      <c r="CC69">
        <f t="shared" si="47"/>
        <v>4.1104166666666693</v>
      </c>
      <c r="CD69">
        <f t="shared" si="48"/>
        <v>53.162499999999994</v>
      </c>
      <c r="CE69">
        <f t="shared" si="49"/>
        <v>0.49166666666666714</v>
      </c>
      <c r="CF69">
        <f t="shared" si="50"/>
        <v>80.543749999999989</v>
      </c>
      <c r="CG69">
        <f t="shared" si="51"/>
        <v>0</v>
      </c>
      <c r="CH69">
        <f t="shared" si="52"/>
        <v>111.05208333333331</v>
      </c>
      <c r="CI69">
        <f t="shared" si="53"/>
        <v>0</v>
      </c>
      <c r="CJ69">
        <f t="shared" si="54"/>
        <v>142.05208333333331</v>
      </c>
      <c r="CK69">
        <f t="shared" si="55"/>
        <v>0</v>
      </c>
      <c r="CL69">
        <f t="shared" si="56"/>
        <v>173.05208333333331</v>
      </c>
      <c r="CM69">
        <f t="shared" si="57"/>
        <v>0</v>
      </c>
      <c r="CN69">
        <f t="shared" si="58"/>
        <v>204.05208333333331</v>
      </c>
      <c r="CO69" s="14">
        <f t="shared" si="39"/>
        <v>20.328125000000011</v>
      </c>
      <c r="CP69" s="14">
        <f t="shared" si="59"/>
        <v>47.40625</v>
      </c>
      <c r="CQ69" s="14">
        <f t="shared" si="60"/>
        <v>6.1656250000000039</v>
      </c>
      <c r="CR69" s="14">
        <f t="shared" si="61"/>
        <v>79.743749999999991</v>
      </c>
      <c r="CS69" s="14">
        <f t="shared" si="62"/>
        <v>0.73750000000000071</v>
      </c>
      <c r="CT69" s="14">
        <f t="shared" si="63"/>
        <v>120.81562499999998</v>
      </c>
      <c r="CU69" s="14">
        <f t="shared" si="64"/>
        <v>0</v>
      </c>
      <c r="CV69" s="14">
        <f t="shared" si="65"/>
        <v>166.57812499999997</v>
      </c>
      <c r="CW69" s="14">
        <f t="shared" si="66"/>
        <v>0</v>
      </c>
      <c r="CX69" s="14">
        <f t="shared" si="67"/>
        <v>213.07812499999997</v>
      </c>
      <c r="CY69" s="14">
        <f t="shared" si="68"/>
        <v>0</v>
      </c>
      <c r="CZ69" s="14">
        <f t="shared" si="69"/>
        <v>259.578125</v>
      </c>
      <c r="DA69" s="14">
        <f t="shared" si="70"/>
        <v>0</v>
      </c>
      <c r="DB69" s="14">
        <f t="shared" si="71"/>
        <v>306.078125</v>
      </c>
      <c r="DC69" s="72">
        <f>F69/G69</f>
        <v>828.57925534383014</v>
      </c>
      <c r="DD69" s="72">
        <f t="shared" si="72"/>
        <v>26.728363075607422</v>
      </c>
      <c r="DE69" s="71">
        <f>F69/BU69</f>
        <v>269849.55361133255</v>
      </c>
      <c r="DF69" s="72">
        <f>J69/K69</f>
        <v>2016.1527733424759</v>
      </c>
      <c r="DG69" s="72">
        <f t="shared" si="73"/>
        <v>65.037186236854069</v>
      </c>
      <c r="DH69" s="72">
        <f>J69/BU69</f>
        <v>83442.709941883761</v>
      </c>
      <c r="DI69" s="72">
        <f>N69/P69</f>
        <v>53718.320063323459</v>
      </c>
      <c r="DJ69" s="72">
        <f t="shared" si="74"/>
        <v>1732.8490343007568</v>
      </c>
      <c r="DK69" s="72">
        <f t="shared" si="75"/>
        <v>2685.9160031661731</v>
      </c>
      <c r="DL69" s="72">
        <f>N69/BU69</f>
        <v>242598.86480210596</v>
      </c>
      <c r="DM69" s="72">
        <f>N69/BV69</f>
        <v>376028.24044326425</v>
      </c>
      <c r="DN69" s="1">
        <v>0</v>
      </c>
      <c r="DO69" s="1">
        <v>0</v>
      </c>
    </row>
    <row r="70" spans="1:119">
      <c r="A70" s="93">
        <f t="shared" si="79"/>
        <v>44440</v>
      </c>
      <c r="B70" s="4">
        <f t="shared" si="42"/>
        <v>2021</v>
      </c>
      <c r="C70" s="4">
        <f t="shared" si="43"/>
        <v>9</v>
      </c>
      <c r="D70" s="56">
        <v>5475601</v>
      </c>
      <c r="E70" s="56">
        <f>IFERROR(VLOOKUP($B70-1,CDM!$J$6:$P$19,2,FALSE)/12,0)+IFERROR(VLOOKUP($B70,CDM!$J$37:$M$48,2,FALSE)/24,0)+IFERROR(VLOOKUP($B70,CDM!$J$37:$M$48,2,FALSE)/2*$C70/78,0)</f>
        <v>162810.67136684209</v>
      </c>
      <c r="F70" s="56">
        <f t="shared" si="76"/>
        <v>5638411.6713668425</v>
      </c>
      <c r="G70" s="301">
        <v>10107</v>
      </c>
      <c r="H70" s="56">
        <v>1914965</v>
      </c>
      <c r="I70" s="56">
        <f>IFERROR(VLOOKUP($B70-1,CDM!$J$6:$P$19,3,FALSE)/12,0)+IFERROR(VLOOKUP($B70,CDM!$J$37:$M$47,3,FALSE)/24,0)+IFERROR(VLOOKUP($B70,CDM!$J$37:$M$47,3,FALSE)/2*$C70/78,0)</f>
        <v>169282.92020957603</v>
      </c>
      <c r="J70" s="56">
        <f t="shared" si="77"/>
        <v>2084247.9202095759</v>
      </c>
      <c r="K70" s="6">
        <v>1282</v>
      </c>
      <c r="L70" s="5">
        <v>6987412.2450033473</v>
      </c>
      <c r="M70" s="2">
        <f>IFERROR(VLOOKUP($B70-1,CDM!$J$6:$P$19,4,FALSE)/12,0)+IFERROR(VLOOKUP($B70,CDM!$J$37:$M$47,4,FALSE)/24,0)+IFERROR(VLOOKUP($B70,CDM!$J$37:$M$47,4,FALSE)/2*$C70/78,0)</f>
        <v>151091.14273123434</v>
      </c>
      <c r="N70" s="56">
        <f t="shared" si="78"/>
        <v>7138503.3877345817</v>
      </c>
      <c r="O70" s="5">
        <v>11665.05</v>
      </c>
      <c r="P70" s="6">
        <v>140</v>
      </c>
      <c r="Q70" s="5">
        <v>81268</v>
      </c>
      <c r="R70" s="5">
        <v>235.2</v>
      </c>
      <c r="S70" s="6">
        <v>2920</v>
      </c>
      <c r="T70" s="6">
        <v>17588.246724682031</v>
      </c>
      <c r="U70" s="6">
        <v>41.900000000000006</v>
      </c>
      <c r="V70" s="6">
        <v>171</v>
      </c>
      <c r="W70" s="5">
        <v>49597</v>
      </c>
      <c r="X70" s="1">
        <v>19</v>
      </c>
      <c r="Y70" s="56">
        <v>10168.959999999999</v>
      </c>
      <c r="Z70" s="56">
        <v>1680</v>
      </c>
      <c r="AA70" s="71">
        <f>L70-Y70</f>
        <v>6977243.2850033473</v>
      </c>
      <c r="AB70" s="71">
        <f>N70-Y70</f>
        <v>7128334.4277345818</v>
      </c>
      <c r="AC70" s="5">
        <f>O70-Z70</f>
        <v>9985.0499999999993</v>
      </c>
      <c r="AD70" s="111">
        <f>Economic!H72</f>
        <v>817265.5</v>
      </c>
      <c r="AE70" s="111">
        <f>Economic!I72</f>
        <v>821006</v>
      </c>
      <c r="AF70" s="111">
        <f>Economic!D72</f>
        <v>7482</v>
      </c>
      <c r="AG70" s="111">
        <f>Economic!E72</f>
        <v>7507</v>
      </c>
      <c r="AH70" s="111">
        <f>Economic!F72</f>
        <v>617.79999999999995</v>
      </c>
      <c r="AI70" s="111">
        <f>Economic!G72</f>
        <v>619.9</v>
      </c>
      <c r="AJ70" s="111">
        <f>Economic!J72</f>
        <v>416.80000000000018</v>
      </c>
      <c r="AK70" s="111">
        <f>Economic!K72</f>
        <v>408.19999999999982</v>
      </c>
      <c r="AL70" s="111">
        <f>Economic!L72</f>
        <v>28.199999999999932</v>
      </c>
      <c r="AM70" s="111">
        <f>Economic!M72</f>
        <v>27.899999999999977</v>
      </c>
      <c r="AN70" s="111">
        <f>Economic!N72</f>
        <v>47323.5</v>
      </c>
      <c r="AO70" s="111">
        <f>Economic!O72</f>
        <v>17421</v>
      </c>
      <c r="AP70" s="28">
        <f>Weather!D70</f>
        <v>14.518333333333336</v>
      </c>
      <c r="AQ70" s="28">
        <f>Weather!E70</f>
        <v>164.45000000000005</v>
      </c>
      <c r="AR70" s="28">
        <f>Weather!F70</f>
        <v>0</v>
      </c>
      <c r="AS70" s="28">
        <f>Weather!G70</f>
        <v>105.07500000000002</v>
      </c>
      <c r="AT70" s="28">
        <f>Weather!H70</f>
        <v>0.625</v>
      </c>
      <c r="AU70" s="28">
        <f>Weather!I70</f>
        <v>56.5625</v>
      </c>
      <c r="AV70" s="28">
        <f>Weather!J70</f>
        <v>12.112499999999997</v>
      </c>
      <c r="AW70" s="28">
        <f>Weather!K70</f>
        <v>23.820833333333333</v>
      </c>
      <c r="AX70" s="28">
        <f>Weather!L70</f>
        <v>39.370833333333316</v>
      </c>
      <c r="AY70" s="28">
        <f>Weather!M70</f>
        <v>8.1916666666666629</v>
      </c>
      <c r="AZ70" s="28">
        <f>Weather!N70</f>
        <v>83.741666666666646</v>
      </c>
      <c r="BA70" s="28">
        <f>Weather!O70</f>
        <v>0.7958333333333325</v>
      </c>
      <c r="BB70" s="28">
        <f>Weather!P70</f>
        <v>136.3458333333333</v>
      </c>
      <c r="BC70" s="28">
        <f>Weather!Q70</f>
        <v>0</v>
      </c>
      <c r="BD70" s="28">
        <f>Weather!R70</f>
        <v>195.54999999999995</v>
      </c>
      <c r="BE70">
        <v>0</v>
      </c>
      <c r="BF70">
        <v>0</v>
      </c>
      <c r="BG70">
        <v>0</v>
      </c>
      <c r="BH70">
        <v>0</v>
      </c>
      <c r="BI70">
        <v>0</v>
      </c>
      <c r="BJ70">
        <v>0</v>
      </c>
      <c r="BK70">
        <v>0</v>
      </c>
      <c r="BL70">
        <v>0</v>
      </c>
      <c r="BM70">
        <v>1</v>
      </c>
      <c r="BN70">
        <v>0</v>
      </c>
      <c r="BO70">
        <v>0</v>
      </c>
      <c r="BP70">
        <v>0</v>
      </c>
      <c r="BQ70" s="1">
        <f t="shared" si="40"/>
        <v>0</v>
      </c>
      <c r="BR70" s="1">
        <f t="shared" si="40"/>
        <v>1</v>
      </c>
      <c r="BS70" s="1">
        <f t="shared" si="40"/>
        <v>1</v>
      </c>
      <c r="BT70" s="1">
        <f t="shared" si="44"/>
        <v>69</v>
      </c>
      <c r="BU70">
        <f t="shared" si="41"/>
        <v>30</v>
      </c>
      <c r="BV70">
        <v>21</v>
      </c>
      <c r="BW70" s="1">
        <v>1</v>
      </c>
      <c r="BX70" s="1">
        <v>0.5</v>
      </c>
      <c r="BY70" s="1">
        <v>0.75</v>
      </c>
      <c r="BZ70" s="1">
        <v>0</v>
      </c>
      <c r="CA70">
        <f t="shared" si="45"/>
        <v>82.225000000000023</v>
      </c>
      <c r="CB70">
        <f t="shared" si="46"/>
        <v>0</v>
      </c>
      <c r="CC70">
        <f t="shared" si="47"/>
        <v>52.537500000000009</v>
      </c>
      <c r="CD70">
        <f t="shared" si="48"/>
        <v>0.3125</v>
      </c>
      <c r="CE70">
        <f t="shared" si="49"/>
        <v>28.28125</v>
      </c>
      <c r="CF70">
        <f t="shared" si="50"/>
        <v>6.0562499999999986</v>
      </c>
      <c r="CG70">
        <f t="shared" si="51"/>
        <v>11.910416666666666</v>
      </c>
      <c r="CH70">
        <f t="shared" si="52"/>
        <v>19.685416666666658</v>
      </c>
      <c r="CI70">
        <f t="shared" si="53"/>
        <v>4.0958333333333314</v>
      </c>
      <c r="CJ70">
        <f t="shared" si="54"/>
        <v>41.870833333333323</v>
      </c>
      <c r="CK70">
        <f t="shared" si="55"/>
        <v>0.39791666666666625</v>
      </c>
      <c r="CL70">
        <f t="shared" si="56"/>
        <v>68.172916666666652</v>
      </c>
      <c r="CM70">
        <f t="shared" si="57"/>
        <v>0</v>
      </c>
      <c r="CN70">
        <f t="shared" si="58"/>
        <v>97.774999999999977</v>
      </c>
      <c r="CO70" s="14">
        <f t="shared" si="39"/>
        <v>123.33750000000003</v>
      </c>
      <c r="CP70" s="14">
        <f t="shared" si="59"/>
        <v>0</v>
      </c>
      <c r="CQ70" s="14">
        <f t="shared" si="60"/>
        <v>78.806250000000006</v>
      </c>
      <c r="CR70" s="14">
        <f t="shared" si="61"/>
        <v>0.46875</v>
      </c>
      <c r="CS70" s="14">
        <f t="shared" si="62"/>
        <v>42.421875</v>
      </c>
      <c r="CT70" s="14">
        <f t="shared" si="63"/>
        <v>9.0843749999999979</v>
      </c>
      <c r="CU70" s="14">
        <f t="shared" si="64"/>
        <v>17.865625000000001</v>
      </c>
      <c r="CV70" s="14">
        <f t="shared" si="65"/>
        <v>29.528124999999989</v>
      </c>
      <c r="CW70" s="14">
        <f t="shared" si="66"/>
        <v>6.1437499999999972</v>
      </c>
      <c r="CX70" s="14">
        <f t="shared" si="67"/>
        <v>62.806249999999984</v>
      </c>
      <c r="CY70" s="14">
        <f t="shared" si="68"/>
        <v>0.59687499999999938</v>
      </c>
      <c r="CZ70" s="14">
        <f t="shared" si="69"/>
        <v>102.25937499999998</v>
      </c>
      <c r="DA70" s="14">
        <f t="shared" si="70"/>
        <v>0</v>
      </c>
      <c r="DB70" s="14">
        <f t="shared" si="71"/>
        <v>146.66249999999997</v>
      </c>
      <c r="DC70" s="72">
        <f>F70/G70</f>
        <v>557.87193740643534</v>
      </c>
      <c r="DD70" s="72">
        <f t="shared" si="72"/>
        <v>18.595731246881179</v>
      </c>
      <c r="DE70" s="71">
        <f>F70/BU70</f>
        <v>187947.05571222809</v>
      </c>
      <c r="DF70" s="72">
        <f>J70/K70</f>
        <v>1625.7784088998253</v>
      </c>
      <c r="DG70" s="72">
        <f t="shared" si="73"/>
        <v>54.192613629994177</v>
      </c>
      <c r="DH70" s="72">
        <f>J70/BU70</f>
        <v>69474.930673652532</v>
      </c>
      <c r="DI70" s="72">
        <f>N70/P70</f>
        <v>50989.309912389872</v>
      </c>
      <c r="DJ70" s="72">
        <f t="shared" si="74"/>
        <v>1699.6436637463291</v>
      </c>
      <c r="DK70" s="72">
        <f t="shared" si="75"/>
        <v>2428.06237678047</v>
      </c>
      <c r="DL70" s="72">
        <f>N70/BU70</f>
        <v>237950.11292448605</v>
      </c>
      <c r="DM70" s="72">
        <f>N70/BV70</f>
        <v>339928.73274926579</v>
      </c>
      <c r="DN70" s="1">
        <v>0</v>
      </c>
      <c r="DO70" s="1">
        <v>0</v>
      </c>
    </row>
    <row r="71" spans="1:119">
      <c r="A71" s="93">
        <f t="shared" si="79"/>
        <v>44470</v>
      </c>
      <c r="B71" s="4">
        <f t="shared" si="42"/>
        <v>2021</v>
      </c>
      <c r="C71" s="4">
        <f t="shared" si="43"/>
        <v>10</v>
      </c>
      <c r="D71" s="56">
        <v>5828517</v>
      </c>
      <c r="E71" s="56">
        <f>IFERROR(VLOOKUP($B71-1,CDM!$J$6:$P$19,2,FALSE)/12,0)+IFERROR(VLOOKUP($B71,CDM!$J$37:$M$48,2,FALSE)/24,0)+IFERROR(VLOOKUP($B71,CDM!$J$37:$M$48,2,FALSE)/2*$C71/78,0)</f>
        <v>162872.1807823751</v>
      </c>
      <c r="F71" s="56">
        <f t="shared" si="76"/>
        <v>5991389.1807823749</v>
      </c>
      <c r="G71" s="301">
        <v>10112</v>
      </c>
      <c r="H71" s="56">
        <v>1980105</v>
      </c>
      <c r="I71" s="56">
        <f>IFERROR(VLOOKUP($B71-1,CDM!$J$6:$P$19,3,FALSE)/12,0)+IFERROR(VLOOKUP($B71,CDM!$J$37:$M$47,3,FALSE)/24,0)+IFERROR(VLOOKUP($B71,CDM!$J$37:$M$47,3,FALSE)/2*$C71/78,0)</f>
        <v>170118.83222075549</v>
      </c>
      <c r="J71" s="56">
        <f t="shared" si="77"/>
        <v>2150223.8322207555</v>
      </c>
      <c r="K71" s="6">
        <v>1280</v>
      </c>
      <c r="L71" s="5">
        <v>5384511.6330687581</v>
      </c>
      <c r="M71" s="2">
        <f>IFERROR(VLOOKUP($B71-1,CDM!$J$6:$P$19,4,FALSE)/12,0)+IFERROR(VLOOKUP($B71,CDM!$J$37:$M$47,4,FALSE)/24,0)+IFERROR(VLOOKUP($B71,CDM!$J$37:$M$47,4,FALSE)/2*$C71/78,0)</f>
        <v>152095.74168277232</v>
      </c>
      <c r="N71" s="56">
        <f t="shared" si="78"/>
        <v>5536607.3747515306</v>
      </c>
      <c r="O71" s="5">
        <v>12860.150000000001</v>
      </c>
      <c r="P71" s="6">
        <v>141</v>
      </c>
      <c r="Q71" s="5">
        <v>94750</v>
      </c>
      <c r="R71" s="5">
        <v>235.2</v>
      </c>
      <c r="S71" s="6">
        <v>2920</v>
      </c>
      <c r="T71" s="6">
        <v>16879.313187338626</v>
      </c>
      <c r="U71" s="6">
        <v>44.400000000000006</v>
      </c>
      <c r="V71" s="6">
        <v>171</v>
      </c>
      <c r="W71" s="5">
        <v>50605</v>
      </c>
      <c r="X71" s="1">
        <v>19</v>
      </c>
      <c r="Y71" s="56">
        <v>1736</v>
      </c>
      <c r="Z71" s="56">
        <v>3115.5</v>
      </c>
      <c r="AA71" s="71">
        <f>L71-Y71</f>
        <v>5382775.6330687581</v>
      </c>
      <c r="AB71" s="71">
        <f>N71-Y71</f>
        <v>5534871.3747515306</v>
      </c>
      <c r="AC71" s="5">
        <f>O71-Z71</f>
        <v>9744.6500000000015</v>
      </c>
      <c r="AD71" s="111">
        <f>Economic!H73</f>
        <v>817265.5</v>
      </c>
      <c r="AE71" s="111">
        <f>Economic!I73</f>
        <v>840399</v>
      </c>
      <c r="AF71" s="111">
        <f>Economic!D73</f>
        <v>7537.7</v>
      </c>
      <c r="AG71" s="111">
        <f>Economic!E73</f>
        <v>7547.1</v>
      </c>
      <c r="AH71" s="111">
        <f>Economic!F73</f>
        <v>613.5</v>
      </c>
      <c r="AI71" s="111">
        <f>Economic!G73</f>
        <v>610.29999999999995</v>
      </c>
      <c r="AJ71" s="111">
        <f>Economic!J73</f>
        <v>351.09999999999945</v>
      </c>
      <c r="AK71" s="111">
        <f>Economic!K73</f>
        <v>336.40000000000055</v>
      </c>
      <c r="AL71" s="111">
        <f>Economic!L73</f>
        <v>22.299999999999955</v>
      </c>
      <c r="AM71" s="111">
        <f>Economic!M73</f>
        <v>22</v>
      </c>
      <c r="AN71" s="111">
        <f>Economic!N73</f>
        <v>47323.5</v>
      </c>
      <c r="AO71" s="111">
        <f>Economic!O73</f>
        <v>19393</v>
      </c>
      <c r="AP71" s="28">
        <f>Weather!D71</f>
        <v>10.492607526881724</v>
      </c>
      <c r="AQ71" s="28">
        <f>Weather!E71</f>
        <v>294.72916666666663</v>
      </c>
      <c r="AR71" s="28">
        <f>Weather!F71</f>
        <v>0</v>
      </c>
      <c r="AS71" s="28">
        <f>Weather!G71</f>
        <v>232.72916666666669</v>
      </c>
      <c r="AT71" s="28">
        <f>Weather!H71</f>
        <v>0</v>
      </c>
      <c r="AU71" s="28">
        <f>Weather!I71</f>
        <v>177.0291666666667</v>
      </c>
      <c r="AV71" s="28">
        <f>Weather!J71</f>
        <v>6.2999999999999972</v>
      </c>
      <c r="AW71" s="28">
        <f>Weather!K71</f>
        <v>126.50000000000001</v>
      </c>
      <c r="AX71" s="28">
        <f>Weather!L71</f>
        <v>17.770833333333329</v>
      </c>
      <c r="AY71" s="28">
        <f>Weather!M71</f>
        <v>84.862500000000026</v>
      </c>
      <c r="AZ71" s="28">
        <f>Weather!N71</f>
        <v>38.133333333333326</v>
      </c>
      <c r="BA71" s="28">
        <f>Weather!O71</f>
        <v>54.908333333333339</v>
      </c>
      <c r="BB71" s="28">
        <f>Weather!P71</f>
        <v>70.17916666666666</v>
      </c>
      <c r="BC71" s="28">
        <f>Weather!Q71</f>
        <v>30.704166666666669</v>
      </c>
      <c r="BD71" s="28">
        <f>Weather!R71</f>
        <v>107.97499999999998</v>
      </c>
      <c r="BE71">
        <v>0</v>
      </c>
      <c r="BF71">
        <v>0</v>
      </c>
      <c r="BG71">
        <v>0</v>
      </c>
      <c r="BH71">
        <v>0</v>
      </c>
      <c r="BI71">
        <v>0</v>
      </c>
      <c r="BJ71">
        <v>0</v>
      </c>
      <c r="BK71">
        <v>0</v>
      </c>
      <c r="BL71">
        <v>0</v>
      </c>
      <c r="BM71">
        <v>0</v>
      </c>
      <c r="BN71">
        <v>1</v>
      </c>
      <c r="BO71">
        <v>0</v>
      </c>
      <c r="BP71">
        <v>0</v>
      </c>
      <c r="BQ71" s="1">
        <f t="shared" si="40"/>
        <v>0</v>
      </c>
      <c r="BR71" s="1">
        <f t="shared" si="40"/>
        <v>1</v>
      </c>
      <c r="BS71" s="1">
        <f t="shared" si="40"/>
        <v>1</v>
      </c>
      <c r="BT71" s="1">
        <f t="shared" si="44"/>
        <v>70</v>
      </c>
      <c r="BU71">
        <f t="shared" si="41"/>
        <v>31</v>
      </c>
      <c r="BV71">
        <v>21</v>
      </c>
      <c r="BW71" s="1">
        <v>1</v>
      </c>
      <c r="BX71" s="1">
        <v>0.5</v>
      </c>
      <c r="BY71" s="1">
        <v>0.75</v>
      </c>
      <c r="BZ71" s="1">
        <v>0</v>
      </c>
      <c r="CA71">
        <f t="shared" si="45"/>
        <v>147.36458333333331</v>
      </c>
      <c r="CB71">
        <f t="shared" si="46"/>
        <v>0</v>
      </c>
      <c r="CC71">
        <f t="shared" si="47"/>
        <v>116.36458333333334</v>
      </c>
      <c r="CD71">
        <f t="shared" si="48"/>
        <v>0</v>
      </c>
      <c r="CE71">
        <f t="shared" si="49"/>
        <v>88.514583333333348</v>
      </c>
      <c r="CF71">
        <f t="shared" si="50"/>
        <v>3.1499999999999986</v>
      </c>
      <c r="CG71">
        <f t="shared" si="51"/>
        <v>63.250000000000007</v>
      </c>
      <c r="CH71">
        <f t="shared" si="52"/>
        <v>8.8854166666666643</v>
      </c>
      <c r="CI71">
        <f t="shared" si="53"/>
        <v>42.431250000000013</v>
      </c>
      <c r="CJ71">
        <f t="shared" si="54"/>
        <v>19.066666666666663</v>
      </c>
      <c r="CK71">
        <f t="shared" si="55"/>
        <v>27.454166666666669</v>
      </c>
      <c r="CL71">
        <f t="shared" si="56"/>
        <v>35.08958333333333</v>
      </c>
      <c r="CM71">
        <f t="shared" si="57"/>
        <v>15.352083333333335</v>
      </c>
      <c r="CN71">
        <f t="shared" si="58"/>
        <v>53.98749999999999</v>
      </c>
      <c r="CO71" s="14">
        <f t="shared" si="39"/>
        <v>221.04687499999997</v>
      </c>
      <c r="CP71" s="14">
        <f t="shared" si="59"/>
        <v>0</v>
      </c>
      <c r="CQ71" s="14">
        <f t="shared" si="60"/>
        <v>174.546875</v>
      </c>
      <c r="CR71" s="14">
        <f t="shared" si="61"/>
        <v>0</v>
      </c>
      <c r="CS71" s="14">
        <f t="shared" si="62"/>
        <v>132.77187500000002</v>
      </c>
      <c r="CT71" s="14">
        <f t="shared" si="63"/>
        <v>4.7249999999999979</v>
      </c>
      <c r="CU71" s="14">
        <f t="shared" si="64"/>
        <v>94.875000000000014</v>
      </c>
      <c r="CV71" s="14">
        <f t="shared" si="65"/>
        <v>13.328124999999996</v>
      </c>
      <c r="CW71" s="14">
        <f t="shared" si="66"/>
        <v>63.646875000000023</v>
      </c>
      <c r="CX71" s="14">
        <f t="shared" si="67"/>
        <v>28.599999999999994</v>
      </c>
      <c r="CY71" s="14">
        <f t="shared" si="68"/>
        <v>41.181250000000006</v>
      </c>
      <c r="CZ71" s="14">
        <f t="shared" si="69"/>
        <v>52.634374999999991</v>
      </c>
      <c r="DA71" s="14">
        <f t="shared" si="70"/>
        <v>23.028125000000003</v>
      </c>
      <c r="DB71" s="14">
        <f t="shared" si="71"/>
        <v>80.981249999999989</v>
      </c>
      <c r="DC71" s="72">
        <f>F71/G71</f>
        <v>592.50288575775073</v>
      </c>
      <c r="DD71" s="72">
        <f t="shared" si="72"/>
        <v>19.112996314766153</v>
      </c>
      <c r="DE71" s="71">
        <f>F71/BU71</f>
        <v>193270.61873491533</v>
      </c>
      <c r="DF71" s="72">
        <f>J71/K71</f>
        <v>1679.8623689224653</v>
      </c>
      <c r="DG71" s="72">
        <f t="shared" si="73"/>
        <v>54.189108674918238</v>
      </c>
      <c r="DH71" s="72">
        <f>J71/BU71</f>
        <v>69362.059103895343</v>
      </c>
      <c r="DI71" s="72">
        <f>N71/P71</f>
        <v>39266.718969869013</v>
      </c>
      <c r="DJ71" s="72">
        <f t="shared" si="74"/>
        <v>1266.6683538667423</v>
      </c>
      <c r="DK71" s="72">
        <f t="shared" si="75"/>
        <v>1869.8437604699529</v>
      </c>
      <c r="DL71" s="72">
        <f>N71/BU71</f>
        <v>178600.23789521065</v>
      </c>
      <c r="DM71" s="72">
        <f>N71/BV71</f>
        <v>263647.97022626334</v>
      </c>
      <c r="DN71" s="1">
        <v>0</v>
      </c>
      <c r="DO71" s="1">
        <v>0</v>
      </c>
    </row>
    <row r="72" spans="1:119">
      <c r="A72" s="93">
        <f t="shared" si="79"/>
        <v>44501</v>
      </c>
      <c r="B72" s="4">
        <f t="shared" si="42"/>
        <v>2021</v>
      </c>
      <c r="C72" s="4">
        <f t="shared" si="43"/>
        <v>11</v>
      </c>
      <c r="D72" s="56">
        <v>6840196</v>
      </c>
      <c r="E72" s="56">
        <f>IFERROR(VLOOKUP($B72-1,CDM!$J$6:$P$19,2,FALSE)/12,0)+IFERROR(VLOOKUP($B72,CDM!$J$37:$M$48,2,FALSE)/24,0)+IFERROR(VLOOKUP($B72,CDM!$J$37:$M$48,2,FALSE)/2*$C72/78,0)</f>
        <v>162933.69019790809</v>
      </c>
      <c r="F72" s="56">
        <f t="shared" si="76"/>
        <v>7003129.6901979083</v>
      </c>
      <c r="G72" s="301">
        <v>10114</v>
      </c>
      <c r="H72" s="56">
        <v>2325439</v>
      </c>
      <c r="I72" s="56">
        <f>IFERROR(VLOOKUP($B72-1,CDM!$J$6:$P$19,3,FALSE)/12,0)+IFERROR(VLOOKUP($B72,CDM!$J$37:$M$47,3,FALSE)/24,0)+IFERROR(VLOOKUP($B72,CDM!$J$37:$M$47,3,FALSE)/2*$C72/78,0)</f>
        <v>170954.74423193492</v>
      </c>
      <c r="J72" s="56">
        <f t="shared" si="77"/>
        <v>2496393.7442319351</v>
      </c>
      <c r="K72" s="6">
        <v>1279</v>
      </c>
      <c r="L72" s="5">
        <v>5436796</v>
      </c>
      <c r="M72" s="2">
        <f>IFERROR(VLOOKUP($B72-1,CDM!$J$6:$P$19,4,FALSE)/12,0)+IFERROR(VLOOKUP($B72,CDM!$J$37:$M$47,4,FALSE)/24,0)+IFERROR(VLOOKUP($B72,CDM!$J$37:$M$47,4,FALSE)/2*$C72/78,0)</f>
        <v>153100.34063431033</v>
      </c>
      <c r="N72" s="56">
        <f t="shared" si="78"/>
        <v>5589896.3406343106</v>
      </c>
      <c r="O72" s="5">
        <v>17997.599999999999</v>
      </c>
      <c r="P72" s="6">
        <v>141</v>
      </c>
      <c r="Q72" s="5">
        <v>100923</v>
      </c>
      <c r="R72" s="5">
        <v>235.2</v>
      </c>
      <c r="S72" s="6">
        <v>2920</v>
      </c>
      <c r="T72" s="6">
        <v>15893.188390551783</v>
      </c>
      <c r="U72" s="6">
        <v>44.1</v>
      </c>
      <c r="V72" s="6">
        <v>171</v>
      </c>
      <c r="W72" s="5">
        <v>50101</v>
      </c>
      <c r="X72" s="1">
        <v>19</v>
      </c>
      <c r="Y72" s="56">
        <v>50588.800000000003</v>
      </c>
      <c r="Z72" s="56">
        <v>4483.2</v>
      </c>
      <c r="AA72" s="71">
        <f>L72-Y72</f>
        <v>5386207.2000000002</v>
      </c>
      <c r="AB72" s="71">
        <f>N72-Y72</f>
        <v>5539307.5406343108</v>
      </c>
      <c r="AC72" s="5">
        <f>O72-Z72</f>
        <v>13514.399999999998</v>
      </c>
      <c r="AD72" s="111">
        <f>Economic!H74</f>
        <v>817265.5</v>
      </c>
      <c r="AE72" s="111">
        <f>Economic!I74</f>
        <v>840399</v>
      </c>
      <c r="AF72" s="111">
        <f>Economic!D74</f>
        <v>7604</v>
      </c>
      <c r="AG72" s="111">
        <f>Economic!E74</f>
        <v>7604.8</v>
      </c>
      <c r="AH72" s="111">
        <f>Economic!F74</f>
        <v>614.20000000000005</v>
      </c>
      <c r="AI72" s="111">
        <f>Economic!G74</f>
        <v>610</v>
      </c>
      <c r="AJ72" s="111">
        <f>Economic!J74</f>
        <v>332.19999999999982</v>
      </c>
      <c r="AK72" s="111">
        <f>Economic!K74</f>
        <v>321.80000000000018</v>
      </c>
      <c r="AL72" s="111">
        <f>Economic!L74</f>
        <v>21.5</v>
      </c>
      <c r="AM72" s="111">
        <f>Economic!M74</f>
        <v>21.100000000000023</v>
      </c>
      <c r="AN72" s="111">
        <f>Economic!N74</f>
        <v>47323.5</v>
      </c>
      <c r="AO72" s="111">
        <f>Economic!O74</f>
        <v>19393</v>
      </c>
      <c r="AP72" s="28">
        <f>Weather!D72</f>
        <v>0.52263888888888899</v>
      </c>
      <c r="AQ72" s="28">
        <f>Weather!E72</f>
        <v>584.32083333333333</v>
      </c>
      <c r="AR72" s="28">
        <f>Weather!F72</f>
        <v>0</v>
      </c>
      <c r="AS72" s="28">
        <f>Weather!G72</f>
        <v>524.32083333333333</v>
      </c>
      <c r="AT72" s="28">
        <f>Weather!H72</f>
        <v>0</v>
      </c>
      <c r="AU72" s="28">
        <f>Weather!I72</f>
        <v>464.32083333333333</v>
      </c>
      <c r="AV72" s="28">
        <f>Weather!J72</f>
        <v>0</v>
      </c>
      <c r="AW72" s="28">
        <f>Weather!K72</f>
        <v>404.32083333333333</v>
      </c>
      <c r="AX72" s="28">
        <f>Weather!L72</f>
        <v>0</v>
      </c>
      <c r="AY72" s="28">
        <f>Weather!M72</f>
        <v>344.32083333333333</v>
      </c>
      <c r="AZ72" s="28">
        <f>Weather!N72</f>
        <v>0</v>
      </c>
      <c r="BA72" s="28">
        <f>Weather!O72</f>
        <v>284.32083333333327</v>
      </c>
      <c r="BB72" s="28">
        <f>Weather!P72</f>
        <v>0</v>
      </c>
      <c r="BC72" s="28">
        <f>Weather!Q72</f>
        <v>224.32083333333335</v>
      </c>
      <c r="BD72" s="28">
        <f>Weather!R72</f>
        <v>0</v>
      </c>
      <c r="BE72">
        <v>0</v>
      </c>
      <c r="BF72">
        <v>0</v>
      </c>
      <c r="BG72">
        <v>0</v>
      </c>
      <c r="BH72">
        <v>0</v>
      </c>
      <c r="BI72">
        <v>0</v>
      </c>
      <c r="BJ72">
        <v>0</v>
      </c>
      <c r="BK72">
        <v>0</v>
      </c>
      <c r="BL72">
        <v>0</v>
      </c>
      <c r="BM72">
        <v>0</v>
      </c>
      <c r="BN72">
        <v>0</v>
      </c>
      <c r="BO72">
        <v>1</v>
      </c>
      <c r="BP72">
        <v>0</v>
      </c>
      <c r="BQ72" s="1">
        <f t="shared" si="40"/>
        <v>0</v>
      </c>
      <c r="BR72" s="1">
        <f t="shared" si="40"/>
        <v>1</v>
      </c>
      <c r="BS72" s="1">
        <f t="shared" si="40"/>
        <v>1</v>
      </c>
      <c r="BT72" s="1">
        <f t="shared" si="44"/>
        <v>71</v>
      </c>
      <c r="BU72">
        <f t="shared" si="41"/>
        <v>30</v>
      </c>
      <c r="BV72">
        <v>21</v>
      </c>
      <c r="BW72" s="1">
        <v>1</v>
      </c>
      <c r="BX72" s="1">
        <v>0.5</v>
      </c>
      <c r="BY72" s="1">
        <v>0.75</v>
      </c>
      <c r="BZ72" s="1">
        <v>0</v>
      </c>
      <c r="CA72">
        <f t="shared" si="45"/>
        <v>292.16041666666666</v>
      </c>
      <c r="CB72">
        <f t="shared" si="46"/>
        <v>0</v>
      </c>
      <c r="CC72">
        <f t="shared" si="47"/>
        <v>262.16041666666666</v>
      </c>
      <c r="CD72">
        <f t="shared" si="48"/>
        <v>0</v>
      </c>
      <c r="CE72">
        <f t="shared" si="49"/>
        <v>232.16041666666666</v>
      </c>
      <c r="CF72">
        <f t="shared" si="50"/>
        <v>0</v>
      </c>
      <c r="CG72">
        <f t="shared" si="51"/>
        <v>202.16041666666666</v>
      </c>
      <c r="CH72">
        <f t="shared" si="52"/>
        <v>0</v>
      </c>
      <c r="CI72">
        <f t="shared" si="53"/>
        <v>172.16041666666666</v>
      </c>
      <c r="CJ72">
        <f t="shared" si="54"/>
        <v>0</v>
      </c>
      <c r="CK72">
        <f t="shared" si="55"/>
        <v>142.16041666666663</v>
      </c>
      <c r="CL72">
        <f t="shared" si="56"/>
        <v>0</v>
      </c>
      <c r="CM72">
        <f t="shared" si="57"/>
        <v>112.16041666666668</v>
      </c>
      <c r="CN72">
        <f t="shared" si="58"/>
        <v>0</v>
      </c>
      <c r="CO72" s="14">
        <f t="shared" si="39"/>
        <v>438.24062500000002</v>
      </c>
      <c r="CP72" s="14">
        <f t="shared" si="59"/>
        <v>0</v>
      </c>
      <c r="CQ72" s="14">
        <f t="shared" si="60"/>
        <v>393.24062500000002</v>
      </c>
      <c r="CR72" s="14">
        <f t="shared" si="61"/>
        <v>0</v>
      </c>
      <c r="CS72" s="14">
        <f t="shared" si="62"/>
        <v>348.24062500000002</v>
      </c>
      <c r="CT72" s="14">
        <f t="shared" si="63"/>
        <v>0</v>
      </c>
      <c r="CU72" s="14">
        <f t="shared" si="64"/>
        <v>303.24062500000002</v>
      </c>
      <c r="CV72" s="14">
        <f t="shared" si="65"/>
        <v>0</v>
      </c>
      <c r="CW72" s="14">
        <f t="shared" si="66"/>
        <v>258.24062500000002</v>
      </c>
      <c r="CX72" s="14">
        <f t="shared" si="67"/>
        <v>0</v>
      </c>
      <c r="CY72" s="14">
        <f t="shared" si="68"/>
        <v>213.24062499999997</v>
      </c>
      <c r="CZ72" s="14">
        <f t="shared" si="69"/>
        <v>0</v>
      </c>
      <c r="DA72" s="14">
        <f t="shared" si="70"/>
        <v>168.24062500000002</v>
      </c>
      <c r="DB72" s="14">
        <f t="shared" si="71"/>
        <v>0</v>
      </c>
      <c r="DC72" s="72">
        <f>F72/G72</f>
        <v>692.41938799662921</v>
      </c>
      <c r="DD72" s="72">
        <f t="shared" si="72"/>
        <v>23.080646266554307</v>
      </c>
      <c r="DE72" s="71">
        <f>F72/BU72</f>
        <v>233437.65633993028</v>
      </c>
      <c r="DF72" s="72">
        <f>J72/K72</f>
        <v>1951.8324818076114</v>
      </c>
      <c r="DG72" s="72">
        <f t="shared" si="73"/>
        <v>65.061082726920375</v>
      </c>
      <c r="DH72" s="72">
        <f>J72/BU72</f>
        <v>83213.124807731176</v>
      </c>
      <c r="DI72" s="72">
        <f>N72/P72</f>
        <v>39644.654898115681</v>
      </c>
      <c r="DJ72" s="72">
        <f t="shared" si="74"/>
        <v>1321.488496603856</v>
      </c>
      <c r="DK72" s="72">
        <f t="shared" si="75"/>
        <v>1887.8407094340801</v>
      </c>
      <c r="DL72" s="72">
        <f>N72/BU72</f>
        <v>186329.8780211437</v>
      </c>
      <c r="DM72" s="72">
        <f>N72/BV72</f>
        <v>266185.54003020527</v>
      </c>
      <c r="DN72" s="1">
        <v>0</v>
      </c>
      <c r="DO72" s="1">
        <v>0</v>
      </c>
    </row>
    <row r="73" spans="1:119">
      <c r="A73" s="93">
        <f t="shared" si="79"/>
        <v>44531</v>
      </c>
      <c r="B73" s="4">
        <f t="shared" si="42"/>
        <v>2021</v>
      </c>
      <c r="C73" s="4">
        <f t="shared" si="43"/>
        <v>12</v>
      </c>
      <c r="D73" s="56">
        <v>8470209.6400000006</v>
      </c>
      <c r="E73" s="56">
        <f>IFERROR(VLOOKUP($B73-1,CDM!$J$6:$P$19,2,FALSE)/12,0)+IFERROR(VLOOKUP($B73,CDM!$J$37:$M$48,2,FALSE)/24,0)+IFERROR(VLOOKUP($B73,CDM!$J$37:$M$48,2,FALSE)/2*$C73/78,0)</f>
        <v>162995.19961344107</v>
      </c>
      <c r="F73" s="56">
        <f t="shared" si="76"/>
        <v>8633204.8396134414</v>
      </c>
      <c r="G73" s="301">
        <v>10127</v>
      </c>
      <c r="H73" s="56">
        <v>2777821.65</v>
      </c>
      <c r="I73" s="56">
        <f>IFERROR(VLOOKUP($B73-1,CDM!$J$6:$P$19,3,FALSE)/12,0)+IFERROR(VLOOKUP($B73,CDM!$J$37:$M$47,3,FALSE)/24,0)+IFERROR(VLOOKUP($B73,CDM!$J$37:$M$47,3,FALSE)/2*$C73/78,0)</f>
        <v>171790.65624311438</v>
      </c>
      <c r="J73" s="56">
        <f t="shared" si="77"/>
        <v>2949612.3062431142</v>
      </c>
      <c r="K73" s="6">
        <v>1281</v>
      </c>
      <c r="L73" s="5">
        <v>5885929.4399999995</v>
      </c>
      <c r="M73" s="2">
        <f>IFERROR(VLOOKUP($B73-1,CDM!$J$6:$P$19,4,FALSE)/12,0)+IFERROR(VLOOKUP($B73,CDM!$J$37:$M$47,4,FALSE)/24,0)+IFERROR(VLOOKUP($B73,CDM!$J$37:$M$47,4,FALSE)/2*$C73/78,0)</f>
        <v>154104.9395858483</v>
      </c>
      <c r="N73" s="56">
        <f t="shared" si="78"/>
        <v>6040034.3795858482</v>
      </c>
      <c r="O73" s="5">
        <v>19484</v>
      </c>
      <c r="P73" s="6">
        <v>141</v>
      </c>
      <c r="Q73" s="5">
        <v>109309.55</v>
      </c>
      <c r="R73" s="5">
        <v>235.2</v>
      </c>
      <c r="S73" s="6">
        <v>2920</v>
      </c>
      <c r="T73" s="6">
        <v>15783.54</v>
      </c>
      <c r="U73" s="6">
        <v>44.1</v>
      </c>
      <c r="V73" s="6">
        <v>171</v>
      </c>
      <c r="W73" s="5">
        <v>52578.61</v>
      </c>
      <c r="X73" s="1">
        <v>19</v>
      </c>
      <c r="Y73" s="56">
        <v>19046.72</v>
      </c>
      <c r="Z73" s="56">
        <v>8870.4</v>
      </c>
      <c r="AA73" s="71">
        <f>L73-Y73</f>
        <v>5866882.7199999997</v>
      </c>
      <c r="AB73" s="71">
        <f>N73-Y73</f>
        <v>6020987.6595858485</v>
      </c>
      <c r="AC73" s="5">
        <f>O73-Z73</f>
        <v>10613.6</v>
      </c>
      <c r="AD73" s="111">
        <f>Economic!H75</f>
        <v>817265.5</v>
      </c>
      <c r="AE73" s="111">
        <f>Economic!I75</f>
        <v>840399</v>
      </c>
      <c r="AF73" s="111">
        <f>Economic!D75</f>
        <v>7658.5</v>
      </c>
      <c r="AG73" s="111">
        <f>Economic!E75</f>
        <v>7662.8</v>
      </c>
      <c r="AH73" s="111">
        <f>Economic!F75</f>
        <v>616.4</v>
      </c>
      <c r="AI73" s="111">
        <f>Economic!G75</f>
        <v>613.20000000000005</v>
      </c>
      <c r="AJ73" s="111">
        <f>Economic!J75</f>
        <v>368.69999999999982</v>
      </c>
      <c r="AK73" s="111">
        <f>Economic!K75</f>
        <v>362.19999999999982</v>
      </c>
      <c r="AL73" s="111">
        <f>Economic!L75</f>
        <v>19.699999999999932</v>
      </c>
      <c r="AM73" s="111">
        <f>Economic!M75</f>
        <v>18.800000000000068</v>
      </c>
      <c r="AN73" s="111">
        <f>Economic!N75</f>
        <v>47323.5</v>
      </c>
      <c r="AO73" s="111">
        <f>Economic!O75</f>
        <v>19393</v>
      </c>
      <c r="AP73" s="28">
        <f>Weather!D73</f>
        <v>-4.6518145161290319</v>
      </c>
      <c r="AQ73" s="28">
        <f>Weather!E73</f>
        <v>764.20624999999995</v>
      </c>
      <c r="AR73" s="28">
        <f>Weather!F73</f>
        <v>0</v>
      </c>
      <c r="AS73" s="28">
        <f>Weather!G73</f>
        <v>702.20624999999995</v>
      </c>
      <c r="AT73" s="28">
        <f>Weather!H73</f>
        <v>0</v>
      </c>
      <c r="AU73" s="28">
        <f>Weather!I73</f>
        <v>640.20625000000007</v>
      </c>
      <c r="AV73" s="28">
        <f>Weather!J73</f>
        <v>0</v>
      </c>
      <c r="AW73" s="28">
        <f>Weather!K73</f>
        <v>578.20625000000007</v>
      </c>
      <c r="AX73" s="28">
        <f>Weather!L73</f>
        <v>0</v>
      </c>
      <c r="AY73" s="28">
        <f>Weather!M73</f>
        <v>516.20625000000018</v>
      </c>
      <c r="AZ73" s="28">
        <f>Weather!N73</f>
        <v>0</v>
      </c>
      <c r="BA73" s="28">
        <f>Weather!O73</f>
        <v>454.20625000000007</v>
      </c>
      <c r="BB73" s="28">
        <f>Weather!P73</f>
        <v>0</v>
      </c>
      <c r="BC73" s="28">
        <f>Weather!Q73</f>
        <v>392.36101190476188</v>
      </c>
      <c r="BD73" s="28">
        <f>Weather!R73</f>
        <v>0.15476190476190332</v>
      </c>
      <c r="BE73">
        <v>0</v>
      </c>
      <c r="BF73">
        <v>0</v>
      </c>
      <c r="BG73">
        <v>0</v>
      </c>
      <c r="BH73">
        <v>0</v>
      </c>
      <c r="BI73">
        <v>0</v>
      </c>
      <c r="BJ73">
        <v>0</v>
      </c>
      <c r="BK73">
        <v>0</v>
      </c>
      <c r="BL73">
        <v>0</v>
      </c>
      <c r="BM73">
        <v>0</v>
      </c>
      <c r="BN73">
        <v>0</v>
      </c>
      <c r="BO73">
        <v>0</v>
      </c>
      <c r="BP73">
        <v>1</v>
      </c>
      <c r="BQ73" s="1">
        <f t="shared" si="40"/>
        <v>0</v>
      </c>
      <c r="BR73" s="1">
        <f t="shared" si="40"/>
        <v>0</v>
      </c>
      <c r="BS73" s="1">
        <f t="shared" si="40"/>
        <v>0</v>
      </c>
      <c r="BT73" s="1">
        <f t="shared" si="44"/>
        <v>72</v>
      </c>
      <c r="BU73">
        <f t="shared" si="41"/>
        <v>31</v>
      </c>
      <c r="BV73">
        <v>21</v>
      </c>
      <c r="BW73" s="1">
        <v>1</v>
      </c>
      <c r="BX73" s="1">
        <v>0.5</v>
      </c>
      <c r="BY73" s="1">
        <v>0.75</v>
      </c>
      <c r="BZ73" s="1">
        <v>0</v>
      </c>
      <c r="CA73">
        <f t="shared" si="45"/>
        <v>382.10312499999998</v>
      </c>
      <c r="CB73">
        <f t="shared" si="46"/>
        <v>0</v>
      </c>
      <c r="CC73">
        <f t="shared" si="47"/>
        <v>351.10312499999998</v>
      </c>
      <c r="CD73">
        <f t="shared" si="48"/>
        <v>0</v>
      </c>
      <c r="CE73">
        <f t="shared" si="49"/>
        <v>320.10312500000003</v>
      </c>
      <c r="CF73">
        <f t="shared" si="50"/>
        <v>0</v>
      </c>
      <c r="CG73">
        <f t="shared" si="51"/>
        <v>289.10312500000003</v>
      </c>
      <c r="CH73">
        <f t="shared" si="52"/>
        <v>0</v>
      </c>
      <c r="CI73">
        <f t="shared" si="53"/>
        <v>258.10312500000009</v>
      </c>
      <c r="CJ73">
        <f t="shared" si="54"/>
        <v>0</v>
      </c>
      <c r="CK73">
        <f t="shared" si="55"/>
        <v>227.10312500000003</v>
      </c>
      <c r="CL73">
        <f t="shared" si="56"/>
        <v>0</v>
      </c>
      <c r="CM73">
        <f t="shared" si="57"/>
        <v>196.18050595238094</v>
      </c>
      <c r="CN73">
        <f t="shared" si="58"/>
        <v>7.7380952380951662E-2</v>
      </c>
      <c r="CO73" s="14">
        <f t="shared" si="39"/>
        <v>573.15468749999991</v>
      </c>
      <c r="CP73" s="14">
        <f t="shared" si="59"/>
        <v>0</v>
      </c>
      <c r="CQ73" s="14">
        <f t="shared" si="60"/>
        <v>526.65468749999991</v>
      </c>
      <c r="CR73" s="14">
        <f t="shared" si="61"/>
        <v>0</v>
      </c>
      <c r="CS73" s="14">
        <f t="shared" si="62"/>
        <v>480.15468750000002</v>
      </c>
      <c r="CT73" s="14">
        <f t="shared" si="63"/>
        <v>0</v>
      </c>
      <c r="CU73" s="14">
        <f t="shared" si="64"/>
        <v>433.65468750000002</v>
      </c>
      <c r="CV73" s="14">
        <f t="shared" si="65"/>
        <v>0</v>
      </c>
      <c r="CW73" s="14">
        <f t="shared" si="66"/>
        <v>387.15468750000014</v>
      </c>
      <c r="CX73" s="14">
        <f t="shared" si="67"/>
        <v>0</v>
      </c>
      <c r="CY73" s="14">
        <f t="shared" si="68"/>
        <v>340.65468750000002</v>
      </c>
      <c r="CZ73" s="14">
        <f t="shared" si="69"/>
        <v>0</v>
      </c>
      <c r="DA73" s="14">
        <f t="shared" si="70"/>
        <v>294.27075892857141</v>
      </c>
      <c r="DB73" s="14">
        <f t="shared" si="71"/>
        <v>0.11607142857142749</v>
      </c>
      <c r="DC73" s="72">
        <f>F73/G73</f>
        <v>852.49381254206003</v>
      </c>
      <c r="DD73" s="72">
        <f t="shared" si="72"/>
        <v>27.499800404582583</v>
      </c>
      <c r="DE73" s="71">
        <f>F73/BU73</f>
        <v>278490.47869720781</v>
      </c>
      <c r="DF73" s="72">
        <f>J73/K73</f>
        <v>2302.5857191593395</v>
      </c>
      <c r="DG73" s="72">
        <f t="shared" si="73"/>
        <v>74.276958682559339</v>
      </c>
      <c r="DH73" s="72">
        <f>J73/BU73</f>
        <v>95148.784072358525</v>
      </c>
      <c r="DI73" s="72">
        <f>N73/P73</f>
        <v>42837.123259474101</v>
      </c>
      <c r="DJ73" s="72">
        <f t="shared" si="74"/>
        <v>1381.8426857894872</v>
      </c>
      <c r="DK73" s="72">
        <f t="shared" si="75"/>
        <v>2039.8630123559096</v>
      </c>
      <c r="DL73" s="72">
        <f>N73/BU73</f>
        <v>194839.81869631767</v>
      </c>
      <c r="DM73" s="72">
        <f>N73/BV73</f>
        <v>287620.68474218325</v>
      </c>
      <c r="DN73" s="1">
        <v>0</v>
      </c>
      <c r="DO73" s="1">
        <v>0</v>
      </c>
    </row>
    <row r="74" spans="1:119">
      <c r="A74" s="93">
        <f t="shared" si="79"/>
        <v>44562</v>
      </c>
      <c r="B74" s="4">
        <f t="shared" si="42"/>
        <v>2022</v>
      </c>
      <c r="C74" s="4">
        <f t="shared" si="43"/>
        <v>1</v>
      </c>
      <c r="D74" s="56">
        <v>10369340</v>
      </c>
      <c r="E74" s="56">
        <f>IFERROR(VLOOKUP($B74-1,CDM!$J$6:$P$19,2,FALSE)/12,0)+IFERROR(VLOOKUP($B74,CDM!$J$37:$M$48,2,FALSE)/24,0)+IFERROR(VLOOKUP($B74,CDM!$J$37:$M$48,2,FALSE)/2*$C74/78,0)</f>
        <v>163485.52869705902</v>
      </c>
      <c r="F74" s="56">
        <f t="shared" si="76"/>
        <v>10532825.528697059</v>
      </c>
      <c r="G74" s="301">
        <v>10147</v>
      </c>
      <c r="H74" s="56">
        <v>3325611</v>
      </c>
      <c r="I74" s="56">
        <f>IFERROR(VLOOKUP($B74-1,CDM!$J$6:$P$19,3,FALSE)/12,0)+IFERROR(VLOOKUP($B74,CDM!$J$37:$M$47,3,FALSE)/24,0)+IFERROR(VLOOKUP($B74,CDM!$J$37:$M$47,3,FALSE)/2*$C74/78,0)</f>
        <v>186815.4695312783</v>
      </c>
      <c r="J74" s="56">
        <f t="shared" si="77"/>
        <v>3512426.4695312781</v>
      </c>
      <c r="K74" s="6">
        <v>1283</v>
      </c>
      <c r="L74" s="5">
        <v>6999063</v>
      </c>
      <c r="M74" s="2">
        <f>IFERROR(VLOOKUP($B74-1,CDM!$J$6:$P$19,4,FALSE)/12,0)+IFERROR(VLOOKUP($B74,CDM!$J$37:$M$47,4,FALSE)/24,0)+IFERROR(VLOOKUP($B74,CDM!$J$37:$M$47,4,FALSE)/2*$C74/78,0)</f>
        <v>169508.61083325406</v>
      </c>
      <c r="N74" s="56">
        <f t="shared" si="78"/>
        <v>7168571.6108332537</v>
      </c>
      <c r="O74" s="5">
        <v>19204.8</v>
      </c>
      <c r="P74" s="6">
        <v>141</v>
      </c>
      <c r="Q74" s="5">
        <v>106508</v>
      </c>
      <c r="R74" s="5">
        <v>235.2</v>
      </c>
      <c r="S74" s="6">
        <v>2920</v>
      </c>
      <c r="T74" s="6">
        <v>16295</v>
      </c>
      <c r="U74" s="6">
        <v>45.1</v>
      </c>
      <c r="V74" s="6">
        <v>177</v>
      </c>
      <c r="W74" s="5">
        <v>50605</v>
      </c>
      <c r="X74" s="1">
        <v>19</v>
      </c>
      <c r="Y74" s="56">
        <v>551178.4</v>
      </c>
      <c r="Z74" s="56">
        <v>4608</v>
      </c>
      <c r="AA74" s="71">
        <f>L74-Y74</f>
        <v>6447884.5999999996</v>
      </c>
      <c r="AB74" s="71">
        <f>N74-Y74</f>
        <v>6617393.2108332533</v>
      </c>
      <c r="AC74" s="5">
        <f>O74-Z74</f>
        <v>14596.8</v>
      </c>
      <c r="AD74" s="111">
        <f>Economic!H76</f>
        <v>850461.9</v>
      </c>
      <c r="AE74" s="111">
        <f>Economic!I76</f>
        <v>847546</v>
      </c>
      <c r="AF74" s="111">
        <f>Economic!D76</f>
        <v>7643.6</v>
      </c>
      <c r="AG74" s="111">
        <f>Economic!E76</f>
        <v>7611.7</v>
      </c>
      <c r="AH74" s="111">
        <f>Economic!F76</f>
        <v>618.20000000000005</v>
      </c>
      <c r="AI74" s="111">
        <f>Economic!G76</f>
        <v>610.20000000000005</v>
      </c>
      <c r="AJ74" s="111">
        <f>Economic!J76</f>
        <v>409</v>
      </c>
      <c r="AK74" s="111">
        <f>Economic!K76</f>
        <v>404.5</v>
      </c>
      <c r="AL74" s="111">
        <f>Economic!L76</f>
        <v>13</v>
      </c>
      <c r="AM74" s="111">
        <f>Economic!M76</f>
        <v>11.700000000000045</v>
      </c>
      <c r="AN74" s="111">
        <f>Economic!N76</f>
        <v>33196.400000000023</v>
      </c>
      <c r="AO74" s="111">
        <f>Economic!O76</f>
        <v>7147</v>
      </c>
      <c r="AP74" s="28">
        <f>Weather!D74</f>
        <v>-16.084946236559141</v>
      </c>
      <c r="AQ74" s="28">
        <f>Weather!E74</f>
        <v>1118.6333333333332</v>
      </c>
      <c r="AR74" s="28">
        <f>Weather!F74</f>
        <v>0</v>
      </c>
      <c r="AS74" s="28">
        <f>Weather!G74</f>
        <v>1056.6333333333332</v>
      </c>
      <c r="AT74" s="28">
        <f>Weather!H74</f>
        <v>0</v>
      </c>
      <c r="AU74" s="28">
        <f>Weather!I74</f>
        <v>994.63333333333333</v>
      </c>
      <c r="AV74" s="28">
        <f>Weather!J74</f>
        <v>0</v>
      </c>
      <c r="AW74" s="28">
        <f>Weather!K74</f>
        <v>932.63333333333333</v>
      </c>
      <c r="AX74" s="28">
        <f>Weather!L74</f>
        <v>0</v>
      </c>
      <c r="AY74" s="28">
        <f>Weather!M74</f>
        <v>870.63333333333344</v>
      </c>
      <c r="AZ74" s="28">
        <f>Weather!N74</f>
        <v>0</v>
      </c>
      <c r="BA74" s="28">
        <f>Weather!O74</f>
        <v>808.63333333333333</v>
      </c>
      <c r="BB74" s="28">
        <f>Weather!P74</f>
        <v>0</v>
      </c>
      <c r="BC74" s="28">
        <f>Weather!Q74</f>
        <v>746.63333333333333</v>
      </c>
      <c r="BD74" s="28">
        <f>Weather!R74</f>
        <v>0</v>
      </c>
      <c r="BE74">
        <f>BE62</f>
        <v>1</v>
      </c>
      <c r="BF74">
        <f t="shared" ref="BF74:BP74" si="80">BF62</f>
        <v>0</v>
      </c>
      <c r="BG74">
        <f t="shared" si="80"/>
        <v>0</v>
      </c>
      <c r="BH74">
        <f t="shared" si="80"/>
        <v>0</v>
      </c>
      <c r="BI74">
        <f t="shared" si="80"/>
        <v>0</v>
      </c>
      <c r="BJ74">
        <f t="shared" si="80"/>
        <v>0</v>
      </c>
      <c r="BK74">
        <f t="shared" si="80"/>
        <v>0</v>
      </c>
      <c r="BL74">
        <f t="shared" si="80"/>
        <v>0</v>
      </c>
      <c r="BM74">
        <f t="shared" si="80"/>
        <v>0</v>
      </c>
      <c r="BN74">
        <f t="shared" si="80"/>
        <v>0</v>
      </c>
      <c r="BO74">
        <f t="shared" si="80"/>
        <v>0</v>
      </c>
      <c r="BP74">
        <f t="shared" si="80"/>
        <v>0</v>
      </c>
      <c r="BQ74" s="1">
        <f t="shared" si="40"/>
        <v>0</v>
      </c>
      <c r="BR74" s="1">
        <f t="shared" si="40"/>
        <v>0</v>
      </c>
      <c r="BS74" s="1">
        <f t="shared" si="40"/>
        <v>0</v>
      </c>
      <c r="BT74" s="1">
        <f t="shared" si="44"/>
        <v>73</v>
      </c>
      <c r="BU74">
        <f t="shared" si="41"/>
        <v>31</v>
      </c>
      <c r="BV74" s="1">
        <v>22</v>
      </c>
      <c r="BW74" s="1">
        <v>0.5</v>
      </c>
      <c r="BX74" s="1">
        <v>0.25</v>
      </c>
      <c r="BY74" s="1">
        <v>0.5</v>
      </c>
      <c r="BZ74" s="1">
        <v>0</v>
      </c>
      <c r="CA74">
        <f t="shared" si="45"/>
        <v>279.6583333333333</v>
      </c>
      <c r="CB74">
        <f t="shared" si="46"/>
        <v>0</v>
      </c>
      <c r="CC74">
        <f t="shared" si="47"/>
        <v>264.1583333333333</v>
      </c>
      <c r="CD74">
        <f t="shared" si="48"/>
        <v>0</v>
      </c>
      <c r="CE74">
        <f t="shared" si="49"/>
        <v>248.65833333333333</v>
      </c>
      <c r="CF74">
        <f t="shared" si="50"/>
        <v>0</v>
      </c>
      <c r="CG74">
        <f t="shared" si="51"/>
        <v>233.15833333333333</v>
      </c>
      <c r="CH74">
        <f t="shared" si="52"/>
        <v>0</v>
      </c>
      <c r="CI74">
        <f t="shared" si="53"/>
        <v>217.65833333333336</v>
      </c>
      <c r="CJ74">
        <f t="shared" si="54"/>
        <v>0</v>
      </c>
      <c r="CK74">
        <f t="shared" si="55"/>
        <v>202.15833333333333</v>
      </c>
      <c r="CL74">
        <f t="shared" si="56"/>
        <v>0</v>
      </c>
      <c r="CM74">
        <f t="shared" si="57"/>
        <v>186.65833333333333</v>
      </c>
      <c r="CN74">
        <f t="shared" si="58"/>
        <v>0</v>
      </c>
      <c r="CO74" s="14">
        <f t="shared" si="39"/>
        <v>559.31666666666661</v>
      </c>
      <c r="CP74" s="14">
        <f t="shared" si="59"/>
        <v>0</v>
      </c>
      <c r="CQ74" s="14">
        <f t="shared" si="60"/>
        <v>528.31666666666661</v>
      </c>
      <c r="CR74" s="14">
        <f t="shared" si="61"/>
        <v>0</v>
      </c>
      <c r="CS74" s="14">
        <f t="shared" si="62"/>
        <v>497.31666666666666</v>
      </c>
      <c r="CT74" s="14">
        <f t="shared" si="63"/>
        <v>0</v>
      </c>
      <c r="CU74" s="14">
        <f t="shared" si="64"/>
        <v>466.31666666666666</v>
      </c>
      <c r="CV74" s="14">
        <f t="shared" si="65"/>
        <v>0</v>
      </c>
      <c r="CW74" s="14">
        <f t="shared" si="66"/>
        <v>435.31666666666672</v>
      </c>
      <c r="CX74" s="14">
        <f t="shared" si="67"/>
        <v>0</v>
      </c>
      <c r="CY74" s="14">
        <f t="shared" si="68"/>
        <v>404.31666666666666</v>
      </c>
      <c r="CZ74" s="14">
        <f t="shared" si="69"/>
        <v>0</v>
      </c>
      <c r="DA74" s="14">
        <f t="shared" si="70"/>
        <v>373.31666666666666</v>
      </c>
      <c r="DB74" s="14">
        <f t="shared" si="71"/>
        <v>0</v>
      </c>
      <c r="DC74" s="72">
        <f>F74/G74</f>
        <v>1038.0236058635123</v>
      </c>
      <c r="DD74" s="72">
        <f>DC74/BU74</f>
        <v>33.484632447210075</v>
      </c>
      <c r="DE74" s="71">
        <f>F74/BU74</f>
        <v>339768.56544184062</v>
      </c>
      <c r="DF74" s="72">
        <f>J74/K74</f>
        <v>2737.6667728225084</v>
      </c>
      <c r="DG74" s="72">
        <f t="shared" si="73"/>
        <v>88.311831381371235</v>
      </c>
      <c r="DH74" s="72">
        <f>J74/BU74</f>
        <v>113304.07966229929</v>
      </c>
      <c r="DI74" s="72">
        <f>N74/P74</f>
        <v>50840.933410164922</v>
      </c>
      <c r="DJ74" s="72">
        <f t="shared" si="74"/>
        <v>1640.03011000532</v>
      </c>
      <c r="DK74" s="72">
        <f t="shared" si="75"/>
        <v>2310.9515186438603</v>
      </c>
      <c r="DL74" s="72">
        <f>N74/BU74</f>
        <v>231244.24551075013</v>
      </c>
      <c r="DM74" s="72">
        <f>N74/BV74</f>
        <v>325844.16412878426</v>
      </c>
      <c r="DN74" s="1">
        <v>0</v>
      </c>
      <c r="DO74" s="1">
        <v>0</v>
      </c>
    </row>
    <row r="75" spans="1:119">
      <c r="A75" s="93">
        <f t="shared" si="79"/>
        <v>44593</v>
      </c>
      <c r="B75" s="4">
        <f t="shared" si="42"/>
        <v>2022</v>
      </c>
      <c r="C75" s="4">
        <f t="shared" si="43"/>
        <v>2</v>
      </c>
      <c r="D75" s="56">
        <v>8422722</v>
      </c>
      <c r="E75" s="56">
        <f>IFERROR(VLOOKUP($B75-1,CDM!$J$6:$P$19,2,FALSE)/12,0)+IFERROR(VLOOKUP($B75,CDM!$J$37:$M$48,2,FALSE)/24,0)+IFERROR(VLOOKUP($B75,CDM!$J$37:$M$48,2,FALSE)/2*$C75/78,0)</f>
        <v>163596.01281293228</v>
      </c>
      <c r="F75" s="56">
        <f t="shared" si="76"/>
        <v>8586318.012812933</v>
      </c>
      <c r="G75" s="301">
        <v>10147</v>
      </c>
      <c r="H75" s="56">
        <v>2875971</v>
      </c>
      <c r="I75" s="56">
        <f>IFERROR(VLOOKUP($B75-1,CDM!$J$6:$P$19,3,FALSE)/12,0)+IFERROR(VLOOKUP($B75,CDM!$J$37:$M$47,3,FALSE)/24,0)+IFERROR(VLOOKUP($B75,CDM!$J$37:$M$47,3,FALSE)/2*$C75/78,0)</f>
        <v>189431.78011123175</v>
      </c>
      <c r="J75" s="56">
        <f t="shared" si="77"/>
        <v>3065402.7801112318</v>
      </c>
      <c r="K75" s="6">
        <v>1283</v>
      </c>
      <c r="L75" s="5">
        <v>6347335</v>
      </c>
      <c r="M75" s="2">
        <f>IFERROR(VLOOKUP($B75-1,CDM!$J$6:$P$19,4,FALSE)/12,0)+IFERROR(VLOOKUP($B75,CDM!$J$37:$M$47,4,FALSE)/24,0)+IFERROR(VLOOKUP($B75,CDM!$J$37:$M$47,4,FALSE)/2*$C75/78,0)</f>
        <v>172299.13956403604</v>
      </c>
      <c r="N75" s="56">
        <f t="shared" si="78"/>
        <v>6519634.1395640364</v>
      </c>
      <c r="O75" s="5">
        <v>21259.399999999998</v>
      </c>
      <c r="P75" s="6">
        <v>142</v>
      </c>
      <c r="Q75" s="5">
        <v>88675</v>
      </c>
      <c r="R75" s="5">
        <v>235.10000000000002</v>
      </c>
      <c r="S75" s="6">
        <v>2920</v>
      </c>
      <c r="T75" s="6">
        <v>15789</v>
      </c>
      <c r="U75" s="6">
        <v>43.400000000000006</v>
      </c>
      <c r="V75" s="6">
        <v>177</v>
      </c>
      <c r="W75" s="5">
        <v>46196</v>
      </c>
      <c r="X75" s="1">
        <v>19</v>
      </c>
      <c r="Y75" s="56">
        <v>642655.19999999995</v>
      </c>
      <c r="Z75" s="56">
        <v>7171.2</v>
      </c>
      <c r="AA75" s="71">
        <f>L75-Y75</f>
        <v>5704679.7999999998</v>
      </c>
      <c r="AB75" s="71">
        <f>N75-Y75</f>
        <v>5876978.9395640362</v>
      </c>
      <c r="AC75" s="5">
        <f>O75-Z75</f>
        <v>14088.199999999997</v>
      </c>
      <c r="AD75" s="111">
        <f>Economic!H77</f>
        <v>850461.9</v>
      </c>
      <c r="AE75" s="111">
        <f>Economic!I77</f>
        <v>847546</v>
      </c>
      <c r="AF75" s="111">
        <f>Economic!D77</f>
        <v>7668.9</v>
      </c>
      <c r="AG75" s="111">
        <f>Economic!E77</f>
        <v>7606.7</v>
      </c>
      <c r="AH75" s="111">
        <f>Economic!F77</f>
        <v>623.29999999999995</v>
      </c>
      <c r="AI75" s="111">
        <f>Economic!G77</f>
        <v>616.5</v>
      </c>
      <c r="AJ75" s="111">
        <f>Economic!J77</f>
        <v>459.39999999999964</v>
      </c>
      <c r="AK75" s="111">
        <f>Economic!K77</f>
        <v>455.39999999999964</v>
      </c>
      <c r="AL75" s="111">
        <f>Economic!L77</f>
        <v>6.8999999999999773</v>
      </c>
      <c r="AM75" s="111">
        <f>Economic!M77</f>
        <v>5.6000000000000227</v>
      </c>
      <c r="AN75" s="111">
        <f>Economic!N77</f>
        <v>33196.400000000023</v>
      </c>
      <c r="AO75" s="111">
        <f>Economic!O77</f>
        <v>7147</v>
      </c>
      <c r="AP75" s="28">
        <f>Weather!D75</f>
        <v>-10.063095238095238</v>
      </c>
      <c r="AQ75" s="28">
        <f>Weather!E75</f>
        <v>841.76666666666654</v>
      </c>
      <c r="AR75" s="28">
        <f>Weather!F75</f>
        <v>0</v>
      </c>
      <c r="AS75" s="28">
        <f>Weather!G75</f>
        <v>785.76666666666654</v>
      </c>
      <c r="AT75" s="28">
        <f>Weather!H75</f>
        <v>0</v>
      </c>
      <c r="AU75" s="28">
        <f>Weather!I75</f>
        <v>729.76666666666654</v>
      </c>
      <c r="AV75" s="28">
        <f>Weather!J75</f>
        <v>0</v>
      </c>
      <c r="AW75" s="28">
        <f>Weather!K75</f>
        <v>673.76666666666665</v>
      </c>
      <c r="AX75" s="28">
        <f>Weather!L75</f>
        <v>0</v>
      </c>
      <c r="AY75" s="28">
        <f>Weather!M75</f>
        <v>617.76666666666665</v>
      </c>
      <c r="AZ75" s="28">
        <f>Weather!N75</f>
        <v>0</v>
      </c>
      <c r="BA75" s="28">
        <f>Weather!O75</f>
        <v>561.76666666666665</v>
      </c>
      <c r="BB75" s="28">
        <f>Weather!P75</f>
        <v>0</v>
      </c>
      <c r="BC75" s="28">
        <f>Weather!Q75</f>
        <v>505.76666666666682</v>
      </c>
      <c r="BD75" s="28">
        <f>Weather!R75</f>
        <v>0</v>
      </c>
      <c r="BE75">
        <f t="shared" ref="BE75:BS90" si="81">BE63</f>
        <v>0</v>
      </c>
      <c r="BF75">
        <f t="shared" si="81"/>
        <v>1</v>
      </c>
      <c r="BG75">
        <f t="shared" si="81"/>
        <v>0</v>
      </c>
      <c r="BH75">
        <f t="shared" si="81"/>
        <v>0</v>
      </c>
      <c r="BI75">
        <f t="shared" si="81"/>
        <v>0</v>
      </c>
      <c r="BJ75">
        <f t="shared" si="81"/>
        <v>0</v>
      </c>
      <c r="BK75">
        <f t="shared" si="81"/>
        <v>0</v>
      </c>
      <c r="BL75">
        <f t="shared" si="81"/>
        <v>0</v>
      </c>
      <c r="BM75">
        <f t="shared" si="81"/>
        <v>0</v>
      </c>
      <c r="BN75">
        <f t="shared" si="81"/>
        <v>0</v>
      </c>
      <c r="BO75">
        <f t="shared" si="81"/>
        <v>0</v>
      </c>
      <c r="BP75">
        <f t="shared" si="81"/>
        <v>0</v>
      </c>
      <c r="BQ75" s="1">
        <f t="shared" si="40"/>
        <v>0</v>
      </c>
      <c r="BR75" s="1">
        <f t="shared" si="40"/>
        <v>0</v>
      </c>
      <c r="BS75" s="1">
        <f t="shared" si="40"/>
        <v>0</v>
      </c>
      <c r="BT75" s="1">
        <f t="shared" si="44"/>
        <v>74</v>
      </c>
      <c r="BU75">
        <f t="shared" si="41"/>
        <v>29</v>
      </c>
      <c r="BV75" s="1">
        <v>19</v>
      </c>
      <c r="BW75" s="1">
        <v>0.5</v>
      </c>
      <c r="BX75" s="1">
        <v>0.25</v>
      </c>
      <c r="BY75" s="1">
        <v>0.5</v>
      </c>
      <c r="BZ75" s="1">
        <v>0</v>
      </c>
      <c r="CA75">
        <f t="shared" si="45"/>
        <v>210.44166666666663</v>
      </c>
      <c r="CB75">
        <f t="shared" si="46"/>
        <v>0</v>
      </c>
      <c r="CC75">
        <f t="shared" si="47"/>
        <v>196.44166666666663</v>
      </c>
      <c r="CD75">
        <f t="shared" si="48"/>
        <v>0</v>
      </c>
      <c r="CE75">
        <f t="shared" si="49"/>
        <v>182.44166666666663</v>
      </c>
      <c r="CF75">
        <f t="shared" si="50"/>
        <v>0</v>
      </c>
      <c r="CG75">
        <f t="shared" si="51"/>
        <v>168.44166666666666</v>
      </c>
      <c r="CH75">
        <f t="shared" si="52"/>
        <v>0</v>
      </c>
      <c r="CI75">
        <f t="shared" si="53"/>
        <v>154.44166666666666</v>
      </c>
      <c r="CJ75">
        <f t="shared" si="54"/>
        <v>0</v>
      </c>
      <c r="CK75">
        <f t="shared" si="55"/>
        <v>140.44166666666666</v>
      </c>
      <c r="CL75">
        <f t="shared" si="56"/>
        <v>0</v>
      </c>
      <c r="CM75">
        <f t="shared" si="57"/>
        <v>126.44166666666671</v>
      </c>
      <c r="CN75">
        <f t="shared" si="58"/>
        <v>0</v>
      </c>
      <c r="CO75" s="14">
        <f t="shared" si="39"/>
        <v>420.88333333333327</v>
      </c>
      <c r="CP75" s="14">
        <f t="shared" si="59"/>
        <v>0</v>
      </c>
      <c r="CQ75" s="14">
        <f t="shared" si="60"/>
        <v>392.88333333333327</v>
      </c>
      <c r="CR75" s="14">
        <f t="shared" si="61"/>
        <v>0</v>
      </c>
      <c r="CS75" s="14">
        <f t="shared" si="62"/>
        <v>364.88333333333327</v>
      </c>
      <c r="CT75" s="14">
        <f t="shared" si="63"/>
        <v>0</v>
      </c>
      <c r="CU75" s="14">
        <f t="shared" si="64"/>
        <v>336.88333333333333</v>
      </c>
      <c r="CV75" s="14">
        <f t="shared" si="65"/>
        <v>0</v>
      </c>
      <c r="CW75" s="14">
        <f t="shared" si="66"/>
        <v>308.88333333333333</v>
      </c>
      <c r="CX75" s="14">
        <f t="shared" si="67"/>
        <v>0</v>
      </c>
      <c r="CY75" s="14">
        <f t="shared" si="68"/>
        <v>280.88333333333333</v>
      </c>
      <c r="CZ75" s="14">
        <f t="shared" si="69"/>
        <v>0</v>
      </c>
      <c r="DA75" s="14">
        <f t="shared" si="70"/>
        <v>252.88333333333341</v>
      </c>
      <c r="DB75" s="14">
        <f t="shared" si="71"/>
        <v>0</v>
      </c>
      <c r="DC75" s="72">
        <f>F75/G75</f>
        <v>846.19276759760839</v>
      </c>
      <c r="DD75" s="72">
        <f t="shared" ref="DD75:DD121" si="82">DC75/BU75</f>
        <v>29.17906095164167</v>
      </c>
      <c r="DE75" s="71">
        <f>F75/BU75</f>
        <v>296079.93147630803</v>
      </c>
      <c r="DF75" s="72">
        <f>J75/K75</f>
        <v>2389.2461263532596</v>
      </c>
      <c r="DG75" s="72">
        <f t="shared" si="73"/>
        <v>82.387797460457222</v>
      </c>
      <c r="DH75" s="72">
        <f>J75/BU75</f>
        <v>105703.54414176662</v>
      </c>
      <c r="DI75" s="72">
        <f>N75/P75</f>
        <v>45912.916475803075</v>
      </c>
      <c r="DJ75" s="72">
        <f t="shared" si="74"/>
        <v>1583.2040164070027</v>
      </c>
      <c r="DK75" s="72">
        <f t="shared" si="75"/>
        <v>2416.4692882001618</v>
      </c>
      <c r="DL75" s="72">
        <f>N75/BU75</f>
        <v>224814.97032979436</v>
      </c>
      <c r="DM75" s="72">
        <f>N75/BV75</f>
        <v>343138.63892442296</v>
      </c>
      <c r="DN75" s="1">
        <v>0</v>
      </c>
      <c r="DO75" s="1">
        <v>0</v>
      </c>
    </row>
    <row r="76" spans="1:119">
      <c r="A76" s="93">
        <f t="shared" si="79"/>
        <v>44621</v>
      </c>
      <c r="B76" s="4">
        <f t="shared" si="42"/>
        <v>2022</v>
      </c>
      <c r="C76" s="4">
        <f t="shared" si="43"/>
        <v>3</v>
      </c>
      <c r="D76" s="56">
        <v>7906665</v>
      </c>
      <c r="E76" s="56">
        <f>IFERROR(VLOOKUP($B76-1,CDM!$J$6:$P$19,2,FALSE)/12,0)+IFERROR(VLOOKUP($B76,CDM!$J$37:$M$48,2,FALSE)/24,0)+IFERROR(VLOOKUP($B76,CDM!$J$37:$M$48,2,FALSE)/2*$C76/78,0)</f>
        <v>163706.49692880551</v>
      </c>
      <c r="F76" s="56">
        <f t="shared" si="76"/>
        <v>8070371.4969288055</v>
      </c>
      <c r="G76" s="301">
        <v>10148</v>
      </c>
      <c r="H76" s="56">
        <v>2798112</v>
      </c>
      <c r="I76" s="56">
        <f>IFERROR(VLOOKUP($B76-1,CDM!$J$6:$P$19,3,FALSE)/12,0)+IFERROR(VLOOKUP($B76,CDM!$J$37:$M$47,3,FALSE)/24,0)+IFERROR(VLOOKUP($B76,CDM!$J$37:$M$47,3,FALSE)/2*$C76/78,0)</f>
        <v>192048.09069118521</v>
      </c>
      <c r="J76" s="56">
        <f t="shared" si="77"/>
        <v>2990160.0906911851</v>
      </c>
      <c r="K76" s="6">
        <v>1281</v>
      </c>
      <c r="L76" s="5">
        <v>5854399</v>
      </c>
      <c r="M76" s="2">
        <f>IFERROR(VLOOKUP($B76-1,CDM!$J$6:$P$19,4,FALSE)/12,0)+IFERROR(VLOOKUP($B76,CDM!$J$37:$M$47,4,FALSE)/24,0)+IFERROR(VLOOKUP($B76,CDM!$J$37:$M$47,4,FALSE)/2*$C76/78,0)</f>
        <v>175089.668294818</v>
      </c>
      <c r="N76" s="56">
        <f t="shared" si="78"/>
        <v>6029488.6682948181</v>
      </c>
      <c r="O76" s="5">
        <v>16225.3</v>
      </c>
      <c r="P76" s="6">
        <v>142</v>
      </c>
      <c r="Q76" s="5">
        <v>88166</v>
      </c>
      <c r="R76" s="5">
        <v>235.2</v>
      </c>
      <c r="S76" s="6">
        <v>2920</v>
      </c>
      <c r="T76" s="6">
        <v>16008</v>
      </c>
      <c r="U76" s="6">
        <v>44</v>
      </c>
      <c r="V76" s="6">
        <v>177</v>
      </c>
      <c r="W76" s="5">
        <v>49219</v>
      </c>
      <c r="X76" s="1">
        <v>19</v>
      </c>
      <c r="Y76" s="56">
        <v>14180.8</v>
      </c>
      <c r="Z76" s="56">
        <v>2249.6</v>
      </c>
      <c r="AA76" s="71">
        <f>L76-Y76</f>
        <v>5840218.2000000002</v>
      </c>
      <c r="AB76" s="71">
        <f>N76-Y76</f>
        <v>6015307.8682948183</v>
      </c>
      <c r="AC76" s="5">
        <f>O76-Z76</f>
        <v>13975.699999999999</v>
      </c>
      <c r="AD76" s="111">
        <f>Economic!H78</f>
        <v>850461.9</v>
      </c>
      <c r="AE76" s="111">
        <f>Economic!I78</f>
        <v>847546</v>
      </c>
      <c r="AF76" s="111">
        <f>Economic!D78</f>
        <v>7681.1</v>
      </c>
      <c r="AG76" s="111">
        <f>Economic!E78</f>
        <v>7595.3</v>
      </c>
      <c r="AH76" s="111">
        <f>Economic!F78</f>
        <v>630.4</v>
      </c>
      <c r="AI76" s="111">
        <f>Economic!G78</f>
        <v>621.79999999999995</v>
      </c>
      <c r="AJ76" s="111">
        <f>Economic!J78</f>
        <v>443.70000000000073</v>
      </c>
      <c r="AK76" s="111">
        <f>Economic!K78</f>
        <v>441.60000000000036</v>
      </c>
      <c r="AL76" s="111">
        <f>Economic!L78</f>
        <v>8.1000000000000227</v>
      </c>
      <c r="AM76" s="111">
        <f>Economic!M78</f>
        <v>6.1999999999999318</v>
      </c>
      <c r="AN76" s="111">
        <f>Economic!N78</f>
        <v>33196.400000000023</v>
      </c>
      <c r="AO76" s="111">
        <f>Economic!O78</f>
        <v>7147</v>
      </c>
      <c r="AP76" s="28">
        <f>Weather!D76</f>
        <v>-2.7309139784946237</v>
      </c>
      <c r="AQ76" s="28">
        <f>Weather!E76</f>
        <v>704.6583333333333</v>
      </c>
      <c r="AR76" s="28">
        <f>Weather!F76</f>
        <v>0</v>
      </c>
      <c r="AS76" s="28">
        <f>Weather!G76</f>
        <v>642.6583333333333</v>
      </c>
      <c r="AT76" s="28">
        <f>Weather!H76</f>
        <v>0</v>
      </c>
      <c r="AU76" s="28">
        <f>Weather!I76</f>
        <v>580.65833333333342</v>
      </c>
      <c r="AV76" s="28">
        <f>Weather!J76</f>
        <v>0</v>
      </c>
      <c r="AW76" s="28">
        <f>Weather!K76</f>
        <v>518.65833333333342</v>
      </c>
      <c r="AX76" s="28">
        <f>Weather!L76</f>
        <v>0</v>
      </c>
      <c r="AY76" s="28">
        <f>Weather!M76</f>
        <v>456.65833333333342</v>
      </c>
      <c r="AZ76" s="28">
        <f>Weather!N76</f>
        <v>0</v>
      </c>
      <c r="BA76" s="28">
        <f>Weather!O76</f>
        <v>394.65833333333342</v>
      </c>
      <c r="BB76" s="28">
        <f>Weather!P76</f>
        <v>0</v>
      </c>
      <c r="BC76" s="28">
        <f>Weather!Q76</f>
        <v>332.65833333333342</v>
      </c>
      <c r="BD76" s="28">
        <f>Weather!R76</f>
        <v>0</v>
      </c>
      <c r="BE76">
        <f t="shared" si="81"/>
        <v>0</v>
      </c>
      <c r="BF76">
        <f t="shared" si="81"/>
        <v>0</v>
      </c>
      <c r="BG76">
        <f t="shared" si="81"/>
        <v>1</v>
      </c>
      <c r="BH76">
        <f t="shared" si="81"/>
        <v>0</v>
      </c>
      <c r="BI76">
        <f t="shared" si="81"/>
        <v>0</v>
      </c>
      <c r="BJ76">
        <f t="shared" si="81"/>
        <v>0</v>
      </c>
      <c r="BK76">
        <f t="shared" si="81"/>
        <v>0</v>
      </c>
      <c r="BL76">
        <f t="shared" si="81"/>
        <v>0</v>
      </c>
      <c r="BM76">
        <f t="shared" si="81"/>
        <v>0</v>
      </c>
      <c r="BN76">
        <f t="shared" si="81"/>
        <v>0</v>
      </c>
      <c r="BO76">
        <f t="shared" si="81"/>
        <v>0</v>
      </c>
      <c r="BP76">
        <f t="shared" si="81"/>
        <v>0</v>
      </c>
      <c r="BQ76" s="1">
        <f t="shared" si="40"/>
        <v>1</v>
      </c>
      <c r="BR76" s="1">
        <f t="shared" si="40"/>
        <v>0</v>
      </c>
      <c r="BS76" s="1">
        <f t="shared" si="40"/>
        <v>1</v>
      </c>
      <c r="BT76" s="1">
        <f t="shared" si="44"/>
        <v>75</v>
      </c>
      <c r="BU76">
        <f t="shared" si="41"/>
        <v>31</v>
      </c>
      <c r="BV76" s="1">
        <v>22</v>
      </c>
      <c r="BW76" s="1">
        <v>0.5</v>
      </c>
      <c r="BX76" s="1">
        <v>0.25</v>
      </c>
      <c r="BY76" s="1">
        <v>0.5</v>
      </c>
      <c r="BZ76" s="1">
        <v>0</v>
      </c>
      <c r="CA76">
        <f>$BX76*AQ76</f>
        <v>176.16458333333333</v>
      </c>
      <c r="CB76">
        <f t="shared" si="46"/>
        <v>0</v>
      </c>
      <c r="CC76">
        <f t="shared" si="47"/>
        <v>160.66458333333333</v>
      </c>
      <c r="CD76">
        <f t="shared" si="48"/>
        <v>0</v>
      </c>
      <c r="CE76">
        <f t="shared" si="49"/>
        <v>145.16458333333335</v>
      </c>
      <c r="CF76">
        <f t="shared" si="50"/>
        <v>0</v>
      </c>
      <c r="CG76">
        <f t="shared" si="51"/>
        <v>129.66458333333335</v>
      </c>
      <c r="CH76">
        <f t="shared" si="52"/>
        <v>0</v>
      </c>
      <c r="CI76">
        <f t="shared" si="53"/>
        <v>114.16458333333335</v>
      </c>
      <c r="CJ76">
        <f t="shared" si="54"/>
        <v>0</v>
      </c>
      <c r="CK76">
        <f t="shared" si="55"/>
        <v>98.664583333333354</v>
      </c>
      <c r="CL76">
        <f t="shared" si="56"/>
        <v>0</v>
      </c>
      <c r="CM76">
        <f t="shared" si="57"/>
        <v>83.164583333333354</v>
      </c>
      <c r="CN76">
        <f t="shared" si="58"/>
        <v>0</v>
      </c>
      <c r="CO76" s="14">
        <f t="shared" si="39"/>
        <v>352.32916666666665</v>
      </c>
      <c r="CP76" s="14">
        <f t="shared" si="59"/>
        <v>0</v>
      </c>
      <c r="CQ76" s="14">
        <f t="shared" si="60"/>
        <v>321.32916666666665</v>
      </c>
      <c r="CR76" s="14">
        <f t="shared" si="61"/>
        <v>0</v>
      </c>
      <c r="CS76" s="14">
        <f t="shared" si="62"/>
        <v>290.32916666666671</v>
      </c>
      <c r="CT76" s="14">
        <f t="shared" si="63"/>
        <v>0</v>
      </c>
      <c r="CU76" s="14">
        <f t="shared" si="64"/>
        <v>259.32916666666671</v>
      </c>
      <c r="CV76" s="14">
        <f t="shared" si="65"/>
        <v>0</v>
      </c>
      <c r="CW76" s="14">
        <f t="shared" si="66"/>
        <v>228.32916666666671</v>
      </c>
      <c r="CX76" s="14">
        <f t="shared" si="67"/>
        <v>0</v>
      </c>
      <c r="CY76" s="14">
        <f t="shared" si="68"/>
        <v>197.32916666666671</v>
      </c>
      <c r="CZ76" s="14">
        <f t="shared" si="69"/>
        <v>0</v>
      </c>
      <c r="DA76" s="14">
        <f t="shared" si="70"/>
        <v>166.32916666666671</v>
      </c>
      <c r="DB76" s="14">
        <f t="shared" si="71"/>
        <v>0</v>
      </c>
      <c r="DC76" s="72">
        <f>F76/G76</f>
        <v>795.26719520386337</v>
      </c>
      <c r="DD76" s="72">
        <f t="shared" si="82"/>
        <v>25.653780490447204</v>
      </c>
      <c r="DE76" s="71">
        <f>F76/BU76</f>
        <v>260334.56441705825</v>
      </c>
      <c r="DF76" s="72">
        <f>J76/K76</f>
        <v>2334.238946675398</v>
      </c>
      <c r="DG76" s="72">
        <f t="shared" si="73"/>
        <v>75.298030537916063</v>
      </c>
      <c r="DH76" s="72">
        <f>J76/BU76</f>
        <v>96456.777119070481</v>
      </c>
      <c r="DI76" s="72">
        <f>N76/P76</f>
        <v>42461.187804893088</v>
      </c>
      <c r="DJ76" s="72">
        <f t="shared" si="74"/>
        <v>1369.7157356417126</v>
      </c>
      <c r="DK76" s="72">
        <f t="shared" si="75"/>
        <v>1930.0539911315041</v>
      </c>
      <c r="DL76" s="72">
        <f>N76/BU76</f>
        <v>194499.63446112318</v>
      </c>
      <c r="DM76" s="72">
        <f>N76/BV76</f>
        <v>274067.66674067354</v>
      </c>
      <c r="DN76" s="1">
        <v>0</v>
      </c>
      <c r="DO76" s="1">
        <v>0</v>
      </c>
    </row>
    <row r="77" spans="1:119">
      <c r="A77" s="93">
        <f t="shared" si="79"/>
        <v>44652</v>
      </c>
      <c r="B77" s="4">
        <f t="shared" si="42"/>
        <v>2022</v>
      </c>
      <c r="C77" s="4">
        <f t="shared" si="43"/>
        <v>4</v>
      </c>
      <c r="D77" s="56">
        <v>6384594</v>
      </c>
      <c r="E77" s="56">
        <f>IFERROR(VLOOKUP($B77-1,CDM!$J$6:$P$19,2,FALSE)/12,0)+IFERROR(VLOOKUP($B77,CDM!$J$37:$M$48,2,FALSE)/24,0)+IFERROR(VLOOKUP($B77,CDM!$J$37:$M$48,2,FALSE)/2*$C77/78,0)</f>
        <v>163816.98104467877</v>
      </c>
      <c r="F77" s="56">
        <f t="shared" si="76"/>
        <v>6548410.9810446789</v>
      </c>
      <c r="G77" s="301">
        <v>10144</v>
      </c>
      <c r="H77" s="56">
        <v>2204226</v>
      </c>
      <c r="I77" s="56">
        <f>IFERROR(VLOOKUP($B77-1,CDM!$J$6:$P$19,3,FALSE)/12,0)+IFERROR(VLOOKUP($B77,CDM!$J$37:$M$47,3,FALSE)/24,0)+IFERROR(VLOOKUP($B77,CDM!$J$37:$M$47,3,FALSE)/2*$C77/78,0)</f>
        <v>194664.40127113866</v>
      </c>
      <c r="J77" s="56">
        <f t="shared" si="77"/>
        <v>2398890.4012711388</v>
      </c>
      <c r="K77" s="6">
        <v>1277</v>
      </c>
      <c r="L77" s="5">
        <v>5065990</v>
      </c>
      <c r="M77" s="2">
        <f>IFERROR(VLOOKUP($B77-1,CDM!$J$6:$P$19,4,FALSE)/12,0)+IFERROR(VLOOKUP($B77,CDM!$J$37:$M$47,4,FALSE)/24,0)+IFERROR(VLOOKUP($B77,CDM!$J$37:$M$47,4,FALSE)/2*$C77/78,0)</f>
        <v>177880.19702559998</v>
      </c>
      <c r="N77" s="56">
        <f t="shared" si="78"/>
        <v>5243870.1970255999</v>
      </c>
      <c r="O77" s="5">
        <v>16492.8</v>
      </c>
      <c r="P77" s="6">
        <v>143</v>
      </c>
      <c r="Q77" s="5">
        <v>74448</v>
      </c>
      <c r="R77" s="5">
        <v>235.2</v>
      </c>
      <c r="S77" s="6">
        <v>2920</v>
      </c>
      <c r="T77" s="6">
        <v>15934</v>
      </c>
      <c r="U77" s="6">
        <v>44.199999999999996</v>
      </c>
      <c r="V77" s="6">
        <v>177</v>
      </c>
      <c r="W77" s="5">
        <v>48295</v>
      </c>
      <c r="X77" s="1">
        <v>19</v>
      </c>
      <c r="Y77" s="56">
        <v>869.6</v>
      </c>
      <c r="Z77" s="56">
        <v>2185.6</v>
      </c>
      <c r="AA77" s="71">
        <f>L77-Y77</f>
        <v>5065120.4000000004</v>
      </c>
      <c r="AB77" s="71">
        <f>N77-Y77</f>
        <v>5243000.5970256003</v>
      </c>
      <c r="AC77" s="5">
        <f>O77-Z77</f>
        <v>14307.199999999999</v>
      </c>
      <c r="AD77" s="111">
        <f>Economic!H79</f>
        <v>850461.9</v>
      </c>
      <c r="AE77" s="111">
        <f>Economic!I79</f>
        <v>854755</v>
      </c>
      <c r="AF77" s="111">
        <f>Economic!D79</f>
        <v>7758.4</v>
      </c>
      <c r="AG77" s="111">
        <f>Economic!E79</f>
        <v>7694.2</v>
      </c>
      <c r="AH77" s="111">
        <f>Economic!F79</f>
        <v>641.1</v>
      </c>
      <c r="AI77" s="111">
        <f>Economic!G79</f>
        <v>636.79999999999995</v>
      </c>
      <c r="AJ77" s="111">
        <f>Economic!J79</f>
        <v>482.29999999999927</v>
      </c>
      <c r="AK77" s="111">
        <f>Economic!K79</f>
        <v>481</v>
      </c>
      <c r="AL77" s="111">
        <f>Economic!L79</f>
        <v>15.399999999999977</v>
      </c>
      <c r="AM77" s="111">
        <f>Economic!M79</f>
        <v>13.099999999999909</v>
      </c>
      <c r="AN77" s="111">
        <f>Economic!N79</f>
        <v>33196.400000000023</v>
      </c>
      <c r="AO77" s="111">
        <f>Economic!O79</f>
        <v>7209</v>
      </c>
      <c r="AP77" s="28">
        <f>Weather!D77</f>
        <v>4.6259722222222219</v>
      </c>
      <c r="AQ77" s="28">
        <f>Weather!E77</f>
        <v>461.22083333333347</v>
      </c>
      <c r="AR77" s="28">
        <f>Weather!F77</f>
        <v>0</v>
      </c>
      <c r="AS77" s="28">
        <f>Weather!G77</f>
        <v>401.22083333333353</v>
      </c>
      <c r="AT77" s="28">
        <f>Weather!H77</f>
        <v>0</v>
      </c>
      <c r="AU77" s="28">
        <f>Weather!I77</f>
        <v>341.22083333333347</v>
      </c>
      <c r="AV77" s="28">
        <f>Weather!J77</f>
        <v>0</v>
      </c>
      <c r="AW77" s="28">
        <f>Weather!K77</f>
        <v>281.2208333333333</v>
      </c>
      <c r="AX77" s="28">
        <f>Weather!L77</f>
        <v>0</v>
      </c>
      <c r="AY77" s="28">
        <f>Weather!M77</f>
        <v>221.2208333333333</v>
      </c>
      <c r="AZ77" s="28">
        <f>Weather!N77</f>
        <v>0</v>
      </c>
      <c r="BA77" s="28">
        <f>Weather!O77</f>
        <v>161.82499999999999</v>
      </c>
      <c r="BB77" s="28">
        <f>Weather!P77</f>
        <v>0.60416666666666607</v>
      </c>
      <c r="BC77" s="28">
        <f>Weather!Q77</f>
        <v>105.36666666666665</v>
      </c>
      <c r="BD77" s="28">
        <f>Weather!R77</f>
        <v>4.1458333333333339</v>
      </c>
      <c r="BE77">
        <f t="shared" si="81"/>
        <v>0</v>
      </c>
      <c r="BF77">
        <f t="shared" si="81"/>
        <v>0</v>
      </c>
      <c r="BG77">
        <f t="shared" si="81"/>
        <v>0</v>
      </c>
      <c r="BH77">
        <f t="shared" si="81"/>
        <v>1</v>
      </c>
      <c r="BI77">
        <f t="shared" si="81"/>
        <v>0</v>
      </c>
      <c r="BJ77">
        <f t="shared" si="81"/>
        <v>0</v>
      </c>
      <c r="BK77">
        <f t="shared" si="81"/>
        <v>0</v>
      </c>
      <c r="BL77">
        <f t="shared" si="81"/>
        <v>0</v>
      </c>
      <c r="BM77">
        <f t="shared" si="81"/>
        <v>0</v>
      </c>
      <c r="BN77">
        <f t="shared" si="81"/>
        <v>0</v>
      </c>
      <c r="BO77">
        <f t="shared" si="81"/>
        <v>0</v>
      </c>
      <c r="BP77">
        <f t="shared" si="81"/>
        <v>0</v>
      </c>
      <c r="BQ77" s="1">
        <f t="shared" si="40"/>
        <v>1</v>
      </c>
      <c r="BR77" s="1">
        <f t="shared" si="40"/>
        <v>0</v>
      </c>
      <c r="BS77" s="1">
        <f t="shared" si="40"/>
        <v>1</v>
      </c>
      <c r="BT77" s="1">
        <f t="shared" si="44"/>
        <v>76</v>
      </c>
      <c r="BU77">
        <f t="shared" si="41"/>
        <v>30</v>
      </c>
      <c r="BV77" s="1">
        <v>21</v>
      </c>
      <c r="BW77" s="1">
        <v>0.5</v>
      </c>
      <c r="BX77" s="1">
        <v>0.25</v>
      </c>
      <c r="BY77" s="1">
        <v>0.5</v>
      </c>
      <c r="BZ77" s="1">
        <v>0</v>
      </c>
      <c r="CA77">
        <f t="shared" ref="CA77:CA121" si="83">$BX77*AQ77</f>
        <v>115.30520833333337</v>
      </c>
      <c r="CB77">
        <f t="shared" si="46"/>
        <v>0</v>
      </c>
      <c r="CC77">
        <f t="shared" si="47"/>
        <v>100.30520833333338</v>
      </c>
      <c r="CD77">
        <f t="shared" si="48"/>
        <v>0</v>
      </c>
      <c r="CE77">
        <f t="shared" si="49"/>
        <v>85.305208333333368</v>
      </c>
      <c r="CF77">
        <f t="shared" si="50"/>
        <v>0</v>
      </c>
      <c r="CG77">
        <f t="shared" si="51"/>
        <v>70.305208333333326</v>
      </c>
      <c r="CH77">
        <f t="shared" si="52"/>
        <v>0</v>
      </c>
      <c r="CI77">
        <f t="shared" si="53"/>
        <v>55.305208333333326</v>
      </c>
      <c r="CJ77">
        <f t="shared" si="54"/>
        <v>0</v>
      </c>
      <c r="CK77">
        <f t="shared" si="55"/>
        <v>40.456249999999997</v>
      </c>
      <c r="CL77">
        <f t="shared" si="56"/>
        <v>0.15104166666666652</v>
      </c>
      <c r="CM77">
        <f t="shared" si="57"/>
        <v>26.341666666666661</v>
      </c>
      <c r="CN77">
        <f t="shared" si="58"/>
        <v>1.0364583333333335</v>
      </c>
      <c r="CO77" s="14">
        <f t="shared" si="39"/>
        <v>230.61041666666674</v>
      </c>
      <c r="CP77" s="14">
        <f t="shared" si="59"/>
        <v>0</v>
      </c>
      <c r="CQ77" s="14">
        <f t="shared" si="60"/>
        <v>200.61041666666677</v>
      </c>
      <c r="CR77" s="14">
        <f t="shared" si="61"/>
        <v>0</v>
      </c>
      <c r="CS77" s="14">
        <f t="shared" si="62"/>
        <v>170.61041666666674</v>
      </c>
      <c r="CT77" s="14">
        <f t="shared" si="63"/>
        <v>0</v>
      </c>
      <c r="CU77" s="14">
        <f t="shared" si="64"/>
        <v>140.61041666666665</v>
      </c>
      <c r="CV77" s="14">
        <f t="shared" si="65"/>
        <v>0</v>
      </c>
      <c r="CW77" s="14">
        <f t="shared" si="66"/>
        <v>110.61041666666665</v>
      </c>
      <c r="CX77" s="14">
        <f t="shared" si="67"/>
        <v>0</v>
      </c>
      <c r="CY77" s="14">
        <f t="shared" si="68"/>
        <v>80.912499999999994</v>
      </c>
      <c r="CZ77" s="14">
        <f t="shared" si="69"/>
        <v>0.30208333333333304</v>
      </c>
      <c r="DA77" s="14">
        <f t="shared" si="70"/>
        <v>52.683333333333323</v>
      </c>
      <c r="DB77" s="14">
        <f t="shared" si="71"/>
        <v>2.072916666666667</v>
      </c>
      <c r="DC77" s="72">
        <f>F77/G77</f>
        <v>645.54524655408898</v>
      </c>
      <c r="DD77" s="72">
        <f t="shared" si="82"/>
        <v>21.5181748851363</v>
      </c>
      <c r="DE77" s="71">
        <f>F77/BU77</f>
        <v>218280.36603482263</v>
      </c>
      <c r="DF77" s="72">
        <f>J77/K77</f>
        <v>1878.5359446132645</v>
      </c>
      <c r="DG77" s="72">
        <f t="shared" si="73"/>
        <v>62.617864820442151</v>
      </c>
      <c r="DH77" s="72">
        <f>J77/BU77</f>
        <v>79963.013375704628</v>
      </c>
      <c r="DI77" s="72">
        <f>N77/P77</f>
        <v>36670.420958220981</v>
      </c>
      <c r="DJ77" s="72">
        <f t="shared" si="74"/>
        <v>1222.3473652740327</v>
      </c>
      <c r="DK77" s="72">
        <f t="shared" si="75"/>
        <v>1746.2105218200468</v>
      </c>
      <c r="DL77" s="72">
        <f>N77/BU77</f>
        <v>174795.67323418666</v>
      </c>
      <c r="DM77" s="72">
        <f>N77/BV77</f>
        <v>249708.10462026665</v>
      </c>
      <c r="DN77" s="1">
        <v>0</v>
      </c>
      <c r="DO77" s="1">
        <v>0</v>
      </c>
    </row>
    <row r="78" spans="1:119">
      <c r="A78" s="93">
        <f t="shared" si="79"/>
        <v>44682</v>
      </c>
      <c r="B78" s="4">
        <f t="shared" si="42"/>
        <v>2022</v>
      </c>
      <c r="C78" s="4">
        <f t="shared" si="43"/>
        <v>5</v>
      </c>
      <c r="D78" s="56">
        <v>5916567</v>
      </c>
      <c r="E78" s="56">
        <f>IFERROR(VLOOKUP($B78-1,CDM!$J$6:$P$19,2,FALSE)/12,0)+IFERROR(VLOOKUP($B78,CDM!$J$37:$M$48,2,FALSE)/24,0)+IFERROR(VLOOKUP($B78,CDM!$J$37:$M$48,2,FALSE)/2*$C78/78,0)</f>
        <v>163927.46516055203</v>
      </c>
      <c r="F78" s="56">
        <f t="shared" si="76"/>
        <v>6080494.4651605524</v>
      </c>
      <c r="G78" s="301">
        <v>10146</v>
      </c>
      <c r="H78" s="56">
        <v>1995213</v>
      </c>
      <c r="I78" s="56">
        <f>IFERROR(VLOOKUP($B78-1,CDM!$J$6:$P$19,3,FALSE)/12,0)+IFERROR(VLOOKUP($B78,CDM!$J$37:$M$47,3,FALSE)/24,0)+IFERROR(VLOOKUP($B78,CDM!$J$37:$M$47,3,FALSE)/2*$C78/78,0)</f>
        <v>197280.71185109211</v>
      </c>
      <c r="J78" s="56">
        <f t="shared" si="77"/>
        <v>2192493.7118510921</v>
      </c>
      <c r="K78" s="6">
        <v>1274</v>
      </c>
      <c r="L78" s="5">
        <v>5103265</v>
      </c>
      <c r="M78" s="2">
        <f>IFERROR(VLOOKUP($B78-1,CDM!$J$6:$P$19,4,FALSE)/12,0)+IFERROR(VLOOKUP($B78,CDM!$J$37:$M$47,4,FALSE)/24,0)+IFERROR(VLOOKUP($B78,CDM!$J$37:$M$47,4,FALSE)/2*$C78/78,0)</f>
        <v>180670.72575638193</v>
      </c>
      <c r="N78" s="56">
        <f t="shared" si="78"/>
        <v>5283935.7257563816</v>
      </c>
      <c r="O78" s="5">
        <v>17498.8</v>
      </c>
      <c r="P78" s="6">
        <v>143</v>
      </c>
      <c r="Q78" s="5">
        <v>67648</v>
      </c>
      <c r="R78" s="5">
        <v>235.2</v>
      </c>
      <c r="S78" s="6">
        <v>2920</v>
      </c>
      <c r="T78" s="6">
        <v>15964</v>
      </c>
      <c r="U78" s="6">
        <v>37</v>
      </c>
      <c r="V78" s="6">
        <v>177</v>
      </c>
      <c r="W78" s="5">
        <v>49303</v>
      </c>
      <c r="X78" s="1">
        <v>19</v>
      </c>
      <c r="Y78" s="56">
        <v>4842.3999999999996</v>
      </c>
      <c r="Z78" s="56">
        <v>3094.4</v>
      </c>
      <c r="AA78" s="71">
        <f>L78-Y78</f>
        <v>5098422.5999999996</v>
      </c>
      <c r="AB78" s="71">
        <f>N78-Y78</f>
        <v>5279093.3257563813</v>
      </c>
      <c r="AC78" s="5">
        <f>O78-Z78</f>
        <v>14404.4</v>
      </c>
      <c r="AD78" s="111">
        <f>Economic!H80</f>
        <v>850461.9</v>
      </c>
      <c r="AE78" s="111">
        <f>Economic!I80</f>
        <v>854755</v>
      </c>
      <c r="AF78" s="111">
        <f>Economic!D80</f>
        <v>7776.1</v>
      </c>
      <c r="AG78" s="111">
        <f>Economic!E80</f>
        <v>7765</v>
      </c>
      <c r="AH78" s="111">
        <f>Economic!F80</f>
        <v>647.20000000000005</v>
      </c>
      <c r="AI78" s="111">
        <f>Economic!G80</f>
        <v>647.5</v>
      </c>
      <c r="AJ78" s="111">
        <f>Economic!J80</f>
        <v>510.40000000000055</v>
      </c>
      <c r="AK78" s="111">
        <f>Economic!K80</f>
        <v>517.69999999999982</v>
      </c>
      <c r="AL78" s="111">
        <f>Economic!L80</f>
        <v>21.100000000000023</v>
      </c>
      <c r="AM78" s="111">
        <f>Economic!M80</f>
        <v>22.399999999999977</v>
      </c>
      <c r="AN78" s="111">
        <f>Economic!N80</f>
        <v>33196.400000000023</v>
      </c>
      <c r="AO78" s="111">
        <f>Economic!O80</f>
        <v>7209</v>
      </c>
      <c r="AP78" s="28">
        <f>Weather!D78</f>
        <v>14.666129032258066</v>
      </c>
      <c r="AQ78" s="28">
        <f>Weather!E78</f>
        <v>173.55833333333337</v>
      </c>
      <c r="AR78" s="28">
        <f>Weather!F78</f>
        <v>8.2083333333333321</v>
      </c>
      <c r="AS78" s="28">
        <f>Weather!G78</f>
        <v>126.58749999999998</v>
      </c>
      <c r="AT78" s="28">
        <f>Weather!H78</f>
        <v>23.237499999999986</v>
      </c>
      <c r="AU78" s="28">
        <f>Weather!I78</f>
        <v>87.67083333333332</v>
      </c>
      <c r="AV78" s="28">
        <f>Weather!J78</f>
        <v>46.320833333333297</v>
      </c>
      <c r="AW78" s="28">
        <f>Weather!K78</f>
        <v>53.670833333333341</v>
      </c>
      <c r="AX78" s="28">
        <f>Weather!L78</f>
        <v>74.320833333333297</v>
      </c>
      <c r="AY78" s="28">
        <f>Weather!M78</f>
        <v>22.608333333333334</v>
      </c>
      <c r="AZ78" s="28">
        <f>Weather!N78</f>
        <v>105.25833333333331</v>
      </c>
      <c r="BA78" s="28">
        <f>Weather!O78</f>
        <v>2.8875000000000028</v>
      </c>
      <c r="BB78" s="28">
        <f>Weather!P78</f>
        <v>147.53749999999999</v>
      </c>
      <c r="BC78" s="28">
        <f>Weather!Q78</f>
        <v>0</v>
      </c>
      <c r="BD78" s="28">
        <f>Weather!R78</f>
        <v>206.64999999999995</v>
      </c>
      <c r="BE78">
        <f t="shared" si="81"/>
        <v>0</v>
      </c>
      <c r="BF78">
        <f t="shared" si="81"/>
        <v>0</v>
      </c>
      <c r="BG78">
        <f t="shared" si="81"/>
        <v>0</v>
      </c>
      <c r="BH78">
        <f t="shared" si="81"/>
        <v>0</v>
      </c>
      <c r="BI78">
        <f t="shared" si="81"/>
        <v>1</v>
      </c>
      <c r="BJ78">
        <f t="shared" si="81"/>
        <v>0</v>
      </c>
      <c r="BK78">
        <f t="shared" si="81"/>
        <v>0</v>
      </c>
      <c r="BL78">
        <f t="shared" si="81"/>
        <v>0</v>
      </c>
      <c r="BM78">
        <f t="shared" si="81"/>
        <v>0</v>
      </c>
      <c r="BN78">
        <f t="shared" si="81"/>
        <v>0</v>
      </c>
      <c r="BO78">
        <f t="shared" si="81"/>
        <v>0</v>
      </c>
      <c r="BP78">
        <f t="shared" si="81"/>
        <v>0</v>
      </c>
      <c r="BQ78" s="1">
        <f t="shared" si="40"/>
        <v>1</v>
      </c>
      <c r="BR78" s="1">
        <f t="shared" si="40"/>
        <v>0</v>
      </c>
      <c r="BS78" s="1">
        <f t="shared" si="40"/>
        <v>1</v>
      </c>
      <c r="BT78" s="1">
        <f t="shared" si="44"/>
        <v>77</v>
      </c>
      <c r="BU78">
        <f t="shared" si="41"/>
        <v>31</v>
      </c>
      <c r="BV78" s="1">
        <v>20</v>
      </c>
      <c r="BW78" s="1">
        <v>0.5</v>
      </c>
      <c r="BX78" s="1">
        <v>0.25</v>
      </c>
      <c r="BY78" s="1">
        <v>0.5</v>
      </c>
      <c r="BZ78" s="1">
        <v>0</v>
      </c>
      <c r="CA78">
        <f t="shared" si="83"/>
        <v>43.389583333333341</v>
      </c>
      <c r="CB78">
        <f t="shared" si="46"/>
        <v>2.052083333333333</v>
      </c>
      <c r="CC78">
        <f t="shared" si="47"/>
        <v>31.646874999999994</v>
      </c>
      <c r="CD78">
        <f t="shared" si="48"/>
        <v>5.8093749999999966</v>
      </c>
      <c r="CE78">
        <f t="shared" si="49"/>
        <v>21.91770833333333</v>
      </c>
      <c r="CF78">
        <f t="shared" si="50"/>
        <v>11.580208333333324</v>
      </c>
      <c r="CG78">
        <f t="shared" si="51"/>
        <v>13.417708333333335</v>
      </c>
      <c r="CH78">
        <f t="shared" si="52"/>
        <v>18.580208333333324</v>
      </c>
      <c r="CI78">
        <f t="shared" si="53"/>
        <v>5.6520833333333336</v>
      </c>
      <c r="CJ78">
        <f t="shared" si="54"/>
        <v>26.314583333333328</v>
      </c>
      <c r="CK78">
        <f t="shared" si="55"/>
        <v>0.72187500000000071</v>
      </c>
      <c r="CL78">
        <f t="shared" si="56"/>
        <v>36.884374999999999</v>
      </c>
      <c r="CM78">
        <f t="shared" si="57"/>
        <v>0</v>
      </c>
      <c r="CN78">
        <f t="shared" si="58"/>
        <v>51.662499999999987</v>
      </c>
      <c r="CO78" s="14">
        <f t="shared" si="39"/>
        <v>86.779166666666683</v>
      </c>
      <c r="CP78" s="14">
        <f t="shared" si="59"/>
        <v>4.1041666666666661</v>
      </c>
      <c r="CQ78" s="14">
        <f t="shared" si="60"/>
        <v>63.293749999999989</v>
      </c>
      <c r="CR78" s="14">
        <f t="shared" si="61"/>
        <v>11.618749999999993</v>
      </c>
      <c r="CS78" s="14">
        <f t="shared" si="62"/>
        <v>43.83541666666666</v>
      </c>
      <c r="CT78" s="14">
        <f t="shared" si="63"/>
        <v>23.160416666666649</v>
      </c>
      <c r="CU78" s="14">
        <f t="shared" si="64"/>
        <v>26.835416666666671</v>
      </c>
      <c r="CV78" s="14">
        <f t="shared" si="65"/>
        <v>37.160416666666649</v>
      </c>
      <c r="CW78" s="14">
        <f t="shared" si="66"/>
        <v>11.304166666666667</v>
      </c>
      <c r="CX78" s="14">
        <f t="shared" si="67"/>
        <v>52.629166666666656</v>
      </c>
      <c r="CY78" s="14">
        <f t="shared" si="68"/>
        <v>1.4437500000000014</v>
      </c>
      <c r="CZ78" s="14">
        <f t="shared" si="69"/>
        <v>73.768749999999997</v>
      </c>
      <c r="DA78" s="14">
        <f t="shared" si="70"/>
        <v>0</v>
      </c>
      <c r="DB78" s="14">
        <f t="shared" si="71"/>
        <v>103.32499999999997</v>
      </c>
      <c r="DC78" s="72">
        <f>F78/G78</f>
        <v>599.2996713148583</v>
      </c>
      <c r="DD78" s="72">
        <f t="shared" si="82"/>
        <v>19.332247461769622</v>
      </c>
      <c r="DE78" s="71">
        <f>F78/BU78</f>
        <v>196144.98274711458</v>
      </c>
      <c r="DF78" s="72">
        <f>J78/K78</f>
        <v>1720.9526780620818</v>
      </c>
      <c r="DG78" s="72">
        <f t="shared" si="73"/>
        <v>55.514602518131667</v>
      </c>
      <c r="DH78" s="72">
        <f>J78/BU78</f>
        <v>70725.603608099744</v>
      </c>
      <c r="DI78" s="72">
        <f>N78/P78</f>
        <v>36950.599480813857</v>
      </c>
      <c r="DJ78" s="72">
        <f t="shared" si="74"/>
        <v>1191.9548219617373</v>
      </c>
      <c r="DK78" s="72">
        <f t="shared" si="75"/>
        <v>1847.5299740406929</v>
      </c>
      <c r="DL78" s="72">
        <f>N78/BU78</f>
        <v>170449.53954052844</v>
      </c>
      <c r="DM78" s="72">
        <f>N78/BV78</f>
        <v>264196.78628781909</v>
      </c>
      <c r="DN78" s="1">
        <v>0</v>
      </c>
      <c r="DO78" s="1">
        <v>0</v>
      </c>
    </row>
    <row r="79" spans="1:119">
      <c r="A79" s="93">
        <f t="shared" si="79"/>
        <v>44713</v>
      </c>
      <c r="B79" s="4">
        <f t="shared" si="42"/>
        <v>2022</v>
      </c>
      <c r="C79" s="4">
        <f t="shared" si="43"/>
        <v>6</v>
      </c>
      <c r="D79" s="56">
        <v>6146052</v>
      </c>
      <c r="E79" s="56">
        <f>IFERROR(VLOOKUP($B79-1,CDM!$J$6:$P$19,2,FALSE)/12,0)+IFERROR(VLOOKUP($B79,CDM!$J$37:$M$48,2,FALSE)/24,0)+IFERROR(VLOOKUP($B79,CDM!$J$37:$M$48,2,FALSE)/2*$C79/78,0)</f>
        <v>164037.94927642529</v>
      </c>
      <c r="F79" s="56">
        <f t="shared" si="76"/>
        <v>6310089.9492764249</v>
      </c>
      <c r="G79" s="301">
        <v>10146</v>
      </c>
      <c r="H79" s="56">
        <v>2054424</v>
      </c>
      <c r="I79" s="56">
        <f>IFERROR(VLOOKUP($B79-1,CDM!$J$6:$P$19,3,FALSE)/12,0)+IFERROR(VLOOKUP($B79,CDM!$J$37:$M$47,3,FALSE)/24,0)+IFERROR(VLOOKUP($B79,CDM!$J$37:$M$47,3,FALSE)/2*$C79/78,0)</f>
        <v>199897.02243104557</v>
      </c>
      <c r="J79" s="56">
        <f t="shared" si="77"/>
        <v>2254321.0224310458</v>
      </c>
      <c r="K79" s="6">
        <v>1276</v>
      </c>
      <c r="L79" s="5">
        <v>5086755</v>
      </c>
      <c r="M79" s="2">
        <f>IFERROR(VLOOKUP($B79-1,CDM!$J$6:$P$19,4,FALSE)/12,0)+IFERROR(VLOOKUP($B79,CDM!$J$37:$M$47,4,FALSE)/24,0)+IFERROR(VLOOKUP($B79,CDM!$J$37:$M$47,4,FALSE)/2*$C79/78,0)</f>
        <v>183461.25448716388</v>
      </c>
      <c r="N79" s="56">
        <f t="shared" si="78"/>
        <v>5270216.2544871643</v>
      </c>
      <c r="O79" s="515">
        <f>(30789.2+2022)*N79/(N79+N80)</f>
        <v>15669.89796009227</v>
      </c>
      <c r="P79" s="6">
        <v>143</v>
      </c>
      <c r="Q79" s="5">
        <v>60965</v>
      </c>
      <c r="R79" s="5">
        <v>235.2</v>
      </c>
      <c r="S79" s="6">
        <v>2920</v>
      </c>
      <c r="T79" s="6">
        <v>18402</v>
      </c>
      <c r="U79" s="6">
        <v>51.100000000000009</v>
      </c>
      <c r="V79" s="6">
        <v>177</v>
      </c>
      <c r="W79" s="5">
        <v>47749</v>
      </c>
      <c r="X79" s="1">
        <v>19</v>
      </c>
      <c r="Y79" s="56">
        <v>557.6</v>
      </c>
      <c r="Z79" s="56">
        <v>2230.4</v>
      </c>
      <c r="AA79" s="71">
        <f>L79-Y79</f>
        <v>5086197.4000000004</v>
      </c>
      <c r="AB79" s="71">
        <f>N79-Y79</f>
        <v>5269658.6544871647</v>
      </c>
      <c r="AC79" s="5">
        <f>O79-Z79</f>
        <v>13439.497960092271</v>
      </c>
      <c r="AD79" s="111">
        <f>Economic!H81</f>
        <v>850461.9</v>
      </c>
      <c r="AE79" s="111">
        <f>Economic!I81</f>
        <v>854755</v>
      </c>
      <c r="AF79" s="111">
        <f>Economic!D81</f>
        <v>7782.8</v>
      </c>
      <c r="AG79" s="111">
        <f>Economic!E81</f>
        <v>7838.7</v>
      </c>
      <c r="AH79" s="111">
        <f>Economic!F81</f>
        <v>643.20000000000005</v>
      </c>
      <c r="AI79" s="111">
        <f>Economic!G81</f>
        <v>650.29999999999995</v>
      </c>
      <c r="AJ79" s="111">
        <f>Economic!J81</f>
        <v>532.80000000000018</v>
      </c>
      <c r="AK79" s="111">
        <f>Economic!K81</f>
        <v>542.89999999999964</v>
      </c>
      <c r="AL79" s="111">
        <f>Economic!L81</f>
        <v>15</v>
      </c>
      <c r="AM79" s="111">
        <f>Economic!M81</f>
        <v>17.699999999999932</v>
      </c>
      <c r="AN79" s="111">
        <f>Economic!N81</f>
        <v>33196.400000000023</v>
      </c>
      <c r="AO79" s="111">
        <f>Economic!O81</f>
        <v>7209</v>
      </c>
      <c r="AP79" s="28">
        <f>Weather!D79</f>
        <v>17.072916666666668</v>
      </c>
      <c r="AQ79" s="28">
        <f>Weather!E79</f>
        <v>101.1375</v>
      </c>
      <c r="AR79" s="28">
        <f>Weather!F79</f>
        <v>13.324999999999996</v>
      </c>
      <c r="AS79" s="28">
        <f>Weather!G79</f>
        <v>54.516666666666666</v>
      </c>
      <c r="AT79" s="28">
        <f>Weather!H79</f>
        <v>26.704166666666662</v>
      </c>
      <c r="AU79" s="28">
        <f>Weather!I79</f>
        <v>20.395833333333325</v>
      </c>
      <c r="AV79" s="28">
        <f>Weather!J79</f>
        <v>52.583333333333329</v>
      </c>
      <c r="AW79" s="28">
        <f>Weather!K79</f>
        <v>4.2374999999999954</v>
      </c>
      <c r="AX79" s="28">
        <f>Weather!L79</f>
        <v>96.424999999999997</v>
      </c>
      <c r="AY79" s="28">
        <f>Weather!M79</f>
        <v>0</v>
      </c>
      <c r="AZ79" s="28">
        <f>Weather!N79</f>
        <v>152.1875</v>
      </c>
      <c r="BA79" s="28">
        <f>Weather!O79</f>
        <v>0</v>
      </c>
      <c r="BB79" s="28">
        <f>Weather!P79</f>
        <v>212.1875</v>
      </c>
      <c r="BC79" s="28">
        <f>Weather!Q79</f>
        <v>0</v>
      </c>
      <c r="BD79" s="28">
        <f>Weather!R79</f>
        <v>272.1875</v>
      </c>
      <c r="BE79">
        <f t="shared" si="81"/>
        <v>0</v>
      </c>
      <c r="BF79">
        <f t="shared" si="81"/>
        <v>0</v>
      </c>
      <c r="BG79">
        <f t="shared" si="81"/>
        <v>0</v>
      </c>
      <c r="BH79">
        <f t="shared" si="81"/>
        <v>0</v>
      </c>
      <c r="BI79">
        <f t="shared" si="81"/>
        <v>0</v>
      </c>
      <c r="BJ79">
        <f t="shared" si="81"/>
        <v>1</v>
      </c>
      <c r="BK79">
        <f t="shared" si="81"/>
        <v>0</v>
      </c>
      <c r="BL79">
        <f t="shared" si="81"/>
        <v>0</v>
      </c>
      <c r="BM79">
        <f t="shared" si="81"/>
        <v>0</v>
      </c>
      <c r="BN79">
        <f t="shared" si="81"/>
        <v>0</v>
      </c>
      <c r="BO79">
        <f t="shared" si="81"/>
        <v>0</v>
      </c>
      <c r="BP79">
        <f t="shared" si="81"/>
        <v>0</v>
      </c>
      <c r="BQ79" s="1">
        <f t="shared" si="81"/>
        <v>0</v>
      </c>
      <c r="BR79" s="1">
        <f t="shared" si="81"/>
        <v>0</v>
      </c>
      <c r="BS79" s="1">
        <f t="shared" si="81"/>
        <v>0</v>
      </c>
      <c r="BT79" s="1">
        <f t="shared" si="44"/>
        <v>78</v>
      </c>
      <c r="BU79">
        <f t="shared" si="41"/>
        <v>30</v>
      </c>
      <c r="BV79" s="1">
        <v>22</v>
      </c>
      <c r="BW79" s="1">
        <v>0.5</v>
      </c>
      <c r="BX79" s="1">
        <v>0.25</v>
      </c>
      <c r="BY79" s="1">
        <v>0.5</v>
      </c>
      <c r="BZ79" s="1">
        <v>0</v>
      </c>
      <c r="CA79">
        <f t="shared" si="83"/>
        <v>25.284375000000001</v>
      </c>
      <c r="CB79">
        <f t="shared" si="46"/>
        <v>3.3312499999999989</v>
      </c>
      <c r="CC79">
        <f t="shared" si="47"/>
        <v>13.629166666666666</v>
      </c>
      <c r="CD79">
        <f t="shared" si="48"/>
        <v>6.6760416666666655</v>
      </c>
      <c r="CE79">
        <f t="shared" si="49"/>
        <v>5.0989583333333313</v>
      </c>
      <c r="CF79">
        <f t="shared" si="50"/>
        <v>13.145833333333332</v>
      </c>
      <c r="CG79">
        <f t="shared" si="51"/>
        <v>1.0593749999999988</v>
      </c>
      <c r="CH79">
        <f t="shared" si="52"/>
        <v>24.106249999999999</v>
      </c>
      <c r="CI79">
        <f t="shared" si="53"/>
        <v>0</v>
      </c>
      <c r="CJ79">
        <f t="shared" si="54"/>
        <v>38.046875</v>
      </c>
      <c r="CK79">
        <f t="shared" si="55"/>
        <v>0</v>
      </c>
      <c r="CL79">
        <f t="shared" si="56"/>
        <v>53.046875</v>
      </c>
      <c r="CM79">
        <f t="shared" si="57"/>
        <v>0</v>
      </c>
      <c r="CN79">
        <f t="shared" si="58"/>
        <v>68.046875</v>
      </c>
      <c r="CO79" s="14">
        <f t="shared" si="39"/>
        <v>50.568750000000001</v>
      </c>
      <c r="CP79" s="14">
        <f t="shared" si="59"/>
        <v>6.6624999999999979</v>
      </c>
      <c r="CQ79" s="14">
        <f t="shared" si="60"/>
        <v>27.258333333333333</v>
      </c>
      <c r="CR79" s="14">
        <f t="shared" si="61"/>
        <v>13.352083333333331</v>
      </c>
      <c r="CS79" s="14">
        <f t="shared" si="62"/>
        <v>10.197916666666663</v>
      </c>
      <c r="CT79" s="14">
        <f t="shared" si="63"/>
        <v>26.291666666666664</v>
      </c>
      <c r="CU79" s="14">
        <f t="shared" si="64"/>
        <v>2.1187499999999977</v>
      </c>
      <c r="CV79" s="14">
        <f t="shared" si="65"/>
        <v>48.212499999999999</v>
      </c>
      <c r="CW79" s="14">
        <f t="shared" si="66"/>
        <v>0</v>
      </c>
      <c r="CX79" s="14">
        <f t="shared" si="67"/>
        <v>76.09375</v>
      </c>
      <c r="CY79" s="14">
        <f t="shared" si="68"/>
        <v>0</v>
      </c>
      <c r="CZ79" s="14">
        <f t="shared" si="69"/>
        <v>106.09375</v>
      </c>
      <c r="DA79" s="14">
        <f t="shared" si="70"/>
        <v>0</v>
      </c>
      <c r="DB79" s="14">
        <f t="shared" si="71"/>
        <v>136.09375</v>
      </c>
      <c r="DC79" s="72">
        <f>F79/G79</f>
        <v>621.92883395194406</v>
      </c>
      <c r="DD79" s="72">
        <f t="shared" si="82"/>
        <v>20.730961131731469</v>
      </c>
      <c r="DE79" s="71">
        <f>F79/BU79</f>
        <v>210336.33164254751</v>
      </c>
      <c r="DF79" s="72">
        <f>J79/K79</f>
        <v>1766.7092652280924</v>
      </c>
      <c r="DG79" s="72">
        <f t="shared" si="73"/>
        <v>58.890308840936413</v>
      </c>
      <c r="DH79" s="72">
        <f>J79/BU79</f>
        <v>75144.034081034857</v>
      </c>
      <c r="DI79" s="72">
        <f>N79/P79</f>
        <v>36854.659122287863</v>
      </c>
      <c r="DJ79" s="72">
        <f t="shared" si="74"/>
        <v>1228.4886374095954</v>
      </c>
      <c r="DK79" s="72">
        <f t="shared" si="75"/>
        <v>1675.211778285812</v>
      </c>
      <c r="DL79" s="72">
        <f>N79/BU79</f>
        <v>175673.87514957215</v>
      </c>
      <c r="DM79" s="72">
        <f>N79/BV79</f>
        <v>239555.28429487112</v>
      </c>
      <c r="DN79" s="1">
        <v>0</v>
      </c>
      <c r="DO79" s="1">
        <v>0</v>
      </c>
    </row>
    <row r="80" spans="1:119">
      <c r="A80" s="93">
        <f t="shared" si="79"/>
        <v>44743</v>
      </c>
      <c r="B80" s="4">
        <f t="shared" si="42"/>
        <v>2022</v>
      </c>
      <c r="C80" s="4">
        <f t="shared" si="43"/>
        <v>7</v>
      </c>
      <c r="D80" s="56">
        <v>7301085</v>
      </c>
      <c r="E80" s="56">
        <f>IFERROR(VLOOKUP($B80-1,CDM!$J$6:$P$19,2,FALSE)/12,0)+IFERROR(VLOOKUP($B80,CDM!$J$37:$M$48,2,FALSE)/24,0)+IFERROR(VLOOKUP($B80,CDM!$J$37:$M$48,2,FALSE)/2*$C80/78,0)</f>
        <v>164148.43339229855</v>
      </c>
      <c r="F80" s="56">
        <f t="shared" si="76"/>
        <v>7465233.4333922984</v>
      </c>
      <c r="G80" s="301">
        <v>10144</v>
      </c>
      <c r="H80" s="56">
        <v>2232269</v>
      </c>
      <c r="I80" s="56">
        <f>IFERROR(VLOOKUP($B80-1,CDM!$J$6:$P$19,3,FALSE)/12,0)+IFERROR(VLOOKUP($B80,CDM!$J$37:$M$47,3,FALSE)/24,0)+IFERROR(VLOOKUP($B80,CDM!$J$37:$M$47,3,FALSE)/2*$C80/78,0)</f>
        <v>202513.33301099902</v>
      </c>
      <c r="J80" s="56">
        <f t="shared" si="77"/>
        <v>2434782.333010999</v>
      </c>
      <c r="K80" s="6">
        <v>1277</v>
      </c>
      <c r="L80" s="5">
        <v>5578838</v>
      </c>
      <c r="M80" s="2">
        <f>IFERROR(VLOOKUP($B80-1,CDM!$J$6:$P$19,4,FALSE)/12,0)+IFERROR(VLOOKUP($B80,CDM!$J$37:$M$47,4,FALSE)/24,0)+IFERROR(VLOOKUP($B80,CDM!$J$37:$M$47,4,FALSE)/2*$C80/78,0)</f>
        <v>186251.78321794586</v>
      </c>
      <c r="N80" s="56">
        <f t="shared" si="78"/>
        <v>5765089.7832179461</v>
      </c>
      <c r="O80" s="515">
        <f>(30789.2+2022)*N80/(N79+N80)</f>
        <v>17141.302039907729</v>
      </c>
      <c r="P80" s="6">
        <v>143</v>
      </c>
      <c r="Q80" s="5">
        <v>65375</v>
      </c>
      <c r="R80" s="5">
        <v>235.2</v>
      </c>
      <c r="S80" s="6">
        <v>2920</v>
      </c>
      <c r="T80" s="6">
        <v>13526</v>
      </c>
      <c r="U80" s="6">
        <v>44.099999999999994</v>
      </c>
      <c r="V80" s="6">
        <v>177</v>
      </c>
      <c r="W80" s="5">
        <v>50815</v>
      </c>
      <c r="X80" s="1">
        <v>19</v>
      </c>
      <c r="Y80" s="56">
        <v>2800.8</v>
      </c>
      <c r="Z80" s="56">
        <v>2588.8000000000002</v>
      </c>
      <c r="AA80" s="71">
        <f>L80-Y80</f>
        <v>5576037.2000000002</v>
      </c>
      <c r="AB80" s="71">
        <f>N80-Y80</f>
        <v>5762288.9832179463</v>
      </c>
      <c r="AC80" s="5">
        <f>O80-Z80</f>
        <v>14552.502039907729</v>
      </c>
      <c r="AD80" s="111">
        <f>Economic!H82</f>
        <v>850461.9</v>
      </c>
      <c r="AE80" s="111">
        <f>Economic!I82</f>
        <v>856819</v>
      </c>
      <c r="AF80" s="111">
        <f>Economic!D82</f>
        <v>7784.1</v>
      </c>
      <c r="AG80" s="111">
        <f>Economic!E82</f>
        <v>7872.1</v>
      </c>
      <c r="AH80" s="111">
        <f>Economic!F82</f>
        <v>639.4</v>
      </c>
      <c r="AI80" s="111">
        <f>Economic!G82</f>
        <v>651.79999999999995</v>
      </c>
      <c r="AJ80" s="111">
        <f>Economic!J82</f>
        <v>467.10000000000036</v>
      </c>
      <c r="AK80" s="111">
        <f>Economic!K82</f>
        <v>479.5</v>
      </c>
      <c r="AL80" s="111">
        <f>Economic!L82</f>
        <v>8.8999999999999773</v>
      </c>
      <c r="AM80" s="111">
        <f>Economic!M82</f>
        <v>12.199999999999932</v>
      </c>
      <c r="AN80" s="111">
        <f>Economic!N82</f>
        <v>33196.400000000023</v>
      </c>
      <c r="AO80" s="111">
        <f>Economic!O82</f>
        <v>2064</v>
      </c>
      <c r="AP80" s="28">
        <f>Weather!D80</f>
        <v>20.028024193548383</v>
      </c>
      <c r="AQ80" s="28">
        <f>Weather!E80</f>
        <v>24.766666666666666</v>
      </c>
      <c r="AR80" s="28">
        <f>Weather!F80</f>
        <v>25.635416666666639</v>
      </c>
      <c r="AS80" s="28">
        <f>Weather!G80</f>
        <v>4.4583333333333375</v>
      </c>
      <c r="AT80" s="28">
        <f>Weather!H80</f>
        <v>67.327083333333306</v>
      </c>
      <c r="AU80" s="28">
        <f>Weather!I80</f>
        <v>0.47916666666666607</v>
      </c>
      <c r="AV80" s="28">
        <f>Weather!J80</f>
        <v>125.34791666666662</v>
      </c>
      <c r="AW80" s="28">
        <f>Weather!K80</f>
        <v>0</v>
      </c>
      <c r="AX80" s="28">
        <f>Weather!L80</f>
        <v>186.86874999999995</v>
      </c>
      <c r="AY80" s="28">
        <f>Weather!M80</f>
        <v>0</v>
      </c>
      <c r="AZ80" s="28">
        <f>Weather!N80</f>
        <v>248.86874999999998</v>
      </c>
      <c r="BA80" s="28">
        <f>Weather!O80</f>
        <v>0</v>
      </c>
      <c r="BB80" s="28">
        <f>Weather!P80</f>
        <v>310.86875000000009</v>
      </c>
      <c r="BC80" s="28">
        <f>Weather!Q80</f>
        <v>0</v>
      </c>
      <c r="BD80" s="28">
        <f>Weather!R80</f>
        <v>372.86874999999998</v>
      </c>
      <c r="BE80">
        <f t="shared" si="81"/>
        <v>0</v>
      </c>
      <c r="BF80">
        <f t="shared" si="81"/>
        <v>0</v>
      </c>
      <c r="BG80">
        <f t="shared" si="81"/>
        <v>0</v>
      </c>
      <c r="BH80">
        <f t="shared" si="81"/>
        <v>0</v>
      </c>
      <c r="BI80">
        <f t="shared" si="81"/>
        <v>0</v>
      </c>
      <c r="BJ80">
        <f t="shared" si="81"/>
        <v>0</v>
      </c>
      <c r="BK80">
        <f t="shared" si="81"/>
        <v>1</v>
      </c>
      <c r="BL80">
        <f t="shared" si="81"/>
        <v>0</v>
      </c>
      <c r="BM80">
        <f t="shared" si="81"/>
        <v>0</v>
      </c>
      <c r="BN80">
        <f t="shared" si="81"/>
        <v>0</v>
      </c>
      <c r="BO80">
        <f t="shared" si="81"/>
        <v>0</v>
      </c>
      <c r="BP80">
        <f t="shared" si="81"/>
        <v>0</v>
      </c>
      <c r="BQ80" s="1">
        <f t="shared" si="81"/>
        <v>0</v>
      </c>
      <c r="BR80" s="1">
        <f t="shared" si="81"/>
        <v>0</v>
      </c>
      <c r="BS80" s="1">
        <f t="shared" si="81"/>
        <v>0</v>
      </c>
      <c r="BT80" s="1">
        <f t="shared" si="44"/>
        <v>79</v>
      </c>
      <c r="BU80">
        <f t="shared" si="41"/>
        <v>31</v>
      </c>
      <c r="BV80" s="1">
        <v>22</v>
      </c>
      <c r="BW80" s="1">
        <v>0.5</v>
      </c>
      <c r="BX80" s="1">
        <v>0.25</v>
      </c>
      <c r="BY80" s="1">
        <v>0.5</v>
      </c>
      <c r="BZ80" s="1">
        <v>0</v>
      </c>
      <c r="CA80">
        <f t="shared" si="83"/>
        <v>6.1916666666666664</v>
      </c>
      <c r="CB80">
        <f t="shared" si="46"/>
        <v>6.4088541666666599</v>
      </c>
      <c r="CC80">
        <f t="shared" si="47"/>
        <v>1.1145833333333344</v>
      </c>
      <c r="CD80">
        <f t="shared" si="48"/>
        <v>16.831770833333326</v>
      </c>
      <c r="CE80">
        <f t="shared" si="49"/>
        <v>0.11979166666666652</v>
      </c>
      <c r="CF80">
        <f t="shared" si="50"/>
        <v>31.336979166666655</v>
      </c>
      <c r="CG80">
        <f t="shared" si="51"/>
        <v>0</v>
      </c>
      <c r="CH80">
        <f t="shared" si="52"/>
        <v>46.717187499999987</v>
      </c>
      <c r="CI80">
        <f t="shared" si="53"/>
        <v>0</v>
      </c>
      <c r="CJ80">
        <f t="shared" si="54"/>
        <v>62.217187499999994</v>
      </c>
      <c r="CK80">
        <f t="shared" si="55"/>
        <v>0</v>
      </c>
      <c r="CL80">
        <f t="shared" si="56"/>
        <v>77.717187500000023</v>
      </c>
      <c r="CM80">
        <f t="shared" si="57"/>
        <v>0</v>
      </c>
      <c r="CN80">
        <f t="shared" si="58"/>
        <v>93.217187499999994</v>
      </c>
      <c r="CO80" s="14">
        <f t="shared" si="39"/>
        <v>12.383333333333333</v>
      </c>
      <c r="CP80" s="14">
        <f t="shared" si="59"/>
        <v>12.81770833333332</v>
      </c>
      <c r="CQ80" s="14">
        <f t="shared" si="60"/>
        <v>2.2291666666666687</v>
      </c>
      <c r="CR80" s="14">
        <f t="shared" si="61"/>
        <v>33.663541666666653</v>
      </c>
      <c r="CS80" s="14">
        <f t="shared" si="62"/>
        <v>0.23958333333333304</v>
      </c>
      <c r="CT80" s="14">
        <f t="shared" si="63"/>
        <v>62.67395833333331</v>
      </c>
      <c r="CU80" s="14">
        <f t="shared" si="64"/>
        <v>0</v>
      </c>
      <c r="CV80" s="14">
        <f t="shared" si="65"/>
        <v>93.434374999999974</v>
      </c>
      <c r="CW80" s="14">
        <f t="shared" si="66"/>
        <v>0</v>
      </c>
      <c r="CX80" s="14">
        <f t="shared" si="67"/>
        <v>124.43437499999999</v>
      </c>
      <c r="CY80" s="14">
        <f t="shared" si="68"/>
        <v>0</v>
      </c>
      <c r="CZ80" s="14">
        <f t="shared" si="69"/>
        <v>155.43437500000005</v>
      </c>
      <c r="DA80" s="14">
        <f t="shared" si="70"/>
        <v>0</v>
      </c>
      <c r="DB80" s="14">
        <f t="shared" si="71"/>
        <v>186.43437499999999</v>
      </c>
      <c r="DC80" s="72">
        <f>F80/G80</f>
        <v>735.92600881233227</v>
      </c>
      <c r="DD80" s="72">
        <f t="shared" si="82"/>
        <v>23.739548671365558</v>
      </c>
      <c r="DE80" s="71">
        <f>F80/BU80</f>
        <v>240813.98172233222</v>
      </c>
      <c r="DF80" s="72">
        <f>J80/K80</f>
        <v>1906.642390768206</v>
      </c>
      <c r="DG80" s="72">
        <f t="shared" si="73"/>
        <v>61.504593250587291</v>
      </c>
      <c r="DH80" s="72">
        <f>J80/BU80</f>
        <v>78541.365580999962</v>
      </c>
      <c r="DI80" s="72">
        <f>N80/P80</f>
        <v>40315.313169356268</v>
      </c>
      <c r="DJ80" s="72">
        <f t="shared" si="74"/>
        <v>1300.4939732050409</v>
      </c>
      <c r="DK80" s="72">
        <f t="shared" si="75"/>
        <v>1832.5142349707394</v>
      </c>
      <c r="DL80" s="72">
        <f>N80/BU80</f>
        <v>185970.63816832085</v>
      </c>
      <c r="DM80" s="72">
        <f>N80/BV80</f>
        <v>262049.53560081573</v>
      </c>
      <c r="DN80" s="1">
        <v>0</v>
      </c>
      <c r="DO80" s="1">
        <v>0</v>
      </c>
    </row>
    <row r="81" spans="1:119">
      <c r="A81" s="93">
        <f t="shared" si="79"/>
        <v>44774</v>
      </c>
      <c r="B81" s="4">
        <f t="shared" si="42"/>
        <v>2022</v>
      </c>
      <c r="C81" s="4">
        <f t="shared" si="43"/>
        <v>8</v>
      </c>
      <c r="D81" s="56">
        <v>7261489</v>
      </c>
      <c r="E81" s="56">
        <f>IFERROR(VLOOKUP($B81-1,CDM!$J$6:$P$19,2,FALSE)/12,0)+IFERROR(VLOOKUP($B81,CDM!$J$37:$M$48,2,FALSE)/24,0)+IFERROR(VLOOKUP($B81,CDM!$J$37:$M$48,2,FALSE)/2*$C81/78,0)</f>
        <v>164258.91750817181</v>
      </c>
      <c r="F81" s="56">
        <f t="shared" si="76"/>
        <v>7425747.9175081719</v>
      </c>
      <c r="G81" s="301">
        <v>10153</v>
      </c>
      <c r="H81" s="56">
        <v>2251714</v>
      </c>
      <c r="I81" s="56">
        <f>IFERROR(VLOOKUP($B81-1,CDM!$J$6:$P$19,3,FALSE)/12,0)+IFERROR(VLOOKUP($B81,CDM!$J$37:$M$47,3,FALSE)/24,0)+IFERROR(VLOOKUP($B81,CDM!$J$37:$M$47,3,FALSE)/2*$C81/78,0)</f>
        <v>205129.6435909525</v>
      </c>
      <c r="J81" s="56">
        <f t="shared" si="77"/>
        <v>2456843.6435909523</v>
      </c>
      <c r="K81" s="6">
        <v>1278</v>
      </c>
      <c r="L81" s="5">
        <v>5611154</v>
      </c>
      <c r="M81" s="2">
        <f>IFERROR(VLOOKUP($B81-1,CDM!$J$6:$P$19,4,FALSE)/12,0)+IFERROR(VLOOKUP($B81,CDM!$J$37:$M$47,4,FALSE)/24,0)+IFERROR(VLOOKUP($B81,CDM!$J$37:$M$47,4,FALSE)/2*$C81/78,0)</f>
        <v>189042.31194872782</v>
      </c>
      <c r="N81" s="56">
        <f t="shared" si="78"/>
        <v>5800196.3119487278</v>
      </c>
      <c r="O81" s="5">
        <v>14205.599999999999</v>
      </c>
      <c r="P81" s="6">
        <v>142</v>
      </c>
      <c r="Q81" s="5">
        <v>73605</v>
      </c>
      <c r="R81" s="5">
        <v>235.2</v>
      </c>
      <c r="S81" s="6">
        <v>2920</v>
      </c>
      <c r="T81" s="6">
        <v>15964</v>
      </c>
      <c r="U81" s="6">
        <v>36.1</v>
      </c>
      <c r="V81" s="6">
        <v>177</v>
      </c>
      <c r="W81" s="5">
        <v>49933</v>
      </c>
      <c r="X81" s="1">
        <v>19</v>
      </c>
      <c r="Y81" s="56">
        <v>13204</v>
      </c>
      <c r="Z81" s="56">
        <v>3110.4</v>
      </c>
      <c r="AA81" s="71">
        <f>L81-Y81</f>
        <v>5597950</v>
      </c>
      <c r="AB81" s="71">
        <f>N81-Y81</f>
        <v>5786992.3119487278</v>
      </c>
      <c r="AC81" s="5">
        <f>O81-Z81</f>
        <v>11095.199999999999</v>
      </c>
      <c r="AD81" s="111">
        <f>Economic!H83</f>
        <v>850461.9</v>
      </c>
      <c r="AE81" s="111">
        <f>Economic!I83</f>
        <v>856819</v>
      </c>
      <c r="AF81" s="111">
        <f>Economic!D83</f>
        <v>7778</v>
      </c>
      <c r="AG81" s="111">
        <f>Economic!E83</f>
        <v>7852.4</v>
      </c>
      <c r="AH81" s="111">
        <f>Economic!F83</f>
        <v>638.5</v>
      </c>
      <c r="AI81" s="111">
        <f>Economic!G83</f>
        <v>646.79999999999995</v>
      </c>
      <c r="AJ81" s="111">
        <f>Economic!J83</f>
        <v>372.10000000000036</v>
      </c>
      <c r="AK81" s="111">
        <f>Economic!K83</f>
        <v>377.69999999999982</v>
      </c>
      <c r="AL81" s="111">
        <f>Economic!L83</f>
        <v>13.299999999999955</v>
      </c>
      <c r="AM81" s="111">
        <f>Economic!M83</f>
        <v>14.399999999999977</v>
      </c>
      <c r="AN81" s="111">
        <f>Economic!N83</f>
        <v>33196.400000000023</v>
      </c>
      <c r="AO81" s="111">
        <f>Economic!O83</f>
        <v>2064</v>
      </c>
      <c r="AP81" s="28">
        <f>Weather!D81</f>
        <v>19.217473118279578</v>
      </c>
      <c r="AQ81" s="28">
        <f>Weather!E81</f>
        <v>43.374999999999986</v>
      </c>
      <c r="AR81" s="28">
        <f>Weather!F81</f>
        <v>19.116666666666667</v>
      </c>
      <c r="AS81" s="28">
        <f>Weather!G81</f>
        <v>15.441666666666658</v>
      </c>
      <c r="AT81" s="28">
        <f>Weather!H81</f>
        <v>53.183333333333337</v>
      </c>
      <c r="AU81" s="28">
        <f>Weather!I81</f>
        <v>1.5000000000000053</v>
      </c>
      <c r="AV81" s="28">
        <f>Weather!J81</f>
        <v>101.2416666666667</v>
      </c>
      <c r="AW81" s="28">
        <f>Weather!K81</f>
        <v>0</v>
      </c>
      <c r="AX81" s="28">
        <f>Weather!L81</f>
        <v>161.74166666666665</v>
      </c>
      <c r="AY81" s="28">
        <f>Weather!M81</f>
        <v>0</v>
      </c>
      <c r="AZ81" s="28">
        <f>Weather!N81</f>
        <v>223.74166666666665</v>
      </c>
      <c r="BA81" s="28">
        <f>Weather!O81</f>
        <v>0</v>
      </c>
      <c r="BB81" s="28">
        <f>Weather!P81</f>
        <v>285.74166666666667</v>
      </c>
      <c r="BC81" s="28">
        <f>Weather!Q81</f>
        <v>0</v>
      </c>
      <c r="BD81" s="28">
        <f>Weather!R81</f>
        <v>347.74166666666667</v>
      </c>
      <c r="BE81">
        <f t="shared" si="81"/>
        <v>0</v>
      </c>
      <c r="BF81">
        <f t="shared" si="81"/>
        <v>0</v>
      </c>
      <c r="BG81">
        <f t="shared" si="81"/>
        <v>0</v>
      </c>
      <c r="BH81">
        <f t="shared" si="81"/>
        <v>0</v>
      </c>
      <c r="BI81">
        <f t="shared" si="81"/>
        <v>0</v>
      </c>
      <c r="BJ81">
        <f t="shared" si="81"/>
        <v>0</v>
      </c>
      <c r="BK81">
        <f t="shared" si="81"/>
        <v>0</v>
      </c>
      <c r="BL81">
        <f t="shared" si="81"/>
        <v>1</v>
      </c>
      <c r="BM81">
        <f t="shared" si="81"/>
        <v>0</v>
      </c>
      <c r="BN81">
        <f t="shared" si="81"/>
        <v>0</v>
      </c>
      <c r="BO81">
        <f t="shared" si="81"/>
        <v>0</v>
      </c>
      <c r="BP81">
        <f t="shared" si="81"/>
        <v>0</v>
      </c>
      <c r="BQ81" s="1">
        <f t="shared" si="81"/>
        <v>0</v>
      </c>
      <c r="BR81" s="1">
        <f t="shared" si="81"/>
        <v>0</v>
      </c>
      <c r="BS81" s="1">
        <f t="shared" si="81"/>
        <v>0</v>
      </c>
      <c r="BT81" s="1">
        <f t="shared" si="44"/>
        <v>80</v>
      </c>
      <c r="BU81">
        <f t="shared" si="41"/>
        <v>31</v>
      </c>
      <c r="BV81" s="1">
        <v>20</v>
      </c>
      <c r="BW81" s="1">
        <v>0.5</v>
      </c>
      <c r="BX81" s="1">
        <v>0.25</v>
      </c>
      <c r="BY81" s="1">
        <v>0.5</v>
      </c>
      <c r="BZ81" s="1">
        <v>0</v>
      </c>
      <c r="CA81">
        <f t="shared" si="83"/>
        <v>10.843749999999996</v>
      </c>
      <c r="CB81">
        <f t="shared" si="46"/>
        <v>4.7791666666666668</v>
      </c>
      <c r="CC81">
        <f t="shared" si="47"/>
        <v>3.8604166666666644</v>
      </c>
      <c r="CD81">
        <f t="shared" si="48"/>
        <v>13.295833333333334</v>
      </c>
      <c r="CE81">
        <f t="shared" si="49"/>
        <v>0.37500000000000133</v>
      </c>
      <c r="CF81">
        <f t="shared" si="50"/>
        <v>25.310416666666676</v>
      </c>
      <c r="CG81">
        <f t="shared" si="51"/>
        <v>0</v>
      </c>
      <c r="CH81">
        <f t="shared" si="52"/>
        <v>40.435416666666661</v>
      </c>
      <c r="CI81">
        <f t="shared" si="53"/>
        <v>0</v>
      </c>
      <c r="CJ81">
        <f t="shared" si="54"/>
        <v>55.935416666666661</v>
      </c>
      <c r="CK81">
        <f t="shared" si="55"/>
        <v>0</v>
      </c>
      <c r="CL81">
        <f t="shared" si="56"/>
        <v>71.435416666666669</v>
      </c>
      <c r="CM81">
        <f t="shared" si="57"/>
        <v>0</v>
      </c>
      <c r="CN81">
        <f t="shared" si="58"/>
        <v>86.935416666666669</v>
      </c>
      <c r="CO81" s="14">
        <f t="shared" si="39"/>
        <v>21.687499999999993</v>
      </c>
      <c r="CP81" s="14">
        <f t="shared" si="59"/>
        <v>9.5583333333333336</v>
      </c>
      <c r="CQ81" s="14">
        <f t="shared" si="60"/>
        <v>7.7208333333333288</v>
      </c>
      <c r="CR81" s="14">
        <f t="shared" si="61"/>
        <v>26.591666666666669</v>
      </c>
      <c r="CS81" s="14">
        <f t="shared" si="62"/>
        <v>0.75000000000000266</v>
      </c>
      <c r="CT81" s="14">
        <f t="shared" si="63"/>
        <v>50.620833333333351</v>
      </c>
      <c r="CU81" s="14">
        <f t="shared" si="64"/>
        <v>0</v>
      </c>
      <c r="CV81" s="14">
        <f t="shared" si="65"/>
        <v>80.870833333333323</v>
      </c>
      <c r="CW81" s="14">
        <f t="shared" si="66"/>
        <v>0</v>
      </c>
      <c r="CX81" s="14">
        <f t="shared" si="67"/>
        <v>111.87083333333332</v>
      </c>
      <c r="CY81" s="14">
        <f t="shared" si="68"/>
        <v>0</v>
      </c>
      <c r="CZ81" s="14">
        <f t="shared" si="69"/>
        <v>142.87083333333334</v>
      </c>
      <c r="DA81" s="14">
        <f t="shared" si="70"/>
        <v>0</v>
      </c>
      <c r="DB81" s="14">
        <f t="shared" si="71"/>
        <v>173.87083333333334</v>
      </c>
      <c r="DC81" s="72">
        <f>F81/G81</f>
        <v>731.38460725974312</v>
      </c>
      <c r="DD81" s="72">
        <f t="shared" si="82"/>
        <v>23.593051847088489</v>
      </c>
      <c r="DE81" s="71">
        <f>F81/BU81</f>
        <v>239540.25540348943</v>
      </c>
      <c r="DF81" s="72">
        <f>J81/K81</f>
        <v>1922.4128666595871</v>
      </c>
      <c r="DG81" s="72">
        <f t="shared" si="73"/>
        <v>62.013318279341519</v>
      </c>
      <c r="DH81" s="72">
        <f>J81/BU81</f>
        <v>79253.020760998465</v>
      </c>
      <c r="DI81" s="72">
        <f>N81/P81</f>
        <v>40846.452901047378</v>
      </c>
      <c r="DJ81" s="72">
        <f t="shared" si="74"/>
        <v>1317.6275129370122</v>
      </c>
      <c r="DK81" s="72">
        <f t="shared" si="75"/>
        <v>2042.3226450523689</v>
      </c>
      <c r="DL81" s="72">
        <f>N81/BU81</f>
        <v>187103.10683705573</v>
      </c>
      <c r="DM81" s="72">
        <f>N81/BV81</f>
        <v>290009.81559743639</v>
      </c>
      <c r="DN81" s="1">
        <v>0</v>
      </c>
      <c r="DO81" s="1">
        <v>0</v>
      </c>
    </row>
    <row r="82" spans="1:119">
      <c r="A82" s="93">
        <f t="shared" si="79"/>
        <v>44805</v>
      </c>
      <c r="B82" s="4">
        <f t="shared" si="42"/>
        <v>2022</v>
      </c>
      <c r="C82" s="4">
        <f t="shared" si="43"/>
        <v>9</v>
      </c>
      <c r="D82" s="56">
        <v>5648625</v>
      </c>
      <c r="E82" s="56">
        <f>IFERROR(VLOOKUP($B82-1,CDM!$J$6:$P$19,2,FALSE)/12,0)+IFERROR(VLOOKUP($B82,CDM!$J$37:$M$48,2,FALSE)/24,0)+IFERROR(VLOOKUP($B82,CDM!$J$37:$M$48,2,FALSE)/2*$C82/78,0)</f>
        <v>164369.40162404504</v>
      </c>
      <c r="F82" s="56">
        <f t="shared" si="76"/>
        <v>5812994.4016240453</v>
      </c>
      <c r="G82" s="301">
        <v>10201</v>
      </c>
      <c r="H82" s="56">
        <v>1940936</v>
      </c>
      <c r="I82" s="56">
        <f>IFERROR(VLOOKUP($B82-1,CDM!$J$6:$P$19,3,FALSE)/12,0)+IFERROR(VLOOKUP($B82,CDM!$J$37:$M$47,3,FALSE)/24,0)+IFERROR(VLOOKUP($B82,CDM!$J$37:$M$47,3,FALSE)/2*$C82/78,0)</f>
        <v>207745.95417090596</v>
      </c>
      <c r="J82" s="56">
        <f t="shared" si="77"/>
        <v>2148681.954170906</v>
      </c>
      <c r="K82" s="6">
        <v>1279</v>
      </c>
      <c r="L82" s="5">
        <v>5005186</v>
      </c>
      <c r="M82" s="2">
        <f>IFERROR(VLOOKUP($B82-1,CDM!$J$6:$P$19,4,FALSE)/12,0)+IFERROR(VLOOKUP($B82,CDM!$J$37:$M$47,4,FALSE)/24,0)+IFERROR(VLOOKUP($B82,CDM!$J$37:$M$47,4,FALSE)/2*$C82/78,0)</f>
        <v>191832.8406795098</v>
      </c>
      <c r="N82" s="56">
        <f t="shared" si="78"/>
        <v>5197018.8406795096</v>
      </c>
      <c r="O82" s="5">
        <v>14007.2</v>
      </c>
      <c r="P82" s="6">
        <v>141</v>
      </c>
      <c r="Q82" s="5">
        <v>81268</v>
      </c>
      <c r="R82" s="5">
        <v>235.2</v>
      </c>
      <c r="S82" s="6">
        <v>2920</v>
      </c>
      <c r="T82" s="6">
        <v>15815</v>
      </c>
      <c r="U82" s="6">
        <v>51.7</v>
      </c>
      <c r="V82" s="6">
        <v>177</v>
      </c>
      <c r="W82" s="5">
        <v>48757</v>
      </c>
      <c r="X82" s="1">
        <v>19</v>
      </c>
      <c r="Y82" s="56">
        <v>16</v>
      </c>
      <c r="Z82" s="56">
        <v>60.8</v>
      </c>
      <c r="AA82" s="71">
        <f>L82-Y82</f>
        <v>5005170</v>
      </c>
      <c r="AB82" s="71">
        <f>N82-Y82</f>
        <v>5197002.8406795096</v>
      </c>
      <c r="AC82" s="5">
        <f>O82-Z82</f>
        <v>13946.400000000001</v>
      </c>
      <c r="AD82" s="111">
        <f>Economic!H84</f>
        <v>850461.9</v>
      </c>
      <c r="AE82" s="111">
        <f>Economic!I84</f>
        <v>856819</v>
      </c>
      <c r="AF82" s="111">
        <f>Economic!D84</f>
        <v>7770.7</v>
      </c>
      <c r="AG82" s="111">
        <f>Economic!E84</f>
        <v>7793.8</v>
      </c>
      <c r="AH82" s="111">
        <f>Economic!F84</f>
        <v>646.29999999999995</v>
      </c>
      <c r="AI82" s="111">
        <f>Economic!G84</f>
        <v>648.79999999999995</v>
      </c>
      <c r="AJ82" s="111">
        <f>Economic!J84</f>
        <v>288.69999999999982</v>
      </c>
      <c r="AK82" s="111">
        <f>Economic!K84</f>
        <v>286.80000000000018</v>
      </c>
      <c r="AL82" s="111">
        <f>Economic!L84</f>
        <v>28.5</v>
      </c>
      <c r="AM82" s="111">
        <f>Economic!M84</f>
        <v>28.899999999999977</v>
      </c>
      <c r="AN82" s="111">
        <f>Economic!N84</f>
        <v>33196.400000000023</v>
      </c>
      <c r="AO82" s="111">
        <f>Economic!O84</f>
        <v>2064</v>
      </c>
      <c r="AP82" s="28">
        <f>Weather!D82</f>
        <v>13.805694444444445</v>
      </c>
      <c r="AQ82" s="28">
        <f>Weather!E82</f>
        <v>186.05</v>
      </c>
      <c r="AR82" s="28">
        <f>Weather!F82</f>
        <v>0.22083333333333499</v>
      </c>
      <c r="AS82" s="28">
        <f>Weather!G82</f>
        <v>130.7791666666667</v>
      </c>
      <c r="AT82" s="28">
        <f>Weather!H82</f>
        <v>4.9500000000000099</v>
      </c>
      <c r="AU82" s="28">
        <f>Weather!I82</f>
        <v>86.958333333333343</v>
      </c>
      <c r="AV82" s="28">
        <f>Weather!J82</f>
        <v>21.129166666666677</v>
      </c>
      <c r="AW82" s="28">
        <f>Weather!K82</f>
        <v>47.787500000000001</v>
      </c>
      <c r="AX82" s="28">
        <f>Weather!L82</f>
        <v>41.95833333333335</v>
      </c>
      <c r="AY82" s="28">
        <f>Weather!M82</f>
        <v>20.179166666666667</v>
      </c>
      <c r="AZ82" s="28">
        <f>Weather!N82</f>
        <v>74.350000000000023</v>
      </c>
      <c r="BA82" s="28">
        <f>Weather!O82</f>
        <v>6.9416666666666638</v>
      </c>
      <c r="BB82" s="28">
        <f>Weather!P82</f>
        <v>121.11250000000001</v>
      </c>
      <c r="BC82" s="28">
        <f>Weather!Q82</f>
        <v>0.92083333333332984</v>
      </c>
      <c r="BD82" s="28">
        <f>Weather!R82</f>
        <v>175.0916666666667</v>
      </c>
      <c r="BE82">
        <f t="shared" si="81"/>
        <v>0</v>
      </c>
      <c r="BF82">
        <f t="shared" si="81"/>
        <v>0</v>
      </c>
      <c r="BG82">
        <f t="shared" si="81"/>
        <v>0</v>
      </c>
      <c r="BH82">
        <f t="shared" si="81"/>
        <v>0</v>
      </c>
      <c r="BI82">
        <f t="shared" si="81"/>
        <v>0</v>
      </c>
      <c r="BJ82">
        <f t="shared" si="81"/>
        <v>0</v>
      </c>
      <c r="BK82">
        <f t="shared" si="81"/>
        <v>0</v>
      </c>
      <c r="BL82">
        <f t="shared" si="81"/>
        <v>0</v>
      </c>
      <c r="BM82">
        <f t="shared" si="81"/>
        <v>1</v>
      </c>
      <c r="BN82">
        <f t="shared" si="81"/>
        <v>0</v>
      </c>
      <c r="BO82">
        <f t="shared" si="81"/>
        <v>0</v>
      </c>
      <c r="BP82">
        <f t="shared" si="81"/>
        <v>0</v>
      </c>
      <c r="BQ82" s="1">
        <f t="shared" si="81"/>
        <v>0</v>
      </c>
      <c r="BR82" s="1">
        <f t="shared" si="81"/>
        <v>1</v>
      </c>
      <c r="BS82" s="1">
        <f t="shared" si="81"/>
        <v>1</v>
      </c>
      <c r="BT82" s="1">
        <f t="shared" si="44"/>
        <v>81</v>
      </c>
      <c r="BU82">
        <f t="shared" si="41"/>
        <v>30</v>
      </c>
      <c r="BV82" s="1">
        <v>21</v>
      </c>
      <c r="BW82" s="1">
        <v>0.5</v>
      </c>
      <c r="BX82" s="1">
        <v>0.25</v>
      </c>
      <c r="BY82" s="1">
        <v>0.5</v>
      </c>
      <c r="BZ82" s="1">
        <v>0</v>
      </c>
      <c r="CA82">
        <f t="shared" si="83"/>
        <v>46.512500000000003</v>
      </c>
      <c r="CB82">
        <f t="shared" si="46"/>
        <v>5.5208333333333748E-2</v>
      </c>
      <c r="CC82">
        <f t="shared" si="47"/>
        <v>32.694791666666674</v>
      </c>
      <c r="CD82">
        <f t="shared" si="48"/>
        <v>1.2375000000000025</v>
      </c>
      <c r="CE82">
        <f t="shared" si="49"/>
        <v>21.739583333333336</v>
      </c>
      <c r="CF82">
        <f t="shared" si="50"/>
        <v>5.2822916666666693</v>
      </c>
      <c r="CG82">
        <f t="shared" si="51"/>
        <v>11.946875</v>
      </c>
      <c r="CH82">
        <f t="shared" si="52"/>
        <v>10.489583333333337</v>
      </c>
      <c r="CI82">
        <f t="shared" si="53"/>
        <v>5.0447916666666668</v>
      </c>
      <c r="CJ82">
        <f t="shared" si="54"/>
        <v>18.587500000000006</v>
      </c>
      <c r="CK82">
        <f t="shared" si="55"/>
        <v>1.7354166666666659</v>
      </c>
      <c r="CL82">
        <f t="shared" si="56"/>
        <v>30.278125000000003</v>
      </c>
      <c r="CM82">
        <f t="shared" si="57"/>
        <v>0.23020833333333246</v>
      </c>
      <c r="CN82">
        <f t="shared" si="58"/>
        <v>43.772916666666674</v>
      </c>
      <c r="CO82" s="14">
        <f t="shared" si="39"/>
        <v>93.025000000000006</v>
      </c>
      <c r="CP82" s="14">
        <f t="shared" si="59"/>
        <v>0.1104166666666675</v>
      </c>
      <c r="CQ82" s="14">
        <f t="shared" si="60"/>
        <v>65.389583333333348</v>
      </c>
      <c r="CR82" s="14">
        <f t="shared" si="61"/>
        <v>2.475000000000005</v>
      </c>
      <c r="CS82" s="14">
        <f t="shared" si="62"/>
        <v>43.479166666666671</v>
      </c>
      <c r="CT82" s="14">
        <f t="shared" si="63"/>
        <v>10.564583333333339</v>
      </c>
      <c r="CU82" s="14">
        <f t="shared" si="64"/>
        <v>23.893750000000001</v>
      </c>
      <c r="CV82" s="14">
        <f t="shared" si="65"/>
        <v>20.979166666666675</v>
      </c>
      <c r="CW82" s="14">
        <f t="shared" si="66"/>
        <v>10.089583333333334</v>
      </c>
      <c r="CX82" s="14">
        <f t="shared" si="67"/>
        <v>37.175000000000011</v>
      </c>
      <c r="CY82" s="14">
        <f t="shared" si="68"/>
        <v>3.4708333333333319</v>
      </c>
      <c r="CZ82" s="14">
        <f t="shared" si="69"/>
        <v>60.556250000000006</v>
      </c>
      <c r="DA82" s="14">
        <f t="shared" si="70"/>
        <v>0.46041666666666492</v>
      </c>
      <c r="DB82" s="14">
        <f t="shared" si="71"/>
        <v>87.545833333333348</v>
      </c>
      <c r="DC82" s="72">
        <f>F82/G82</f>
        <v>569.84554471365993</v>
      </c>
      <c r="DD82" s="72">
        <f t="shared" si="82"/>
        <v>18.994851490455332</v>
      </c>
      <c r="DE82" s="71">
        <f>F82/BU82</f>
        <v>193766.48005413485</v>
      </c>
      <c r="DF82" s="72">
        <f>J82/K82</f>
        <v>1679.9702534565333</v>
      </c>
      <c r="DG82" s="72">
        <f t="shared" si="73"/>
        <v>55.999008448551109</v>
      </c>
      <c r="DH82" s="72">
        <f>J82/BU82</f>
        <v>71622.731805696865</v>
      </c>
      <c r="DI82" s="72">
        <f>N82/P82</f>
        <v>36858.289650209284</v>
      </c>
      <c r="DJ82" s="72">
        <f t="shared" si="74"/>
        <v>1228.6096550069763</v>
      </c>
      <c r="DK82" s="72">
        <f t="shared" si="75"/>
        <v>1755.1566500099659</v>
      </c>
      <c r="DL82" s="72">
        <f>N82/BU82</f>
        <v>173233.96135598366</v>
      </c>
      <c r="DM82" s="72">
        <f>N82/BV82</f>
        <v>247477.08765140522</v>
      </c>
      <c r="DN82" s="1">
        <v>0</v>
      </c>
      <c r="DO82" s="1">
        <v>0</v>
      </c>
    </row>
    <row r="83" spans="1:119">
      <c r="A83" s="93">
        <f t="shared" si="79"/>
        <v>44835</v>
      </c>
      <c r="B83" s="4">
        <f t="shared" si="42"/>
        <v>2022</v>
      </c>
      <c r="C83" s="4">
        <f t="shared" si="43"/>
        <v>10</v>
      </c>
      <c r="D83" s="56">
        <v>5895519</v>
      </c>
      <c r="E83" s="56">
        <f>IFERROR(VLOOKUP($B83-1,CDM!$J$6:$P$19,2,FALSE)/12,0)+IFERROR(VLOOKUP($B83,CDM!$J$37:$M$48,2,FALSE)/24,0)+IFERROR(VLOOKUP($B83,CDM!$J$37:$M$48,2,FALSE)/2*$C83/78,0)</f>
        <v>164479.8857399183</v>
      </c>
      <c r="F83" s="56">
        <f t="shared" si="76"/>
        <v>6059998.8857399179</v>
      </c>
      <c r="G83" s="301">
        <v>10208</v>
      </c>
      <c r="H83" s="56">
        <v>2045554</v>
      </c>
      <c r="I83" s="56">
        <f>IFERROR(VLOOKUP($B83-1,CDM!$J$6:$P$19,3,FALSE)/12,0)+IFERROR(VLOOKUP($B83,CDM!$J$37:$M$47,3,FALSE)/24,0)+IFERROR(VLOOKUP($B83,CDM!$J$37:$M$47,3,FALSE)/2*$C83/78,0)</f>
        <v>210362.26475085941</v>
      </c>
      <c r="J83" s="56">
        <f t="shared" si="77"/>
        <v>2255916.2647508592</v>
      </c>
      <c r="K83" s="6">
        <v>1276</v>
      </c>
      <c r="L83" s="5">
        <v>5081850</v>
      </c>
      <c r="M83" s="2">
        <f>IFERROR(VLOOKUP($B83-1,CDM!$J$6:$P$19,4,FALSE)/12,0)+IFERROR(VLOOKUP($B83,CDM!$J$37:$M$47,4,FALSE)/24,0)+IFERROR(VLOOKUP($B83,CDM!$J$37:$M$47,4,FALSE)/2*$C83/78,0)</f>
        <v>194623.36941029175</v>
      </c>
      <c r="N83" s="56">
        <f t="shared" si="78"/>
        <v>5276473.3694102913</v>
      </c>
      <c r="O83" s="5">
        <v>17107.2</v>
      </c>
      <c r="P83" s="6">
        <v>141</v>
      </c>
      <c r="Q83" s="5">
        <v>85201</v>
      </c>
      <c r="R83" s="5">
        <v>235.10000000000002</v>
      </c>
      <c r="S83" s="6">
        <v>2920</v>
      </c>
      <c r="T83" s="6">
        <v>15814</v>
      </c>
      <c r="U83" s="6">
        <v>43.099999999999987</v>
      </c>
      <c r="V83" s="6">
        <v>177</v>
      </c>
      <c r="W83" s="5">
        <v>49682</v>
      </c>
      <c r="X83" s="1">
        <v>19</v>
      </c>
      <c r="Y83" s="56">
        <v>11505.6</v>
      </c>
      <c r="Z83" s="56">
        <v>1385.6</v>
      </c>
      <c r="AA83" s="71">
        <f>L83-Y83</f>
        <v>5070344.4000000004</v>
      </c>
      <c r="AB83" s="71">
        <f>N83-Y83</f>
        <v>5264967.7694102917</v>
      </c>
      <c r="AC83" s="5">
        <f>O83-Z83</f>
        <v>15721.6</v>
      </c>
      <c r="AD83" s="111">
        <f>Economic!H85</f>
        <v>850461.9</v>
      </c>
      <c r="AE83" s="111">
        <f>Economic!I85</f>
        <v>856887</v>
      </c>
      <c r="AF83" s="111">
        <f>Economic!D85</f>
        <v>7776.1</v>
      </c>
      <c r="AG83" s="111">
        <f>Economic!E85</f>
        <v>7778.7</v>
      </c>
      <c r="AH83" s="111">
        <f>Economic!F85</f>
        <v>646.9</v>
      </c>
      <c r="AI83" s="111">
        <f>Economic!G85</f>
        <v>644.79999999999995</v>
      </c>
      <c r="AJ83" s="111">
        <f>Economic!J85</f>
        <v>238.40000000000055</v>
      </c>
      <c r="AK83" s="111">
        <f>Economic!K85</f>
        <v>231.59999999999945</v>
      </c>
      <c r="AL83" s="111">
        <f>Economic!L85</f>
        <v>33.399999999999977</v>
      </c>
      <c r="AM83" s="111">
        <f>Economic!M85</f>
        <v>34.5</v>
      </c>
      <c r="AN83" s="111">
        <f>Economic!N85</f>
        <v>33196.400000000023</v>
      </c>
      <c r="AO83" s="111">
        <f>Economic!O85</f>
        <v>68</v>
      </c>
      <c r="AP83" s="28">
        <f>Weather!D83</f>
        <v>7.5287634408602147</v>
      </c>
      <c r="AQ83" s="28">
        <f>Weather!E83</f>
        <v>386.60833333333323</v>
      </c>
      <c r="AR83" s="28">
        <f>Weather!F83</f>
        <v>0</v>
      </c>
      <c r="AS83" s="28">
        <f>Weather!G83</f>
        <v>324.60833333333329</v>
      </c>
      <c r="AT83" s="28">
        <f>Weather!H83</f>
        <v>0</v>
      </c>
      <c r="AU83" s="28">
        <f>Weather!I83</f>
        <v>262.60833333333335</v>
      </c>
      <c r="AV83" s="28">
        <f>Weather!J83</f>
        <v>0</v>
      </c>
      <c r="AW83" s="28">
        <f>Weather!K83</f>
        <v>201.29999999999998</v>
      </c>
      <c r="AX83" s="28">
        <f>Weather!L83</f>
        <v>0.69166666666666821</v>
      </c>
      <c r="AY83" s="28">
        <f>Weather!M83</f>
        <v>145.83750000000001</v>
      </c>
      <c r="AZ83" s="28">
        <f>Weather!N83</f>
        <v>7.2291666666666661</v>
      </c>
      <c r="BA83" s="28">
        <f>Weather!O83</f>
        <v>98.6</v>
      </c>
      <c r="BB83" s="28">
        <f>Weather!P83</f>
        <v>21.991666666666667</v>
      </c>
      <c r="BC83" s="28">
        <f>Weather!Q83</f>
        <v>56.249999999999993</v>
      </c>
      <c r="BD83" s="28">
        <f>Weather!R83</f>
        <v>41.641666666666673</v>
      </c>
      <c r="BE83">
        <f t="shared" si="81"/>
        <v>0</v>
      </c>
      <c r="BF83">
        <f t="shared" si="81"/>
        <v>0</v>
      </c>
      <c r="BG83">
        <f t="shared" si="81"/>
        <v>0</v>
      </c>
      <c r="BH83">
        <f t="shared" si="81"/>
        <v>0</v>
      </c>
      <c r="BI83">
        <f t="shared" si="81"/>
        <v>0</v>
      </c>
      <c r="BJ83">
        <f t="shared" si="81"/>
        <v>0</v>
      </c>
      <c r="BK83">
        <f t="shared" si="81"/>
        <v>0</v>
      </c>
      <c r="BL83">
        <f t="shared" si="81"/>
        <v>0</v>
      </c>
      <c r="BM83">
        <f t="shared" si="81"/>
        <v>0</v>
      </c>
      <c r="BN83">
        <f t="shared" si="81"/>
        <v>1</v>
      </c>
      <c r="BO83">
        <f t="shared" si="81"/>
        <v>0</v>
      </c>
      <c r="BP83">
        <f t="shared" si="81"/>
        <v>0</v>
      </c>
      <c r="BQ83" s="1">
        <f t="shared" si="81"/>
        <v>0</v>
      </c>
      <c r="BR83" s="1">
        <f t="shared" si="81"/>
        <v>1</v>
      </c>
      <c r="BS83" s="1">
        <f t="shared" si="81"/>
        <v>1</v>
      </c>
      <c r="BT83" s="1">
        <f t="shared" si="44"/>
        <v>82</v>
      </c>
      <c r="BU83">
        <f t="shared" si="41"/>
        <v>31</v>
      </c>
      <c r="BV83" s="1">
        <v>21</v>
      </c>
      <c r="BW83" s="1">
        <v>0.5</v>
      </c>
      <c r="BX83" s="1">
        <v>0.25</v>
      </c>
      <c r="BY83" s="1">
        <v>0.5</v>
      </c>
      <c r="BZ83" s="1">
        <v>0</v>
      </c>
      <c r="CA83">
        <f t="shared" si="83"/>
        <v>96.652083333333309</v>
      </c>
      <c r="CB83">
        <f t="shared" si="46"/>
        <v>0</v>
      </c>
      <c r="CC83">
        <f t="shared" si="47"/>
        <v>81.152083333333323</v>
      </c>
      <c r="CD83">
        <f t="shared" si="48"/>
        <v>0</v>
      </c>
      <c r="CE83">
        <f t="shared" si="49"/>
        <v>65.652083333333337</v>
      </c>
      <c r="CF83">
        <f t="shared" si="50"/>
        <v>0</v>
      </c>
      <c r="CG83">
        <f t="shared" si="51"/>
        <v>50.324999999999996</v>
      </c>
      <c r="CH83">
        <f t="shared" si="52"/>
        <v>0.17291666666666705</v>
      </c>
      <c r="CI83">
        <f t="shared" si="53"/>
        <v>36.459375000000001</v>
      </c>
      <c r="CJ83">
        <f t="shared" si="54"/>
        <v>1.8072916666666665</v>
      </c>
      <c r="CK83">
        <f t="shared" si="55"/>
        <v>24.65</v>
      </c>
      <c r="CL83">
        <f t="shared" si="56"/>
        <v>5.4979166666666668</v>
      </c>
      <c r="CM83">
        <f t="shared" si="57"/>
        <v>14.062499999999998</v>
      </c>
      <c r="CN83">
        <f t="shared" si="58"/>
        <v>10.410416666666668</v>
      </c>
      <c r="CO83" s="14">
        <f t="shared" si="39"/>
        <v>193.30416666666662</v>
      </c>
      <c r="CP83" s="14">
        <f t="shared" si="59"/>
        <v>0</v>
      </c>
      <c r="CQ83" s="14">
        <f t="shared" si="60"/>
        <v>162.30416666666665</v>
      </c>
      <c r="CR83" s="14">
        <f t="shared" si="61"/>
        <v>0</v>
      </c>
      <c r="CS83" s="14">
        <f t="shared" si="62"/>
        <v>131.30416666666667</v>
      </c>
      <c r="CT83" s="14">
        <f t="shared" si="63"/>
        <v>0</v>
      </c>
      <c r="CU83" s="14">
        <f t="shared" si="64"/>
        <v>100.64999999999999</v>
      </c>
      <c r="CV83" s="14">
        <f t="shared" si="65"/>
        <v>0.3458333333333341</v>
      </c>
      <c r="CW83" s="14">
        <f t="shared" si="66"/>
        <v>72.918750000000003</v>
      </c>
      <c r="CX83" s="14">
        <f t="shared" si="67"/>
        <v>3.614583333333333</v>
      </c>
      <c r="CY83" s="14">
        <f t="shared" si="68"/>
        <v>49.3</v>
      </c>
      <c r="CZ83" s="14">
        <f t="shared" si="69"/>
        <v>10.995833333333334</v>
      </c>
      <c r="DA83" s="14">
        <f t="shared" si="70"/>
        <v>28.124999999999996</v>
      </c>
      <c r="DB83" s="14">
        <f t="shared" si="71"/>
        <v>20.820833333333336</v>
      </c>
      <c r="DC83" s="72">
        <f>F83/G83</f>
        <v>593.65192846198249</v>
      </c>
      <c r="DD83" s="72">
        <f t="shared" si="82"/>
        <v>19.150062208451047</v>
      </c>
      <c r="DE83" s="71">
        <f>F83/BU83</f>
        <v>195483.83502386831</v>
      </c>
      <c r="DF83" s="72">
        <f>J83/K83</f>
        <v>1767.9594551339021</v>
      </c>
      <c r="DG83" s="72">
        <f t="shared" si="73"/>
        <v>57.030950165609745</v>
      </c>
      <c r="DH83" s="72">
        <f>J83/BU83</f>
        <v>72771.492411318046</v>
      </c>
      <c r="DI83" s="72">
        <f>N83/P83</f>
        <v>37421.796946172282</v>
      </c>
      <c r="DJ83" s="72">
        <f t="shared" si="74"/>
        <v>1207.1547401991058</v>
      </c>
      <c r="DK83" s="72">
        <f t="shared" si="75"/>
        <v>1781.9903307701086</v>
      </c>
      <c r="DL83" s="72">
        <f>N83/BU83</f>
        <v>170208.8183680739</v>
      </c>
      <c r="DM83" s="72">
        <f>N83/BV83</f>
        <v>251260.6366385853</v>
      </c>
      <c r="DN83" s="1">
        <v>0</v>
      </c>
      <c r="DO83" s="1">
        <v>0</v>
      </c>
    </row>
    <row r="84" spans="1:119">
      <c r="A84" s="93">
        <f t="shared" si="79"/>
        <v>44866</v>
      </c>
      <c r="B84" s="4">
        <f t="shared" si="42"/>
        <v>2022</v>
      </c>
      <c r="C84" s="4">
        <f t="shared" si="43"/>
        <v>11</v>
      </c>
      <c r="D84" s="56">
        <v>6641506</v>
      </c>
      <c r="E84" s="56">
        <f>IFERROR(VLOOKUP($B84-1,CDM!$J$6:$P$19,2,FALSE)/12,0)+IFERROR(VLOOKUP($B84,CDM!$J$37:$M$48,2,FALSE)/24,0)+IFERROR(VLOOKUP($B84,CDM!$J$37:$M$48,2,FALSE)/2*$C84/78,0)</f>
        <v>164590.36985579156</v>
      </c>
      <c r="F84" s="56">
        <f t="shared" si="76"/>
        <v>6806096.3698557913</v>
      </c>
      <c r="G84" s="301">
        <v>10218</v>
      </c>
      <c r="H84" s="56">
        <v>2336241</v>
      </c>
      <c r="I84" s="56">
        <f>IFERROR(VLOOKUP($B84-1,CDM!$J$6:$P$19,3,FALSE)/12,0)+IFERROR(VLOOKUP($B84,CDM!$J$37:$M$47,3,FALSE)/24,0)+IFERROR(VLOOKUP($B84,CDM!$J$37:$M$47,3,FALSE)/2*$C84/78,0)</f>
        <v>212978.57533081286</v>
      </c>
      <c r="J84" s="56">
        <f t="shared" si="77"/>
        <v>2549219.5753308129</v>
      </c>
      <c r="K84" s="6">
        <v>1275</v>
      </c>
      <c r="L84" s="5">
        <v>6293895.7599999998</v>
      </c>
      <c r="M84" s="2">
        <f>IFERROR(VLOOKUP($B84-1,CDM!$J$6:$P$19,4,FALSE)/12,0)+IFERROR(VLOOKUP($B84,CDM!$J$37:$M$47,4,FALSE)/24,0)+IFERROR(VLOOKUP($B84,CDM!$J$37:$M$47,4,FALSE)/2*$C84/78,0)</f>
        <v>197413.8981410737</v>
      </c>
      <c r="N84" s="56">
        <f t="shared" si="78"/>
        <v>6491309.6581410738</v>
      </c>
      <c r="O84" s="5">
        <v>16044.2</v>
      </c>
      <c r="P84" s="6">
        <v>141</v>
      </c>
      <c r="Q84" s="5">
        <v>100923</v>
      </c>
      <c r="R84" s="5">
        <v>235.2</v>
      </c>
      <c r="S84" s="6">
        <v>2920</v>
      </c>
      <c r="T84" s="6">
        <v>13310</v>
      </c>
      <c r="U84" s="6">
        <v>36.1</v>
      </c>
      <c r="V84" s="6">
        <v>177</v>
      </c>
      <c r="W84" s="5">
        <v>48589</v>
      </c>
      <c r="X84" s="1">
        <v>19</v>
      </c>
      <c r="Y84" s="56">
        <v>1080057.76</v>
      </c>
      <c r="Z84" s="56">
        <v>6844.8</v>
      </c>
      <c r="AA84" s="71">
        <f>L84-Y84</f>
        <v>5213838</v>
      </c>
      <c r="AB84" s="71">
        <f>N84-Y84</f>
        <v>5411251.898141074</v>
      </c>
      <c r="AC84" s="5">
        <f>O84-Z84</f>
        <v>9199.4000000000015</v>
      </c>
      <c r="AD84" s="111">
        <f>Economic!H86</f>
        <v>850461.9</v>
      </c>
      <c r="AE84" s="111">
        <f>Economic!I86</f>
        <v>856887</v>
      </c>
      <c r="AF84" s="111">
        <f>Economic!D86</f>
        <v>7791.7</v>
      </c>
      <c r="AG84" s="111">
        <f>Economic!E86</f>
        <v>7783.8</v>
      </c>
      <c r="AH84" s="111">
        <f>Economic!F86</f>
        <v>649.70000000000005</v>
      </c>
      <c r="AI84" s="111">
        <f>Economic!G86</f>
        <v>645.6</v>
      </c>
      <c r="AJ84" s="111">
        <f>Economic!J86</f>
        <v>187.69999999999982</v>
      </c>
      <c r="AK84" s="111">
        <f>Economic!K86</f>
        <v>179</v>
      </c>
      <c r="AL84" s="111">
        <f>Economic!L86</f>
        <v>35.5</v>
      </c>
      <c r="AM84" s="111">
        <f>Economic!M86</f>
        <v>35.600000000000023</v>
      </c>
      <c r="AN84" s="111">
        <f>Economic!N86</f>
        <v>33196.400000000023</v>
      </c>
      <c r="AO84" s="111">
        <f>Economic!O86</f>
        <v>68</v>
      </c>
      <c r="AP84" s="28">
        <f>Weather!D84</f>
        <v>2.9962500000000007</v>
      </c>
      <c r="AQ84" s="28">
        <f>Weather!E84</f>
        <v>510.11250000000007</v>
      </c>
      <c r="AR84" s="28">
        <f>Weather!F84</f>
        <v>0</v>
      </c>
      <c r="AS84" s="28">
        <f>Weather!G84</f>
        <v>451.01250000000005</v>
      </c>
      <c r="AT84" s="28">
        <f>Weather!H84</f>
        <v>0.90000000000000213</v>
      </c>
      <c r="AU84" s="28">
        <f>Weather!I84</f>
        <v>393.01249999999999</v>
      </c>
      <c r="AV84" s="28">
        <f>Weather!J84</f>
        <v>2.9000000000000021</v>
      </c>
      <c r="AW84" s="28">
        <f>Weather!K84</f>
        <v>337.95416666666665</v>
      </c>
      <c r="AX84" s="28">
        <f>Weather!L84</f>
        <v>7.8416666666666703</v>
      </c>
      <c r="AY84" s="28">
        <f>Weather!M84</f>
        <v>285.19583333333333</v>
      </c>
      <c r="AZ84" s="28">
        <f>Weather!N84</f>
        <v>15.083333333333337</v>
      </c>
      <c r="BA84" s="28">
        <f>Weather!O84</f>
        <v>235.98749999999995</v>
      </c>
      <c r="BB84" s="28">
        <f>Weather!P84</f>
        <v>25.875</v>
      </c>
      <c r="BC84" s="28">
        <f>Weather!Q84</f>
        <v>189.73750000000001</v>
      </c>
      <c r="BD84" s="28">
        <f>Weather!R84</f>
        <v>39.625</v>
      </c>
      <c r="BE84">
        <f t="shared" si="81"/>
        <v>0</v>
      </c>
      <c r="BF84">
        <f t="shared" si="81"/>
        <v>0</v>
      </c>
      <c r="BG84">
        <f t="shared" si="81"/>
        <v>0</v>
      </c>
      <c r="BH84">
        <f t="shared" si="81"/>
        <v>0</v>
      </c>
      <c r="BI84">
        <f t="shared" si="81"/>
        <v>0</v>
      </c>
      <c r="BJ84">
        <f t="shared" si="81"/>
        <v>0</v>
      </c>
      <c r="BK84">
        <f t="shared" si="81"/>
        <v>0</v>
      </c>
      <c r="BL84">
        <f t="shared" si="81"/>
        <v>0</v>
      </c>
      <c r="BM84">
        <f t="shared" si="81"/>
        <v>0</v>
      </c>
      <c r="BN84">
        <f t="shared" si="81"/>
        <v>0</v>
      </c>
      <c r="BO84">
        <f t="shared" si="81"/>
        <v>1</v>
      </c>
      <c r="BP84">
        <f t="shared" si="81"/>
        <v>0</v>
      </c>
      <c r="BQ84" s="1">
        <f t="shared" si="81"/>
        <v>0</v>
      </c>
      <c r="BR84" s="1">
        <f t="shared" si="81"/>
        <v>1</v>
      </c>
      <c r="BS84" s="1">
        <f t="shared" si="81"/>
        <v>1</v>
      </c>
      <c r="BT84" s="1">
        <f t="shared" si="44"/>
        <v>83</v>
      </c>
      <c r="BU84">
        <f t="shared" si="41"/>
        <v>30</v>
      </c>
      <c r="BV84" s="1">
        <v>21</v>
      </c>
      <c r="BW84" s="1">
        <v>0.5</v>
      </c>
      <c r="BX84" s="1">
        <v>0.25</v>
      </c>
      <c r="BY84" s="1">
        <v>0.5</v>
      </c>
      <c r="BZ84" s="1">
        <v>0</v>
      </c>
      <c r="CA84">
        <f t="shared" si="83"/>
        <v>127.52812500000002</v>
      </c>
      <c r="CB84">
        <f t="shared" si="46"/>
        <v>0</v>
      </c>
      <c r="CC84">
        <f t="shared" si="47"/>
        <v>112.75312500000001</v>
      </c>
      <c r="CD84">
        <f t="shared" si="48"/>
        <v>0.22500000000000053</v>
      </c>
      <c r="CE84">
        <f t="shared" si="49"/>
        <v>98.253124999999997</v>
      </c>
      <c r="CF84">
        <f t="shared" si="50"/>
        <v>0.72500000000000053</v>
      </c>
      <c r="CG84">
        <f t="shared" si="51"/>
        <v>84.488541666666663</v>
      </c>
      <c r="CH84">
        <f t="shared" si="52"/>
        <v>1.9604166666666676</v>
      </c>
      <c r="CI84">
        <f t="shared" si="53"/>
        <v>71.298958333333331</v>
      </c>
      <c r="CJ84">
        <f t="shared" si="54"/>
        <v>3.7708333333333344</v>
      </c>
      <c r="CK84">
        <f t="shared" si="55"/>
        <v>58.996874999999989</v>
      </c>
      <c r="CL84">
        <f t="shared" si="56"/>
        <v>6.46875</v>
      </c>
      <c r="CM84">
        <f t="shared" si="57"/>
        <v>47.434375000000003</v>
      </c>
      <c r="CN84">
        <f t="shared" si="58"/>
        <v>9.90625</v>
      </c>
      <c r="CO84" s="14">
        <f t="shared" si="39"/>
        <v>255.05625000000003</v>
      </c>
      <c r="CP84" s="14">
        <f t="shared" si="59"/>
        <v>0</v>
      </c>
      <c r="CQ84" s="14">
        <f t="shared" si="60"/>
        <v>225.50625000000002</v>
      </c>
      <c r="CR84" s="14">
        <f t="shared" si="61"/>
        <v>0.45000000000000107</v>
      </c>
      <c r="CS84" s="14">
        <f t="shared" si="62"/>
        <v>196.50624999999999</v>
      </c>
      <c r="CT84" s="14">
        <f t="shared" si="63"/>
        <v>1.4500000000000011</v>
      </c>
      <c r="CU84" s="14">
        <f t="shared" si="64"/>
        <v>168.97708333333333</v>
      </c>
      <c r="CV84" s="14">
        <f t="shared" si="65"/>
        <v>3.9208333333333352</v>
      </c>
      <c r="CW84" s="14">
        <f t="shared" si="66"/>
        <v>142.59791666666666</v>
      </c>
      <c r="CX84" s="14">
        <f t="shared" si="67"/>
        <v>7.5416666666666687</v>
      </c>
      <c r="CY84" s="14">
        <f t="shared" si="68"/>
        <v>117.99374999999998</v>
      </c>
      <c r="CZ84" s="14">
        <f t="shared" si="69"/>
        <v>12.9375</v>
      </c>
      <c r="DA84" s="14">
        <f t="shared" si="70"/>
        <v>94.868750000000006</v>
      </c>
      <c r="DB84" s="14">
        <f t="shared" si="71"/>
        <v>19.8125</v>
      </c>
      <c r="DC84" s="72">
        <f>F84/G84</f>
        <v>666.08889898764835</v>
      </c>
      <c r="DD84" s="72">
        <f t="shared" si="82"/>
        <v>22.20296329958828</v>
      </c>
      <c r="DE84" s="71">
        <f>F84/BU84</f>
        <v>226869.87899519305</v>
      </c>
      <c r="DF84" s="72">
        <f>J84/K84</f>
        <v>1999.3879022202455</v>
      </c>
      <c r="DG84" s="72">
        <f t="shared" si="73"/>
        <v>66.646263407341522</v>
      </c>
      <c r="DH84" s="72">
        <f>J84/BU84</f>
        <v>84973.985844360432</v>
      </c>
      <c r="DI84" s="72">
        <f>N84/P84</f>
        <v>46037.657149936691</v>
      </c>
      <c r="DJ84" s="72">
        <f t="shared" si="74"/>
        <v>1534.5885716645564</v>
      </c>
      <c r="DK84" s="72">
        <f t="shared" si="75"/>
        <v>2192.2693880922234</v>
      </c>
      <c r="DL84" s="72">
        <f>N84/BU84</f>
        <v>216376.98860470246</v>
      </c>
      <c r="DM84" s="72">
        <f>N84/BV84</f>
        <v>309109.98372100352</v>
      </c>
      <c r="DN84" s="1">
        <v>0</v>
      </c>
      <c r="DO84" s="1">
        <v>0</v>
      </c>
    </row>
    <row r="85" spans="1:119">
      <c r="A85" s="93">
        <f t="shared" si="79"/>
        <v>44896</v>
      </c>
      <c r="B85" s="4">
        <f t="shared" si="42"/>
        <v>2022</v>
      </c>
      <c r="C85" s="4">
        <f t="shared" si="43"/>
        <v>12</v>
      </c>
      <c r="D85" s="56">
        <v>8217875</v>
      </c>
      <c r="E85" s="56">
        <f>IFERROR(VLOOKUP($B85-1,CDM!$J$6:$P$19,2,FALSE)/12,0)+IFERROR(VLOOKUP($B85,CDM!$J$37:$M$48,2,FALSE)/24,0)+IFERROR(VLOOKUP($B85,CDM!$J$37:$M$48,2,FALSE)/2*$C85/78,0)</f>
        <v>164700.85397166482</v>
      </c>
      <c r="F85" s="56">
        <f t="shared" si="76"/>
        <v>8382575.8539716648</v>
      </c>
      <c r="G85" s="301">
        <v>10223</v>
      </c>
      <c r="H85" s="56">
        <v>2724795</v>
      </c>
      <c r="I85" s="56">
        <f>IFERROR(VLOOKUP($B85-1,CDM!$J$6:$P$19,3,FALSE)/12,0)+IFERROR(VLOOKUP($B85,CDM!$J$37:$M$47,3,FALSE)/24,0)+IFERROR(VLOOKUP($B85,CDM!$J$37:$M$47,3,FALSE)/2*$C85/78,0)</f>
        <v>215594.88591076632</v>
      </c>
      <c r="J85" s="56">
        <f t="shared" si="77"/>
        <v>2940389.8859107662</v>
      </c>
      <c r="K85" s="6">
        <v>1274</v>
      </c>
      <c r="L85" s="5">
        <v>6183638.5199999996</v>
      </c>
      <c r="M85" s="2">
        <f>IFERROR(VLOOKUP($B85-1,CDM!$J$6:$P$19,4,FALSE)/12,0)+IFERROR(VLOOKUP($B85,CDM!$J$37:$M$47,4,FALSE)/24,0)+IFERROR(VLOOKUP($B85,CDM!$J$37:$M$47,4,FALSE)/2*$C85/78,0)</f>
        <v>200204.42687185569</v>
      </c>
      <c r="N85" s="56">
        <f t="shared" si="78"/>
        <v>6383842.9468718553</v>
      </c>
      <c r="O85" s="5">
        <v>19671.660000000003</v>
      </c>
      <c r="P85" s="6">
        <v>141</v>
      </c>
      <c r="Q85" s="5">
        <v>109310</v>
      </c>
      <c r="R85" s="5">
        <v>235.2</v>
      </c>
      <c r="S85" s="6">
        <v>2920</v>
      </c>
      <c r="T85" s="6">
        <v>17897</v>
      </c>
      <c r="U85" s="6">
        <v>52.4</v>
      </c>
      <c r="V85" s="6">
        <v>177</v>
      </c>
      <c r="W85" s="5">
        <v>49639</v>
      </c>
      <c r="X85" s="1">
        <v>19</v>
      </c>
      <c r="Y85" s="56">
        <v>518047.52</v>
      </c>
      <c r="Z85" s="56">
        <v>6552.96</v>
      </c>
      <c r="AA85" s="71">
        <f>L85-Y85</f>
        <v>5665591</v>
      </c>
      <c r="AB85" s="71">
        <f>N85-Y85</f>
        <v>5865795.4268718548</v>
      </c>
      <c r="AC85" s="5">
        <f>O85-Z85</f>
        <v>13118.700000000004</v>
      </c>
      <c r="AD85" s="111">
        <f>Economic!H87</f>
        <v>850461.9</v>
      </c>
      <c r="AE85" s="111">
        <f>Economic!I87</f>
        <v>856887</v>
      </c>
      <c r="AF85" s="111">
        <f>Economic!D87</f>
        <v>7829.3</v>
      </c>
      <c r="AG85" s="111">
        <f>Economic!E87</f>
        <v>7828.5</v>
      </c>
      <c r="AH85" s="111">
        <f>Economic!F87</f>
        <v>650.5</v>
      </c>
      <c r="AI85" s="111">
        <f>Economic!G87</f>
        <v>647</v>
      </c>
      <c r="AJ85" s="111">
        <f>Economic!J87</f>
        <v>170.80000000000018</v>
      </c>
      <c r="AK85" s="111">
        <f>Economic!K87</f>
        <v>165.69999999999982</v>
      </c>
      <c r="AL85" s="111">
        <f>Economic!L87</f>
        <v>34.100000000000023</v>
      </c>
      <c r="AM85" s="111">
        <f>Economic!M87</f>
        <v>33.799999999999955</v>
      </c>
      <c r="AN85" s="111">
        <f>Economic!N87</f>
        <v>33196.400000000023</v>
      </c>
      <c r="AO85" s="111">
        <f>Economic!O87</f>
        <v>68</v>
      </c>
      <c r="AP85" s="28">
        <f>Weather!D85</f>
        <v>-3.3372311827956986</v>
      </c>
      <c r="AQ85" s="28">
        <f>Weather!E85</f>
        <v>723.45416666666654</v>
      </c>
      <c r="AR85" s="28">
        <f>Weather!F85</f>
        <v>0</v>
      </c>
      <c r="AS85" s="28">
        <f>Weather!G85</f>
        <v>661.45416666666654</v>
      </c>
      <c r="AT85" s="28">
        <f>Weather!H85</f>
        <v>0</v>
      </c>
      <c r="AU85" s="28">
        <f>Weather!I85</f>
        <v>599.45416666666654</v>
      </c>
      <c r="AV85" s="28">
        <f>Weather!J85</f>
        <v>0</v>
      </c>
      <c r="AW85" s="28">
        <f>Weather!K85</f>
        <v>537.45416666666665</v>
      </c>
      <c r="AX85" s="28">
        <f>Weather!L85</f>
        <v>0</v>
      </c>
      <c r="AY85" s="28">
        <f>Weather!M85</f>
        <v>475.45416666666677</v>
      </c>
      <c r="AZ85" s="28">
        <f>Weather!N85</f>
        <v>0</v>
      </c>
      <c r="BA85" s="28">
        <f>Weather!O85</f>
        <v>413.45416666666677</v>
      </c>
      <c r="BB85" s="28">
        <f>Weather!P85</f>
        <v>0</v>
      </c>
      <c r="BC85" s="28">
        <f>Weather!Q85</f>
        <v>351.45416666666677</v>
      </c>
      <c r="BD85" s="28">
        <f>Weather!R85</f>
        <v>0</v>
      </c>
      <c r="BE85">
        <f t="shared" si="81"/>
        <v>0</v>
      </c>
      <c r="BF85">
        <f t="shared" si="81"/>
        <v>0</v>
      </c>
      <c r="BG85">
        <f t="shared" si="81"/>
        <v>0</v>
      </c>
      <c r="BH85">
        <f t="shared" si="81"/>
        <v>0</v>
      </c>
      <c r="BI85">
        <f t="shared" si="81"/>
        <v>0</v>
      </c>
      <c r="BJ85">
        <f t="shared" si="81"/>
        <v>0</v>
      </c>
      <c r="BK85">
        <f t="shared" si="81"/>
        <v>0</v>
      </c>
      <c r="BL85">
        <f t="shared" si="81"/>
        <v>0</v>
      </c>
      <c r="BM85">
        <f t="shared" si="81"/>
        <v>0</v>
      </c>
      <c r="BN85">
        <f t="shared" si="81"/>
        <v>0</v>
      </c>
      <c r="BO85">
        <f t="shared" si="81"/>
        <v>0</v>
      </c>
      <c r="BP85">
        <f t="shared" si="81"/>
        <v>1</v>
      </c>
      <c r="BQ85" s="1">
        <f t="shared" si="81"/>
        <v>0</v>
      </c>
      <c r="BR85" s="1">
        <f t="shared" si="81"/>
        <v>0</v>
      </c>
      <c r="BS85" s="1">
        <f t="shared" si="81"/>
        <v>0</v>
      </c>
      <c r="BT85" s="1">
        <f t="shared" si="44"/>
        <v>84</v>
      </c>
      <c r="BU85">
        <f t="shared" si="41"/>
        <v>31</v>
      </c>
      <c r="BV85" s="1">
        <v>21</v>
      </c>
      <c r="BW85" s="1">
        <v>0.5</v>
      </c>
      <c r="BX85" s="1">
        <v>0.25</v>
      </c>
      <c r="BY85" s="1">
        <v>0.5</v>
      </c>
      <c r="BZ85" s="1">
        <v>0</v>
      </c>
      <c r="CA85">
        <f t="shared" si="83"/>
        <v>180.86354166666663</v>
      </c>
      <c r="CB85">
        <f t="shared" si="46"/>
        <v>0</v>
      </c>
      <c r="CC85">
        <f t="shared" si="47"/>
        <v>165.36354166666663</v>
      </c>
      <c r="CD85">
        <f t="shared" si="48"/>
        <v>0</v>
      </c>
      <c r="CE85">
        <f t="shared" si="49"/>
        <v>149.86354166666663</v>
      </c>
      <c r="CF85">
        <f t="shared" si="50"/>
        <v>0</v>
      </c>
      <c r="CG85">
        <f t="shared" si="51"/>
        <v>134.36354166666666</v>
      </c>
      <c r="CH85">
        <f t="shared" si="52"/>
        <v>0</v>
      </c>
      <c r="CI85">
        <f t="shared" si="53"/>
        <v>118.86354166666669</v>
      </c>
      <c r="CJ85">
        <f t="shared" si="54"/>
        <v>0</v>
      </c>
      <c r="CK85">
        <f t="shared" si="55"/>
        <v>103.36354166666669</v>
      </c>
      <c r="CL85">
        <f t="shared" si="56"/>
        <v>0</v>
      </c>
      <c r="CM85">
        <f t="shared" si="57"/>
        <v>87.863541666666691</v>
      </c>
      <c r="CN85">
        <f t="shared" si="58"/>
        <v>0</v>
      </c>
      <c r="CO85" s="14">
        <f t="shared" ref="CO85:CO121" si="84">$BY85*AQ85</f>
        <v>361.72708333333327</v>
      </c>
      <c r="CP85" s="14">
        <f t="shared" si="59"/>
        <v>0</v>
      </c>
      <c r="CQ85" s="14">
        <f t="shared" si="60"/>
        <v>330.72708333333327</v>
      </c>
      <c r="CR85" s="14">
        <f t="shared" si="61"/>
        <v>0</v>
      </c>
      <c r="CS85" s="14">
        <f t="shared" si="62"/>
        <v>299.72708333333327</v>
      </c>
      <c r="CT85" s="14">
        <f t="shared" si="63"/>
        <v>0</v>
      </c>
      <c r="CU85" s="14">
        <f t="shared" si="64"/>
        <v>268.72708333333333</v>
      </c>
      <c r="CV85" s="14">
        <f t="shared" si="65"/>
        <v>0</v>
      </c>
      <c r="CW85" s="14">
        <f t="shared" si="66"/>
        <v>237.72708333333338</v>
      </c>
      <c r="CX85" s="14">
        <f t="shared" si="67"/>
        <v>0</v>
      </c>
      <c r="CY85" s="14">
        <f t="shared" si="68"/>
        <v>206.72708333333338</v>
      </c>
      <c r="CZ85" s="14">
        <f t="shared" si="69"/>
        <v>0</v>
      </c>
      <c r="DA85" s="14">
        <f t="shared" si="70"/>
        <v>175.72708333333338</v>
      </c>
      <c r="DB85" s="14">
        <f t="shared" si="71"/>
        <v>0</v>
      </c>
      <c r="DC85" s="72">
        <f>F85/G85</f>
        <v>819.97220522074394</v>
      </c>
      <c r="DD85" s="72">
        <f t="shared" si="82"/>
        <v>26.450716297443353</v>
      </c>
      <c r="DE85" s="71">
        <f>F85/BU85</f>
        <v>270405.67270876339</v>
      </c>
      <c r="DF85" s="72">
        <f>J85/K85</f>
        <v>2307.9983405892986</v>
      </c>
      <c r="DG85" s="72">
        <f t="shared" si="73"/>
        <v>74.45155937384834</v>
      </c>
      <c r="DH85" s="72">
        <f>J85/BU85</f>
        <v>94851.286642282779</v>
      </c>
      <c r="DI85" s="72">
        <f>N85/P85</f>
        <v>45275.481892708194</v>
      </c>
      <c r="DJ85" s="72">
        <f t="shared" si="74"/>
        <v>1460.4994158938127</v>
      </c>
      <c r="DK85" s="72">
        <f t="shared" si="75"/>
        <v>2155.9753282241995</v>
      </c>
      <c r="DL85" s="72">
        <f>N85/BU85</f>
        <v>205930.4176410276</v>
      </c>
      <c r="DM85" s="72">
        <f>N85/BV85</f>
        <v>303992.52127961215</v>
      </c>
      <c r="DN85" s="1">
        <v>0</v>
      </c>
      <c r="DO85" s="1">
        <v>0</v>
      </c>
    </row>
    <row r="86" spans="1:119">
      <c r="A86" s="93">
        <f t="shared" si="79"/>
        <v>44927</v>
      </c>
      <c r="B86" s="4">
        <f t="shared" si="42"/>
        <v>2023</v>
      </c>
      <c r="C86" s="4">
        <f t="shared" si="43"/>
        <v>1</v>
      </c>
      <c r="D86" s="56">
        <v>8575549</v>
      </c>
      <c r="E86" s="56">
        <f>IFERROR(VLOOKUP($B86-1,CDM!$J$6:$P$19,2,FALSE)/12,0)+IFERROR(VLOOKUP($B86,CDM!$J$37:$M$48,2,FALSE)/24,0)+IFERROR(VLOOKUP($B86,CDM!$J$37:$M$48,2,FALSE)/2*$C86/78,0)</f>
        <v>165005.54483137926</v>
      </c>
      <c r="F86" s="56">
        <f t="shared" si="76"/>
        <v>8740554.5448313784</v>
      </c>
      <c r="G86" s="301">
        <v>10225</v>
      </c>
      <c r="H86" s="56">
        <v>2915245</v>
      </c>
      <c r="I86" s="56">
        <f>IFERROR(VLOOKUP($B86-1,CDM!$J$6:$P$19,3,FALSE)/12,0)+IFERROR(VLOOKUP($B86,CDM!$J$37:$M$47,3,FALSE)/24,0)+IFERROR(VLOOKUP($B86,CDM!$J$37:$M$47,3,FALSE)/2*$C86/78,0)</f>
        <v>213253.5438320527</v>
      </c>
      <c r="J86" s="56">
        <f t="shared" si="77"/>
        <v>3128498.5438320525</v>
      </c>
      <c r="K86" s="6">
        <v>1276</v>
      </c>
      <c r="L86" s="5">
        <v>5917191.5999999996</v>
      </c>
      <c r="M86" s="2">
        <f>IFERROR(VLOOKUP($B86-1,CDM!$J$6:$P$19,4,FALSE)/12,0)+IFERROR(VLOOKUP($B86,CDM!$J$37:$M$47,4,FALSE)/24,0)+IFERROR(VLOOKUP($B86,CDM!$J$37:$M$47,4,FALSE)/2*$C86/78,0)</f>
        <v>199614.51732146356</v>
      </c>
      <c r="N86" s="56">
        <f t="shared" si="78"/>
        <v>6116806.1173214633</v>
      </c>
      <c r="O86" s="5">
        <v>14518.3</v>
      </c>
      <c r="P86" s="6">
        <v>141</v>
      </c>
      <c r="Q86" s="5">
        <v>106509</v>
      </c>
      <c r="R86" s="5">
        <v>235.3</v>
      </c>
      <c r="S86" s="6">
        <v>2920</v>
      </c>
      <c r="T86" s="6">
        <v>16143</v>
      </c>
      <c r="U86" s="6">
        <v>41</v>
      </c>
      <c r="V86" s="6">
        <v>177</v>
      </c>
      <c r="W86" s="5">
        <v>49556</v>
      </c>
      <c r="X86" s="1">
        <v>19</v>
      </c>
      <c r="Y86" s="56">
        <v>5321.6</v>
      </c>
      <c r="Z86" s="56">
        <v>1350.4</v>
      </c>
      <c r="AA86" s="71">
        <f>L86-Y86</f>
        <v>5911870</v>
      </c>
      <c r="AB86" s="71">
        <f>N86-Y86</f>
        <v>6111484.5173214637</v>
      </c>
      <c r="AC86" s="5">
        <f>O86-Z86</f>
        <v>13167.9</v>
      </c>
      <c r="AD86" s="111">
        <f>Economic!H88</f>
        <v>865859.6</v>
      </c>
      <c r="AE86" s="111">
        <f>Economic!I88</f>
        <v>867096</v>
      </c>
      <c r="AF86" s="111">
        <f>Economic!D88</f>
        <v>7861.3</v>
      </c>
      <c r="AG86" s="111">
        <f>Economic!E88</f>
        <v>7829.1</v>
      </c>
      <c r="AH86" s="111">
        <f>Economic!F88</f>
        <v>655.5</v>
      </c>
      <c r="AI86" s="111">
        <f>Economic!G88</f>
        <v>652.20000000000005</v>
      </c>
      <c r="AJ86" s="111">
        <f>Economic!J88</f>
        <v>217.69999999999982</v>
      </c>
      <c r="AK86" s="111">
        <f>Economic!K88</f>
        <v>217.40000000000055</v>
      </c>
      <c r="AL86" s="111">
        <f>Economic!L88</f>
        <v>37.299999999999955</v>
      </c>
      <c r="AM86" s="111">
        <f>Economic!M88</f>
        <v>42</v>
      </c>
      <c r="AN86" s="111">
        <f>Economic!N88</f>
        <v>15397.699999999953</v>
      </c>
      <c r="AO86" s="111">
        <f>Economic!O88</f>
        <v>10209</v>
      </c>
      <c r="AP86" s="28">
        <f>Weather!D86</f>
        <v>-6.5091397849462362</v>
      </c>
      <c r="AQ86" s="28">
        <f>Weather!E86</f>
        <v>821.78333333333342</v>
      </c>
      <c r="AR86" s="28">
        <f>Weather!F86</f>
        <v>0</v>
      </c>
      <c r="AS86" s="28">
        <f>Weather!G86</f>
        <v>759.78333333333342</v>
      </c>
      <c r="AT86" s="28">
        <f>Weather!H86</f>
        <v>0</v>
      </c>
      <c r="AU86" s="28">
        <f>Weather!I86</f>
        <v>697.78333333333342</v>
      </c>
      <c r="AV86" s="28">
        <f>Weather!J86</f>
        <v>0</v>
      </c>
      <c r="AW86" s="28">
        <f>Weather!K86</f>
        <v>635.78333333333342</v>
      </c>
      <c r="AX86" s="28">
        <f>Weather!L86</f>
        <v>0</v>
      </c>
      <c r="AY86" s="28">
        <f>Weather!M86</f>
        <v>573.78333333333342</v>
      </c>
      <c r="AZ86" s="28">
        <f>Weather!N86</f>
        <v>0</v>
      </c>
      <c r="BA86" s="28">
        <f>Weather!O86</f>
        <v>511.78333333333347</v>
      </c>
      <c r="BB86" s="28">
        <f>Weather!P86</f>
        <v>0</v>
      </c>
      <c r="BC86" s="28">
        <f>Weather!Q86</f>
        <v>449.78333333333347</v>
      </c>
      <c r="BD86" s="28">
        <f>Weather!R86</f>
        <v>0</v>
      </c>
      <c r="BE86">
        <f t="shared" si="81"/>
        <v>1</v>
      </c>
      <c r="BF86">
        <f t="shared" si="81"/>
        <v>0</v>
      </c>
      <c r="BG86">
        <f t="shared" si="81"/>
        <v>0</v>
      </c>
      <c r="BH86">
        <f t="shared" si="81"/>
        <v>0</v>
      </c>
      <c r="BI86">
        <f t="shared" si="81"/>
        <v>0</v>
      </c>
      <c r="BJ86">
        <f t="shared" si="81"/>
        <v>0</v>
      </c>
      <c r="BK86">
        <f t="shared" si="81"/>
        <v>0</v>
      </c>
      <c r="BL86">
        <f t="shared" si="81"/>
        <v>0</v>
      </c>
      <c r="BM86">
        <f t="shared" si="81"/>
        <v>0</v>
      </c>
      <c r="BN86">
        <f t="shared" si="81"/>
        <v>0</v>
      </c>
      <c r="BO86">
        <f t="shared" si="81"/>
        <v>0</v>
      </c>
      <c r="BP86">
        <f t="shared" si="81"/>
        <v>0</v>
      </c>
      <c r="BQ86" s="1">
        <f t="shared" si="81"/>
        <v>0</v>
      </c>
      <c r="BR86" s="1">
        <f t="shared" si="81"/>
        <v>0</v>
      </c>
      <c r="BS86" s="1">
        <f t="shared" si="81"/>
        <v>0</v>
      </c>
      <c r="BT86" s="1">
        <f t="shared" si="44"/>
        <v>85</v>
      </c>
      <c r="BU86">
        <f t="shared" si="41"/>
        <v>31</v>
      </c>
      <c r="BV86" s="1">
        <v>20</v>
      </c>
      <c r="BW86" s="1">
        <v>0</v>
      </c>
      <c r="BX86" s="1">
        <v>0</v>
      </c>
      <c r="BY86" s="1">
        <v>0.25</v>
      </c>
      <c r="BZ86" s="1">
        <v>0</v>
      </c>
      <c r="CA86">
        <f t="shared" si="83"/>
        <v>0</v>
      </c>
      <c r="CB86">
        <f t="shared" si="46"/>
        <v>0</v>
      </c>
      <c r="CC86">
        <f t="shared" si="47"/>
        <v>0</v>
      </c>
      <c r="CD86">
        <f t="shared" si="48"/>
        <v>0</v>
      </c>
      <c r="CE86">
        <f t="shared" si="49"/>
        <v>0</v>
      </c>
      <c r="CF86">
        <f t="shared" si="50"/>
        <v>0</v>
      </c>
      <c r="CG86">
        <f t="shared" si="51"/>
        <v>0</v>
      </c>
      <c r="CH86">
        <f t="shared" si="52"/>
        <v>0</v>
      </c>
      <c r="CI86">
        <f t="shared" si="53"/>
        <v>0</v>
      </c>
      <c r="CJ86">
        <f t="shared" si="54"/>
        <v>0</v>
      </c>
      <c r="CK86">
        <f t="shared" si="55"/>
        <v>0</v>
      </c>
      <c r="CL86">
        <f t="shared" si="56"/>
        <v>0</v>
      </c>
      <c r="CM86">
        <f t="shared" si="57"/>
        <v>0</v>
      </c>
      <c r="CN86">
        <f t="shared" si="58"/>
        <v>0</v>
      </c>
      <c r="CO86" s="14">
        <f t="shared" si="84"/>
        <v>205.44583333333335</v>
      </c>
      <c r="CP86" s="14">
        <f t="shared" si="59"/>
        <v>0</v>
      </c>
      <c r="CQ86" s="14">
        <f t="shared" si="60"/>
        <v>189.94583333333335</v>
      </c>
      <c r="CR86" s="14">
        <f t="shared" si="61"/>
        <v>0</v>
      </c>
      <c r="CS86" s="14">
        <f t="shared" si="62"/>
        <v>174.44583333333335</v>
      </c>
      <c r="CT86" s="14">
        <f t="shared" si="63"/>
        <v>0</v>
      </c>
      <c r="CU86" s="14">
        <f t="shared" si="64"/>
        <v>158.94583333333335</v>
      </c>
      <c r="CV86" s="14">
        <f t="shared" si="65"/>
        <v>0</v>
      </c>
      <c r="CW86" s="14">
        <f t="shared" si="66"/>
        <v>143.44583333333335</v>
      </c>
      <c r="CX86" s="14">
        <f t="shared" si="67"/>
        <v>0</v>
      </c>
      <c r="CY86" s="14">
        <f t="shared" si="68"/>
        <v>127.94583333333337</v>
      </c>
      <c r="CZ86" s="14">
        <f t="shared" si="69"/>
        <v>0</v>
      </c>
      <c r="DA86" s="14">
        <f t="shared" si="70"/>
        <v>112.44583333333337</v>
      </c>
      <c r="DB86" s="14">
        <f t="shared" si="71"/>
        <v>0</v>
      </c>
      <c r="DC86" s="72">
        <f>F86/G86</f>
        <v>854.82196037470692</v>
      </c>
      <c r="DD86" s="72">
        <f t="shared" si="82"/>
        <v>27.574901947571192</v>
      </c>
      <c r="DE86" s="71">
        <f>F86/BU86</f>
        <v>281953.37241391541</v>
      </c>
      <c r="DF86" s="72">
        <f>J86/K86</f>
        <v>2451.8013666395395</v>
      </c>
      <c r="DG86" s="72">
        <f t="shared" si="73"/>
        <v>79.090366665791592</v>
      </c>
      <c r="DH86" s="72">
        <f>J86/BU86</f>
        <v>100919.30786555009</v>
      </c>
      <c r="DI86" s="72">
        <f>N86/P86</f>
        <v>43381.603668946547</v>
      </c>
      <c r="DJ86" s="72">
        <f t="shared" si="74"/>
        <v>1399.4065699660177</v>
      </c>
      <c r="DK86" s="72">
        <f t="shared" si="75"/>
        <v>2169.0801834473273</v>
      </c>
      <c r="DL86" s="72">
        <f>N86/BU86</f>
        <v>197316.32636520849</v>
      </c>
      <c r="DM86" s="72">
        <f>N86/BV86</f>
        <v>305840.30586607318</v>
      </c>
      <c r="DN86" s="1">
        <v>0</v>
      </c>
      <c r="DO86" s="1">
        <v>0</v>
      </c>
    </row>
    <row r="87" spans="1:119">
      <c r="A87" s="93">
        <f t="shared" si="79"/>
        <v>44958</v>
      </c>
      <c r="B87" s="4">
        <f t="shared" si="42"/>
        <v>2023</v>
      </c>
      <c r="C87" s="4">
        <f t="shared" si="43"/>
        <v>2</v>
      </c>
      <c r="D87" s="56">
        <v>8066206</v>
      </c>
      <c r="E87" s="56">
        <f>IFERROR(VLOOKUP($B87-1,CDM!$J$6:$P$19,2,FALSE)/12,0)+IFERROR(VLOOKUP($B87,CDM!$J$37:$M$48,2,FALSE)/24,0)+IFERROR(VLOOKUP($B87,CDM!$J$37:$M$48,2,FALSE)/2*$C87/78,0)</f>
        <v>165127.1919643149</v>
      </c>
      <c r="F87" s="56">
        <f t="shared" si="76"/>
        <v>8231333.1919643153</v>
      </c>
      <c r="G87" s="301">
        <v>10255</v>
      </c>
      <c r="H87" s="56">
        <v>2743185</v>
      </c>
      <c r="I87" s="56">
        <f>IFERROR(VLOOKUP($B87-1,CDM!$J$6:$P$19,3,FALSE)/12,0)+IFERROR(VLOOKUP($B87,CDM!$J$37:$M$47,3,FALSE)/24,0)+IFERROR(VLOOKUP($B87,CDM!$J$37:$M$47,3,FALSE)/2*$C87/78,0)</f>
        <v>214859.99264685676</v>
      </c>
      <c r="J87" s="56">
        <f t="shared" si="77"/>
        <v>2958044.9926468567</v>
      </c>
      <c r="K87" s="6">
        <v>1278</v>
      </c>
      <c r="L87" s="5">
        <v>5494938.3599999994</v>
      </c>
      <c r="M87" s="2">
        <f>IFERROR(VLOOKUP($B87-1,CDM!$J$6:$P$19,4,FALSE)/12,0)+IFERROR(VLOOKUP($B87,CDM!$J$37:$M$47,4,FALSE)/24,0)+IFERROR(VLOOKUP($B87,CDM!$J$37:$M$47,4,FALSE)/2*$C87/78,0)</f>
        <v>201582.25045065137</v>
      </c>
      <c r="N87" s="56">
        <f t="shared" si="78"/>
        <v>5696520.6104506506</v>
      </c>
      <c r="O87" s="5">
        <v>17598.900000000001</v>
      </c>
      <c r="P87" s="6">
        <v>140</v>
      </c>
      <c r="Q87" s="5">
        <v>88675</v>
      </c>
      <c r="R87" s="5">
        <v>235.2</v>
      </c>
      <c r="S87" s="6">
        <v>2900</v>
      </c>
      <c r="T87" s="6">
        <v>15454</v>
      </c>
      <c r="U87" s="6">
        <v>44.4</v>
      </c>
      <c r="V87" s="6">
        <v>177</v>
      </c>
      <c r="W87" s="5">
        <v>46741</v>
      </c>
      <c r="X87" s="1">
        <v>19</v>
      </c>
      <c r="Y87" s="56">
        <v>84355.36</v>
      </c>
      <c r="Z87" s="56">
        <v>3417.6</v>
      </c>
      <c r="AA87" s="71">
        <f>L87-Y87</f>
        <v>5410582.9999999991</v>
      </c>
      <c r="AB87" s="71">
        <f>N87-Y87</f>
        <v>5612165.2504506502</v>
      </c>
      <c r="AC87" s="5">
        <f>O87-Z87</f>
        <v>14181.300000000001</v>
      </c>
      <c r="AD87" s="111">
        <f>Economic!H89</f>
        <v>865859.6</v>
      </c>
      <c r="AE87" s="111">
        <f>Economic!I89</f>
        <v>867096</v>
      </c>
      <c r="AF87" s="111">
        <f>Economic!D89</f>
        <v>7898.9</v>
      </c>
      <c r="AG87" s="111">
        <f>Economic!E89</f>
        <v>7839</v>
      </c>
      <c r="AH87" s="111">
        <f>Economic!F89</f>
        <v>654.4</v>
      </c>
      <c r="AI87" s="111">
        <f>Economic!G89</f>
        <v>652.79999999999995</v>
      </c>
      <c r="AJ87" s="111">
        <f>Economic!J89</f>
        <v>230</v>
      </c>
      <c r="AK87" s="111">
        <f>Economic!K89</f>
        <v>232.30000000000018</v>
      </c>
      <c r="AL87" s="111">
        <f>Economic!L89</f>
        <v>31.100000000000023</v>
      </c>
      <c r="AM87" s="111">
        <f>Economic!M89</f>
        <v>36.299999999999955</v>
      </c>
      <c r="AN87" s="111">
        <f>Economic!N89</f>
        <v>15397.699999999953</v>
      </c>
      <c r="AO87" s="111">
        <f>Economic!O89</f>
        <v>10209</v>
      </c>
      <c r="AP87" s="28">
        <f>Weather!D87</f>
        <v>-8.3235119047619044</v>
      </c>
      <c r="AQ87" s="28">
        <f>Weather!E87</f>
        <v>793.05833333333328</v>
      </c>
      <c r="AR87" s="28">
        <f>Weather!F87</f>
        <v>0</v>
      </c>
      <c r="AS87" s="28">
        <f>Weather!G87</f>
        <v>737.05833333333328</v>
      </c>
      <c r="AT87" s="28">
        <f>Weather!H87</f>
        <v>0</v>
      </c>
      <c r="AU87" s="28">
        <f>Weather!I87</f>
        <v>681.05833333333328</v>
      </c>
      <c r="AV87" s="28">
        <f>Weather!J87</f>
        <v>0</v>
      </c>
      <c r="AW87" s="28">
        <f>Weather!K87</f>
        <v>625.05833333333328</v>
      </c>
      <c r="AX87" s="28">
        <f>Weather!L87</f>
        <v>0</v>
      </c>
      <c r="AY87" s="28">
        <f>Weather!M87</f>
        <v>569.05833333333328</v>
      </c>
      <c r="AZ87" s="28">
        <f>Weather!N87</f>
        <v>0</v>
      </c>
      <c r="BA87" s="28">
        <f>Weather!O87</f>
        <v>513.05833333333339</v>
      </c>
      <c r="BB87" s="28">
        <f>Weather!P87</f>
        <v>0</v>
      </c>
      <c r="BC87" s="28">
        <f>Weather!Q87</f>
        <v>457.05833333333351</v>
      </c>
      <c r="BD87" s="28">
        <f>Weather!R87</f>
        <v>0</v>
      </c>
      <c r="BE87">
        <f t="shared" si="81"/>
        <v>0</v>
      </c>
      <c r="BF87">
        <f t="shared" si="81"/>
        <v>1</v>
      </c>
      <c r="BG87">
        <f t="shared" si="81"/>
        <v>0</v>
      </c>
      <c r="BH87">
        <f t="shared" si="81"/>
        <v>0</v>
      </c>
      <c r="BI87">
        <f t="shared" si="81"/>
        <v>0</v>
      </c>
      <c r="BJ87">
        <f t="shared" si="81"/>
        <v>0</v>
      </c>
      <c r="BK87">
        <f t="shared" si="81"/>
        <v>0</v>
      </c>
      <c r="BL87">
        <f t="shared" si="81"/>
        <v>0</v>
      </c>
      <c r="BM87">
        <f t="shared" si="81"/>
        <v>0</v>
      </c>
      <c r="BN87">
        <f t="shared" si="81"/>
        <v>0</v>
      </c>
      <c r="BO87">
        <f t="shared" si="81"/>
        <v>0</v>
      </c>
      <c r="BP87">
        <f t="shared" si="81"/>
        <v>0</v>
      </c>
      <c r="BQ87" s="1">
        <f t="shared" si="81"/>
        <v>0</v>
      </c>
      <c r="BR87" s="1">
        <f t="shared" si="81"/>
        <v>0</v>
      </c>
      <c r="BS87" s="1">
        <f t="shared" si="81"/>
        <v>0</v>
      </c>
      <c r="BT87" s="1">
        <f t="shared" si="44"/>
        <v>86</v>
      </c>
      <c r="BU87">
        <f t="shared" si="41"/>
        <v>28</v>
      </c>
      <c r="BV87" s="1">
        <v>19</v>
      </c>
      <c r="BW87" s="1">
        <v>0</v>
      </c>
      <c r="BX87" s="1">
        <v>0</v>
      </c>
      <c r="BY87" s="1">
        <v>0.25</v>
      </c>
      <c r="BZ87" s="1">
        <v>0</v>
      </c>
      <c r="CA87">
        <f t="shared" si="83"/>
        <v>0</v>
      </c>
      <c r="CB87">
        <f t="shared" si="46"/>
        <v>0</v>
      </c>
      <c r="CC87">
        <f t="shared" si="47"/>
        <v>0</v>
      </c>
      <c r="CD87">
        <f t="shared" si="48"/>
        <v>0</v>
      </c>
      <c r="CE87">
        <f t="shared" si="49"/>
        <v>0</v>
      </c>
      <c r="CF87">
        <f t="shared" si="50"/>
        <v>0</v>
      </c>
      <c r="CG87">
        <f t="shared" si="51"/>
        <v>0</v>
      </c>
      <c r="CH87">
        <f t="shared" si="52"/>
        <v>0</v>
      </c>
      <c r="CI87">
        <f t="shared" si="53"/>
        <v>0</v>
      </c>
      <c r="CJ87">
        <f t="shared" si="54"/>
        <v>0</v>
      </c>
      <c r="CK87">
        <f t="shared" si="55"/>
        <v>0</v>
      </c>
      <c r="CL87">
        <f t="shared" si="56"/>
        <v>0</v>
      </c>
      <c r="CM87">
        <f t="shared" si="57"/>
        <v>0</v>
      </c>
      <c r="CN87">
        <f t="shared" si="58"/>
        <v>0</v>
      </c>
      <c r="CO87" s="14">
        <f t="shared" si="84"/>
        <v>198.26458333333332</v>
      </c>
      <c r="CP87" s="14">
        <f t="shared" si="59"/>
        <v>0</v>
      </c>
      <c r="CQ87" s="14">
        <f t="shared" si="60"/>
        <v>184.26458333333332</v>
      </c>
      <c r="CR87" s="14">
        <f t="shared" si="61"/>
        <v>0</v>
      </c>
      <c r="CS87" s="14">
        <f t="shared" si="62"/>
        <v>170.26458333333332</v>
      </c>
      <c r="CT87" s="14">
        <f t="shared" si="63"/>
        <v>0</v>
      </c>
      <c r="CU87" s="14">
        <f t="shared" si="64"/>
        <v>156.26458333333332</v>
      </c>
      <c r="CV87" s="14">
        <f t="shared" si="65"/>
        <v>0</v>
      </c>
      <c r="CW87" s="14">
        <f t="shared" si="66"/>
        <v>142.26458333333332</v>
      </c>
      <c r="CX87" s="14">
        <f t="shared" si="67"/>
        <v>0</v>
      </c>
      <c r="CY87" s="14">
        <f t="shared" si="68"/>
        <v>128.26458333333335</v>
      </c>
      <c r="CZ87" s="14">
        <f t="shared" si="69"/>
        <v>0</v>
      </c>
      <c r="DA87" s="14">
        <f t="shared" si="70"/>
        <v>114.26458333333338</v>
      </c>
      <c r="DB87" s="14">
        <f t="shared" si="71"/>
        <v>0</v>
      </c>
      <c r="DC87" s="72">
        <f>F87/G87</f>
        <v>802.66535270251734</v>
      </c>
      <c r="DD87" s="72">
        <f t="shared" si="82"/>
        <v>28.666619739375619</v>
      </c>
      <c r="DE87" s="71">
        <f>F87/BU87</f>
        <v>293976.18542729696</v>
      </c>
      <c r="DF87" s="72">
        <f>J87/K87</f>
        <v>2314.589196124301</v>
      </c>
      <c r="DG87" s="72">
        <f t="shared" si="73"/>
        <v>82.663899861582181</v>
      </c>
      <c r="DH87" s="72">
        <f>J87/BU87</f>
        <v>105644.46402310203</v>
      </c>
      <c r="DI87" s="72">
        <f>N87/P87</f>
        <v>40689.432931790361</v>
      </c>
      <c r="DJ87" s="72">
        <f t="shared" si="74"/>
        <v>1453.1940332782272</v>
      </c>
      <c r="DK87" s="72">
        <f t="shared" si="75"/>
        <v>2141.5491016731771</v>
      </c>
      <c r="DL87" s="72">
        <f>N87/BU87</f>
        <v>203447.16465895181</v>
      </c>
      <c r="DM87" s="72">
        <f>N87/BV87</f>
        <v>299816.87423424475</v>
      </c>
      <c r="DN87" s="1">
        <v>0</v>
      </c>
      <c r="DO87" s="1">
        <v>0</v>
      </c>
    </row>
    <row r="88" spans="1:119">
      <c r="A88" s="93">
        <f t="shared" si="79"/>
        <v>44986</v>
      </c>
      <c r="B88" s="4">
        <f t="shared" si="42"/>
        <v>2023</v>
      </c>
      <c r="C88" s="4">
        <f t="shared" si="43"/>
        <v>3</v>
      </c>
      <c r="D88" s="56">
        <v>7766103</v>
      </c>
      <c r="E88" s="56">
        <f>IFERROR(VLOOKUP($B88-1,CDM!$J$6:$P$19,2,FALSE)/12,0)+IFERROR(VLOOKUP($B88,CDM!$J$37:$M$48,2,FALSE)/24,0)+IFERROR(VLOOKUP($B88,CDM!$J$37:$M$48,2,FALSE)/2*$C88/78,0)</f>
        <v>165248.83909725054</v>
      </c>
      <c r="F88" s="56">
        <f t="shared" si="76"/>
        <v>7931351.8390972503</v>
      </c>
      <c r="G88" s="301">
        <v>10268</v>
      </c>
      <c r="H88" s="56">
        <v>2745244</v>
      </c>
      <c r="I88" s="56">
        <f>IFERROR(VLOOKUP($B88-1,CDM!$J$6:$P$19,3,FALSE)/12,0)+IFERROR(VLOOKUP($B88,CDM!$J$37:$M$47,3,FALSE)/24,0)+IFERROR(VLOOKUP($B88,CDM!$J$37:$M$47,3,FALSE)/2*$C88/78,0)</f>
        <v>216466.44146166081</v>
      </c>
      <c r="J88" s="56">
        <f t="shared" si="77"/>
        <v>2961710.4414616609</v>
      </c>
      <c r="K88" s="6">
        <v>1270</v>
      </c>
      <c r="L88" s="5">
        <v>5514762.5999999996</v>
      </c>
      <c r="M88" s="2">
        <f>IFERROR(VLOOKUP($B88-1,CDM!$J$6:$P$19,4,FALSE)/12,0)+IFERROR(VLOOKUP($B88,CDM!$J$37:$M$47,4,FALSE)/24,0)+IFERROR(VLOOKUP($B88,CDM!$J$37:$M$47,4,FALSE)/2*$C88/78,0)</f>
        <v>203549.9835798392</v>
      </c>
      <c r="N88" s="56">
        <f t="shared" si="78"/>
        <v>5718312.5835798392</v>
      </c>
      <c r="O88" s="5">
        <v>18506.7</v>
      </c>
      <c r="P88" s="6">
        <v>140</v>
      </c>
      <c r="Q88" s="5">
        <v>86741</v>
      </c>
      <c r="R88" s="5">
        <v>231.4</v>
      </c>
      <c r="S88" s="6">
        <v>2900</v>
      </c>
      <c r="T88" s="6">
        <v>14689</v>
      </c>
      <c r="U88" s="6">
        <v>39.999999999999993</v>
      </c>
      <c r="V88" s="6">
        <v>177</v>
      </c>
      <c r="W88" s="5">
        <v>49765</v>
      </c>
      <c r="X88" s="1">
        <v>19</v>
      </c>
      <c r="Y88" s="56">
        <v>1277.5999999999999</v>
      </c>
      <c r="Z88" s="56">
        <v>1216</v>
      </c>
      <c r="AA88" s="71">
        <f>L88-Y88</f>
        <v>5513485</v>
      </c>
      <c r="AB88" s="71">
        <f>N88-Y88</f>
        <v>5717034.9835798396</v>
      </c>
      <c r="AC88" s="5">
        <f>O88-Z88</f>
        <v>17290.7</v>
      </c>
      <c r="AD88" s="111">
        <f>Economic!H90</f>
        <v>865859.6</v>
      </c>
      <c r="AE88" s="111">
        <f>Economic!I90</f>
        <v>867096</v>
      </c>
      <c r="AF88" s="111">
        <f>Economic!D90</f>
        <v>7931.4</v>
      </c>
      <c r="AG88" s="111">
        <f>Economic!E90</f>
        <v>7848.5</v>
      </c>
      <c r="AH88" s="111">
        <f>Economic!F90</f>
        <v>656.8</v>
      </c>
      <c r="AI88" s="111">
        <f>Economic!G90</f>
        <v>654.20000000000005</v>
      </c>
      <c r="AJ88" s="111">
        <f>Economic!J90</f>
        <v>250.29999999999927</v>
      </c>
      <c r="AK88" s="111">
        <f>Economic!K90</f>
        <v>253.19999999999982</v>
      </c>
      <c r="AL88" s="111">
        <f>Economic!L90</f>
        <v>26.399999999999977</v>
      </c>
      <c r="AM88" s="111">
        <f>Economic!M90</f>
        <v>32.400000000000091</v>
      </c>
      <c r="AN88" s="111">
        <f>Economic!N90</f>
        <v>15397.699999999953</v>
      </c>
      <c r="AO88" s="111">
        <f>Economic!O90</f>
        <v>10209</v>
      </c>
      <c r="AP88" s="28">
        <f>Weather!D88</f>
        <v>-2.2612903225806451</v>
      </c>
      <c r="AQ88" s="28">
        <f>Weather!E88</f>
        <v>690.10000000000025</v>
      </c>
      <c r="AR88" s="28">
        <f>Weather!F88</f>
        <v>0</v>
      </c>
      <c r="AS88" s="28">
        <f>Weather!G88</f>
        <v>628.10000000000025</v>
      </c>
      <c r="AT88" s="28">
        <f>Weather!H88</f>
        <v>0</v>
      </c>
      <c r="AU88" s="28">
        <f>Weather!I88</f>
        <v>566.09999999999991</v>
      </c>
      <c r="AV88" s="28">
        <f>Weather!J88</f>
        <v>0</v>
      </c>
      <c r="AW88" s="28">
        <f>Weather!K88</f>
        <v>504.1</v>
      </c>
      <c r="AX88" s="28">
        <f>Weather!L88</f>
        <v>0</v>
      </c>
      <c r="AY88" s="28">
        <f>Weather!M88</f>
        <v>442.1</v>
      </c>
      <c r="AZ88" s="28">
        <f>Weather!N88</f>
        <v>0</v>
      </c>
      <c r="BA88" s="28">
        <f>Weather!O88</f>
        <v>380.09999999999997</v>
      </c>
      <c r="BB88" s="28">
        <f>Weather!P88</f>
        <v>0</v>
      </c>
      <c r="BC88" s="28">
        <f>Weather!Q88</f>
        <v>318.09999999999997</v>
      </c>
      <c r="BD88" s="28">
        <f>Weather!R88</f>
        <v>0</v>
      </c>
      <c r="BE88">
        <f t="shared" si="81"/>
        <v>0</v>
      </c>
      <c r="BF88">
        <f t="shared" si="81"/>
        <v>0</v>
      </c>
      <c r="BG88">
        <f t="shared" si="81"/>
        <v>1</v>
      </c>
      <c r="BH88">
        <f t="shared" si="81"/>
        <v>0</v>
      </c>
      <c r="BI88">
        <f t="shared" si="81"/>
        <v>0</v>
      </c>
      <c r="BJ88">
        <f t="shared" si="81"/>
        <v>0</v>
      </c>
      <c r="BK88">
        <f t="shared" si="81"/>
        <v>0</v>
      </c>
      <c r="BL88">
        <f t="shared" si="81"/>
        <v>0</v>
      </c>
      <c r="BM88">
        <f t="shared" si="81"/>
        <v>0</v>
      </c>
      <c r="BN88">
        <f t="shared" si="81"/>
        <v>0</v>
      </c>
      <c r="BO88">
        <f t="shared" si="81"/>
        <v>0</v>
      </c>
      <c r="BP88">
        <f t="shared" si="81"/>
        <v>0</v>
      </c>
      <c r="BQ88" s="1">
        <f t="shared" si="81"/>
        <v>1</v>
      </c>
      <c r="BR88" s="1">
        <f t="shared" si="81"/>
        <v>0</v>
      </c>
      <c r="BS88" s="1">
        <f t="shared" si="81"/>
        <v>1</v>
      </c>
      <c r="BT88" s="1">
        <f t="shared" si="44"/>
        <v>87</v>
      </c>
      <c r="BU88">
        <f t="shared" si="41"/>
        <v>31</v>
      </c>
      <c r="BV88" s="1">
        <v>23</v>
      </c>
      <c r="BW88" s="1">
        <v>0</v>
      </c>
      <c r="BX88" s="1">
        <v>0</v>
      </c>
      <c r="BY88" s="1">
        <v>0.25</v>
      </c>
      <c r="BZ88" s="1">
        <v>0</v>
      </c>
      <c r="CA88">
        <f t="shared" si="83"/>
        <v>0</v>
      </c>
      <c r="CB88">
        <f t="shared" si="46"/>
        <v>0</v>
      </c>
      <c r="CC88">
        <f t="shared" si="47"/>
        <v>0</v>
      </c>
      <c r="CD88">
        <f t="shared" si="48"/>
        <v>0</v>
      </c>
      <c r="CE88">
        <f t="shared" si="49"/>
        <v>0</v>
      </c>
      <c r="CF88">
        <f t="shared" si="50"/>
        <v>0</v>
      </c>
      <c r="CG88">
        <f t="shared" si="51"/>
        <v>0</v>
      </c>
      <c r="CH88">
        <f t="shared" si="52"/>
        <v>0</v>
      </c>
      <c r="CI88">
        <f t="shared" si="53"/>
        <v>0</v>
      </c>
      <c r="CJ88">
        <f t="shared" si="54"/>
        <v>0</v>
      </c>
      <c r="CK88">
        <f t="shared" si="55"/>
        <v>0</v>
      </c>
      <c r="CL88">
        <f t="shared" si="56"/>
        <v>0</v>
      </c>
      <c r="CM88">
        <f t="shared" si="57"/>
        <v>0</v>
      </c>
      <c r="CN88">
        <f t="shared" si="58"/>
        <v>0</v>
      </c>
      <c r="CO88" s="14">
        <f t="shared" si="84"/>
        <v>172.52500000000006</v>
      </c>
      <c r="CP88" s="14">
        <f t="shared" si="59"/>
        <v>0</v>
      </c>
      <c r="CQ88" s="14">
        <f t="shared" si="60"/>
        <v>157.02500000000006</v>
      </c>
      <c r="CR88" s="14">
        <f t="shared" si="61"/>
        <v>0</v>
      </c>
      <c r="CS88" s="14">
        <f t="shared" si="62"/>
        <v>141.52499999999998</v>
      </c>
      <c r="CT88" s="14">
        <f t="shared" si="63"/>
        <v>0</v>
      </c>
      <c r="CU88" s="14">
        <f t="shared" si="64"/>
        <v>126.02500000000001</v>
      </c>
      <c r="CV88" s="14">
        <f t="shared" si="65"/>
        <v>0</v>
      </c>
      <c r="CW88" s="14">
        <f t="shared" si="66"/>
        <v>110.52500000000001</v>
      </c>
      <c r="CX88" s="14">
        <f t="shared" si="67"/>
        <v>0</v>
      </c>
      <c r="CY88" s="14">
        <f t="shared" si="68"/>
        <v>95.024999999999991</v>
      </c>
      <c r="CZ88" s="14">
        <f t="shared" si="69"/>
        <v>0</v>
      </c>
      <c r="DA88" s="14">
        <f t="shared" si="70"/>
        <v>79.524999999999991</v>
      </c>
      <c r="DB88" s="14">
        <f t="shared" si="71"/>
        <v>0</v>
      </c>
      <c r="DC88" s="72">
        <f>F88/G88</f>
        <v>772.43395394402512</v>
      </c>
      <c r="DD88" s="72">
        <f t="shared" si="82"/>
        <v>24.917224320775002</v>
      </c>
      <c r="DE88" s="71">
        <f>F88/BU88</f>
        <v>255850.05932571774</v>
      </c>
      <c r="DF88" s="72">
        <f>J88/K88</f>
        <v>2332.0554657178432</v>
      </c>
      <c r="DG88" s="72">
        <f t="shared" si="73"/>
        <v>75.22759566831752</v>
      </c>
      <c r="DH88" s="72">
        <f>J88/BU88</f>
        <v>95539.046498763259</v>
      </c>
      <c r="DI88" s="72">
        <f>N88/P88</f>
        <v>40845.089882713139</v>
      </c>
      <c r="DJ88" s="72">
        <f t="shared" si="74"/>
        <v>1317.5835446036497</v>
      </c>
      <c r="DK88" s="72">
        <f t="shared" si="75"/>
        <v>1775.8734731614409</v>
      </c>
      <c r="DL88" s="72">
        <f>N88/BU88</f>
        <v>184461.69624451094</v>
      </c>
      <c r="DM88" s="72">
        <f>N88/BV88</f>
        <v>248622.28624260169</v>
      </c>
      <c r="DN88" s="1">
        <v>0</v>
      </c>
      <c r="DO88" s="1">
        <v>0</v>
      </c>
    </row>
    <row r="89" spans="1:119">
      <c r="A89" s="93">
        <f t="shared" si="79"/>
        <v>45017</v>
      </c>
      <c r="B89" s="4">
        <f t="shared" si="42"/>
        <v>2023</v>
      </c>
      <c r="C89" s="4">
        <f t="shared" si="43"/>
        <v>4</v>
      </c>
      <c r="D89" s="56">
        <v>6316390</v>
      </c>
      <c r="E89" s="56">
        <f>IFERROR(VLOOKUP($B89-1,CDM!$J$6:$P$19,2,FALSE)/12,0)+IFERROR(VLOOKUP($B89,CDM!$J$37:$M$48,2,FALSE)/24,0)+IFERROR(VLOOKUP($B89,CDM!$J$37:$M$48,2,FALSE)/2*$C89/78,0)</f>
        <v>165370.48623018619</v>
      </c>
      <c r="F89" s="56">
        <f t="shared" si="76"/>
        <v>6481760.4862301862</v>
      </c>
      <c r="G89" s="301">
        <v>10271</v>
      </c>
      <c r="H89" s="56">
        <v>2192824</v>
      </c>
      <c r="I89" s="56">
        <f>IFERROR(VLOOKUP($B89-1,CDM!$J$6:$P$19,3,FALSE)/12,0)+IFERROR(VLOOKUP($B89,CDM!$J$37:$M$47,3,FALSE)/24,0)+IFERROR(VLOOKUP($B89,CDM!$J$37:$M$47,3,FALSE)/2*$C89/78,0)</f>
        <v>218072.89027646487</v>
      </c>
      <c r="J89" s="56">
        <f t="shared" si="77"/>
        <v>2410896.8902764646</v>
      </c>
      <c r="K89" s="6">
        <v>1269</v>
      </c>
      <c r="L89" s="5">
        <v>5095749.72</v>
      </c>
      <c r="M89" s="2">
        <f>IFERROR(VLOOKUP($B89-1,CDM!$J$6:$P$19,4,FALSE)/12,0)+IFERROR(VLOOKUP($B89,CDM!$J$37:$M$47,4,FALSE)/24,0)+IFERROR(VLOOKUP($B89,CDM!$J$37:$M$47,4,FALSE)/2*$C89/78,0)</f>
        <v>205517.71670902701</v>
      </c>
      <c r="N89" s="56">
        <f t="shared" si="78"/>
        <v>5301267.4367090268</v>
      </c>
      <c r="O89" s="5">
        <v>19532.8</v>
      </c>
      <c r="P89" s="6">
        <v>139</v>
      </c>
      <c r="Q89" s="5">
        <v>73245</v>
      </c>
      <c r="R89" s="5">
        <v>231.4</v>
      </c>
      <c r="S89" s="6">
        <v>2900</v>
      </c>
      <c r="T89" s="6">
        <v>14471</v>
      </c>
      <c r="U89" s="6">
        <v>40.399999999999991</v>
      </c>
      <c r="V89" s="6">
        <v>174</v>
      </c>
      <c r="W89" s="5">
        <v>48757</v>
      </c>
      <c r="X89" s="1">
        <v>19</v>
      </c>
      <c r="Y89" s="56">
        <v>5946.72</v>
      </c>
      <c r="Z89" s="56">
        <v>5584</v>
      </c>
      <c r="AA89" s="71">
        <f>L89-Y89</f>
        <v>5089803</v>
      </c>
      <c r="AB89" s="71">
        <f>N89-Y89</f>
        <v>5295320.7167090271</v>
      </c>
      <c r="AC89" s="5">
        <f>O89-Z89</f>
        <v>13948.8</v>
      </c>
      <c r="AD89" s="111">
        <f>Economic!H91</f>
        <v>865859.6</v>
      </c>
      <c r="AE89" s="111">
        <f>Economic!I91</f>
        <v>873385</v>
      </c>
      <c r="AF89" s="111">
        <f>Economic!D91</f>
        <v>7962</v>
      </c>
      <c r="AG89" s="111">
        <f>Economic!E91</f>
        <v>7899.3</v>
      </c>
      <c r="AH89" s="111">
        <f>Economic!F91</f>
        <v>657.9</v>
      </c>
      <c r="AI89" s="111">
        <f>Economic!G91</f>
        <v>653.70000000000005</v>
      </c>
      <c r="AJ89" s="111">
        <f>Economic!J91</f>
        <v>203.60000000000036</v>
      </c>
      <c r="AK89" s="111">
        <f>Economic!K91</f>
        <v>205.10000000000036</v>
      </c>
      <c r="AL89" s="111">
        <f>Economic!L91</f>
        <v>16.799999999999955</v>
      </c>
      <c r="AM89" s="111">
        <f>Economic!M91</f>
        <v>16.900000000000091</v>
      </c>
      <c r="AN89" s="111">
        <f>Economic!N91</f>
        <v>15397.699999999953</v>
      </c>
      <c r="AO89" s="111">
        <f>Economic!O91</f>
        <v>6289</v>
      </c>
      <c r="AP89" s="28">
        <f>Weather!D89</f>
        <v>5.9763888888888896</v>
      </c>
      <c r="AQ89" s="28">
        <f>Weather!E89</f>
        <v>420.70833333333337</v>
      </c>
      <c r="AR89" s="28">
        <f>Weather!F89</f>
        <v>0</v>
      </c>
      <c r="AS89" s="28">
        <f>Weather!G89</f>
        <v>360.70833333333337</v>
      </c>
      <c r="AT89" s="28">
        <f>Weather!H89</f>
        <v>0</v>
      </c>
      <c r="AU89" s="28">
        <f>Weather!I89</f>
        <v>300.70833333333337</v>
      </c>
      <c r="AV89" s="28">
        <f>Weather!J89</f>
        <v>0</v>
      </c>
      <c r="AW89" s="28">
        <f>Weather!K89</f>
        <v>242.45833333333331</v>
      </c>
      <c r="AX89" s="28">
        <f>Weather!L89</f>
        <v>1.7500000000000053</v>
      </c>
      <c r="AY89" s="28">
        <f>Weather!M89</f>
        <v>187.84166666666664</v>
      </c>
      <c r="AZ89" s="28">
        <f>Weather!N89</f>
        <v>7.1333333333333417</v>
      </c>
      <c r="BA89" s="28">
        <f>Weather!O89</f>
        <v>139.21666666666667</v>
      </c>
      <c r="BB89" s="28">
        <f>Weather!P89</f>
        <v>18.508333333333347</v>
      </c>
      <c r="BC89" s="28">
        <f>Weather!Q89</f>
        <v>98.029166666666683</v>
      </c>
      <c r="BD89" s="28">
        <f>Weather!R89</f>
        <v>37.32083333333334</v>
      </c>
      <c r="BE89">
        <f t="shared" si="81"/>
        <v>0</v>
      </c>
      <c r="BF89">
        <f t="shared" si="81"/>
        <v>0</v>
      </c>
      <c r="BG89">
        <f t="shared" si="81"/>
        <v>0</v>
      </c>
      <c r="BH89">
        <f t="shared" si="81"/>
        <v>1</v>
      </c>
      <c r="BI89">
        <f t="shared" si="81"/>
        <v>0</v>
      </c>
      <c r="BJ89">
        <f t="shared" si="81"/>
        <v>0</v>
      </c>
      <c r="BK89">
        <f t="shared" si="81"/>
        <v>0</v>
      </c>
      <c r="BL89">
        <f t="shared" si="81"/>
        <v>0</v>
      </c>
      <c r="BM89">
        <f t="shared" si="81"/>
        <v>0</v>
      </c>
      <c r="BN89">
        <f t="shared" si="81"/>
        <v>0</v>
      </c>
      <c r="BO89">
        <f t="shared" si="81"/>
        <v>0</v>
      </c>
      <c r="BP89">
        <f t="shared" si="81"/>
        <v>0</v>
      </c>
      <c r="BQ89" s="1">
        <f t="shared" si="81"/>
        <v>1</v>
      </c>
      <c r="BR89" s="1">
        <f t="shared" si="81"/>
        <v>0</v>
      </c>
      <c r="BS89" s="1">
        <f t="shared" si="81"/>
        <v>1</v>
      </c>
      <c r="BT89" s="1">
        <f t="shared" si="44"/>
        <v>88</v>
      </c>
      <c r="BU89">
        <f t="shared" si="41"/>
        <v>30</v>
      </c>
      <c r="BV89" s="1">
        <v>21</v>
      </c>
      <c r="BW89" s="1">
        <v>0</v>
      </c>
      <c r="BX89" s="1">
        <v>0</v>
      </c>
      <c r="BY89" s="1">
        <v>0.25</v>
      </c>
      <c r="BZ89" s="1">
        <v>0</v>
      </c>
      <c r="CA89">
        <f t="shared" si="83"/>
        <v>0</v>
      </c>
      <c r="CB89">
        <f t="shared" si="46"/>
        <v>0</v>
      </c>
      <c r="CC89">
        <f t="shared" si="47"/>
        <v>0</v>
      </c>
      <c r="CD89">
        <f t="shared" si="48"/>
        <v>0</v>
      </c>
      <c r="CE89">
        <f t="shared" si="49"/>
        <v>0</v>
      </c>
      <c r="CF89">
        <f t="shared" si="50"/>
        <v>0</v>
      </c>
      <c r="CG89">
        <f t="shared" si="51"/>
        <v>0</v>
      </c>
      <c r="CH89">
        <f t="shared" si="52"/>
        <v>0</v>
      </c>
      <c r="CI89">
        <f t="shared" si="53"/>
        <v>0</v>
      </c>
      <c r="CJ89">
        <f t="shared" si="54"/>
        <v>0</v>
      </c>
      <c r="CK89">
        <f t="shared" si="55"/>
        <v>0</v>
      </c>
      <c r="CL89">
        <f t="shared" si="56"/>
        <v>0</v>
      </c>
      <c r="CM89">
        <f t="shared" si="57"/>
        <v>0</v>
      </c>
      <c r="CN89">
        <f t="shared" si="58"/>
        <v>0</v>
      </c>
      <c r="CO89" s="14">
        <f t="shared" si="84"/>
        <v>105.17708333333334</v>
      </c>
      <c r="CP89" s="14">
        <f t="shared" si="59"/>
        <v>0</v>
      </c>
      <c r="CQ89" s="14">
        <f t="shared" si="60"/>
        <v>90.177083333333343</v>
      </c>
      <c r="CR89" s="14">
        <f t="shared" si="61"/>
        <v>0</v>
      </c>
      <c r="CS89" s="14">
        <f t="shared" si="62"/>
        <v>75.177083333333343</v>
      </c>
      <c r="CT89" s="14">
        <f t="shared" si="63"/>
        <v>0</v>
      </c>
      <c r="CU89" s="14">
        <f t="shared" si="64"/>
        <v>60.614583333333329</v>
      </c>
      <c r="CV89" s="14">
        <f t="shared" si="65"/>
        <v>0.43750000000000133</v>
      </c>
      <c r="CW89" s="14">
        <f t="shared" si="66"/>
        <v>46.96041666666666</v>
      </c>
      <c r="CX89" s="14">
        <f t="shared" si="67"/>
        <v>1.7833333333333354</v>
      </c>
      <c r="CY89" s="14">
        <f t="shared" si="68"/>
        <v>34.804166666666667</v>
      </c>
      <c r="CZ89" s="14">
        <f t="shared" si="69"/>
        <v>4.6270833333333368</v>
      </c>
      <c r="DA89" s="14">
        <f t="shared" si="70"/>
        <v>24.507291666666671</v>
      </c>
      <c r="DB89" s="14">
        <f t="shared" si="71"/>
        <v>9.330208333333335</v>
      </c>
      <c r="DC89" s="72">
        <f>F89/G89</f>
        <v>631.0739447210774</v>
      </c>
      <c r="DD89" s="72">
        <f t="shared" si="82"/>
        <v>21.035798157369246</v>
      </c>
      <c r="DE89" s="71">
        <f>F89/BU89</f>
        <v>216058.68287433955</v>
      </c>
      <c r="DF89" s="72">
        <f>J89/K89</f>
        <v>1899.8399450563156</v>
      </c>
      <c r="DG89" s="72">
        <f t="shared" si="73"/>
        <v>63.327998168543857</v>
      </c>
      <c r="DH89" s="72">
        <f>J89/BU89</f>
        <v>80363.229675882161</v>
      </c>
      <c r="DI89" s="72">
        <f>N89/P89</f>
        <v>38138.614652582924</v>
      </c>
      <c r="DJ89" s="72">
        <f t="shared" si="74"/>
        <v>1271.2871550860975</v>
      </c>
      <c r="DK89" s="72">
        <f t="shared" si="75"/>
        <v>1816.1245072658535</v>
      </c>
      <c r="DL89" s="72">
        <f>N89/BU89</f>
        <v>176708.91455696756</v>
      </c>
      <c r="DM89" s="72">
        <f>N89/BV89</f>
        <v>252441.30650995366</v>
      </c>
      <c r="DN89" s="1">
        <v>0</v>
      </c>
      <c r="DO89" s="1">
        <v>0</v>
      </c>
    </row>
    <row r="90" spans="1:119">
      <c r="A90" s="93">
        <f t="shared" si="79"/>
        <v>45047</v>
      </c>
      <c r="B90" s="4">
        <f t="shared" si="42"/>
        <v>2023</v>
      </c>
      <c r="C90" s="4">
        <f t="shared" si="43"/>
        <v>5</v>
      </c>
      <c r="D90" s="56">
        <v>5770423</v>
      </c>
      <c r="E90" s="56">
        <f>IFERROR(VLOOKUP($B90-1,CDM!$J$6:$P$19,2,FALSE)/12,0)+IFERROR(VLOOKUP($B90,CDM!$J$37:$M$48,2,FALSE)/24,0)+IFERROR(VLOOKUP($B90,CDM!$J$37:$M$48,2,FALSE)/2*$C90/78,0)</f>
        <v>165492.13336312183</v>
      </c>
      <c r="F90" s="56">
        <f t="shared" si="76"/>
        <v>5935915.1333631221</v>
      </c>
      <c r="G90" s="301">
        <v>10275</v>
      </c>
      <c r="H90" s="56">
        <v>2095158</v>
      </c>
      <c r="I90" s="56">
        <f>IFERROR(VLOOKUP($B90-1,CDM!$J$6:$P$19,3,FALSE)/12,0)+IFERROR(VLOOKUP($B90,CDM!$J$37:$M$47,3,FALSE)/24,0)+IFERROR(VLOOKUP($B90,CDM!$J$37:$M$47,3,FALSE)/2*$C90/78,0)</f>
        <v>219679.33909126889</v>
      </c>
      <c r="J90" s="56">
        <f t="shared" si="77"/>
        <v>2314837.3390912688</v>
      </c>
      <c r="K90" s="6">
        <v>1269</v>
      </c>
      <c r="L90" s="5">
        <v>4991533</v>
      </c>
      <c r="M90" s="2">
        <f>IFERROR(VLOOKUP($B90-1,CDM!$J$6:$P$19,4,FALSE)/12,0)+IFERROR(VLOOKUP($B90,CDM!$J$37:$M$47,4,FALSE)/24,0)+IFERROR(VLOOKUP($B90,CDM!$J$37:$M$47,4,FALSE)/2*$C90/78,0)</f>
        <v>207485.44983821484</v>
      </c>
      <c r="N90" s="56">
        <f t="shared" si="78"/>
        <v>5199018.4498382146</v>
      </c>
      <c r="O90" s="5">
        <v>18735</v>
      </c>
      <c r="P90" s="6">
        <v>139</v>
      </c>
      <c r="Q90" s="5">
        <v>66555</v>
      </c>
      <c r="R90" s="5">
        <v>231.4</v>
      </c>
      <c r="S90" s="6">
        <v>2900</v>
      </c>
      <c r="T90" s="6">
        <v>14420</v>
      </c>
      <c r="U90" s="6">
        <v>39.6</v>
      </c>
      <c r="V90" s="6">
        <v>174</v>
      </c>
      <c r="W90" s="5">
        <v>49849</v>
      </c>
      <c r="X90" s="1">
        <v>19</v>
      </c>
      <c r="Y90" s="56">
        <v>5086.3999999999996</v>
      </c>
      <c r="Z90" s="56">
        <v>4633.6000000000004</v>
      </c>
      <c r="AA90" s="71">
        <f>L90-Y90</f>
        <v>4986446.5999999996</v>
      </c>
      <c r="AB90" s="71">
        <f>N90-Y90</f>
        <v>5193932.0498382142</v>
      </c>
      <c r="AC90" s="5">
        <f>O90-Z90</f>
        <v>14101.4</v>
      </c>
      <c r="AD90" s="111">
        <f>Economic!H92</f>
        <v>865859.6</v>
      </c>
      <c r="AE90" s="111">
        <f>Economic!I92</f>
        <v>873385</v>
      </c>
      <c r="AF90" s="111">
        <f>Economic!D92</f>
        <v>7978.4</v>
      </c>
      <c r="AG90" s="111">
        <f>Economic!E92</f>
        <v>7966.2</v>
      </c>
      <c r="AH90" s="111">
        <f>Economic!F92</f>
        <v>663.7</v>
      </c>
      <c r="AI90" s="111">
        <f>Economic!G92</f>
        <v>664</v>
      </c>
      <c r="AJ90" s="111">
        <f>Economic!J92</f>
        <v>202.29999999999927</v>
      </c>
      <c r="AK90" s="111">
        <f>Economic!K92</f>
        <v>201.19999999999982</v>
      </c>
      <c r="AL90" s="111">
        <f>Economic!L92</f>
        <v>16.5</v>
      </c>
      <c r="AM90" s="111">
        <f>Economic!M92</f>
        <v>16.5</v>
      </c>
      <c r="AN90" s="111">
        <f>Economic!N92</f>
        <v>15397.699999999953</v>
      </c>
      <c r="AO90" s="111">
        <f>Economic!O92</f>
        <v>6289</v>
      </c>
      <c r="AP90" s="28">
        <f>Weather!D90</f>
        <v>12.488239247311826</v>
      </c>
      <c r="AQ90" s="28">
        <f>Weather!E90</f>
        <v>234.95208333333341</v>
      </c>
      <c r="AR90" s="28">
        <f>Weather!F90</f>
        <v>2.0875000000000021</v>
      </c>
      <c r="AS90" s="28">
        <f>Weather!G90</f>
        <v>177.13750000000005</v>
      </c>
      <c r="AT90" s="28">
        <f>Weather!H90</f>
        <v>6.2729166666666671</v>
      </c>
      <c r="AU90" s="28">
        <f>Weather!I90</f>
        <v>126.95833333333333</v>
      </c>
      <c r="AV90" s="28">
        <f>Weather!J90</f>
        <v>18.093750000000007</v>
      </c>
      <c r="AW90" s="28">
        <f>Weather!K90</f>
        <v>80.341666666666669</v>
      </c>
      <c r="AX90" s="28">
        <f>Weather!L90</f>
        <v>33.47708333333334</v>
      </c>
      <c r="AY90" s="28">
        <f>Weather!M90</f>
        <v>49.537499999999994</v>
      </c>
      <c r="AZ90" s="28">
        <f>Weather!N90</f>
        <v>64.672916666666652</v>
      </c>
      <c r="BA90" s="28">
        <f>Weather!O90</f>
        <v>24.945833333333333</v>
      </c>
      <c r="BB90" s="28">
        <f>Weather!P90</f>
        <v>102.08124999999998</v>
      </c>
      <c r="BC90" s="28">
        <f>Weather!Q90</f>
        <v>8.2916666666666643</v>
      </c>
      <c r="BD90" s="28">
        <f>Weather!R90</f>
        <v>147.42708333333334</v>
      </c>
      <c r="BE90">
        <f t="shared" si="81"/>
        <v>0</v>
      </c>
      <c r="BF90">
        <f t="shared" si="81"/>
        <v>0</v>
      </c>
      <c r="BG90">
        <f t="shared" si="81"/>
        <v>0</v>
      </c>
      <c r="BH90">
        <f t="shared" si="81"/>
        <v>0</v>
      </c>
      <c r="BI90">
        <f t="shared" si="81"/>
        <v>1</v>
      </c>
      <c r="BJ90">
        <f t="shared" si="81"/>
        <v>0</v>
      </c>
      <c r="BK90">
        <f t="shared" si="81"/>
        <v>0</v>
      </c>
      <c r="BL90">
        <f t="shared" si="81"/>
        <v>0</v>
      </c>
      <c r="BM90">
        <f t="shared" si="81"/>
        <v>0</v>
      </c>
      <c r="BN90">
        <f t="shared" si="81"/>
        <v>0</v>
      </c>
      <c r="BO90">
        <f t="shared" si="81"/>
        <v>0</v>
      </c>
      <c r="BP90">
        <f t="shared" si="81"/>
        <v>0</v>
      </c>
      <c r="BQ90" s="1">
        <f t="shared" si="81"/>
        <v>1</v>
      </c>
      <c r="BR90" s="1">
        <f t="shared" si="81"/>
        <v>0</v>
      </c>
      <c r="BS90" s="1">
        <f t="shared" si="81"/>
        <v>1</v>
      </c>
      <c r="BT90" s="1">
        <f t="shared" si="44"/>
        <v>89</v>
      </c>
      <c r="BU90">
        <f t="shared" si="41"/>
        <v>31</v>
      </c>
      <c r="BV90" s="1">
        <v>20</v>
      </c>
      <c r="BW90" s="1">
        <v>0</v>
      </c>
      <c r="BX90" s="1">
        <v>0</v>
      </c>
      <c r="BY90" s="1">
        <v>0.25</v>
      </c>
      <c r="BZ90" s="1">
        <v>0</v>
      </c>
      <c r="CA90">
        <f t="shared" si="83"/>
        <v>0</v>
      </c>
      <c r="CB90">
        <f t="shared" si="46"/>
        <v>0</v>
      </c>
      <c r="CC90">
        <f t="shared" si="47"/>
        <v>0</v>
      </c>
      <c r="CD90">
        <f t="shared" si="48"/>
        <v>0</v>
      </c>
      <c r="CE90">
        <f t="shared" si="49"/>
        <v>0</v>
      </c>
      <c r="CF90">
        <f t="shared" si="50"/>
        <v>0</v>
      </c>
      <c r="CG90">
        <f t="shared" si="51"/>
        <v>0</v>
      </c>
      <c r="CH90">
        <f t="shared" si="52"/>
        <v>0</v>
      </c>
      <c r="CI90">
        <f t="shared" si="53"/>
        <v>0</v>
      </c>
      <c r="CJ90">
        <f t="shared" si="54"/>
        <v>0</v>
      </c>
      <c r="CK90">
        <f t="shared" si="55"/>
        <v>0</v>
      </c>
      <c r="CL90">
        <f t="shared" si="56"/>
        <v>0</v>
      </c>
      <c r="CM90">
        <f t="shared" si="57"/>
        <v>0</v>
      </c>
      <c r="CN90">
        <f t="shared" si="58"/>
        <v>0</v>
      </c>
      <c r="CO90" s="14">
        <f t="shared" si="84"/>
        <v>58.738020833333351</v>
      </c>
      <c r="CP90" s="14">
        <f t="shared" si="59"/>
        <v>0.52187500000000053</v>
      </c>
      <c r="CQ90" s="14">
        <f t="shared" si="60"/>
        <v>44.284375000000011</v>
      </c>
      <c r="CR90" s="14">
        <f t="shared" si="61"/>
        <v>1.5682291666666668</v>
      </c>
      <c r="CS90" s="14">
        <f t="shared" si="62"/>
        <v>31.739583333333332</v>
      </c>
      <c r="CT90" s="14">
        <f t="shared" si="63"/>
        <v>4.5234375000000018</v>
      </c>
      <c r="CU90" s="14">
        <f t="shared" si="64"/>
        <v>20.085416666666667</v>
      </c>
      <c r="CV90" s="14">
        <f t="shared" si="65"/>
        <v>8.369270833333335</v>
      </c>
      <c r="CW90" s="14">
        <f t="shared" si="66"/>
        <v>12.384374999999999</v>
      </c>
      <c r="CX90" s="14">
        <f t="shared" si="67"/>
        <v>16.168229166666663</v>
      </c>
      <c r="CY90" s="14">
        <f t="shared" si="68"/>
        <v>6.2364583333333332</v>
      </c>
      <c r="CZ90" s="14">
        <f t="shared" si="69"/>
        <v>25.520312499999996</v>
      </c>
      <c r="DA90" s="14">
        <f t="shared" si="70"/>
        <v>2.0729166666666661</v>
      </c>
      <c r="DB90" s="14">
        <f t="shared" si="71"/>
        <v>36.856770833333336</v>
      </c>
      <c r="DC90" s="72">
        <f>F90/G90</f>
        <v>577.70463585042546</v>
      </c>
      <c r="DD90" s="72">
        <f t="shared" si="82"/>
        <v>18.635633414529853</v>
      </c>
      <c r="DE90" s="71">
        <f>F90/BU90</f>
        <v>191481.13333429425</v>
      </c>
      <c r="DF90" s="72">
        <f>J90/K90</f>
        <v>1824.1428992050976</v>
      </c>
      <c r="DG90" s="72">
        <f t="shared" si="73"/>
        <v>58.843319329196696</v>
      </c>
      <c r="DH90" s="72">
        <f>J90/BU90</f>
        <v>74672.172228750613</v>
      </c>
      <c r="DI90" s="72">
        <f>N90/P90</f>
        <v>37403.010430490751</v>
      </c>
      <c r="DJ90" s="72">
        <f t="shared" si="74"/>
        <v>1206.5487235642179</v>
      </c>
      <c r="DK90" s="72">
        <f t="shared" si="75"/>
        <v>1870.1505215245375</v>
      </c>
      <c r="DL90" s="72">
        <f>N90/BU90</f>
        <v>167710.27257542626</v>
      </c>
      <c r="DM90" s="72">
        <f>N90/BV90</f>
        <v>259950.92249191072</v>
      </c>
      <c r="DN90" s="1">
        <v>0</v>
      </c>
      <c r="DO90" s="1">
        <v>0</v>
      </c>
    </row>
    <row r="91" spans="1:119">
      <c r="A91" s="93">
        <f t="shared" si="79"/>
        <v>45078</v>
      </c>
      <c r="B91" s="4">
        <f t="shared" si="42"/>
        <v>2023</v>
      </c>
      <c r="C91" s="4">
        <f t="shared" si="43"/>
        <v>6</v>
      </c>
      <c r="D91" s="56">
        <v>6451557</v>
      </c>
      <c r="E91" s="56">
        <f>IFERROR(VLOOKUP($B91-1,CDM!$J$6:$P$19,2,FALSE)/12,0)+IFERROR(VLOOKUP($B91,CDM!$J$37:$M$48,2,FALSE)/24,0)+IFERROR(VLOOKUP($B91,CDM!$J$37:$M$48,2,FALSE)/2*$C91/78,0)</f>
        <v>165613.78049605747</v>
      </c>
      <c r="F91" s="56">
        <f t="shared" si="76"/>
        <v>6617170.7804960571</v>
      </c>
      <c r="G91" s="301">
        <v>10280</v>
      </c>
      <c r="H91" s="56">
        <v>2188263</v>
      </c>
      <c r="I91" s="56">
        <f>IFERROR(VLOOKUP($B91-1,CDM!$J$6:$P$19,3,FALSE)/12,0)+IFERROR(VLOOKUP($B91,CDM!$J$37:$M$47,3,FALSE)/24,0)+IFERROR(VLOOKUP($B91,CDM!$J$37:$M$47,3,FALSE)/2*$C91/78,0)</f>
        <v>221285.78790607295</v>
      </c>
      <c r="J91" s="56">
        <f t="shared" si="77"/>
        <v>2409548.787906073</v>
      </c>
      <c r="K91" s="6">
        <v>1269</v>
      </c>
      <c r="L91" s="5">
        <v>5225442.72</v>
      </c>
      <c r="M91" s="2">
        <f>IFERROR(VLOOKUP($B91-1,CDM!$J$6:$P$19,4,FALSE)/12,0)+IFERROR(VLOOKUP($B91,CDM!$J$37:$M$47,4,FALSE)/24,0)+IFERROR(VLOOKUP($B91,CDM!$J$37:$M$47,4,FALSE)/2*$C91/78,0)</f>
        <v>209453.18296740268</v>
      </c>
      <c r="N91" s="56">
        <f t="shared" si="78"/>
        <v>5434895.9029674027</v>
      </c>
      <c r="O91" s="5">
        <v>15196.139999999996</v>
      </c>
      <c r="P91" s="6">
        <v>139</v>
      </c>
      <c r="Q91" s="5">
        <v>59980</v>
      </c>
      <c r="R91" s="5">
        <v>231.4</v>
      </c>
      <c r="S91" s="6">
        <v>2900</v>
      </c>
      <c r="T91" s="6">
        <v>14412</v>
      </c>
      <c r="U91" s="6">
        <v>39.499999999999993</v>
      </c>
      <c r="V91" s="6">
        <v>174</v>
      </c>
      <c r="W91" s="5">
        <v>48925</v>
      </c>
      <c r="X91" s="1">
        <v>19</v>
      </c>
      <c r="Y91" s="56">
        <v>19736.8</v>
      </c>
      <c r="Z91" s="56">
        <v>960</v>
      </c>
      <c r="AA91" s="71">
        <f>L91-Y91</f>
        <v>5205705.92</v>
      </c>
      <c r="AB91" s="71">
        <f>N91-Y91</f>
        <v>5415159.1029674029</v>
      </c>
      <c r="AC91" s="5">
        <f>O91-Z91</f>
        <v>14236.139999999996</v>
      </c>
      <c r="AD91" s="111">
        <f>Economic!H93</f>
        <v>865859.6</v>
      </c>
      <c r="AE91" s="111">
        <f>Economic!I93</f>
        <v>873385</v>
      </c>
      <c r="AF91" s="111">
        <f>Economic!D93</f>
        <v>8001.1</v>
      </c>
      <c r="AG91" s="111">
        <f>Economic!E93</f>
        <v>8058.5</v>
      </c>
      <c r="AH91" s="111">
        <f>Economic!F93</f>
        <v>672</v>
      </c>
      <c r="AI91" s="111">
        <f>Economic!G93</f>
        <v>678.8</v>
      </c>
      <c r="AJ91" s="111">
        <f>Economic!J93</f>
        <v>218.30000000000018</v>
      </c>
      <c r="AK91" s="111">
        <f>Economic!K93</f>
        <v>219.80000000000018</v>
      </c>
      <c r="AL91" s="111">
        <f>Economic!L93</f>
        <v>28.799999999999955</v>
      </c>
      <c r="AM91" s="111">
        <f>Economic!M93</f>
        <v>28.5</v>
      </c>
      <c r="AN91" s="111">
        <f>Economic!N93</f>
        <v>15397.699999999953</v>
      </c>
      <c r="AO91" s="111">
        <f>Economic!O93</f>
        <v>6289</v>
      </c>
      <c r="AP91" s="28">
        <f>Weather!D91</f>
        <v>17.87416666666666</v>
      </c>
      <c r="AQ91" s="28">
        <f>Weather!E91</f>
        <v>79.324999999999989</v>
      </c>
      <c r="AR91" s="28">
        <f>Weather!F91</f>
        <v>15.55</v>
      </c>
      <c r="AS91" s="28">
        <f>Weather!G91</f>
        <v>38.23749999999999</v>
      </c>
      <c r="AT91" s="28">
        <f>Weather!H91</f>
        <v>34.462499999999991</v>
      </c>
      <c r="AU91" s="28">
        <f>Weather!I91</f>
        <v>12.866666666666669</v>
      </c>
      <c r="AV91" s="28">
        <f>Weather!J91</f>
        <v>69.091666666666669</v>
      </c>
      <c r="AW91" s="28">
        <f>Weather!K91</f>
        <v>2.3999999999999986</v>
      </c>
      <c r="AX91" s="28">
        <f>Weather!L91</f>
        <v>118.625</v>
      </c>
      <c r="AY91" s="28">
        <f>Weather!M91</f>
        <v>0</v>
      </c>
      <c r="AZ91" s="28">
        <f>Weather!N91</f>
        <v>176.22499999999999</v>
      </c>
      <c r="BA91" s="28">
        <f>Weather!O91</f>
        <v>0</v>
      </c>
      <c r="BB91" s="28">
        <f>Weather!P91</f>
        <v>236.22500000000002</v>
      </c>
      <c r="BC91" s="28">
        <f>Weather!Q91</f>
        <v>0</v>
      </c>
      <c r="BD91" s="28">
        <f>Weather!R91</f>
        <v>296.22499999999997</v>
      </c>
      <c r="BE91">
        <f t="shared" ref="BE91:BS106" si="85">BE79</f>
        <v>0</v>
      </c>
      <c r="BF91">
        <f t="shared" si="85"/>
        <v>0</v>
      </c>
      <c r="BG91">
        <f t="shared" si="85"/>
        <v>0</v>
      </c>
      <c r="BH91">
        <f t="shared" si="85"/>
        <v>0</v>
      </c>
      <c r="BI91">
        <f t="shared" si="85"/>
        <v>0</v>
      </c>
      <c r="BJ91">
        <f t="shared" si="85"/>
        <v>1</v>
      </c>
      <c r="BK91">
        <f t="shared" si="85"/>
        <v>0</v>
      </c>
      <c r="BL91">
        <f t="shared" si="85"/>
        <v>0</v>
      </c>
      <c r="BM91">
        <f t="shared" si="85"/>
        <v>0</v>
      </c>
      <c r="BN91">
        <f t="shared" si="85"/>
        <v>0</v>
      </c>
      <c r="BO91">
        <f t="shared" si="85"/>
        <v>0</v>
      </c>
      <c r="BP91">
        <f t="shared" si="85"/>
        <v>0</v>
      </c>
      <c r="BQ91" s="1">
        <f t="shared" si="85"/>
        <v>0</v>
      </c>
      <c r="BR91" s="1">
        <f t="shared" si="85"/>
        <v>0</v>
      </c>
      <c r="BS91" s="1">
        <f t="shared" si="85"/>
        <v>0</v>
      </c>
      <c r="BT91" s="1">
        <f t="shared" si="44"/>
        <v>90</v>
      </c>
      <c r="BU91">
        <f t="shared" si="41"/>
        <v>30</v>
      </c>
      <c r="BV91" s="1">
        <v>22</v>
      </c>
      <c r="BW91" s="1">
        <v>0</v>
      </c>
      <c r="BX91" s="1">
        <v>0</v>
      </c>
      <c r="BY91" s="1">
        <v>0.25</v>
      </c>
      <c r="BZ91" s="1">
        <v>0</v>
      </c>
      <c r="CA91">
        <f t="shared" si="83"/>
        <v>0</v>
      </c>
      <c r="CB91">
        <f t="shared" si="46"/>
        <v>0</v>
      </c>
      <c r="CC91">
        <f t="shared" si="47"/>
        <v>0</v>
      </c>
      <c r="CD91">
        <f t="shared" si="48"/>
        <v>0</v>
      </c>
      <c r="CE91">
        <f t="shared" si="49"/>
        <v>0</v>
      </c>
      <c r="CF91">
        <f t="shared" si="50"/>
        <v>0</v>
      </c>
      <c r="CG91">
        <f t="shared" si="51"/>
        <v>0</v>
      </c>
      <c r="CH91">
        <f t="shared" si="52"/>
        <v>0</v>
      </c>
      <c r="CI91">
        <f t="shared" si="53"/>
        <v>0</v>
      </c>
      <c r="CJ91">
        <f t="shared" si="54"/>
        <v>0</v>
      </c>
      <c r="CK91">
        <f t="shared" si="55"/>
        <v>0</v>
      </c>
      <c r="CL91">
        <f t="shared" si="56"/>
        <v>0</v>
      </c>
      <c r="CM91">
        <f t="shared" si="57"/>
        <v>0</v>
      </c>
      <c r="CN91">
        <f t="shared" si="58"/>
        <v>0</v>
      </c>
      <c r="CO91" s="14">
        <f t="shared" si="84"/>
        <v>19.831249999999997</v>
      </c>
      <c r="CP91" s="14">
        <f t="shared" si="59"/>
        <v>3.8875000000000002</v>
      </c>
      <c r="CQ91" s="14">
        <f t="shared" si="60"/>
        <v>9.5593749999999975</v>
      </c>
      <c r="CR91" s="14">
        <f t="shared" si="61"/>
        <v>8.6156249999999979</v>
      </c>
      <c r="CS91" s="14">
        <f t="shared" si="62"/>
        <v>3.2166666666666672</v>
      </c>
      <c r="CT91" s="14">
        <f t="shared" si="63"/>
        <v>17.272916666666667</v>
      </c>
      <c r="CU91" s="14">
        <f t="shared" si="64"/>
        <v>0.59999999999999964</v>
      </c>
      <c r="CV91" s="14">
        <f t="shared" si="65"/>
        <v>29.65625</v>
      </c>
      <c r="CW91" s="14">
        <f t="shared" si="66"/>
        <v>0</v>
      </c>
      <c r="CX91" s="14">
        <f t="shared" si="67"/>
        <v>44.056249999999999</v>
      </c>
      <c r="CY91" s="14">
        <f t="shared" si="68"/>
        <v>0</v>
      </c>
      <c r="CZ91" s="14">
        <f t="shared" si="69"/>
        <v>59.056250000000006</v>
      </c>
      <c r="DA91" s="14">
        <f t="shared" si="70"/>
        <v>0</v>
      </c>
      <c r="DB91" s="14">
        <f t="shared" si="71"/>
        <v>74.056249999999991</v>
      </c>
      <c r="DC91" s="72">
        <f>F91/G91</f>
        <v>643.69365569027798</v>
      </c>
      <c r="DD91" s="72">
        <f t="shared" si="82"/>
        <v>21.456455189675932</v>
      </c>
      <c r="DE91" s="71">
        <f>F91/BU91</f>
        <v>220572.35934986858</v>
      </c>
      <c r="DF91" s="72">
        <f>J91/K91</f>
        <v>1898.7776106430836</v>
      </c>
      <c r="DG91" s="72">
        <f t="shared" si="73"/>
        <v>63.29258702143612</v>
      </c>
      <c r="DH91" s="72">
        <f>J91/BU91</f>
        <v>80318.292930202428</v>
      </c>
      <c r="DI91" s="72">
        <f>N91/P91</f>
        <v>39099.97052494534</v>
      </c>
      <c r="DJ91" s="72">
        <f t="shared" si="74"/>
        <v>1303.3323508315113</v>
      </c>
      <c r="DK91" s="72">
        <f t="shared" si="75"/>
        <v>1777.2713874975154</v>
      </c>
      <c r="DL91" s="72">
        <f>N91/BU91</f>
        <v>181163.1967655801</v>
      </c>
      <c r="DM91" s="72">
        <f>N91/BV91</f>
        <v>247040.72286215468</v>
      </c>
      <c r="DN91" s="1">
        <v>0</v>
      </c>
      <c r="DO91" s="1">
        <v>0</v>
      </c>
    </row>
    <row r="92" spans="1:119">
      <c r="A92" s="93">
        <f t="shared" si="79"/>
        <v>45108</v>
      </c>
      <c r="B92" s="4">
        <f t="shared" si="42"/>
        <v>2023</v>
      </c>
      <c r="C92" s="4">
        <f t="shared" si="43"/>
        <v>7</v>
      </c>
      <c r="D92" s="56">
        <v>7904084</v>
      </c>
      <c r="E92" s="56">
        <f>IFERROR(VLOOKUP($B92-1,CDM!$J$6:$P$19,2,FALSE)/12,0)+IFERROR(VLOOKUP($B92,CDM!$J$37:$M$48,2,FALSE)/24,0)+IFERROR(VLOOKUP($B92,CDM!$J$37:$M$48,2,FALSE)/2*$C92/78,0)</f>
        <v>165735.42762899311</v>
      </c>
      <c r="F92" s="56">
        <f t="shared" si="76"/>
        <v>8069819.4276289931</v>
      </c>
      <c r="G92" s="301">
        <v>10278</v>
      </c>
      <c r="H92" s="56">
        <v>2456082</v>
      </c>
      <c r="I92" s="56">
        <f>IFERROR(VLOOKUP($B92-1,CDM!$J$6:$P$19,3,FALSE)/12,0)+IFERROR(VLOOKUP($B92,CDM!$J$37:$M$47,3,FALSE)/24,0)+IFERROR(VLOOKUP($B92,CDM!$J$37:$M$47,3,FALSE)/2*$C92/78,0)</f>
        <v>222892.236720877</v>
      </c>
      <c r="J92" s="56">
        <f t="shared" si="77"/>
        <v>2678974.2367208768</v>
      </c>
      <c r="K92" s="6">
        <v>1268</v>
      </c>
      <c r="L92" s="5">
        <v>5699824</v>
      </c>
      <c r="M92" s="2">
        <f>IFERROR(VLOOKUP($B92-1,CDM!$J$6:$P$19,4,FALSE)/12,0)+IFERROR(VLOOKUP($B92,CDM!$J$37:$M$47,4,FALSE)/24,0)+IFERROR(VLOOKUP($B92,CDM!$J$37:$M$47,4,FALSE)/2*$C92/78,0)</f>
        <v>211420.91609659049</v>
      </c>
      <c r="N92" s="56">
        <f t="shared" si="78"/>
        <v>5911244.9160965905</v>
      </c>
      <c r="O92" s="5">
        <v>15950.600000000002</v>
      </c>
      <c r="P92" s="6">
        <v>139</v>
      </c>
      <c r="Q92" s="5">
        <v>64318</v>
      </c>
      <c r="R92" s="5">
        <v>231.4</v>
      </c>
      <c r="S92" s="6">
        <v>2900</v>
      </c>
      <c r="T92" s="6">
        <v>14411</v>
      </c>
      <c r="U92" s="6">
        <v>39.499999999999993</v>
      </c>
      <c r="V92" s="6">
        <v>172</v>
      </c>
      <c r="W92" s="5">
        <v>49849</v>
      </c>
      <c r="X92" s="1">
        <v>19</v>
      </c>
      <c r="Y92" s="56">
        <v>1885.6</v>
      </c>
      <c r="Z92" s="56">
        <v>1491.2</v>
      </c>
      <c r="AA92" s="71">
        <f>L92-Y92</f>
        <v>5697938.4000000004</v>
      </c>
      <c r="AB92" s="71">
        <f>N92-Y92</f>
        <v>5909359.3160965908</v>
      </c>
      <c r="AC92" s="5">
        <f>O92-Z92</f>
        <v>14459.400000000001</v>
      </c>
      <c r="AD92" s="111">
        <f>Economic!H94</f>
        <v>865859.6</v>
      </c>
      <c r="AE92" s="111">
        <f>Economic!I94</f>
        <v>876964</v>
      </c>
      <c r="AF92" s="111">
        <f>Economic!D94</f>
        <v>8016.3</v>
      </c>
      <c r="AG92" s="111">
        <f>Economic!E94</f>
        <v>8107</v>
      </c>
      <c r="AH92" s="111">
        <f>Economic!F94</f>
        <v>677.8</v>
      </c>
      <c r="AI92" s="111">
        <f>Economic!G94</f>
        <v>690.2</v>
      </c>
      <c r="AJ92" s="111">
        <f>Economic!J94</f>
        <v>232.19999999999982</v>
      </c>
      <c r="AK92" s="111">
        <f>Economic!K94</f>
        <v>234.89999999999964</v>
      </c>
      <c r="AL92" s="111">
        <f>Economic!L94</f>
        <v>38.399999999999977</v>
      </c>
      <c r="AM92" s="111">
        <f>Economic!M94</f>
        <v>38.400000000000091</v>
      </c>
      <c r="AN92" s="111">
        <f>Economic!N94</f>
        <v>15397.699999999953</v>
      </c>
      <c r="AO92" s="111">
        <f>Economic!O94</f>
        <v>3579</v>
      </c>
      <c r="AP92" s="28">
        <f>Weather!D92</f>
        <v>20.245833333333334</v>
      </c>
      <c r="AQ92" s="28">
        <f>Weather!E92</f>
        <v>27.016666666666673</v>
      </c>
      <c r="AR92" s="28">
        <f>Weather!F92</f>
        <v>34.637499999999989</v>
      </c>
      <c r="AS92" s="28">
        <f>Weather!G92</f>
        <v>6.454166666666671</v>
      </c>
      <c r="AT92" s="28">
        <f>Weather!H92</f>
        <v>76.07499999999996</v>
      </c>
      <c r="AU92" s="28">
        <f>Weather!I92</f>
        <v>0.38333333333333464</v>
      </c>
      <c r="AV92" s="28">
        <f>Weather!J92</f>
        <v>132.00416666666663</v>
      </c>
      <c r="AW92" s="28">
        <f>Weather!K92</f>
        <v>0</v>
      </c>
      <c r="AX92" s="28">
        <f>Weather!L92</f>
        <v>193.62083333333328</v>
      </c>
      <c r="AY92" s="28">
        <f>Weather!M92</f>
        <v>0</v>
      </c>
      <c r="AZ92" s="28">
        <f>Weather!N92</f>
        <v>255.62083333333328</v>
      </c>
      <c r="BA92" s="28">
        <f>Weather!O92</f>
        <v>0</v>
      </c>
      <c r="BB92" s="28">
        <f>Weather!P92</f>
        <v>317.62083333333328</v>
      </c>
      <c r="BC92" s="28">
        <f>Weather!Q92</f>
        <v>0</v>
      </c>
      <c r="BD92" s="28">
        <f>Weather!R92</f>
        <v>379.62083333333334</v>
      </c>
      <c r="BE92">
        <f t="shared" si="85"/>
        <v>0</v>
      </c>
      <c r="BF92">
        <f t="shared" si="85"/>
        <v>0</v>
      </c>
      <c r="BG92">
        <f t="shared" si="85"/>
        <v>0</v>
      </c>
      <c r="BH92">
        <f t="shared" si="85"/>
        <v>0</v>
      </c>
      <c r="BI92">
        <f t="shared" si="85"/>
        <v>0</v>
      </c>
      <c r="BJ92">
        <f t="shared" si="85"/>
        <v>0</v>
      </c>
      <c r="BK92">
        <f t="shared" si="85"/>
        <v>1</v>
      </c>
      <c r="BL92">
        <f t="shared" si="85"/>
        <v>0</v>
      </c>
      <c r="BM92">
        <f t="shared" si="85"/>
        <v>0</v>
      </c>
      <c r="BN92">
        <f t="shared" si="85"/>
        <v>0</v>
      </c>
      <c r="BO92">
        <f t="shared" si="85"/>
        <v>0</v>
      </c>
      <c r="BP92">
        <f t="shared" si="85"/>
        <v>0</v>
      </c>
      <c r="BQ92" s="1">
        <f t="shared" si="85"/>
        <v>0</v>
      </c>
      <c r="BR92" s="1">
        <f t="shared" si="85"/>
        <v>0</v>
      </c>
      <c r="BS92" s="1">
        <f t="shared" si="85"/>
        <v>0</v>
      </c>
      <c r="BT92" s="1">
        <f t="shared" si="44"/>
        <v>91</v>
      </c>
      <c r="BU92">
        <f t="shared" si="41"/>
        <v>31</v>
      </c>
      <c r="BV92" s="1">
        <v>21</v>
      </c>
      <c r="BW92" s="1">
        <v>0</v>
      </c>
      <c r="BX92" s="1">
        <v>0</v>
      </c>
      <c r="BY92" s="1">
        <v>0.25</v>
      </c>
      <c r="BZ92" s="1">
        <v>0</v>
      </c>
      <c r="CA92">
        <f t="shared" si="83"/>
        <v>0</v>
      </c>
      <c r="CB92">
        <f t="shared" si="46"/>
        <v>0</v>
      </c>
      <c r="CC92">
        <f t="shared" si="47"/>
        <v>0</v>
      </c>
      <c r="CD92">
        <f t="shared" si="48"/>
        <v>0</v>
      </c>
      <c r="CE92">
        <f t="shared" si="49"/>
        <v>0</v>
      </c>
      <c r="CF92">
        <f t="shared" si="50"/>
        <v>0</v>
      </c>
      <c r="CG92">
        <f t="shared" si="51"/>
        <v>0</v>
      </c>
      <c r="CH92">
        <f t="shared" si="52"/>
        <v>0</v>
      </c>
      <c r="CI92">
        <f t="shared" si="53"/>
        <v>0</v>
      </c>
      <c r="CJ92">
        <f t="shared" si="54"/>
        <v>0</v>
      </c>
      <c r="CK92">
        <f t="shared" si="55"/>
        <v>0</v>
      </c>
      <c r="CL92">
        <f t="shared" si="56"/>
        <v>0</v>
      </c>
      <c r="CM92">
        <f t="shared" si="57"/>
        <v>0</v>
      </c>
      <c r="CN92">
        <f t="shared" si="58"/>
        <v>0</v>
      </c>
      <c r="CO92" s="14">
        <f t="shared" si="84"/>
        <v>6.7541666666666682</v>
      </c>
      <c r="CP92" s="14">
        <f t="shared" si="59"/>
        <v>8.6593749999999972</v>
      </c>
      <c r="CQ92" s="14">
        <f t="shared" si="60"/>
        <v>1.6135416666666678</v>
      </c>
      <c r="CR92" s="14">
        <f t="shared" si="61"/>
        <v>19.01874999999999</v>
      </c>
      <c r="CS92" s="14">
        <f>$BY92*AU92</f>
        <v>9.5833333333333659E-2</v>
      </c>
      <c r="CT92" s="14">
        <f t="shared" si="63"/>
        <v>33.001041666666659</v>
      </c>
      <c r="CU92" s="14">
        <f t="shared" si="64"/>
        <v>0</v>
      </c>
      <c r="CV92" s="14">
        <f t="shared" si="65"/>
        <v>48.40520833333332</v>
      </c>
      <c r="CW92" s="14">
        <f t="shared" si="66"/>
        <v>0</v>
      </c>
      <c r="CX92" s="14">
        <f t="shared" si="67"/>
        <v>63.90520833333332</v>
      </c>
      <c r="CY92" s="14">
        <f t="shared" si="68"/>
        <v>0</v>
      </c>
      <c r="CZ92" s="14">
        <f t="shared" si="69"/>
        <v>79.40520833333332</v>
      </c>
      <c r="DA92" s="14">
        <f t="shared" si="70"/>
        <v>0</v>
      </c>
      <c r="DB92" s="14">
        <f t="shared" si="71"/>
        <v>94.905208333333334</v>
      </c>
      <c r="DC92" s="72">
        <f>F92/G92</f>
        <v>785.15464366890376</v>
      </c>
      <c r="DD92" s="72">
        <f t="shared" si="82"/>
        <v>25.327569150609797</v>
      </c>
      <c r="DE92" s="71">
        <f>F92/BU92</f>
        <v>260316.75572996752</v>
      </c>
      <c r="DF92" s="72">
        <f>J92/K92</f>
        <v>2112.7557071931205</v>
      </c>
      <c r="DG92" s="72">
        <f t="shared" si="73"/>
        <v>68.153409909455505</v>
      </c>
      <c r="DH92" s="72">
        <f>J92/BU92</f>
        <v>86418.523765189573</v>
      </c>
      <c r="DI92" s="72">
        <f>N92/P92</f>
        <v>42526.941842421511</v>
      </c>
      <c r="DJ92" s="72">
        <f t="shared" si="74"/>
        <v>1371.8368336265003</v>
      </c>
      <c r="DK92" s="72">
        <f t="shared" si="75"/>
        <v>2025.0924686867386</v>
      </c>
      <c r="DL92" s="72">
        <f>N92/BU92</f>
        <v>190685.31987408357</v>
      </c>
      <c r="DM92" s="72">
        <f>N92/BV92</f>
        <v>281487.85314745671</v>
      </c>
      <c r="DN92" s="1">
        <v>0</v>
      </c>
      <c r="DO92" s="1">
        <v>0</v>
      </c>
    </row>
    <row r="93" spans="1:119">
      <c r="A93" s="93">
        <f t="shared" si="79"/>
        <v>45139</v>
      </c>
      <c r="B93" s="4">
        <f t="shared" si="42"/>
        <v>2023</v>
      </c>
      <c r="C93" s="4">
        <f t="shared" si="43"/>
        <v>8</v>
      </c>
      <c r="D93" s="56">
        <v>6424902</v>
      </c>
      <c r="E93" s="56">
        <f>IFERROR(VLOOKUP($B93-1,CDM!$J$6:$P$19,2,FALSE)/12,0)+IFERROR(VLOOKUP($B93,CDM!$J$37:$M$48,2,FALSE)/24,0)+IFERROR(VLOOKUP($B93,CDM!$J$37:$M$48,2,FALSE)/2*$C93/78,0)</f>
        <v>165857.07476192876</v>
      </c>
      <c r="F93" s="56">
        <f t="shared" si="76"/>
        <v>6590759.074761929</v>
      </c>
      <c r="G93" s="301">
        <v>10295</v>
      </c>
      <c r="H93" s="56">
        <v>2184176</v>
      </c>
      <c r="I93" s="56">
        <f>IFERROR(VLOOKUP($B93-1,CDM!$J$6:$P$19,3,FALSE)/12,0)+IFERROR(VLOOKUP($B93,CDM!$J$37:$M$47,3,FALSE)/24,0)+IFERROR(VLOOKUP($B93,CDM!$J$37:$M$47,3,FALSE)/2*$C93/78,0)</f>
        <v>224498.68553568106</v>
      </c>
      <c r="J93" s="56">
        <f t="shared" si="77"/>
        <v>2408674.685535681</v>
      </c>
      <c r="K93" s="6">
        <v>1268</v>
      </c>
      <c r="L93" s="5">
        <v>5290740</v>
      </c>
      <c r="M93" s="2">
        <f>IFERROR(VLOOKUP($B93-1,CDM!$J$6:$P$19,4,FALSE)/12,0)+IFERROR(VLOOKUP($B93,CDM!$J$37:$M$47,4,FALSE)/24,0)+IFERROR(VLOOKUP($B93,CDM!$J$37:$M$47,4,FALSE)/2*$C93/78,0)</f>
        <v>213388.64922577832</v>
      </c>
      <c r="N93" s="56">
        <f t="shared" si="78"/>
        <v>5504128.6492257779</v>
      </c>
      <c r="O93" s="5">
        <v>16826.900000000001</v>
      </c>
      <c r="P93" s="6">
        <v>139</v>
      </c>
      <c r="Q93" s="5">
        <v>72300</v>
      </c>
      <c r="R93" s="5">
        <v>231</v>
      </c>
      <c r="S93" s="6">
        <v>2900</v>
      </c>
      <c r="T93" s="6">
        <v>14124</v>
      </c>
      <c r="U93" s="6">
        <v>38.79999999999999</v>
      </c>
      <c r="V93" s="6">
        <v>172</v>
      </c>
      <c r="W93" s="5">
        <v>49807</v>
      </c>
      <c r="X93" s="1">
        <v>19</v>
      </c>
      <c r="Y93" s="56">
        <v>50262.080000000002</v>
      </c>
      <c r="Z93" s="56">
        <v>3653.8</v>
      </c>
      <c r="AA93" s="71">
        <f>L93-Y93</f>
        <v>5240477.92</v>
      </c>
      <c r="AB93" s="71">
        <f>N93-Y93</f>
        <v>5453866.5692257779</v>
      </c>
      <c r="AC93" s="5">
        <f>O93-Z93</f>
        <v>13173.100000000002</v>
      </c>
      <c r="AD93" s="111">
        <f>Economic!H95</f>
        <v>865859.6</v>
      </c>
      <c r="AE93" s="111">
        <f>Economic!I95</f>
        <v>876964</v>
      </c>
      <c r="AF93" s="111">
        <f>Economic!D95</f>
        <v>8040</v>
      </c>
      <c r="AG93" s="111">
        <f>Economic!E95</f>
        <v>8115.6</v>
      </c>
      <c r="AH93" s="111">
        <f>Economic!F95</f>
        <v>682.8</v>
      </c>
      <c r="AI93" s="111">
        <f>Economic!G95</f>
        <v>691.7</v>
      </c>
      <c r="AJ93" s="111">
        <f>Economic!J95</f>
        <v>262</v>
      </c>
      <c r="AK93" s="111">
        <f>Economic!K95</f>
        <v>263.20000000000073</v>
      </c>
      <c r="AL93" s="111">
        <f>Economic!L95</f>
        <v>44.299999999999955</v>
      </c>
      <c r="AM93" s="111">
        <f>Economic!M95</f>
        <v>44.900000000000091</v>
      </c>
      <c r="AN93" s="111">
        <f>Economic!N95</f>
        <v>15397.699999999953</v>
      </c>
      <c r="AO93" s="111">
        <f>Economic!O95</f>
        <v>3579</v>
      </c>
      <c r="AP93" s="28">
        <f>Weather!D93</f>
        <v>17.51075268817204</v>
      </c>
      <c r="AQ93" s="28">
        <f>Weather!E93</f>
        <v>78.083333333333329</v>
      </c>
      <c r="AR93" s="28">
        <f>Weather!F93</f>
        <v>0.9166666666666643</v>
      </c>
      <c r="AS93" s="28">
        <f>Weather!G93</f>
        <v>30.016666666666659</v>
      </c>
      <c r="AT93" s="28">
        <f>Weather!H93</f>
        <v>14.849999999999994</v>
      </c>
      <c r="AU93" s="28">
        <f>Weather!I93</f>
        <v>5.4958333333333371</v>
      </c>
      <c r="AV93" s="28">
        <f>Weather!J93</f>
        <v>52.329166666666687</v>
      </c>
      <c r="AW93" s="28">
        <f>Weather!K93</f>
        <v>0.45000000000000284</v>
      </c>
      <c r="AX93" s="28">
        <f>Weather!L93</f>
        <v>109.28333333333336</v>
      </c>
      <c r="AY93" s="28">
        <f>Weather!M93</f>
        <v>0</v>
      </c>
      <c r="AZ93" s="28">
        <f>Weather!N93</f>
        <v>170.83333333333337</v>
      </c>
      <c r="BA93" s="28">
        <f>Weather!O93</f>
        <v>0</v>
      </c>
      <c r="BB93" s="28">
        <f>Weather!P93</f>
        <v>232.83333333333337</v>
      </c>
      <c r="BC93" s="28">
        <f>Weather!Q93</f>
        <v>0</v>
      </c>
      <c r="BD93" s="28">
        <f>Weather!R93</f>
        <v>294.83333333333337</v>
      </c>
      <c r="BE93">
        <f t="shared" si="85"/>
        <v>0</v>
      </c>
      <c r="BF93">
        <f t="shared" si="85"/>
        <v>0</v>
      </c>
      <c r="BG93">
        <f t="shared" si="85"/>
        <v>0</v>
      </c>
      <c r="BH93">
        <f t="shared" si="85"/>
        <v>0</v>
      </c>
      <c r="BI93">
        <f t="shared" si="85"/>
        <v>0</v>
      </c>
      <c r="BJ93">
        <f t="shared" si="85"/>
        <v>0</v>
      </c>
      <c r="BK93">
        <f t="shared" si="85"/>
        <v>0</v>
      </c>
      <c r="BL93">
        <f t="shared" si="85"/>
        <v>1</v>
      </c>
      <c r="BM93">
        <f t="shared" si="85"/>
        <v>0</v>
      </c>
      <c r="BN93">
        <f t="shared" si="85"/>
        <v>0</v>
      </c>
      <c r="BO93">
        <f t="shared" si="85"/>
        <v>0</v>
      </c>
      <c r="BP93">
        <f t="shared" si="85"/>
        <v>0</v>
      </c>
      <c r="BQ93" s="1">
        <f t="shared" si="85"/>
        <v>0</v>
      </c>
      <c r="BR93" s="1">
        <f t="shared" si="85"/>
        <v>0</v>
      </c>
      <c r="BS93" s="1">
        <f t="shared" si="85"/>
        <v>0</v>
      </c>
      <c r="BT93" s="1">
        <f t="shared" si="44"/>
        <v>92</v>
      </c>
      <c r="BU93">
        <f t="shared" si="41"/>
        <v>31</v>
      </c>
      <c r="BV93" s="1">
        <v>20</v>
      </c>
      <c r="BW93" s="1">
        <v>0</v>
      </c>
      <c r="BX93" s="1">
        <v>0</v>
      </c>
      <c r="BY93" s="1">
        <v>0.25</v>
      </c>
      <c r="BZ93" s="1">
        <v>0</v>
      </c>
      <c r="CA93">
        <f t="shared" si="83"/>
        <v>0</v>
      </c>
      <c r="CB93">
        <f t="shared" si="46"/>
        <v>0</v>
      </c>
      <c r="CC93">
        <f t="shared" si="47"/>
        <v>0</v>
      </c>
      <c r="CD93">
        <f t="shared" si="48"/>
        <v>0</v>
      </c>
      <c r="CE93">
        <f t="shared" si="49"/>
        <v>0</v>
      </c>
      <c r="CF93">
        <f t="shared" si="50"/>
        <v>0</v>
      </c>
      <c r="CG93">
        <f t="shared" si="51"/>
        <v>0</v>
      </c>
      <c r="CH93">
        <f t="shared" si="52"/>
        <v>0</v>
      </c>
      <c r="CI93">
        <f t="shared" si="53"/>
        <v>0</v>
      </c>
      <c r="CJ93">
        <f t="shared" si="54"/>
        <v>0</v>
      </c>
      <c r="CK93">
        <f t="shared" si="55"/>
        <v>0</v>
      </c>
      <c r="CL93">
        <f t="shared" si="56"/>
        <v>0</v>
      </c>
      <c r="CM93">
        <f t="shared" si="57"/>
        <v>0</v>
      </c>
      <c r="CN93">
        <f t="shared" si="58"/>
        <v>0</v>
      </c>
      <c r="CO93" s="14">
        <f t="shared" si="84"/>
        <v>19.520833333333332</v>
      </c>
      <c r="CP93" s="14">
        <f t="shared" si="59"/>
        <v>0.22916666666666607</v>
      </c>
      <c r="CQ93" s="14">
        <f t="shared" si="60"/>
        <v>7.5041666666666647</v>
      </c>
      <c r="CR93" s="14">
        <f t="shared" si="61"/>
        <v>3.7124999999999986</v>
      </c>
      <c r="CS93" s="14">
        <f t="shared" si="62"/>
        <v>1.3739583333333343</v>
      </c>
      <c r="CT93" s="14">
        <f t="shared" si="63"/>
        <v>13.082291666666672</v>
      </c>
      <c r="CU93" s="14">
        <f t="shared" si="64"/>
        <v>0.11250000000000071</v>
      </c>
      <c r="CV93" s="14">
        <f t="shared" si="65"/>
        <v>27.32083333333334</v>
      </c>
      <c r="CW93" s="14">
        <f t="shared" si="66"/>
        <v>0</v>
      </c>
      <c r="CX93" s="14">
        <f t="shared" si="67"/>
        <v>42.708333333333343</v>
      </c>
      <c r="CY93" s="14">
        <f t="shared" si="68"/>
        <v>0</v>
      </c>
      <c r="CZ93" s="14">
        <f t="shared" si="69"/>
        <v>58.208333333333343</v>
      </c>
      <c r="DA93" s="14">
        <f t="shared" si="70"/>
        <v>0</v>
      </c>
      <c r="DB93" s="14">
        <f t="shared" si="71"/>
        <v>73.708333333333343</v>
      </c>
      <c r="DC93" s="72">
        <f>F93/G93</f>
        <v>640.19029380883239</v>
      </c>
      <c r="DD93" s="72">
        <f t="shared" si="82"/>
        <v>20.651299800284917</v>
      </c>
      <c r="DE93" s="71">
        <f>F93/BU93</f>
        <v>212605.13144393321</v>
      </c>
      <c r="DF93" s="72">
        <f>J93/K93</f>
        <v>1899.5857141448589</v>
      </c>
      <c r="DG93" s="72">
        <f t="shared" si="73"/>
        <v>61.276958520801898</v>
      </c>
      <c r="DH93" s="72">
        <f>J93/BU93</f>
        <v>77699.183404376803</v>
      </c>
      <c r="DI93" s="72">
        <f>N93/P93</f>
        <v>39598.047836156678</v>
      </c>
      <c r="DJ93" s="72">
        <f t="shared" si="74"/>
        <v>1277.3563818115058</v>
      </c>
      <c r="DK93" s="72">
        <f t="shared" si="75"/>
        <v>1979.902391807834</v>
      </c>
      <c r="DL93" s="72">
        <f>N93/BU93</f>
        <v>177552.53707179928</v>
      </c>
      <c r="DM93" s="72">
        <f>N93/BV93</f>
        <v>275206.43246128887</v>
      </c>
      <c r="DN93" s="1">
        <v>0</v>
      </c>
      <c r="DO93" s="1">
        <v>0</v>
      </c>
    </row>
    <row r="94" spans="1:119">
      <c r="A94" s="93">
        <f t="shared" si="79"/>
        <v>45170</v>
      </c>
      <c r="B94" s="4">
        <f t="shared" si="42"/>
        <v>2023</v>
      </c>
      <c r="C94" s="4">
        <f t="shared" si="43"/>
        <v>9</v>
      </c>
      <c r="D94" s="56">
        <v>5980890</v>
      </c>
      <c r="E94" s="56">
        <f>IFERROR(VLOOKUP($B94-1,CDM!$J$6:$P$19,2,FALSE)/12,0)+IFERROR(VLOOKUP($B94,CDM!$J$37:$M$48,2,FALSE)/24,0)+IFERROR(VLOOKUP($B94,CDM!$J$37:$M$48,2,FALSE)/2*$C94/78,0)</f>
        <v>165978.7218948644</v>
      </c>
      <c r="F94" s="56">
        <f t="shared" si="76"/>
        <v>6146868.721894864</v>
      </c>
      <c r="G94" s="301">
        <v>10291</v>
      </c>
      <c r="H94" s="56">
        <v>2089952</v>
      </c>
      <c r="I94" s="56">
        <f>IFERROR(VLOOKUP($B94-1,CDM!$J$6:$P$19,3,FALSE)/12,0)+IFERROR(VLOOKUP($B94,CDM!$J$37:$M$47,3,FALSE)/24,0)+IFERROR(VLOOKUP($B94,CDM!$J$37:$M$47,3,FALSE)/2*$C94/78,0)</f>
        <v>226105.13435048511</v>
      </c>
      <c r="J94" s="56">
        <f t="shared" si="77"/>
        <v>2316057.1343504852</v>
      </c>
      <c r="K94" s="6">
        <v>1268</v>
      </c>
      <c r="L94" s="5">
        <v>5126707</v>
      </c>
      <c r="M94" s="2">
        <f>IFERROR(VLOOKUP($B94-1,CDM!$J$6:$P$19,4,FALSE)/12,0)+IFERROR(VLOOKUP($B94,CDM!$J$37:$M$47,4,FALSE)/24,0)+IFERROR(VLOOKUP($B94,CDM!$J$37:$M$47,4,FALSE)/2*$C94/78,0)</f>
        <v>215356.38235496613</v>
      </c>
      <c r="N94" s="56">
        <f t="shared" si="78"/>
        <v>5342063.3823549664</v>
      </c>
      <c r="O94" s="5">
        <v>16271.7</v>
      </c>
      <c r="P94" s="6">
        <v>139</v>
      </c>
      <c r="Q94" s="5">
        <v>79827</v>
      </c>
      <c r="R94" s="5">
        <v>231</v>
      </c>
      <c r="S94" s="6">
        <v>2900</v>
      </c>
      <c r="T94" s="6">
        <v>14399</v>
      </c>
      <c r="U94" s="6">
        <v>39</v>
      </c>
      <c r="V94" s="6">
        <v>172</v>
      </c>
      <c r="W94" s="5">
        <v>48799</v>
      </c>
      <c r="X94" s="1">
        <v>19</v>
      </c>
      <c r="Y94" s="56">
        <v>476.32</v>
      </c>
      <c r="Z94" s="56">
        <v>1084.8</v>
      </c>
      <c r="AA94" s="71">
        <f>L94-Y94</f>
        <v>5126230.68</v>
      </c>
      <c r="AB94" s="71">
        <f>N94-Y94</f>
        <v>5341587.0623549661</v>
      </c>
      <c r="AC94" s="5">
        <f>O94-Z94</f>
        <v>15186.900000000001</v>
      </c>
      <c r="AD94" s="111">
        <f>Economic!H96</f>
        <v>865859.6</v>
      </c>
      <c r="AE94" s="111">
        <f>Economic!I96</f>
        <v>876964</v>
      </c>
      <c r="AF94" s="111">
        <f>Economic!D96</f>
        <v>8052.4</v>
      </c>
      <c r="AG94" s="111">
        <f>Economic!E96</f>
        <v>8068.5</v>
      </c>
      <c r="AH94" s="111">
        <f>Economic!F96</f>
        <v>684.8</v>
      </c>
      <c r="AI94" s="111">
        <f>Economic!G96</f>
        <v>687.3</v>
      </c>
      <c r="AJ94" s="111">
        <f>Economic!J96</f>
        <v>281.69999999999982</v>
      </c>
      <c r="AK94" s="111">
        <f>Economic!K96</f>
        <v>274.69999999999982</v>
      </c>
      <c r="AL94" s="111">
        <f>Economic!L96</f>
        <v>38.5</v>
      </c>
      <c r="AM94" s="111">
        <f>Economic!M96</f>
        <v>38.5</v>
      </c>
      <c r="AN94" s="111">
        <f>Economic!N96</f>
        <v>15397.699999999953</v>
      </c>
      <c r="AO94" s="111">
        <f>Economic!O96</f>
        <v>3579</v>
      </c>
      <c r="AP94" s="28">
        <f>Weather!D94</f>
        <v>15.133472222222224</v>
      </c>
      <c r="AQ94" s="28">
        <f>Weather!E94</f>
        <v>162.20833333333331</v>
      </c>
      <c r="AR94" s="28">
        <f>Weather!F94</f>
        <v>16.212500000000002</v>
      </c>
      <c r="AS94" s="28">
        <f>Weather!G94</f>
        <v>112.94166666666663</v>
      </c>
      <c r="AT94" s="28">
        <f>Weather!H94</f>
        <v>26.945833333333336</v>
      </c>
      <c r="AU94" s="28">
        <f>Weather!I94</f>
        <v>65.812499999999986</v>
      </c>
      <c r="AV94" s="28">
        <f>Weather!J94</f>
        <v>39.816666666666677</v>
      </c>
      <c r="AW94" s="28">
        <f>Weather!K94</f>
        <v>29.48749999999999</v>
      </c>
      <c r="AX94" s="28">
        <f>Weather!L94</f>
        <v>63.491666666666674</v>
      </c>
      <c r="AY94" s="28">
        <f>Weather!M94</f>
        <v>9.3166666666666664</v>
      </c>
      <c r="AZ94" s="28">
        <f>Weather!N94</f>
        <v>103.32083333333338</v>
      </c>
      <c r="BA94" s="28">
        <f>Weather!O94</f>
        <v>0.46250000000000213</v>
      </c>
      <c r="BB94" s="28">
        <f>Weather!P94</f>
        <v>154.46666666666673</v>
      </c>
      <c r="BC94" s="28">
        <f>Weather!Q94</f>
        <v>0</v>
      </c>
      <c r="BD94" s="28">
        <f>Weather!R94</f>
        <v>214.00416666666672</v>
      </c>
      <c r="BE94">
        <f t="shared" si="85"/>
        <v>0</v>
      </c>
      <c r="BF94">
        <f t="shared" si="85"/>
        <v>0</v>
      </c>
      <c r="BG94">
        <f t="shared" si="85"/>
        <v>0</v>
      </c>
      <c r="BH94">
        <f t="shared" si="85"/>
        <v>0</v>
      </c>
      <c r="BI94">
        <f t="shared" si="85"/>
        <v>0</v>
      </c>
      <c r="BJ94">
        <f t="shared" si="85"/>
        <v>0</v>
      </c>
      <c r="BK94">
        <f t="shared" si="85"/>
        <v>0</v>
      </c>
      <c r="BL94">
        <f t="shared" si="85"/>
        <v>0</v>
      </c>
      <c r="BM94">
        <f t="shared" si="85"/>
        <v>1</v>
      </c>
      <c r="BN94">
        <f t="shared" si="85"/>
        <v>0</v>
      </c>
      <c r="BO94">
        <f t="shared" si="85"/>
        <v>0</v>
      </c>
      <c r="BP94">
        <f t="shared" si="85"/>
        <v>0</v>
      </c>
      <c r="BQ94" s="1">
        <f t="shared" si="85"/>
        <v>0</v>
      </c>
      <c r="BR94" s="1">
        <f t="shared" si="85"/>
        <v>1</v>
      </c>
      <c r="BS94" s="1">
        <f t="shared" si="85"/>
        <v>1</v>
      </c>
      <c r="BT94" s="1">
        <f t="shared" si="44"/>
        <v>93</v>
      </c>
      <c r="BU94">
        <f t="shared" si="41"/>
        <v>30</v>
      </c>
      <c r="BV94" s="1">
        <v>20</v>
      </c>
      <c r="BW94" s="1">
        <v>0</v>
      </c>
      <c r="BX94" s="1">
        <v>0</v>
      </c>
      <c r="BY94" s="1">
        <v>0.25</v>
      </c>
      <c r="BZ94" s="1">
        <v>0</v>
      </c>
      <c r="CA94">
        <f t="shared" si="83"/>
        <v>0</v>
      </c>
      <c r="CB94">
        <f t="shared" si="46"/>
        <v>0</v>
      </c>
      <c r="CC94">
        <f t="shared" si="47"/>
        <v>0</v>
      </c>
      <c r="CD94">
        <f t="shared" si="48"/>
        <v>0</v>
      </c>
      <c r="CE94">
        <f t="shared" si="49"/>
        <v>0</v>
      </c>
      <c r="CF94">
        <f t="shared" si="50"/>
        <v>0</v>
      </c>
      <c r="CG94">
        <f t="shared" si="51"/>
        <v>0</v>
      </c>
      <c r="CH94">
        <f t="shared" si="52"/>
        <v>0</v>
      </c>
      <c r="CI94">
        <f t="shared" si="53"/>
        <v>0</v>
      </c>
      <c r="CJ94">
        <f t="shared" si="54"/>
        <v>0</v>
      </c>
      <c r="CK94">
        <f t="shared" si="55"/>
        <v>0</v>
      </c>
      <c r="CL94">
        <f t="shared" si="56"/>
        <v>0</v>
      </c>
      <c r="CM94">
        <f t="shared" si="57"/>
        <v>0</v>
      </c>
      <c r="CN94">
        <f t="shared" si="58"/>
        <v>0</v>
      </c>
      <c r="CO94" s="14">
        <f t="shared" si="84"/>
        <v>40.552083333333329</v>
      </c>
      <c r="CP94" s="14">
        <f t="shared" si="59"/>
        <v>4.0531250000000005</v>
      </c>
      <c r="CQ94" s="14">
        <f t="shared" si="60"/>
        <v>28.235416666666659</v>
      </c>
      <c r="CR94" s="14">
        <f t="shared" si="61"/>
        <v>6.7364583333333341</v>
      </c>
      <c r="CS94" s="14">
        <f t="shared" si="62"/>
        <v>16.453124999999996</v>
      </c>
      <c r="CT94" s="14">
        <f t="shared" si="63"/>
        <v>9.9541666666666693</v>
      </c>
      <c r="CU94" s="14">
        <f t="shared" si="64"/>
        <v>7.3718749999999975</v>
      </c>
      <c r="CV94" s="14">
        <f t="shared" si="65"/>
        <v>15.872916666666669</v>
      </c>
      <c r="CW94" s="14">
        <f t="shared" si="66"/>
        <v>2.3291666666666666</v>
      </c>
      <c r="CX94" s="14">
        <f t="shared" si="67"/>
        <v>25.830208333333346</v>
      </c>
      <c r="CY94" s="14">
        <f t="shared" si="68"/>
        <v>0.11562500000000053</v>
      </c>
      <c r="CZ94" s="14">
        <f t="shared" si="69"/>
        <v>38.616666666666681</v>
      </c>
      <c r="DA94" s="14">
        <f t="shared" si="70"/>
        <v>0</v>
      </c>
      <c r="DB94" s="14">
        <f t="shared" si="71"/>
        <v>53.50104166666668</v>
      </c>
      <c r="DC94" s="72">
        <f>F94/G94</f>
        <v>597.30528829995762</v>
      </c>
      <c r="DD94" s="72">
        <f t="shared" si="82"/>
        <v>19.910176276665254</v>
      </c>
      <c r="DE94" s="71">
        <f>F94/BU94</f>
        <v>204895.62406316213</v>
      </c>
      <c r="DF94" s="72">
        <f>J94/K94</f>
        <v>1826.543481348963</v>
      </c>
      <c r="DG94" s="72">
        <f t="shared" si="73"/>
        <v>60.884782711632099</v>
      </c>
      <c r="DH94" s="72">
        <f>J94/BU94</f>
        <v>77201.904478349505</v>
      </c>
      <c r="DI94" s="72">
        <f>N94/P94</f>
        <v>38432.110664424217</v>
      </c>
      <c r="DJ94" s="72">
        <f t="shared" si="74"/>
        <v>1281.0703554808072</v>
      </c>
      <c r="DK94" s="72">
        <f t="shared" si="75"/>
        <v>1921.6055332212109</v>
      </c>
      <c r="DL94" s="72">
        <f>N94/BU94</f>
        <v>178068.77941183222</v>
      </c>
      <c r="DM94" s="72">
        <f>N94/BV94</f>
        <v>267103.16911774833</v>
      </c>
      <c r="DN94" s="1">
        <v>0</v>
      </c>
      <c r="DO94" s="1">
        <v>0</v>
      </c>
    </row>
    <row r="95" spans="1:119">
      <c r="A95" s="93">
        <f t="shared" si="79"/>
        <v>45200</v>
      </c>
      <c r="B95" s="4">
        <f t="shared" si="42"/>
        <v>2023</v>
      </c>
      <c r="C95" s="4">
        <f t="shared" si="43"/>
        <v>10</v>
      </c>
      <c r="D95" s="56">
        <v>6145474</v>
      </c>
      <c r="E95" s="56">
        <f>IFERROR(VLOOKUP($B95-1,CDM!$J$6:$P$19,2,FALSE)/12,0)+IFERROR(VLOOKUP($B95,CDM!$J$37:$M$48,2,FALSE)/24,0)+IFERROR(VLOOKUP($B95,CDM!$J$37:$M$48,2,FALSE)/2*$C95/78,0)</f>
        <v>166100.36902780004</v>
      </c>
      <c r="F95" s="56">
        <f t="shared" si="76"/>
        <v>6311574.3690277999</v>
      </c>
      <c r="G95" s="301">
        <v>10304</v>
      </c>
      <c r="H95" s="56">
        <v>2132172</v>
      </c>
      <c r="I95" s="56">
        <f>IFERROR(VLOOKUP($B95-1,CDM!$J$6:$P$19,3,FALSE)/12,0)+IFERROR(VLOOKUP($B95,CDM!$J$37:$M$47,3,FALSE)/24,0)+IFERROR(VLOOKUP($B95,CDM!$J$37:$M$47,3,FALSE)/2*$C95/78,0)</f>
        <v>227711.58316528916</v>
      </c>
      <c r="J95" s="56">
        <f t="shared" si="77"/>
        <v>2359883.5831652894</v>
      </c>
      <c r="K95" s="6">
        <v>1265</v>
      </c>
      <c r="L95" s="5">
        <v>5123442</v>
      </c>
      <c r="M95" s="2">
        <f>IFERROR(VLOOKUP($B95-1,CDM!$J$6:$P$19,4,FALSE)/12,0)+IFERROR(VLOOKUP($B95,CDM!$J$37:$M$47,4,FALSE)/24,0)+IFERROR(VLOOKUP($B95,CDM!$J$37:$M$47,4,FALSE)/2*$C95/78,0)</f>
        <v>217324.11548415397</v>
      </c>
      <c r="N95" s="56">
        <f t="shared" si="78"/>
        <v>5340766.1154841539</v>
      </c>
      <c r="O95" s="5">
        <v>16021</v>
      </c>
      <c r="P95" s="6">
        <v>139</v>
      </c>
      <c r="Q95" s="5">
        <v>93324</v>
      </c>
      <c r="R95" s="5">
        <v>231.6</v>
      </c>
      <c r="S95" s="6">
        <v>2908</v>
      </c>
      <c r="T95" s="6">
        <v>14154</v>
      </c>
      <c r="U95" s="6">
        <v>38.699999999999996</v>
      </c>
      <c r="V95" s="6">
        <v>172</v>
      </c>
      <c r="W95" s="5">
        <v>49681</v>
      </c>
      <c r="X95" s="1">
        <v>19</v>
      </c>
      <c r="Y95" s="56">
        <v>8698.08</v>
      </c>
      <c r="Z95" s="56">
        <v>1804.8</v>
      </c>
      <c r="AA95" s="71">
        <f>L95-Y95</f>
        <v>5114743.92</v>
      </c>
      <c r="AB95" s="71">
        <f>N95-Y95</f>
        <v>5332068.0354841538</v>
      </c>
      <c r="AC95" s="5">
        <f>O95-Z95</f>
        <v>14216.2</v>
      </c>
      <c r="AD95" s="111">
        <f>Economic!H97</f>
        <v>865859.6</v>
      </c>
      <c r="AE95" s="111">
        <f>Economic!I97</f>
        <v>880255</v>
      </c>
      <c r="AF95" s="111">
        <f>Economic!D97</f>
        <v>8058.3</v>
      </c>
      <c r="AG95" s="111">
        <f>Economic!E97</f>
        <v>8050.1</v>
      </c>
      <c r="AH95" s="111">
        <f>Economic!F97</f>
        <v>690.4</v>
      </c>
      <c r="AI95" s="111">
        <f>Economic!G97</f>
        <v>688.8</v>
      </c>
      <c r="AJ95" s="111">
        <f>Economic!J97</f>
        <v>282.19999999999982</v>
      </c>
      <c r="AK95" s="111">
        <f>Economic!K97</f>
        <v>271.40000000000055</v>
      </c>
      <c r="AL95" s="111">
        <f>Economic!L97</f>
        <v>43.5</v>
      </c>
      <c r="AM95" s="111">
        <f>Economic!M97</f>
        <v>44</v>
      </c>
      <c r="AN95" s="111">
        <f>Economic!N97</f>
        <v>15397.699999999953</v>
      </c>
      <c r="AO95" s="111">
        <f>Economic!O97</f>
        <v>3291</v>
      </c>
      <c r="AP95" s="28">
        <f>Weather!D95</f>
        <v>10.033870967741938</v>
      </c>
      <c r="AQ95" s="28">
        <f>Weather!E95</f>
        <v>308.94999999999993</v>
      </c>
      <c r="AR95" s="28">
        <f>Weather!F95</f>
        <v>0</v>
      </c>
      <c r="AS95" s="28">
        <f>Weather!G95</f>
        <v>250.95</v>
      </c>
      <c r="AT95" s="28">
        <f>Weather!H95</f>
        <v>3.9999999999999964</v>
      </c>
      <c r="AU95" s="28">
        <f>Weather!I95</f>
        <v>197.34166666666664</v>
      </c>
      <c r="AV95" s="28">
        <f>Weather!J95</f>
        <v>12.391666666666669</v>
      </c>
      <c r="AW95" s="28">
        <f>Weather!K95</f>
        <v>151.68333333333334</v>
      </c>
      <c r="AX95" s="28">
        <f>Weather!L95</f>
        <v>28.733333333333338</v>
      </c>
      <c r="AY95" s="28">
        <f>Weather!M95</f>
        <v>107.68333333333332</v>
      </c>
      <c r="AZ95" s="28">
        <f>Weather!N95</f>
        <v>46.733333333333334</v>
      </c>
      <c r="BA95" s="28">
        <f>Weather!O95</f>
        <v>68.216666666666669</v>
      </c>
      <c r="BB95" s="28">
        <f>Weather!P95</f>
        <v>69.26666666666668</v>
      </c>
      <c r="BC95" s="28">
        <f>Weather!Q95</f>
        <v>38.67916666666666</v>
      </c>
      <c r="BD95" s="28">
        <f>Weather!R95</f>
        <v>101.7291666666667</v>
      </c>
      <c r="BE95">
        <f t="shared" si="85"/>
        <v>0</v>
      </c>
      <c r="BF95">
        <f t="shared" si="85"/>
        <v>0</v>
      </c>
      <c r="BG95">
        <f t="shared" si="85"/>
        <v>0</v>
      </c>
      <c r="BH95">
        <f t="shared" si="85"/>
        <v>0</v>
      </c>
      <c r="BI95">
        <f t="shared" si="85"/>
        <v>0</v>
      </c>
      <c r="BJ95">
        <f t="shared" si="85"/>
        <v>0</v>
      </c>
      <c r="BK95">
        <f t="shared" si="85"/>
        <v>0</v>
      </c>
      <c r="BL95">
        <f t="shared" si="85"/>
        <v>0</v>
      </c>
      <c r="BM95">
        <f t="shared" si="85"/>
        <v>0</v>
      </c>
      <c r="BN95">
        <f t="shared" si="85"/>
        <v>1</v>
      </c>
      <c r="BO95">
        <f t="shared" si="85"/>
        <v>0</v>
      </c>
      <c r="BP95">
        <f t="shared" si="85"/>
        <v>0</v>
      </c>
      <c r="BQ95" s="1">
        <f t="shared" si="85"/>
        <v>0</v>
      </c>
      <c r="BR95" s="1">
        <f t="shared" si="85"/>
        <v>1</v>
      </c>
      <c r="BS95" s="1">
        <f t="shared" si="85"/>
        <v>1</v>
      </c>
      <c r="BT95" s="1">
        <f t="shared" si="44"/>
        <v>94</v>
      </c>
      <c r="BU95">
        <f t="shared" si="41"/>
        <v>31</v>
      </c>
      <c r="BV95" s="1">
        <v>20</v>
      </c>
      <c r="BW95" s="1">
        <v>0</v>
      </c>
      <c r="BX95" s="1">
        <v>0</v>
      </c>
      <c r="BY95" s="1">
        <v>0.25</v>
      </c>
      <c r="BZ95" s="1">
        <v>0</v>
      </c>
      <c r="CA95">
        <f t="shared" si="83"/>
        <v>0</v>
      </c>
      <c r="CB95">
        <f t="shared" si="46"/>
        <v>0</v>
      </c>
      <c r="CC95">
        <f t="shared" si="47"/>
        <v>0</v>
      </c>
      <c r="CD95">
        <f t="shared" si="48"/>
        <v>0</v>
      </c>
      <c r="CE95">
        <f t="shared" si="49"/>
        <v>0</v>
      </c>
      <c r="CF95">
        <f t="shared" si="50"/>
        <v>0</v>
      </c>
      <c r="CG95">
        <f t="shared" si="51"/>
        <v>0</v>
      </c>
      <c r="CH95">
        <f t="shared" si="52"/>
        <v>0</v>
      </c>
      <c r="CI95">
        <f t="shared" si="53"/>
        <v>0</v>
      </c>
      <c r="CJ95">
        <f t="shared" si="54"/>
        <v>0</v>
      </c>
      <c r="CK95">
        <f t="shared" si="55"/>
        <v>0</v>
      </c>
      <c r="CL95">
        <f t="shared" si="56"/>
        <v>0</v>
      </c>
      <c r="CM95">
        <f t="shared" si="57"/>
        <v>0</v>
      </c>
      <c r="CN95">
        <f t="shared" si="58"/>
        <v>0</v>
      </c>
      <c r="CO95" s="14">
        <f t="shared" si="84"/>
        <v>77.237499999999983</v>
      </c>
      <c r="CP95" s="14">
        <f t="shared" si="59"/>
        <v>0</v>
      </c>
      <c r="CQ95" s="14">
        <f t="shared" si="60"/>
        <v>62.737499999999997</v>
      </c>
      <c r="CR95" s="14">
        <f t="shared" si="61"/>
        <v>0.99999999999999911</v>
      </c>
      <c r="CS95" s="14">
        <f t="shared" si="62"/>
        <v>49.33541666666666</v>
      </c>
      <c r="CT95" s="14">
        <f t="shared" si="63"/>
        <v>3.0979166666666673</v>
      </c>
      <c r="CU95" s="14">
        <f t="shared" si="64"/>
        <v>37.920833333333334</v>
      </c>
      <c r="CV95" s="14">
        <f t="shared" si="65"/>
        <v>7.1833333333333345</v>
      </c>
      <c r="CW95" s="14">
        <f t="shared" si="66"/>
        <v>26.920833333333331</v>
      </c>
      <c r="CX95" s="14">
        <f t="shared" si="67"/>
        <v>11.683333333333334</v>
      </c>
      <c r="CY95" s="14">
        <f t="shared" si="68"/>
        <v>17.054166666666667</v>
      </c>
      <c r="CZ95" s="14">
        <f t="shared" si="69"/>
        <v>17.31666666666667</v>
      </c>
      <c r="DA95" s="14">
        <f t="shared" si="70"/>
        <v>9.669791666666665</v>
      </c>
      <c r="DB95" s="14">
        <f t="shared" si="71"/>
        <v>25.432291666666675</v>
      </c>
      <c r="DC95" s="72">
        <f>F95/G95</f>
        <v>612.53633239788428</v>
      </c>
      <c r="DD95" s="72">
        <f t="shared" si="82"/>
        <v>19.75923652896401</v>
      </c>
      <c r="DE95" s="71">
        <f>F95/BU95</f>
        <v>203599.17319444515</v>
      </c>
      <c r="DF95" s="72">
        <f>J95/K95</f>
        <v>1865.5206191029956</v>
      </c>
      <c r="DG95" s="72">
        <f t="shared" si="73"/>
        <v>60.178084487193409</v>
      </c>
      <c r="DH95" s="72">
        <f>J95/BU95</f>
        <v>76125.276876299657</v>
      </c>
      <c r="DI95" s="72">
        <f>N95/P95</f>
        <v>38422.77780923852</v>
      </c>
      <c r="DJ95" s="72">
        <f t="shared" si="74"/>
        <v>1239.4444454593072</v>
      </c>
      <c r="DK95" s="72">
        <f t="shared" si="75"/>
        <v>1921.1388904619259</v>
      </c>
      <c r="DL95" s="72">
        <f>N95/BU95</f>
        <v>172282.77791884367</v>
      </c>
      <c r="DM95" s="72">
        <f>N95/BV95</f>
        <v>267038.30577420769</v>
      </c>
      <c r="DN95" s="1">
        <v>0</v>
      </c>
      <c r="DO95" s="1">
        <v>0</v>
      </c>
    </row>
    <row r="96" spans="1:119">
      <c r="A96" s="93">
        <f t="shared" si="79"/>
        <v>45231</v>
      </c>
      <c r="B96" s="4">
        <f t="shared" si="42"/>
        <v>2023</v>
      </c>
      <c r="C96" s="4">
        <f t="shared" si="43"/>
        <v>11</v>
      </c>
      <c r="D96" s="56">
        <v>7275117</v>
      </c>
      <c r="E96" s="56">
        <f>IFERROR(VLOOKUP($B96-1,CDM!$J$6:$P$19,2,FALSE)/12,0)+IFERROR(VLOOKUP($B96,CDM!$J$37:$M$48,2,FALSE)/24,0)+IFERROR(VLOOKUP($B96,CDM!$J$37:$M$48,2,FALSE)/2*$C96/78,0)</f>
        <v>166222.01616073569</v>
      </c>
      <c r="F96" s="56">
        <f t="shared" si="76"/>
        <v>7441339.0161607359</v>
      </c>
      <c r="G96" s="301">
        <v>10324</v>
      </c>
      <c r="H96" s="56">
        <v>2496782</v>
      </c>
      <c r="I96" s="56">
        <f>IFERROR(VLOOKUP($B96-1,CDM!$J$6:$P$19,3,FALSE)/12,0)+IFERROR(VLOOKUP($B96,CDM!$J$37:$M$47,3,FALSE)/24,0)+IFERROR(VLOOKUP($B96,CDM!$J$37:$M$47,3,FALSE)/2*$C96/78,0)</f>
        <v>229318.03198009322</v>
      </c>
      <c r="J96" s="56">
        <f t="shared" si="77"/>
        <v>2726100.0319800931</v>
      </c>
      <c r="K96" s="6">
        <v>1268</v>
      </c>
      <c r="L96" s="5">
        <v>5392987</v>
      </c>
      <c r="M96" s="2">
        <f>IFERROR(VLOOKUP($B96-1,CDM!$J$6:$P$19,4,FALSE)/12,0)+IFERROR(VLOOKUP($B96,CDM!$J$37:$M$47,4,FALSE)/24,0)+IFERROR(VLOOKUP($B96,CDM!$J$37:$M$47,4,FALSE)/2*$C96/78,0)</f>
        <v>219291.8486133418</v>
      </c>
      <c r="N96" s="56">
        <f t="shared" si="78"/>
        <v>5612278.8486133423</v>
      </c>
      <c r="O96" s="5">
        <v>18937.900000000001</v>
      </c>
      <c r="P96" s="6">
        <v>139</v>
      </c>
      <c r="Q96" s="5">
        <v>99404</v>
      </c>
      <c r="R96" s="5">
        <v>231.6</v>
      </c>
      <c r="S96" s="6">
        <v>2908</v>
      </c>
      <c r="T96" s="6">
        <v>13826</v>
      </c>
      <c r="U96" s="6">
        <v>37.29999999999999</v>
      </c>
      <c r="V96" s="6">
        <v>173</v>
      </c>
      <c r="W96" s="5">
        <v>48455</v>
      </c>
      <c r="X96" s="1">
        <v>19</v>
      </c>
      <c r="Y96" s="56">
        <v>112023.03999999999</v>
      </c>
      <c r="Z96" s="56">
        <v>6428.8</v>
      </c>
      <c r="AA96" s="71">
        <f>L96-Y96</f>
        <v>5280963.96</v>
      </c>
      <c r="AB96" s="71">
        <f>N96-Y96</f>
        <v>5500255.8086133422</v>
      </c>
      <c r="AC96" s="5">
        <f>O96-Z96</f>
        <v>12509.100000000002</v>
      </c>
      <c r="AD96" s="111">
        <f>Economic!H98</f>
        <v>865859.6</v>
      </c>
      <c r="AE96" s="111">
        <f>Economic!I98</f>
        <v>880255</v>
      </c>
      <c r="AF96" s="111">
        <f>Economic!D98</f>
        <v>8062.1</v>
      </c>
      <c r="AG96" s="111">
        <f>Economic!E98</f>
        <v>8046.2</v>
      </c>
      <c r="AH96" s="111">
        <f>Economic!F98</f>
        <v>692</v>
      </c>
      <c r="AI96" s="111">
        <f>Economic!G98</f>
        <v>687</v>
      </c>
      <c r="AJ96" s="111">
        <f>Economic!J98</f>
        <v>270.40000000000055</v>
      </c>
      <c r="AK96" s="111">
        <f>Economic!K98</f>
        <v>262.39999999999964</v>
      </c>
      <c r="AL96" s="111">
        <f>Economic!L98</f>
        <v>42.299999999999955</v>
      </c>
      <c r="AM96" s="111">
        <f>Economic!M98</f>
        <v>41.399999999999977</v>
      </c>
      <c r="AN96" s="111">
        <f>Economic!N98</f>
        <v>15397.699999999953</v>
      </c>
      <c r="AO96" s="111">
        <f>Economic!O98</f>
        <v>3291</v>
      </c>
      <c r="AP96" s="28">
        <f>Weather!D96</f>
        <v>-0.54243055555555542</v>
      </c>
      <c r="AQ96" s="28">
        <f>Weather!E96</f>
        <v>616.27291666666667</v>
      </c>
      <c r="AR96" s="28">
        <f>Weather!F96</f>
        <v>0</v>
      </c>
      <c r="AS96" s="28">
        <f>Weather!G96</f>
        <v>556.27291666666667</v>
      </c>
      <c r="AT96" s="28">
        <f>Weather!H96</f>
        <v>0</v>
      </c>
      <c r="AU96" s="28">
        <f>Weather!I96</f>
        <v>496.27291666666662</v>
      </c>
      <c r="AV96" s="28">
        <f>Weather!J96</f>
        <v>0</v>
      </c>
      <c r="AW96" s="28">
        <f>Weather!K96</f>
        <v>436.27291666666662</v>
      </c>
      <c r="AX96" s="28">
        <f>Weather!L96</f>
        <v>0</v>
      </c>
      <c r="AY96" s="28">
        <f>Weather!M96</f>
        <v>376.27291666666662</v>
      </c>
      <c r="AZ96" s="28">
        <f>Weather!N96</f>
        <v>0</v>
      </c>
      <c r="BA96" s="28">
        <f>Weather!O96</f>
        <v>316.27291666666673</v>
      </c>
      <c r="BB96" s="28">
        <f>Weather!P96</f>
        <v>0</v>
      </c>
      <c r="BC96" s="28">
        <f>Weather!Q96</f>
        <v>256.27291666666667</v>
      </c>
      <c r="BD96" s="28">
        <f>Weather!R96</f>
        <v>0</v>
      </c>
      <c r="BE96">
        <f t="shared" si="85"/>
        <v>0</v>
      </c>
      <c r="BF96">
        <f t="shared" si="85"/>
        <v>0</v>
      </c>
      <c r="BG96">
        <f t="shared" si="85"/>
        <v>0</v>
      </c>
      <c r="BH96">
        <f t="shared" si="85"/>
        <v>0</v>
      </c>
      <c r="BI96">
        <f t="shared" si="85"/>
        <v>0</v>
      </c>
      <c r="BJ96">
        <f t="shared" si="85"/>
        <v>0</v>
      </c>
      <c r="BK96">
        <f t="shared" si="85"/>
        <v>0</v>
      </c>
      <c r="BL96">
        <f t="shared" si="85"/>
        <v>0</v>
      </c>
      <c r="BM96">
        <f t="shared" si="85"/>
        <v>0</v>
      </c>
      <c r="BN96">
        <f t="shared" si="85"/>
        <v>0</v>
      </c>
      <c r="BO96">
        <f t="shared" si="85"/>
        <v>1</v>
      </c>
      <c r="BP96">
        <f t="shared" si="85"/>
        <v>0</v>
      </c>
      <c r="BQ96" s="1">
        <f t="shared" si="85"/>
        <v>0</v>
      </c>
      <c r="BR96" s="1">
        <f t="shared" si="85"/>
        <v>1</v>
      </c>
      <c r="BS96" s="1">
        <f t="shared" si="85"/>
        <v>1</v>
      </c>
      <c r="BT96" s="1">
        <f t="shared" si="44"/>
        <v>95</v>
      </c>
      <c r="BU96">
        <f t="shared" si="41"/>
        <v>30</v>
      </c>
      <c r="BV96" s="1">
        <v>22</v>
      </c>
      <c r="BW96" s="1">
        <v>0</v>
      </c>
      <c r="BX96" s="1">
        <v>0</v>
      </c>
      <c r="BY96" s="1">
        <v>0.25</v>
      </c>
      <c r="BZ96" s="1">
        <v>0</v>
      </c>
      <c r="CA96">
        <f t="shared" si="83"/>
        <v>0</v>
      </c>
      <c r="CB96">
        <f t="shared" si="46"/>
        <v>0</v>
      </c>
      <c r="CC96">
        <f t="shared" si="47"/>
        <v>0</v>
      </c>
      <c r="CD96">
        <f t="shared" si="48"/>
        <v>0</v>
      </c>
      <c r="CE96">
        <f t="shared" si="49"/>
        <v>0</v>
      </c>
      <c r="CF96">
        <f t="shared" si="50"/>
        <v>0</v>
      </c>
      <c r="CG96">
        <f t="shared" si="51"/>
        <v>0</v>
      </c>
      <c r="CH96">
        <f t="shared" si="52"/>
        <v>0</v>
      </c>
      <c r="CI96">
        <f t="shared" si="53"/>
        <v>0</v>
      </c>
      <c r="CJ96">
        <f t="shared" si="54"/>
        <v>0</v>
      </c>
      <c r="CK96">
        <f t="shared" si="55"/>
        <v>0</v>
      </c>
      <c r="CL96">
        <f t="shared" si="56"/>
        <v>0</v>
      </c>
      <c r="CM96">
        <f t="shared" si="57"/>
        <v>0</v>
      </c>
      <c r="CN96">
        <f t="shared" si="58"/>
        <v>0</v>
      </c>
      <c r="CO96" s="14">
        <f t="shared" si="84"/>
        <v>154.06822916666667</v>
      </c>
      <c r="CP96" s="14">
        <f t="shared" si="59"/>
        <v>0</v>
      </c>
      <c r="CQ96" s="14">
        <f t="shared" si="60"/>
        <v>139.06822916666667</v>
      </c>
      <c r="CR96" s="14">
        <f t="shared" si="61"/>
        <v>0</v>
      </c>
      <c r="CS96" s="14">
        <f t="shared" si="62"/>
        <v>124.06822916666665</v>
      </c>
      <c r="CT96" s="14">
        <f t="shared" si="63"/>
        <v>0</v>
      </c>
      <c r="CU96" s="14">
        <f t="shared" si="64"/>
        <v>109.06822916666665</v>
      </c>
      <c r="CV96" s="14">
        <f t="shared" si="65"/>
        <v>0</v>
      </c>
      <c r="CW96" s="14">
        <f t="shared" si="66"/>
        <v>94.068229166666654</v>
      </c>
      <c r="CX96" s="14">
        <f t="shared" si="67"/>
        <v>0</v>
      </c>
      <c r="CY96" s="14">
        <f t="shared" si="68"/>
        <v>79.068229166666683</v>
      </c>
      <c r="CZ96" s="14">
        <f t="shared" si="69"/>
        <v>0</v>
      </c>
      <c r="DA96" s="14">
        <f t="shared" si="70"/>
        <v>64.068229166666669</v>
      </c>
      <c r="DB96" s="14">
        <f t="shared" si="71"/>
        <v>0</v>
      </c>
      <c r="DC96" s="72">
        <f>F96/G96</f>
        <v>720.78060985671596</v>
      </c>
      <c r="DD96" s="72">
        <f t="shared" si="82"/>
        <v>24.026020328557198</v>
      </c>
      <c r="DE96" s="71">
        <f>F96/BU96</f>
        <v>248044.63387202454</v>
      </c>
      <c r="DF96" s="72">
        <f>J96/K96</f>
        <v>2149.9211608675814</v>
      </c>
      <c r="DG96" s="72">
        <f t="shared" si="73"/>
        <v>71.664038695586044</v>
      </c>
      <c r="DH96" s="72">
        <f>J96/BU96</f>
        <v>90870.001066003097</v>
      </c>
      <c r="DI96" s="72">
        <f>N96/P96</f>
        <v>40376.106824556417</v>
      </c>
      <c r="DJ96" s="72">
        <f t="shared" si="74"/>
        <v>1345.8702274852139</v>
      </c>
      <c r="DK96" s="72">
        <f t="shared" si="75"/>
        <v>1835.2775829343825</v>
      </c>
      <c r="DL96" s="72">
        <f>N96/BU96</f>
        <v>187075.96162044475</v>
      </c>
      <c r="DM96" s="72">
        <f>N96/BV96</f>
        <v>255103.5840278792</v>
      </c>
      <c r="DN96" s="1">
        <v>0</v>
      </c>
      <c r="DO96" s="1">
        <v>0</v>
      </c>
    </row>
    <row r="97" spans="1:119">
      <c r="A97" s="93">
        <f t="shared" si="79"/>
        <v>45261</v>
      </c>
      <c r="B97" s="4">
        <f t="shared" si="42"/>
        <v>2023</v>
      </c>
      <c r="C97" s="4">
        <f t="shared" si="43"/>
        <v>12</v>
      </c>
      <c r="D97" s="56">
        <v>8346222</v>
      </c>
      <c r="E97" s="56">
        <f>IFERROR(VLOOKUP($B97-1,CDM!$J$6:$P$19,2,FALSE)/12,0)+IFERROR(VLOOKUP($B97,CDM!$J$37:$M$48,2,FALSE)/24,0)+IFERROR(VLOOKUP($B97,CDM!$J$37:$M$48,2,FALSE)/2*$C97/78,0)</f>
        <v>166343.66329367133</v>
      </c>
      <c r="F97" s="56">
        <f t="shared" si="76"/>
        <v>8512565.6632936709</v>
      </c>
      <c r="G97" s="301">
        <v>10326</v>
      </c>
      <c r="H97" s="56">
        <v>2824046</v>
      </c>
      <c r="I97" s="56">
        <f>IFERROR(VLOOKUP($B97-1,CDM!$J$6:$P$19,3,FALSE)/12,0)+IFERROR(VLOOKUP($B97,CDM!$J$37:$M$47,3,FALSE)/24,0)+IFERROR(VLOOKUP($B97,CDM!$J$37:$M$47,3,FALSE)/2*$C97/78,0)</f>
        <v>230924.48079489724</v>
      </c>
      <c r="J97" s="56">
        <f t="shared" si="77"/>
        <v>3054970.4807948973</v>
      </c>
      <c r="K97" s="6">
        <v>1267</v>
      </c>
      <c r="L97" s="5">
        <v>5806026</v>
      </c>
      <c r="M97" s="2">
        <f>IFERROR(VLOOKUP($B97-1,CDM!$J$6:$P$19,4,FALSE)/12,0)+IFERROR(VLOOKUP($B97,CDM!$J$37:$M$47,4,FALSE)/24,0)+IFERROR(VLOOKUP($B97,CDM!$J$37:$M$47,4,FALSE)/2*$C97/78,0)</f>
        <v>221259.58174252961</v>
      </c>
      <c r="N97" s="56">
        <f t="shared" si="78"/>
        <v>6027285.5817425298</v>
      </c>
      <c r="O97" s="5">
        <v>17174.400000000001</v>
      </c>
      <c r="P97" s="6">
        <v>139</v>
      </c>
      <c r="Q97" s="5">
        <v>107665</v>
      </c>
      <c r="R97" s="5">
        <v>231.6</v>
      </c>
      <c r="S97" s="6">
        <v>2908</v>
      </c>
      <c r="T97" s="6">
        <v>15052</v>
      </c>
      <c r="U97" s="6">
        <v>40.799999999999997</v>
      </c>
      <c r="V97" s="6">
        <v>173</v>
      </c>
      <c r="W97" s="5">
        <v>49505</v>
      </c>
      <c r="X97" s="1">
        <v>18</v>
      </c>
      <c r="Y97" s="56">
        <v>156736</v>
      </c>
      <c r="Z97" s="56">
        <v>3594.2</v>
      </c>
      <c r="AA97" s="71">
        <f>L97-Y97</f>
        <v>5649290</v>
      </c>
      <c r="AB97" s="71">
        <f>N97-Y97</f>
        <v>5870549.5817425298</v>
      </c>
      <c r="AC97" s="5">
        <f>O97-Z97</f>
        <v>13580.2</v>
      </c>
      <c r="AD97" s="111">
        <f>Economic!H99</f>
        <v>865859.6</v>
      </c>
      <c r="AE97" s="111">
        <f>Economic!I99</f>
        <v>880255</v>
      </c>
      <c r="AF97" s="111">
        <f>Economic!D99</f>
        <v>8052.5</v>
      </c>
      <c r="AG97" s="111">
        <f>Economic!E99</f>
        <v>8049</v>
      </c>
      <c r="AH97" s="111">
        <f>Economic!F99</f>
        <v>691</v>
      </c>
      <c r="AI97" s="111">
        <f>Economic!G99</f>
        <v>687.6</v>
      </c>
      <c r="AJ97" s="111">
        <f>Economic!J99</f>
        <v>223.19999999999982</v>
      </c>
      <c r="AK97" s="111">
        <f>Economic!K99</f>
        <v>220.5</v>
      </c>
      <c r="AL97" s="111">
        <f>Economic!L99</f>
        <v>40.5</v>
      </c>
      <c r="AM97" s="111">
        <f>Economic!M99</f>
        <v>40.600000000000023</v>
      </c>
      <c r="AN97" s="111">
        <f>Economic!N99</f>
        <v>15397.699999999953</v>
      </c>
      <c r="AO97" s="111">
        <f>Economic!O99</f>
        <v>3291</v>
      </c>
      <c r="AP97" s="28">
        <f>Weather!D97</f>
        <v>-3.0052419354838706</v>
      </c>
      <c r="AQ97" s="28">
        <f>Weather!E97</f>
        <v>713.16250000000014</v>
      </c>
      <c r="AR97" s="28">
        <f>Weather!F97</f>
        <v>0</v>
      </c>
      <c r="AS97" s="28">
        <f>Weather!G97</f>
        <v>651.16250000000025</v>
      </c>
      <c r="AT97" s="28">
        <f>Weather!H97</f>
        <v>0</v>
      </c>
      <c r="AU97" s="28">
        <f>Weather!I97</f>
        <v>589.16250000000014</v>
      </c>
      <c r="AV97" s="28">
        <f>Weather!J97</f>
        <v>0</v>
      </c>
      <c r="AW97" s="28">
        <f>Weather!K97</f>
        <v>527.16249999999991</v>
      </c>
      <c r="AX97" s="28">
        <f>Weather!L97</f>
        <v>0</v>
      </c>
      <c r="AY97" s="28">
        <f>Weather!M97</f>
        <v>465.16250000000002</v>
      </c>
      <c r="AZ97" s="28">
        <f>Weather!N97</f>
        <v>0</v>
      </c>
      <c r="BA97" s="28">
        <f>Weather!O97</f>
        <v>403.16249999999997</v>
      </c>
      <c r="BB97" s="28">
        <f>Weather!P97</f>
        <v>0</v>
      </c>
      <c r="BC97" s="28">
        <f>Weather!Q97</f>
        <v>341.16250000000002</v>
      </c>
      <c r="BD97" s="28">
        <f>Weather!R97</f>
        <v>0</v>
      </c>
      <c r="BE97">
        <f t="shared" si="85"/>
        <v>0</v>
      </c>
      <c r="BF97">
        <f t="shared" si="85"/>
        <v>0</v>
      </c>
      <c r="BG97">
        <f t="shared" si="85"/>
        <v>0</v>
      </c>
      <c r="BH97">
        <f t="shared" si="85"/>
        <v>0</v>
      </c>
      <c r="BI97">
        <f t="shared" si="85"/>
        <v>0</v>
      </c>
      <c r="BJ97">
        <f t="shared" si="85"/>
        <v>0</v>
      </c>
      <c r="BK97">
        <f t="shared" si="85"/>
        <v>0</v>
      </c>
      <c r="BL97">
        <f t="shared" si="85"/>
        <v>0</v>
      </c>
      <c r="BM97">
        <f t="shared" si="85"/>
        <v>0</v>
      </c>
      <c r="BN97">
        <f t="shared" si="85"/>
        <v>0</v>
      </c>
      <c r="BO97">
        <f t="shared" si="85"/>
        <v>0</v>
      </c>
      <c r="BP97">
        <f t="shared" si="85"/>
        <v>1</v>
      </c>
      <c r="BQ97" s="1">
        <f t="shared" si="85"/>
        <v>0</v>
      </c>
      <c r="BR97" s="1">
        <f t="shared" si="85"/>
        <v>0</v>
      </c>
      <c r="BS97" s="1">
        <f t="shared" si="85"/>
        <v>0</v>
      </c>
      <c r="BT97" s="1">
        <f t="shared" si="44"/>
        <v>96</v>
      </c>
      <c r="BU97">
        <f t="shared" si="41"/>
        <v>31</v>
      </c>
      <c r="BV97" s="1">
        <v>21</v>
      </c>
      <c r="BW97" s="1">
        <v>0</v>
      </c>
      <c r="BX97" s="1">
        <v>0</v>
      </c>
      <c r="BY97" s="1">
        <v>0.25</v>
      </c>
      <c r="BZ97" s="1">
        <v>0</v>
      </c>
      <c r="CA97">
        <f t="shared" si="83"/>
        <v>0</v>
      </c>
      <c r="CB97">
        <f t="shared" si="46"/>
        <v>0</v>
      </c>
      <c r="CC97">
        <f t="shared" si="47"/>
        <v>0</v>
      </c>
      <c r="CD97">
        <f t="shared" si="48"/>
        <v>0</v>
      </c>
      <c r="CE97">
        <f t="shared" si="49"/>
        <v>0</v>
      </c>
      <c r="CF97">
        <f t="shared" si="50"/>
        <v>0</v>
      </c>
      <c r="CG97">
        <f t="shared" si="51"/>
        <v>0</v>
      </c>
      <c r="CH97">
        <f t="shared" si="52"/>
        <v>0</v>
      </c>
      <c r="CI97">
        <f t="shared" si="53"/>
        <v>0</v>
      </c>
      <c r="CJ97">
        <f t="shared" si="54"/>
        <v>0</v>
      </c>
      <c r="CK97">
        <f t="shared" si="55"/>
        <v>0</v>
      </c>
      <c r="CL97">
        <f t="shared" si="56"/>
        <v>0</v>
      </c>
      <c r="CM97">
        <f t="shared" si="57"/>
        <v>0</v>
      </c>
      <c r="CN97">
        <f t="shared" si="58"/>
        <v>0</v>
      </c>
      <c r="CO97" s="14">
        <f t="shared" si="84"/>
        <v>178.29062500000003</v>
      </c>
      <c r="CP97" s="14">
        <f t="shared" si="59"/>
        <v>0</v>
      </c>
      <c r="CQ97" s="14">
        <f t="shared" si="60"/>
        <v>162.79062500000006</v>
      </c>
      <c r="CR97" s="14">
        <f t="shared" si="61"/>
        <v>0</v>
      </c>
      <c r="CS97" s="14">
        <f t="shared" si="62"/>
        <v>147.29062500000003</v>
      </c>
      <c r="CT97" s="14">
        <f t="shared" si="63"/>
        <v>0</v>
      </c>
      <c r="CU97" s="14">
        <f t="shared" si="64"/>
        <v>131.79062499999998</v>
      </c>
      <c r="CV97" s="14">
        <f t="shared" si="65"/>
        <v>0</v>
      </c>
      <c r="CW97" s="14">
        <f t="shared" si="66"/>
        <v>116.29062500000001</v>
      </c>
      <c r="CX97" s="14">
        <f t="shared" si="67"/>
        <v>0</v>
      </c>
      <c r="CY97" s="14">
        <f t="shared" si="68"/>
        <v>100.79062499999999</v>
      </c>
      <c r="CZ97" s="14">
        <f t="shared" si="69"/>
        <v>0</v>
      </c>
      <c r="DA97" s="14">
        <f t="shared" si="70"/>
        <v>85.290625000000006</v>
      </c>
      <c r="DB97" s="14">
        <f t="shared" si="71"/>
        <v>0</v>
      </c>
      <c r="DC97" s="72">
        <f>F97/G97</f>
        <v>824.38172218610021</v>
      </c>
      <c r="DD97" s="72">
        <f t="shared" si="82"/>
        <v>26.592958780196781</v>
      </c>
      <c r="DE97" s="71">
        <f>F97/BU97</f>
        <v>274598.89236431196</v>
      </c>
      <c r="DF97" s="72">
        <f>J97/K97</f>
        <v>2411.1842784490113</v>
      </c>
      <c r="DG97" s="72">
        <f t="shared" si="73"/>
        <v>77.780138014484237</v>
      </c>
      <c r="DH97" s="72">
        <f>J97/BU97</f>
        <v>98547.434864351526</v>
      </c>
      <c r="DI97" s="72">
        <f>N97/P97</f>
        <v>43361.766775126111</v>
      </c>
      <c r="DJ97" s="72">
        <f t="shared" si="74"/>
        <v>1398.7666701653584</v>
      </c>
      <c r="DK97" s="72">
        <f t="shared" si="75"/>
        <v>2064.846036910767</v>
      </c>
      <c r="DL97" s="72">
        <f>N97/BU97</f>
        <v>194428.56715298482</v>
      </c>
      <c r="DM97" s="72">
        <f>N97/BV97</f>
        <v>287013.59913059667</v>
      </c>
      <c r="DN97" s="1">
        <v>0</v>
      </c>
      <c r="DO97" s="1">
        <v>0</v>
      </c>
    </row>
    <row r="98" spans="1:119">
      <c r="A98" s="93">
        <f t="shared" si="79"/>
        <v>45292</v>
      </c>
      <c r="B98" s="4">
        <f t="shared" si="42"/>
        <v>2024</v>
      </c>
      <c r="C98" s="4">
        <f t="shared" si="43"/>
        <v>1</v>
      </c>
      <c r="D98" s="56">
        <v>9889577</v>
      </c>
      <c r="E98" s="56">
        <f>IFERROR(VLOOKUP($B98-1,CDM!$J$6:$P$19,2,FALSE)/12,0)+IFERROR(VLOOKUP($B98,CDM!$J$37:$M$48,2,FALSE)/24,0)+IFERROR(VLOOKUP($B98,CDM!$J$37:$M$48,2,FALSE)/2*$C98/78,0)</f>
        <v>168933.85023434495</v>
      </c>
      <c r="F98" s="56">
        <f t="shared" si="76"/>
        <v>10058510.850234345</v>
      </c>
      <c r="G98" s="301">
        <v>10337</v>
      </c>
      <c r="H98" s="56">
        <v>3218877</v>
      </c>
      <c r="I98" s="56">
        <f>IFERROR(VLOOKUP($B98-1,CDM!$J$6:$P$19,3,FALSE)/12,0)+IFERROR(VLOOKUP($B98,CDM!$J$37:$M$47,3,FALSE)/24,0)+IFERROR(VLOOKUP($B98,CDM!$J$37:$M$47,3,FALSE)/2*$C98/78,0)</f>
        <v>236562.26728905458</v>
      </c>
      <c r="J98" s="56">
        <f t="shared" si="77"/>
        <v>3455439.2672890546</v>
      </c>
      <c r="K98" s="6">
        <v>1267</v>
      </c>
      <c r="L98" s="5">
        <v>6026468</v>
      </c>
      <c r="M98" s="2">
        <f>IFERROR(VLOOKUP($B98-1,CDM!$J$6:$P$19,4,FALSE)/12,0)+IFERROR(VLOOKUP($B98,CDM!$J$37:$M$47,4,FALSE)/24,0)+IFERROR(VLOOKUP($B98,CDM!$J$37:$M$47,4,FALSE)/2*$C98/78,0)</f>
        <v>227139.95869700279</v>
      </c>
      <c r="N98" s="56">
        <f t="shared" si="78"/>
        <v>6253607.9586970024</v>
      </c>
      <c r="O98" s="5">
        <v>14257.5</v>
      </c>
      <c r="P98" s="6">
        <v>139</v>
      </c>
      <c r="Q98" s="5">
        <v>104905</v>
      </c>
      <c r="R98" s="5">
        <v>231.6</v>
      </c>
      <c r="S98" s="6">
        <v>2908</v>
      </c>
      <c r="T98" s="6">
        <v>14331</v>
      </c>
      <c r="U98" s="6">
        <v>68.399999999999991</v>
      </c>
      <c r="V98" s="6">
        <v>172</v>
      </c>
      <c r="W98" s="5">
        <v>49547</v>
      </c>
      <c r="X98" s="1">
        <v>18</v>
      </c>
      <c r="Y98" s="56">
        <v>4079.68</v>
      </c>
      <c r="Z98" s="56">
        <v>677.8</v>
      </c>
      <c r="AA98" s="71">
        <f>L98-Y98</f>
        <v>6022388.3200000003</v>
      </c>
      <c r="AB98" s="71">
        <f>N98-Y98</f>
        <v>6249528.2786970027</v>
      </c>
      <c r="AC98" s="5">
        <f>O98-Z98</f>
        <v>13579.7</v>
      </c>
      <c r="AD98" s="111">
        <f>Economic!H100</f>
        <v>876619.7</v>
      </c>
      <c r="AE98" s="111">
        <f>Economic!I100</f>
        <v>885802</v>
      </c>
      <c r="AF98" s="111">
        <f>Economic!D100</f>
        <v>8051</v>
      </c>
      <c r="AG98" s="111">
        <f>Economic!E100</f>
        <v>8019.7</v>
      </c>
      <c r="AH98" s="111">
        <f>Economic!F100</f>
        <v>689.1</v>
      </c>
      <c r="AI98" s="111">
        <f>Economic!G100</f>
        <v>685.1</v>
      </c>
      <c r="AJ98" s="111">
        <f>Economic!J100</f>
        <v>189.69999999999982</v>
      </c>
      <c r="AK98" s="111">
        <f>Economic!K100</f>
        <v>190.59999999999945</v>
      </c>
      <c r="AL98" s="111">
        <f>Economic!L100</f>
        <v>33.600000000000023</v>
      </c>
      <c r="AM98" s="111">
        <f>Economic!M100</f>
        <v>32.899999999999977</v>
      </c>
      <c r="AN98" s="111">
        <f>Economic!N100</f>
        <v>10760.099999999977</v>
      </c>
      <c r="AO98" s="111">
        <f>Economic!O100</f>
        <v>5547</v>
      </c>
      <c r="AP98" s="28">
        <f>Weather!D98</f>
        <v>-6.7444892473118268</v>
      </c>
      <c r="AQ98" s="28">
        <f>Weather!E98</f>
        <v>829.07916666666677</v>
      </c>
      <c r="AR98" s="28">
        <f>Weather!F98</f>
        <v>0</v>
      </c>
      <c r="AS98" s="28">
        <f>Weather!G98</f>
        <v>767.07916666666677</v>
      </c>
      <c r="AT98" s="28">
        <f>Weather!H98</f>
        <v>0</v>
      </c>
      <c r="AU98" s="28">
        <f>Weather!I98</f>
        <v>705.07916666666677</v>
      </c>
      <c r="AV98" s="28">
        <f>Weather!J98</f>
        <v>0</v>
      </c>
      <c r="AW98" s="28">
        <f>Weather!K98</f>
        <v>643.07916666666665</v>
      </c>
      <c r="AX98" s="28">
        <f>Weather!L98</f>
        <v>0</v>
      </c>
      <c r="AY98" s="28">
        <f>Weather!M98</f>
        <v>581.07916666666665</v>
      </c>
      <c r="AZ98" s="28">
        <f>Weather!N98</f>
        <v>0</v>
      </c>
      <c r="BA98" s="28">
        <f>Weather!O98</f>
        <v>519.07916666666665</v>
      </c>
      <c r="BB98" s="28">
        <f>Weather!P98</f>
        <v>0</v>
      </c>
      <c r="BC98" s="28">
        <f>Weather!Q98</f>
        <v>457.07916666666659</v>
      </c>
      <c r="BD98" s="28">
        <f>Weather!R98</f>
        <v>0</v>
      </c>
      <c r="BE98">
        <f t="shared" si="85"/>
        <v>1</v>
      </c>
      <c r="BF98">
        <f t="shared" si="85"/>
        <v>0</v>
      </c>
      <c r="BG98">
        <f t="shared" si="85"/>
        <v>0</v>
      </c>
      <c r="BH98">
        <f t="shared" si="85"/>
        <v>0</v>
      </c>
      <c r="BI98">
        <f t="shared" si="85"/>
        <v>0</v>
      </c>
      <c r="BJ98">
        <f t="shared" si="85"/>
        <v>0</v>
      </c>
      <c r="BK98">
        <f t="shared" si="85"/>
        <v>0</v>
      </c>
      <c r="BL98">
        <f t="shared" si="85"/>
        <v>0</v>
      </c>
      <c r="BM98">
        <f t="shared" si="85"/>
        <v>0</v>
      </c>
      <c r="BN98">
        <f t="shared" si="85"/>
        <v>0</v>
      </c>
      <c r="BO98">
        <f t="shared" si="85"/>
        <v>0</v>
      </c>
      <c r="BP98">
        <f t="shared" si="85"/>
        <v>0</v>
      </c>
      <c r="BQ98" s="1">
        <f t="shared" si="85"/>
        <v>0</v>
      </c>
      <c r="BR98" s="1">
        <f t="shared" si="85"/>
        <v>0</v>
      </c>
      <c r="BS98" s="1">
        <f t="shared" si="85"/>
        <v>0</v>
      </c>
      <c r="BT98" s="1">
        <f t="shared" si="44"/>
        <v>97</v>
      </c>
      <c r="BU98">
        <f t="shared" si="41"/>
        <v>31</v>
      </c>
      <c r="BV98" s="1">
        <v>20</v>
      </c>
      <c r="BW98" s="1">
        <v>0</v>
      </c>
      <c r="BX98" s="1">
        <v>0</v>
      </c>
      <c r="BY98" s="1">
        <v>0.25</v>
      </c>
      <c r="BZ98" s="1">
        <v>0</v>
      </c>
      <c r="CA98">
        <f t="shared" si="83"/>
        <v>0</v>
      </c>
      <c r="CB98">
        <f t="shared" si="46"/>
        <v>0</v>
      </c>
      <c r="CC98">
        <f t="shared" si="47"/>
        <v>0</v>
      </c>
      <c r="CD98">
        <f t="shared" si="48"/>
        <v>0</v>
      </c>
      <c r="CE98">
        <f t="shared" si="49"/>
        <v>0</v>
      </c>
      <c r="CF98">
        <f t="shared" si="50"/>
        <v>0</v>
      </c>
      <c r="CG98">
        <f t="shared" si="51"/>
        <v>0</v>
      </c>
      <c r="CH98">
        <f t="shared" si="52"/>
        <v>0</v>
      </c>
      <c r="CI98">
        <f t="shared" si="53"/>
        <v>0</v>
      </c>
      <c r="CJ98">
        <f t="shared" si="54"/>
        <v>0</v>
      </c>
      <c r="CK98">
        <f t="shared" si="55"/>
        <v>0</v>
      </c>
      <c r="CL98">
        <f t="shared" si="56"/>
        <v>0</v>
      </c>
      <c r="CM98">
        <f t="shared" si="57"/>
        <v>0</v>
      </c>
      <c r="CN98">
        <f t="shared" si="58"/>
        <v>0</v>
      </c>
      <c r="CO98" s="14">
        <f t="shared" si="84"/>
        <v>207.26979166666669</v>
      </c>
      <c r="CP98" s="14">
        <f t="shared" si="59"/>
        <v>0</v>
      </c>
      <c r="CQ98" s="14">
        <f t="shared" si="60"/>
        <v>191.76979166666669</v>
      </c>
      <c r="CR98" s="14">
        <f t="shared" si="61"/>
        <v>0</v>
      </c>
      <c r="CS98" s="14">
        <f t="shared" si="62"/>
        <v>176.26979166666669</v>
      </c>
      <c r="CT98" s="14">
        <f t="shared" si="63"/>
        <v>0</v>
      </c>
      <c r="CU98" s="14">
        <f t="shared" si="64"/>
        <v>160.76979166666666</v>
      </c>
      <c r="CV98" s="14">
        <f t="shared" si="65"/>
        <v>0</v>
      </c>
      <c r="CW98" s="14">
        <f t="shared" si="66"/>
        <v>145.26979166666666</v>
      </c>
      <c r="CX98" s="14">
        <f t="shared" si="67"/>
        <v>0</v>
      </c>
      <c r="CY98" s="14">
        <f t="shared" si="68"/>
        <v>129.76979166666666</v>
      </c>
      <c r="CZ98" s="14">
        <f t="shared" si="69"/>
        <v>0</v>
      </c>
      <c r="DA98" s="14">
        <f t="shared" si="70"/>
        <v>114.26979166666665</v>
      </c>
      <c r="DB98" s="14">
        <f t="shared" si="71"/>
        <v>0</v>
      </c>
      <c r="DC98" s="72">
        <f>F98/G98</f>
        <v>973.05899683025484</v>
      </c>
      <c r="DD98" s="72">
        <f t="shared" si="82"/>
        <v>31.388999897750157</v>
      </c>
      <c r="DE98" s="71">
        <f>F98/BU98</f>
        <v>324468.0919430434</v>
      </c>
      <c r="DF98" s="72">
        <f>J98/K98</f>
        <v>2727.2606687364282</v>
      </c>
      <c r="DG98" s="72">
        <f t="shared" si="73"/>
        <v>87.976150604400914</v>
      </c>
      <c r="DH98" s="72">
        <f>J98/BU98</f>
        <v>111465.78281577595</v>
      </c>
      <c r="DI98" s="72">
        <f>N98/P98</f>
        <v>44989.985314366924</v>
      </c>
      <c r="DJ98" s="72">
        <f t="shared" si="74"/>
        <v>1451.2898488505459</v>
      </c>
      <c r="DK98" s="72">
        <f t="shared" si="75"/>
        <v>2249.4992657183461</v>
      </c>
      <c r="DL98" s="72">
        <f>N98/BU98</f>
        <v>201729.28899022588</v>
      </c>
      <c r="DM98" s="72">
        <f>N98/BV98</f>
        <v>312680.39793485013</v>
      </c>
      <c r="DN98" s="1">
        <v>0</v>
      </c>
      <c r="DO98" s="1">
        <v>0</v>
      </c>
    </row>
    <row r="99" spans="1:119">
      <c r="A99" s="93">
        <f t="shared" si="79"/>
        <v>45323</v>
      </c>
      <c r="B99" s="4">
        <f t="shared" si="42"/>
        <v>2024</v>
      </c>
      <c r="C99" s="4">
        <f t="shared" si="43"/>
        <v>2</v>
      </c>
      <c r="D99" s="56">
        <v>7357990</v>
      </c>
      <c r="E99" s="56">
        <f>IFERROR(VLOOKUP($B99-1,CDM!$J$6:$P$19,2,FALSE)/12,0)+IFERROR(VLOOKUP($B99,CDM!$J$37:$M$48,2,FALSE)/24,0)+IFERROR(VLOOKUP($B99,CDM!$J$37:$M$48,2,FALSE)/2*$C99/78,0)</f>
        <v>169368.41639058758</v>
      </c>
      <c r="F99" s="56">
        <f t="shared" si="76"/>
        <v>7527358.4163905876</v>
      </c>
      <c r="G99" s="301">
        <v>10346</v>
      </c>
      <c r="H99" s="56">
        <v>2602386</v>
      </c>
      <c r="I99" s="56">
        <f>IFERROR(VLOOKUP($B99-1,CDM!$J$6:$P$19,3,FALSE)/12,0)+IFERROR(VLOOKUP($B99,CDM!$J$37:$M$47,3,FALSE)/24,0)+IFERROR(VLOOKUP($B99,CDM!$J$37:$M$47,3,FALSE)/2*$C99/78,0)</f>
        <v>238492.03461913185</v>
      </c>
      <c r="J99" s="56">
        <f t="shared" si="77"/>
        <v>2840878.0346191321</v>
      </c>
      <c r="K99" s="6">
        <v>1277</v>
      </c>
      <c r="L99" s="5">
        <v>5415618</v>
      </c>
      <c r="M99" s="2">
        <f>IFERROR(VLOOKUP($B99-1,CDM!$J$6:$P$19,4,FALSE)/12,0)+IFERROR(VLOOKUP($B99,CDM!$J$37:$M$47,4,FALSE)/24,0)+IFERROR(VLOOKUP($B99,CDM!$J$37:$M$47,4,FALSE)/2*$C99/78,0)</f>
        <v>229367.01325233697</v>
      </c>
      <c r="N99" s="56">
        <f t="shared" si="78"/>
        <v>5644985.0132523365</v>
      </c>
      <c r="O99" s="5">
        <v>17119.600000000002</v>
      </c>
      <c r="P99" s="6">
        <v>139</v>
      </c>
      <c r="Q99" s="5">
        <v>90313</v>
      </c>
      <c r="R99" s="5">
        <v>231.6</v>
      </c>
      <c r="S99" s="6">
        <v>2908</v>
      </c>
      <c r="T99" s="6">
        <v>13742</v>
      </c>
      <c r="U99" s="6">
        <v>39.099999999999994</v>
      </c>
      <c r="V99" s="6">
        <v>172</v>
      </c>
      <c r="W99" s="5">
        <v>47573</v>
      </c>
      <c r="X99" s="1">
        <v>18</v>
      </c>
      <c r="Y99" s="56">
        <v>38393.440000000002</v>
      </c>
      <c r="Z99" s="56">
        <v>2962.6</v>
      </c>
      <c r="AA99" s="71">
        <f>L99-Y99</f>
        <v>5377224.5599999996</v>
      </c>
      <c r="AB99" s="71">
        <f>N99-Y99</f>
        <v>5606591.5732523361</v>
      </c>
      <c r="AC99" s="5">
        <f>O99-Z99</f>
        <v>14157.000000000002</v>
      </c>
      <c r="AD99" s="111">
        <f>Economic!H101</f>
        <v>876619.7</v>
      </c>
      <c r="AE99" s="111">
        <f>Economic!I101</f>
        <v>885802</v>
      </c>
      <c r="AF99" s="111">
        <f>Economic!D101</f>
        <v>8047.9</v>
      </c>
      <c r="AG99" s="111">
        <f>Economic!E101</f>
        <v>7991.4</v>
      </c>
      <c r="AH99" s="111">
        <f>Economic!F101</f>
        <v>687.9</v>
      </c>
      <c r="AI99" s="111">
        <f>Economic!G101</f>
        <v>685.9</v>
      </c>
      <c r="AJ99" s="111">
        <f>Economic!J101</f>
        <v>149</v>
      </c>
      <c r="AK99" s="111">
        <f>Economic!K101</f>
        <v>152.39999999999964</v>
      </c>
      <c r="AL99" s="111">
        <f>Economic!L101</f>
        <v>33.5</v>
      </c>
      <c r="AM99" s="111">
        <f>Economic!M101</f>
        <v>33.100000000000023</v>
      </c>
      <c r="AN99" s="111">
        <f>Economic!N101</f>
        <v>10760.099999999977</v>
      </c>
      <c r="AO99" s="111">
        <f>Economic!O101</f>
        <v>5547</v>
      </c>
      <c r="AP99" s="28">
        <f>Weather!D99</f>
        <v>-4.5475574712643674</v>
      </c>
      <c r="AQ99" s="28">
        <f>Weather!E99</f>
        <v>711.87916666666661</v>
      </c>
      <c r="AR99" s="28">
        <f>Weather!F99</f>
        <v>0</v>
      </c>
      <c r="AS99" s="28">
        <f>Weather!G99</f>
        <v>653.87916666666672</v>
      </c>
      <c r="AT99" s="28">
        <f>Weather!H99</f>
        <v>0</v>
      </c>
      <c r="AU99" s="28">
        <f>Weather!I99</f>
        <v>595.87916666666661</v>
      </c>
      <c r="AV99" s="28">
        <f>Weather!J99</f>
        <v>0</v>
      </c>
      <c r="AW99" s="28">
        <f>Weather!K99</f>
        <v>537.87916666666661</v>
      </c>
      <c r="AX99" s="28">
        <f>Weather!L99</f>
        <v>0</v>
      </c>
      <c r="AY99" s="28">
        <f>Weather!M99</f>
        <v>479.87916666666661</v>
      </c>
      <c r="AZ99" s="28">
        <f>Weather!N99</f>
        <v>0</v>
      </c>
      <c r="BA99" s="28">
        <f>Weather!O99</f>
        <v>421.87916666666661</v>
      </c>
      <c r="BB99" s="28">
        <f>Weather!P99</f>
        <v>0</v>
      </c>
      <c r="BC99" s="28">
        <f>Weather!Q99</f>
        <v>363.87916666666666</v>
      </c>
      <c r="BD99" s="28">
        <f>Weather!R99</f>
        <v>0</v>
      </c>
      <c r="BE99">
        <f t="shared" si="85"/>
        <v>0</v>
      </c>
      <c r="BF99">
        <f t="shared" si="85"/>
        <v>1</v>
      </c>
      <c r="BG99">
        <f t="shared" si="85"/>
        <v>0</v>
      </c>
      <c r="BH99">
        <f t="shared" si="85"/>
        <v>0</v>
      </c>
      <c r="BI99">
        <f t="shared" si="85"/>
        <v>0</v>
      </c>
      <c r="BJ99">
        <f t="shared" si="85"/>
        <v>0</v>
      </c>
      <c r="BK99">
        <f t="shared" si="85"/>
        <v>0</v>
      </c>
      <c r="BL99">
        <f t="shared" si="85"/>
        <v>0</v>
      </c>
      <c r="BM99">
        <f t="shared" si="85"/>
        <v>0</v>
      </c>
      <c r="BN99">
        <f t="shared" si="85"/>
        <v>0</v>
      </c>
      <c r="BO99">
        <f t="shared" si="85"/>
        <v>0</v>
      </c>
      <c r="BP99">
        <f t="shared" si="85"/>
        <v>0</v>
      </c>
      <c r="BQ99" s="1">
        <f t="shared" si="85"/>
        <v>0</v>
      </c>
      <c r="BR99" s="1">
        <f t="shared" si="85"/>
        <v>0</v>
      </c>
      <c r="BS99" s="1">
        <f t="shared" si="85"/>
        <v>0</v>
      </c>
      <c r="BT99" s="1">
        <f t="shared" si="44"/>
        <v>98</v>
      </c>
      <c r="BU99">
        <f t="shared" si="41"/>
        <v>28</v>
      </c>
      <c r="BV99" s="1">
        <v>19</v>
      </c>
      <c r="BW99" s="1">
        <v>0</v>
      </c>
      <c r="BX99" s="1">
        <v>0</v>
      </c>
      <c r="BY99" s="1">
        <v>0.25</v>
      </c>
      <c r="BZ99" s="1">
        <v>0</v>
      </c>
      <c r="CA99">
        <f t="shared" si="83"/>
        <v>0</v>
      </c>
      <c r="CB99">
        <f t="shared" si="46"/>
        <v>0</v>
      </c>
      <c r="CC99">
        <f t="shared" si="47"/>
        <v>0</v>
      </c>
      <c r="CD99">
        <f t="shared" si="48"/>
        <v>0</v>
      </c>
      <c r="CE99">
        <f t="shared" si="49"/>
        <v>0</v>
      </c>
      <c r="CF99">
        <f t="shared" si="50"/>
        <v>0</v>
      </c>
      <c r="CG99">
        <f t="shared" si="51"/>
        <v>0</v>
      </c>
      <c r="CH99">
        <f t="shared" si="52"/>
        <v>0</v>
      </c>
      <c r="CI99">
        <f t="shared" si="53"/>
        <v>0</v>
      </c>
      <c r="CJ99">
        <f t="shared" si="54"/>
        <v>0</v>
      </c>
      <c r="CK99">
        <f t="shared" si="55"/>
        <v>0</v>
      </c>
      <c r="CL99">
        <f t="shared" si="56"/>
        <v>0</v>
      </c>
      <c r="CM99">
        <f t="shared" si="57"/>
        <v>0</v>
      </c>
      <c r="CN99">
        <f t="shared" si="58"/>
        <v>0</v>
      </c>
      <c r="CO99" s="14">
        <f t="shared" si="84"/>
        <v>177.96979166666665</v>
      </c>
      <c r="CP99" s="14">
        <f t="shared" si="59"/>
        <v>0</v>
      </c>
      <c r="CQ99" s="14">
        <f t="shared" si="60"/>
        <v>163.46979166666668</v>
      </c>
      <c r="CR99" s="14">
        <f t="shared" si="61"/>
        <v>0</v>
      </c>
      <c r="CS99" s="14">
        <f t="shared" si="62"/>
        <v>148.96979166666665</v>
      </c>
      <c r="CT99" s="14">
        <f t="shared" si="63"/>
        <v>0</v>
      </c>
      <c r="CU99" s="14">
        <f t="shared" si="64"/>
        <v>134.46979166666665</v>
      </c>
      <c r="CV99" s="14">
        <f t="shared" si="65"/>
        <v>0</v>
      </c>
      <c r="CW99" s="14">
        <f t="shared" si="66"/>
        <v>119.96979166666665</v>
      </c>
      <c r="CX99" s="14">
        <f t="shared" si="67"/>
        <v>0</v>
      </c>
      <c r="CY99" s="14">
        <f t="shared" si="68"/>
        <v>105.46979166666665</v>
      </c>
      <c r="CZ99" s="14">
        <f t="shared" si="69"/>
        <v>0</v>
      </c>
      <c r="DA99" s="14">
        <f t="shared" si="70"/>
        <v>90.969791666666666</v>
      </c>
      <c r="DB99" s="14">
        <f t="shared" si="71"/>
        <v>0</v>
      </c>
      <c r="DC99" s="72">
        <f>F99/G99</f>
        <v>727.56218986957163</v>
      </c>
      <c r="DD99" s="72">
        <f t="shared" si="82"/>
        <v>25.984363923913271</v>
      </c>
      <c r="DE99" s="71">
        <f>F99/BU99</f>
        <v>268834.22915680672</v>
      </c>
      <c r="DF99" s="72">
        <f>J99/K99</f>
        <v>2224.6499879554676</v>
      </c>
      <c r="DG99" s="72">
        <f t="shared" si="73"/>
        <v>79.451785284123844</v>
      </c>
      <c r="DH99" s="72">
        <f>J99/BU99</f>
        <v>101459.92980782615</v>
      </c>
      <c r="DI99" s="72">
        <f>N99/P99</f>
        <v>40611.402973038392</v>
      </c>
      <c r="DJ99" s="72">
        <f t="shared" si="74"/>
        <v>1450.4072490370854</v>
      </c>
      <c r="DK99" s="72">
        <f t="shared" si="75"/>
        <v>2137.4422617388627</v>
      </c>
      <c r="DL99" s="72">
        <f>N99/BU99</f>
        <v>201606.60761615488</v>
      </c>
      <c r="DM99" s="72">
        <f>N99/BV99</f>
        <v>297104.4743817019</v>
      </c>
      <c r="DN99" s="1">
        <v>0</v>
      </c>
      <c r="DO99" s="1">
        <v>0</v>
      </c>
    </row>
    <row r="100" spans="1:119">
      <c r="A100" s="93">
        <f t="shared" si="79"/>
        <v>45352</v>
      </c>
      <c r="B100" s="4">
        <f t="shared" si="42"/>
        <v>2024</v>
      </c>
      <c r="C100" s="4">
        <f t="shared" si="43"/>
        <v>3</v>
      </c>
      <c r="D100" s="56">
        <v>7954254</v>
      </c>
      <c r="E100" s="56">
        <f>IFERROR(VLOOKUP($B100-1,CDM!$J$6:$P$19,2,FALSE)/12,0)+IFERROR(VLOOKUP($B100,CDM!$J$37:$M$48,2,FALSE)/24,0)+IFERROR(VLOOKUP($B100,CDM!$J$37:$M$48,2,FALSE)/2*$C100/78,0)</f>
        <v>169802.98254683017</v>
      </c>
      <c r="F100" s="56">
        <f t="shared" si="76"/>
        <v>8124056.9825468305</v>
      </c>
      <c r="G100" s="301">
        <v>10340</v>
      </c>
      <c r="H100" s="56">
        <v>2665673</v>
      </c>
      <c r="I100" s="56">
        <f>IFERROR(VLOOKUP($B100-1,CDM!$J$6:$P$19,3,FALSE)/12,0)+IFERROR(VLOOKUP($B100,CDM!$J$37:$M$47,3,FALSE)/24,0)+IFERROR(VLOOKUP($B100,CDM!$J$37:$M$47,3,FALSE)/2*$C100/78,0)</f>
        <v>240421.80194920916</v>
      </c>
      <c r="J100" s="56">
        <f t="shared" si="77"/>
        <v>2906094.8019492091</v>
      </c>
      <c r="K100" s="6">
        <v>1279</v>
      </c>
      <c r="L100" s="5">
        <v>5455406</v>
      </c>
      <c r="M100" s="2">
        <f>IFERROR(VLOOKUP($B100-1,CDM!$J$6:$P$19,4,FALSE)/12,0)+IFERROR(VLOOKUP($B100,CDM!$J$37:$M$47,4,FALSE)/24,0)+IFERROR(VLOOKUP($B100,CDM!$J$37:$M$47,4,FALSE)/2*$C100/78,0)</f>
        <v>231594.06780767112</v>
      </c>
      <c r="N100" s="56">
        <f t="shared" si="78"/>
        <v>5687000.0678076707</v>
      </c>
      <c r="O100" s="5">
        <v>20122.199999999997</v>
      </c>
      <c r="P100" s="6">
        <v>139</v>
      </c>
      <c r="Q100" s="5">
        <v>86471</v>
      </c>
      <c r="R100" s="5">
        <v>231.6</v>
      </c>
      <c r="S100" s="6">
        <v>2908</v>
      </c>
      <c r="T100" s="6">
        <v>13625</v>
      </c>
      <c r="U100" s="6">
        <v>38.6</v>
      </c>
      <c r="V100" s="6">
        <v>172</v>
      </c>
      <c r="W100" s="5">
        <v>49630</v>
      </c>
      <c r="X100" s="1">
        <v>18</v>
      </c>
      <c r="Y100" s="56">
        <v>60396.32</v>
      </c>
      <c r="Z100" s="56">
        <v>6662.4</v>
      </c>
      <c r="AA100" s="71">
        <f>L100-Y100</f>
        <v>5395009.6799999997</v>
      </c>
      <c r="AB100" s="71">
        <f>N100-Y100</f>
        <v>5626603.7478076704</v>
      </c>
      <c r="AC100" s="5">
        <f>O100-Z100</f>
        <v>13459.799999999997</v>
      </c>
      <c r="AD100" s="111">
        <f>Economic!H102</f>
        <v>876619.7</v>
      </c>
      <c r="AE100" s="111">
        <f>Economic!I102</f>
        <v>885802</v>
      </c>
      <c r="AF100" s="111">
        <f>Economic!D102</f>
        <v>8066</v>
      </c>
      <c r="AG100" s="111">
        <f>Economic!E102</f>
        <v>7988.6</v>
      </c>
      <c r="AH100" s="111">
        <f>Economic!F102</f>
        <v>683</v>
      </c>
      <c r="AI100" s="111">
        <f>Economic!G102</f>
        <v>680.2</v>
      </c>
      <c r="AJ100" s="111">
        <f>Economic!J102</f>
        <v>134.60000000000036</v>
      </c>
      <c r="AK100" s="111">
        <f>Economic!K102</f>
        <v>140.10000000000036</v>
      </c>
      <c r="AL100" s="111">
        <f>Economic!L102</f>
        <v>26.200000000000045</v>
      </c>
      <c r="AM100" s="111">
        <f>Economic!M102</f>
        <v>26</v>
      </c>
      <c r="AN100" s="111">
        <f>Economic!N102</f>
        <v>10760.099999999977</v>
      </c>
      <c r="AO100" s="111">
        <f>Economic!O102</f>
        <v>5547</v>
      </c>
      <c r="AP100" s="28">
        <f>Weather!D100</f>
        <v>0.75551075268817203</v>
      </c>
      <c r="AQ100" s="28">
        <f>Weather!E100</f>
        <v>596.57916666666665</v>
      </c>
      <c r="AR100" s="28">
        <f>Weather!F100</f>
        <v>0</v>
      </c>
      <c r="AS100" s="28">
        <f>Weather!G100</f>
        <v>534.57916666666665</v>
      </c>
      <c r="AT100" s="28">
        <f>Weather!H100</f>
        <v>0</v>
      </c>
      <c r="AU100" s="28">
        <f>Weather!I100</f>
        <v>472.57916666666677</v>
      </c>
      <c r="AV100" s="28">
        <f>Weather!J100</f>
        <v>0</v>
      </c>
      <c r="AW100" s="28">
        <f>Weather!K100</f>
        <v>410.57916666666665</v>
      </c>
      <c r="AX100" s="28">
        <f>Weather!L100</f>
        <v>0</v>
      </c>
      <c r="AY100" s="28">
        <f>Weather!M100</f>
        <v>348.57916666666665</v>
      </c>
      <c r="AZ100" s="28">
        <f>Weather!N100</f>
        <v>0</v>
      </c>
      <c r="BA100" s="28">
        <f>Weather!O100</f>
        <v>286.57916666666665</v>
      </c>
      <c r="BB100" s="28">
        <f>Weather!P100</f>
        <v>0</v>
      </c>
      <c r="BC100" s="28">
        <f>Weather!Q100</f>
        <v>224.57916666666665</v>
      </c>
      <c r="BD100" s="28">
        <f>Weather!R100</f>
        <v>0</v>
      </c>
      <c r="BE100">
        <f t="shared" si="85"/>
        <v>0</v>
      </c>
      <c r="BF100">
        <f t="shared" si="85"/>
        <v>0</v>
      </c>
      <c r="BG100">
        <f t="shared" si="85"/>
        <v>1</v>
      </c>
      <c r="BH100">
        <f t="shared" si="85"/>
        <v>0</v>
      </c>
      <c r="BI100">
        <f t="shared" si="85"/>
        <v>0</v>
      </c>
      <c r="BJ100">
        <f t="shared" si="85"/>
        <v>0</v>
      </c>
      <c r="BK100">
        <f t="shared" si="85"/>
        <v>0</v>
      </c>
      <c r="BL100">
        <f t="shared" si="85"/>
        <v>0</v>
      </c>
      <c r="BM100">
        <f t="shared" si="85"/>
        <v>0</v>
      </c>
      <c r="BN100">
        <f t="shared" si="85"/>
        <v>0</v>
      </c>
      <c r="BO100">
        <f t="shared" si="85"/>
        <v>0</v>
      </c>
      <c r="BP100">
        <f t="shared" si="85"/>
        <v>0</v>
      </c>
      <c r="BQ100" s="1">
        <f t="shared" si="85"/>
        <v>1</v>
      </c>
      <c r="BR100" s="1">
        <f t="shared" si="85"/>
        <v>0</v>
      </c>
      <c r="BS100" s="1">
        <f t="shared" si="85"/>
        <v>1</v>
      </c>
      <c r="BT100" s="1">
        <f t="shared" si="44"/>
        <v>99</v>
      </c>
      <c r="BU100">
        <f t="shared" si="41"/>
        <v>31</v>
      </c>
      <c r="BV100" s="1">
        <v>23</v>
      </c>
      <c r="BW100" s="1">
        <v>0</v>
      </c>
      <c r="BX100" s="1">
        <v>0</v>
      </c>
      <c r="BY100" s="1">
        <v>0.25</v>
      </c>
      <c r="BZ100" s="1">
        <v>0</v>
      </c>
      <c r="CA100">
        <f t="shared" si="83"/>
        <v>0</v>
      </c>
      <c r="CB100">
        <f t="shared" si="46"/>
        <v>0</v>
      </c>
      <c r="CC100">
        <f t="shared" si="47"/>
        <v>0</v>
      </c>
      <c r="CD100">
        <f t="shared" si="48"/>
        <v>0</v>
      </c>
      <c r="CE100">
        <f t="shared" si="49"/>
        <v>0</v>
      </c>
      <c r="CF100">
        <f t="shared" si="50"/>
        <v>0</v>
      </c>
      <c r="CG100">
        <f t="shared" si="51"/>
        <v>0</v>
      </c>
      <c r="CH100">
        <f t="shared" si="52"/>
        <v>0</v>
      </c>
      <c r="CI100">
        <f t="shared" si="53"/>
        <v>0</v>
      </c>
      <c r="CJ100">
        <f t="shared" si="54"/>
        <v>0</v>
      </c>
      <c r="CK100">
        <f t="shared" si="55"/>
        <v>0</v>
      </c>
      <c r="CL100">
        <f t="shared" si="56"/>
        <v>0</v>
      </c>
      <c r="CM100">
        <f t="shared" si="57"/>
        <v>0</v>
      </c>
      <c r="CN100">
        <f t="shared" si="58"/>
        <v>0</v>
      </c>
      <c r="CO100" s="14">
        <f t="shared" si="84"/>
        <v>149.14479166666666</v>
      </c>
      <c r="CP100" s="14">
        <f t="shared" si="59"/>
        <v>0</v>
      </c>
      <c r="CQ100" s="14">
        <f t="shared" si="60"/>
        <v>133.64479166666666</v>
      </c>
      <c r="CR100" s="14">
        <f t="shared" si="61"/>
        <v>0</v>
      </c>
      <c r="CS100" s="14">
        <f t="shared" si="62"/>
        <v>118.14479166666669</v>
      </c>
      <c r="CT100" s="14">
        <f t="shared" si="63"/>
        <v>0</v>
      </c>
      <c r="CU100" s="14">
        <f t="shared" si="64"/>
        <v>102.64479166666666</v>
      </c>
      <c r="CV100" s="14">
        <f t="shared" si="65"/>
        <v>0</v>
      </c>
      <c r="CW100" s="14">
        <f t="shared" si="66"/>
        <v>87.144791666666663</v>
      </c>
      <c r="CX100" s="14">
        <f t="shared" si="67"/>
        <v>0</v>
      </c>
      <c r="CY100" s="14">
        <f t="shared" si="68"/>
        <v>71.644791666666663</v>
      </c>
      <c r="CZ100" s="14">
        <f t="shared" si="69"/>
        <v>0</v>
      </c>
      <c r="DA100" s="14">
        <f t="shared" si="70"/>
        <v>56.144791666666663</v>
      </c>
      <c r="DB100" s="14">
        <f t="shared" si="71"/>
        <v>0</v>
      </c>
      <c r="DC100" s="72">
        <f>F100/G100</f>
        <v>785.69216465636657</v>
      </c>
      <c r="DD100" s="72">
        <f t="shared" si="82"/>
        <v>25.344908537302146</v>
      </c>
      <c r="DE100" s="71">
        <f>F100/BU100</f>
        <v>262066.35427570422</v>
      </c>
      <c r="DF100" s="72">
        <f>J100/K100</f>
        <v>2272.1616903434006</v>
      </c>
      <c r="DG100" s="72">
        <f t="shared" si="73"/>
        <v>73.295538398174216</v>
      </c>
      <c r="DH100" s="72">
        <f>J100/BU100</f>
        <v>93744.993611264814</v>
      </c>
      <c r="DI100" s="72">
        <f>N100/P100</f>
        <v>40913.66955257317</v>
      </c>
      <c r="DJ100" s="72">
        <f t="shared" si="74"/>
        <v>1319.7957920184895</v>
      </c>
      <c r="DK100" s="72">
        <f t="shared" si="75"/>
        <v>1778.855197937964</v>
      </c>
      <c r="DL100" s="72">
        <f>N100/BU100</f>
        <v>183451.61509057003</v>
      </c>
      <c r="DM100" s="72">
        <f>N100/BV100</f>
        <v>247260.87251337699</v>
      </c>
      <c r="DN100" s="1">
        <v>0</v>
      </c>
      <c r="DO100" s="1">
        <v>0</v>
      </c>
    </row>
    <row r="101" spans="1:119">
      <c r="A101" s="93">
        <f t="shared" si="79"/>
        <v>45383</v>
      </c>
      <c r="B101" s="4">
        <f t="shared" si="42"/>
        <v>2024</v>
      </c>
      <c r="C101" s="4">
        <f t="shared" si="43"/>
        <v>4</v>
      </c>
      <c r="D101" s="56">
        <v>5587614</v>
      </c>
      <c r="E101" s="56">
        <f>IFERROR(VLOOKUP($B101-1,CDM!$J$6:$P$19,2,FALSE)/12,0)+IFERROR(VLOOKUP($B101,CDM!$J$37:$M$48,2,FALSE)/24,0)+IFERROR(VLOOKUP($B101,CDM!$J$37:$M$48,2,FALSE)/2*$C101/78,0)</f>
        <v>170237.5487030728</v>
      </c>
      <c r="F101" s="56">
        <f t="shared" si="76"/>
        <v>5757851.5487030726</v>
      </c>
      <c r="G101" s="301">
        <v>10345</v>
      </c>
      <c r="H101" s="56">
        <v>2074469</v>
      </c>
      <c r="I101" s="56">
        <f>IFERROR(VLOOKUP($B101-1,CDM!$J$6:$P$19,3,FALSE)/12,0)+IFERROR(VLOOKUP($B101,CDM!$J$37:$M$47,3,FALSE)/24,0)+IFERROR(VLOOKUP($B101,CDM!$J$37:$M$47,3,FALSE)/2*$C101/78,0)</f>
        <v>242351.56927928643</v>
      </c>
      <c r="J101" s="56">
        <f t="shared" si="77"/>
        <v>2316820.5692792865</v>
      </c>
      <c r="K101" s="6">
        <v>1281</v>
      </c>
      <c r="L101" s="5">
        <v>4855467</v>
      </c>
      <c r="M101" s="2">
        <f>IFERROR(VLOOKUP($B101-1,CDM!$J$6:$P$19,4,FALSE)/12,0)+IFERROR(VLOOKUP($B101,CDM!$J$37:$M$47,4,FALSE)/24,0)+IFERROR(VLOOKUP($B101,CDM!$J$37:$M$47,4,FALSE)/2*$C101/78,0)</f>
        <v>233821.12236300527</v>
      </c>
      <c r="N101" s="56">
        <f t="shared" si="78"/>
        <v>5089288.1223630048</v>
      </c>
      <c r="O101" s="5">
        <v>14606.9</v>
      </c>
      <c r="P101" s="6">
        <v>139</v>
      </c>
      <c r="Q101" s="5">
        <v>73327</v>
      </c>
      <c r="R101" s="5">
        <v>231.6</v>
      </c>
      <c r="S101" s="6">
        <v>2908</v>
      </c>
      <c r="T101" s="6">
        <v>12401</v>
      </c>
      <c r="U101" s="6">
        <v>30.9</v>
      </c>
      <c r="V101" s="6">
        <v>172</v>
      </c>
      <c r="W101" s="5">
        <v>49117</v>
      </c>
      <c r="X101" s="1">
        <v>18</v>
      </c>
      <c r="Y101" s="56">
        <v>537.76</v>
      </c>
      <c r="Z101" s="56">
        <v>1803.5</v>
      </c>
      <c r="AA101" s="71">
        <f>L101-Y101</f>
        <v>4854929.24</v>
      </c>
      <c r="AB101" s="71">
        <f>N101-Y101</f>
        <v>5088750.3623630051</v>
      </c>
      <c r="AC101" s="5">
        <f>O101-Z101</f>
        <v>12803.4</v>
      </c>
      <c r="AD101" s="111">
        <f>Economic!H103</f>
        <v>876619.7</v>
      </c>
      <c r="AE101" s="111">
        <f>Economic!I103</f>
        <v>888733</v>
      </c>
      <c r="AF101" s="111">
        <f>Economic!D103</f>
        <v>8087.1</v>
      </c>
      <c r="AG101" s="111">
        <f>Economic!E103</f>
        <v>8033.3</v>
      </c>
      <c r="AH101" s="111">
        <f>Economic!F103</f>
        <v>678.2</v>
      </c>
      <c r="AI101" s="111">
        <f>Economic!G103</f>
        <v>675.8</v>
      </c>
      <c r="AJ101" s="111">
        <f>Economic!J103</f>
        <v>125.10000000000036</v>
      </c>
      <c r="AK101" s="111">
        <f>Economic!K103</f>
        <v>134</v>
      </c>
      <c r="AL101" s="111">
        <f>Economic!L103</f>
        <v>20.300000000000068</v>
      </c>
      <c r="AM101" s="111">
        <f>Economic!M103</f>
        <v>22.099999999999909</v>
      </c>
      <c r="AN101" s="111">
        <f>Economic!N103</f>
        <v>10760.099999999977</v>
      </c>
      <c r="AO101" s="111">
        <f>Economic!O103</f>
        <v>2931</v>
      </c>
      <c r="AP101" s="28">
        <f>Weather!D101</f>
        <v>6.0962499999999977</v>
      </c>
      <c r="AQ101" s="28">
        <f>Weather!E101</f>
        <v>417.11249999999995</v>
      </c>
      <c r="AR101" s="28">
        <f>Weather!F101</f>
        <v>0</v>
      </c>
      <c r="AS101" s="28">
        <f>Weather!G101</f>
        <v>357.11249999999995</v>
      </c>
      <c r="AT101" s="28">
        <f>Weather!H101</f>
        <v>0</v>
      </c>
      <c r="AU101" s="28">
        <f>Weather!I101</f>
        <v>297.11250000000007</v>
      </c>
      <c r="AV101" s="28">
        <f>Weather!J101</f>
        <v>0</v>
      </c>
      <c r="AW101" s="28">
        <f>Weather!K101</f>
        <v>237.11250000000004</v>
      </c>
      <c r="AX101" s="28">
        <f>Weather!L101</f>
        <v>0</v>
      </c>
      <c r="AY101" s="28">
        <f>Weather!M101</f>
        <v>177.84583333333336</v>
      </c>
      <c r="AZ101" s="28">
        <f>Weather!N101</f>
        <v>0.7333333333333325</v>
      </c>
      <c r="BA101" s="28">
        <f>Weather!O101</f>
        <v>124.96250000000002</v>
      </c>
      <c r="BB101" s="28">
        <f>Weather!P101</f>
        <v>7.8500000000000032</v>
      </c>
      <c r="BC101" s="28">
        <f>Weather!Q101</f>
        <v>75.558333333333337</v>
      </c>
      <c r="BD101" s="28">
        <f>Weather!R101</f>
        <v>18.445833333333333</v>
      </c>
      <c r="BE101">
        <f t="shared" si="85"/>
        <v>0</v>
      </c>
      <c r="BF101">
        <f t="shared" si="85"/>
        <v>0</v>
      </c>
      <c r="BG101">
        <f t="shared" si="85"/>
        <v>0</v>
      </c>
      <c r="BH101">
        <f t="shared" si="85"/>
        <v>1</v>
      </c>
      <c r="BI101">
        <f t="shared" si="85"/>
        <v>0</v>
      </c>
      <c r="BJ101">
        <f t="shared" si="85"/>
        <v>0</v>
      </c>
      <c r="BK101">
        <f t="shared" si="85"/>
        <v>0</v>
      </c>
      <c r="BL101">
        <f t="shared" si="85"/>
        <v>0</v>
      </c>
      <c r="BM101">
        <f t="shared" si="85"/>
        <v>0</v>
      </c>
      <c r="BN101">
        <f t="shared" si="85"/>
        <v>0</v>
      </c>
      <c r="BO101">
        <f t="shared" si="85"/>
        <v>0</v>
      </c>
      <c r="BP101">
        <f t="shared" si="85"/>
        <v>0</v>
      </c>
      <c r="BQ101" s="1">
        <f t="shared" si="85"/>
        <v>1</v>
      </c>
      <c r="BR101" s="1">
        <f t="shared" si="85"/>
        <v>0</v>
      </c>
      <c r="BS101" s="1">
        <f t="shared" si="85"/>
        <v>1</v>
      </c>
      <c r="BT101" s="1">
        <f t="shared" si="44"/>
        <v>100</v>
      </c>
      <c r="BU101">
        <f t="shared" si="41"/>
        <v>30</v>
      </c>
      <c r="BV101" s="1">
        <v>20</v>
      </c>
      <c r="BW101" s="1">
        <v>0</v>
      </c>
      <c r="BX101" s="1">
        <v>0</v>
      </c>
      <c r="BY101" s="1">
        <v>0.25</v>
      </c>
      <c r="BZ101" s="1">
        <v>0</v>
      </c>
      <c r="CA101">
        <f t="shared" si="83"/>
        <v>0</v>
      </c>
      <c r="CB101">
        <f t="shared" si="46"/>
        <v>0</v>
      </c>
      <c r="CC101">
        <f t="shared" si="47"/>
        <v>0</v>
      </c>
      <c r="CD101">
        <f t="shared" si="48"/>
        <v>0</v>
      </c>
      <c r="CE101">
        <f t="shared" si="49"/>
        <v>0</v>
      </c>
      <c r="CF101">
        <f t="shared" si="50"/>
        <v>0</v>
      </c>
      <c r="CG101">
        <f t="shared" si="51"/>
        <v>0</v>
      </c>
      <c r="CH101">
        <f t="shared" si="52"/>
        <v>0</v>
      </c>
      <c r="CI101">
        <f t="shared" si="53"/>
        <v>0</v>
      </c>
      <c r="CJ101">
        <f t="shared" si="54"/>
        <v>0</v>
      </c>
      <c r="CK101">
        <f t="shared" si="55"/>
        <v>0</v>
      </c>
      <c r="CL101">
        <f t="shared" si="56"/>
        <v>0</v>
      </c>
      <c r="CM101">
        <f t="shared" si="57"/>
        <v>0</v>
      </c>
      <c r="CN101">
        <f t="shared" si="58"/>
        <v>0</v>
      </c>
      <c r="CO101" s="14">
        <f t="shared" si="84"/>
        <v>104.27812499999999</v>
      </c>
      <c r="CP101" s="14">
        <f t="shared" si="59"/>
        <v>0</v>
      </c>
      <c r="CQ101" s="14">
        <f t="shared" si="60"/>
        <v>89.278124999999989</v>
      </c>
      <c r="CR101" s="14">
        <f t="shared" si="61"/>
        <v>0</v>
      </c>
      <c r="CS101" s="14">
        <f t="shared" si="62"/>
        <v>74.278125000000017</v>
      </c>
      <c r="CT101" s="14">
        <f t="shared" si="63"/>
        <v>0</v>
      </c>
      <c r="CU101" s="14">
        <f t="shared" si="64"/>
        <v>59.27812500000001</v>
      </c>
      <c r="CV101" s="14">
        <f t="shared" si="65"/>
        <v>0</v>
      </c>
      <c r="CW101" s="14">
        <f t="shared" si="66"/>
        <v>44.46145833333334</v>
      </c>
      <c r="CX101" s="14">
        <f t="shared" si="67"/>
        <v>0.18333333333333313</v>
      </c>
      <c r="CY101" s="14">
        <f t="shared" si="68"/>
        <v>31.240625000000005</v>
      </c>
      <c r="CZ101" s="14">
        <f t="shared" si="69"/>
        <v>1.9625000000000008</v>
      </c>
      <c r="DA101" s="14">
        <f t="shared" si="70"/>
        <v>18.889583333333334</v>
      </c>
      <c r="DB101" s="14">
        <f t="shared" si="71"/>
        <v>4.6114583333333332</v>
      </c>
      <c r="DC101" s="72">
        <f>F101/G101</f>
        <v>556.58303999063048</v>
      </c>
      <c r="DD101" s="72">
        <f t="shared" si="82"/>
        <v>18.552767999687681</v>
      </c>
      <c r="DE101" s="71">
        <f>F101/BU101</f>
        <v>191928.38495676909</v>
      </c>
      <c r="DF101" s="72">
        <f>J101/K101</f>
        <v>1808.6030985786781</v>
      </c>
      <c r="DG101" s="72">
        <f t="shared" si="73"/>
        <v>60.286769952622606</v>
      </c>
      <c r="DH101" s="72">
        <f>J101/BU101</f>
        <v>77227.352309309557</v>
      </c>
      <c r="DI101" s="72">
        <f>N101/P101</f>
        <v>36613.583614122334</v>
      </c>
      <c r="DJ101" s="72">
        <f t="shared" si="74"/>
        <v>1220.4527871374112</v>
      </c>
      <c r="DK101" s="72">
        <f t="shared" si="75"/>
        <v>1830.6791807061168</v>
      </c>
      <c r="DL101" s="72">
        <f>N101/BU101</f>
        <v>169642.93741210017</v>
      </c>
      <c r="DM101" s="72">
        <f>N101/BV101</f>
        <v>254464.40611815025</v>
      </c>
      <c r="DN101" s="1">
        <v>0</v>
      </c>
      <c r="DO101" s="1">
        <v>0</v>
      </c>
    </row>
    <row r="102" spans="1:119">
      <c r="A102" s="93">
        <f t="shared" si="79"/>
        <v>45413</v>
      </c>
      <c r="B102" s="4">
        <f t="shared" si="42"/>
        <v>2024</v>
      </c>
      <c r="C102" s="4">
        <f t="shared" si="43"/>
        <v>5</v>
      </c>
      <c r="D102" s="56">
        <v>6222808</v>
      </c>
      <c r="E102" s="56">
        <f>IFERROR(VLOOKUP($B102-1,CDM!$J$6:$P$19,2,FALSE)/12,0)+IFERROR(VLOOKUP($B102,CDM!$J$37:$M$48,2,FALSE)/24,0)+IFERROR(VLOOKUP($B102,CDM!$J$37:$M$48,2,FALSE)/2*$C102/78,0)</f>
        <v>170672.11485931542</v>
      </c>
      <c r="F102" s="56">
        <f t="shared" si="76"/>
        <v>6393480.1148593156</v>
      </c>
      <c r="G102" s="301">
        <v>10345</v>
      </c>
      <c r="H102" s="56">
        <v>2186765</v>
      </c>
      <c r="I102" s="56">
        <f>IFERROR(VLOOKUP($B102-1,CDM!$J$6:$P$19,3,FALSE)/12,0)+IFERROR(VLOOKUP($B102,CDM!$J$37:$M$47,3,FALSE)/24,0)+IFERROR(VLOOKUP($B102,CDM!$J$37:$M$47,3,FALSE)/2*$C102/78,0)</f>
        <v>244281.3366093637</v>
      </c>
      <c r="J102" s="56">
        <f t="shared" si="77"/>
        <v>2431046.3366093636</v>
      </c>
      <c r="K102" s="6">
        <v>1282</v>
      </c>
      <c r="L102" s="5">
        <v>5033110</v>
      </c>
      <c r="M102" s="2">
        <f>IFERROR(VLOOKUP($B102-1,CDM!$J$6:$P$19,4,FALSE)/12,0)+IFERROR(VLOOKUP($B102,CDM!$J$37:$M$47,4,FALSE)/24,0)+IFERROR(VLOOKUP($B102,CDM!$J$37:$M$47,4,FALSE)/2*$C102/78,0)</f>
        <v>236048.17691833945</v>
      </c>
      <c r="N102" s="56">
        <f t="shared" si="78"/>
        <v>5269158.176918339</v>
      </c>
      <c r="O102" s="5">
        <v>13454.900000000001</v>
      </c>
      <c r="P102" s="6">
        <v>139</v>
      </c>
      <c r="Q102" s="5">
        <v>66629</v>
      </c>
      <c r="R102" s="5">
        <v>231.6</v>
      </c>
      <c r="S102" s="6">
        <v>2908</v>
      </c>
      <c r="T102" s="6">
        <v>14178</v>
      </c>
      <c r="U102" s="6">
        <v>38.4</v>
      </c>
      <c r="V102" s="6">
        <v>172</v>
      </c>
      <c r="W102" s="5">
        <v>49799</v>
      </c>
      <c r="X102" s="1">
        <v>18</v>
      </c>
      <c r="Y102" s="56">
        <v>25.6</v>
      </c>
      <c r="Z102" s="56">
        <v>22.4</v>
      </c>
      <c r="AA102" s="71">
        <f>L102-Y102</f>
        <v>5033084.4000000004</v>
      </c>
      <c r="AB102" s="71">
        <f>N102-Y102</f>
        <v>5269132.5769183394</v>
      </c>
      <c r="AC102" s="5">
        <f>O102-Z102</f>
        <v>13432.500000000002</v>
      </c>
      <c r="AD102" s="111">
        <f>Economic!H104</f>
        <v>876619.7</v>
      </c>
      <c r="AE102" s="111">
        <f>Economic!I104</f>
        <v>888733</v>
      </c>
      <c r="AF102" s="111">
        <f>Economic!D104</f>
        <v>8119.7</v>
      </c>
      <c r="AG102" s="111">
        <f>Economic!E104</f>
        <v>8113.6</v>
      </c>
      <c r="AH102" s="111">
        <f>Economic!F104</f>
        <v>676.5</v>
      </c>
      <c r="AI102" s="111">
        <f>Economic!G104</f>
        <v>678.2</v>
      </c>
      <c r="AJ102" s="111">
        <f>Economic!J104</f>
        <v>141.30000000000018</v>
      </c>
      <c r="AK102" s="111">
        <f>Economic!K104</f>
        <v>147.40000000000055</v>
      </c>
      <c r="AL102" s="111">
        <f>Economic!L104</f>
        <v>12.799999999999955</v>
      </c>
      <c r="AM102" s="111">
        <f>Economic!M104</f>
        <v>14.200000000000045</v>
      </c>
      <c r="AN102" s="111">
        <f>Economic!N104</f>
        <v>10760.099999999977</v>
      </c>
      <c r="AO102" s="111">
        <f>Economic!O104</f>
        <v>2931</v>
      </c>
      <c r="AP102" s="28">
        <f>Weather!D102</f>
        <v>14.800806451612901</v>
      </c>
      <c r="AQ102" s="28">
        <f>Weather!E102</f>
        <v>162.30416666666667</v>
      </c>
      <c r="AR102" s="28">
        <f>Weather!F102</f>
        <v>1.1291666666666664</v>
      </c>
      <c r="AS102" s="28">
        <f>Weather!G102</f>
        <v>107.28749999999998</v>
      </c>
      <c r="AT102" s="28">
        <f>Weather!H102</f>
        <v>8.1125000000000007</v>
      </c>
      <c r="AU102" s="28">
        <f>Weather!I102</f>
        <v>63.466666666666661</v>
      </c>
      <c r="AV102" s="28">
        <f>Weather!J102</f>
        <v>26.291666666666675</v>
      </c>
      <c r="AW102" s="28">
        <f>Weather!K102</f>
        <v>32.008333333333333</v>
      </c>
      <c r="AX102" s="28">
        <f>Weather!L102</f>
        <v>56.833333333333329</v>
      </c>
      <c r="AY102" s="28">
        <f>Weather!M102</f>
        <v>9.4041666666666668</v>
      </c>
      <c r="AZ102" s="28">
        <f>Weather!N102</f>
        <v>96.229166666666686</v>
      </c>
      <c r="BA102" s="28">
        <f>Weather!O102</f>
        <v>0</v>
      </c>
      <c r="BB102" s="28">
        <f>Weather!P102</f>
        <v>148.82500000000002</v>
      </c>
      <c r="BC102" s="28">
        <f>Weather!Q102</f>
        <v>0</v>
      </c>
      <c r="BD102" s="28">
        <f>Weather!R102</f>
        <v>210.82499999999999</v>
      </c>
      <c r="BE102">
        <f t="shared" si="85"/>
        <v>0</v>
      </c>
      <c r="BF102">
        <f t="shared" si="85"/>
        <v>0</v>
      </c>
      <c r="BG102">
        <f t="shared" si="85"/>
        <v>0</v>
      </c>
      <c r="BH102">
        <f t="shared" si="85"/>
        <v>0</v>
      </c>
      <c r="BI102">
        <f t="shared" si="85"/>
        <v>1</v>
      </c>
      <c r="BJ102">
        <f t="shared" si="85"/>
        <v>0</v>
      </c>
      <c r="BK102">
        <f t="shared" si="85"/>
        <v>0</v>
      </c>
      <c r="BL102">
        <f t="shared" si="85"/>
        <v>0</v>
      </c>
      <c r="BM102">
        <f t="shared" si="85"/>
        <v>0</v>
      </c>
      <c r="BN102">
        <f t="shared" si="85"/>
        <v>0</v>
      </c>
      <c r="BO102">
        <f t="shared" si="85"/>
        <v>0</v>
      </c>
      <c r="BP102">
        <f t="shared" si="85"/>
        <v>0</v>
      </c>
      <c r="BQ102" s="1">
        <f t="shared" si="85"/>
        <v>1</v>
      </c>
      <c r="BR102" s="1">
        <f t="shared" si="85"/>
        <v>0</v>
      </c>
      <c r="BS102" s="1">
        <f t="shared" si="85"/>
        <v>1</v>
      </c>
      <c r="BT102" s="1">
        <f t="shared" si="44"/>
        <v>101</v>
      </c>
      <c r="BU102">
        <f t="shared" si="41"/>
        <v>31</v>
      </c>
      <c r="BV102" s="1">
        <v>21</v>
      </c>
      <c r="BW102" s="1">
        <v>0</v>
      </c>
      <c r="BX102" s="1">
        <v>0</v>
      </c>
      <c r="BY102" s="1">
        <v>0.25</v>
      </c>
      <c r="BZ102" s="1">
        <v>0</v>
      </c>
      <c r="CA102">
        <f t="shared" si="83"/>
        <v>0</v>
      </c>
      <c r="CB102">
        <f t="shared" si="46"/>
        <v>0</v>
      </c>
      <c r="CC102">
        <f t="shared" si="47"/>
        <v>0</v>
      </c>
      <c r="CD102">
        <f t="shared" si="48"/>
        <v>0</v>
      </c>
      <c r="CE102">
        <f t="shared" si="49"/>
        <v>0</v>
      </c>
      <c r="CF102">
        <f t="shared" si="50"/>
        <v>0</v>
      </c>
      <c r="CG102">
        <f t="shared" si="51"/>
        <v>0</v>
      </c>
      <c r="CH102">
        <f t="shared" si="52"/>
        <v>0</v>
      </c>
      <c r="CI102">
        <f t="shared" si="53"/>
        <v>0</v>
      </c>
      <c r="CJ102">
        <f t="shared" si="54"/>
        <v>0</v>
      </c>
      <c r="CK102">
        <f t="shared" si="55"/>
        <v>0</v>
      </c>
      <c r="CL102">
        <f t="shared" si="56"/>
        <v>0</v>
      </c>
      <c r="CM102">
        <f t="shared" si="57"/>
        <v>0</v>
      </c>
      <c r="CN102">
        <f t="shared" si="58"/>
        <v>0</v>
      </c>
      <c r="CO102" s="14">
        <f t="shared" si="84"/>
        <v>40.576041666666669</v>
      </c>
      <c r="CP102" s="14">
        <f t="shared" si="59"/>
        <v>0.28229166666666661</v>
      </c>
      <c r="CQ102" s="14">
        <f t="shared" si="60"/>
        <v>26.821874999999995</v>
      </c>
      <c r="CR102" s="14">
        <f t="shared" si="61"/>
        <v>2.0281250000000002</v>
      </c>
      <c r="CS102" s="14">
        <f t="shared" si="62"/>
        <v>15.866666666666665</v>
      </c>
      <c r="CT102" s="14">
        <f t="shared" si="63"/>
        <v>6.5729166666666687</v>
      </c>
      <c r="CU102" s="14">
        <f t="shared" si="64"/>
        <v>8.0020833333333332</v>
      </c>
      <c r="CV102" s="14">
        <f t="shared" si="65"/>
        <v>14.208333333333332</v>
      </c>
      <c r="CW102" s="14">
        <f t="shared" si="66"/>
        <v>2.3510416666666667</v>
      </c>
      <c r="CX102" s="14">
        <f t="shared" si="67"/>
        <v>24.057291666666671</v>
      </c>
      <c r="CY102" s="14">
        <f t="shared" si="68"/>
        <v>0</v>
      </c>
      <c r="CZ102" s="14">
        <f t="shared" si="69"/>
        <v>37.206250000000004</v>
      </c>
      <c r="DA102" s="14">
        <f t="shared" si="70"/>
        <v>0</v>
      </c>
      <c r="DB102" s="14">
        <f t="shared" si="71"/>
        <v>52.706249999999997</v>
      </c>
      <c r="DC102" s="72">
        <f>F102/G102</f>
        <v>618.02611066788938</v>
      </c>
      <c r="DD102" s="72">
        <f t="shared" si="82"/>
        <v>19.936326150577077</v>
      </c>
      <c r="DE102" s="71">
        <f>F102/BU102</f>
        <v>206241.29402771985</v>
      </c>
      <c r="DF102" s="72">
        <f>J102/K102</f>
        <v>1896.2919942350729</v>
      </c>
      <c r="DG102" s="72">
        <f t="shared" si="73"/>
        <v>61.170709491453962</v>
      </c>
      <c r="DH102" s="72">
        <f>J102/BU102</f>
        <v>78420.849568043981</v>
      </c>
      <c r="DI102" s="72">
        <f>N102/P102</f>
        <v>37907.612783585173</v>
      </c>
      <c r="DJ102" s="72">
        <f t="shared" si="74"/>
        <v>1222.8262188253282</v>
      </c>
      <c r="DK102" s="72">
        <f t="shared" si="75"/>
        <v>1805.1244182659607</v>
      </c>
      <c r="DL102" s="72">
        <f>N102/BU102</f>
        <v>169972.84441672062</v>
      </c>
      <c r="DM102" s="72">
        <f>N102/BV102</f>
        <v>250912.29413896851</v>
      </c>
      <c r="DN102" s="1">
        <v>0</v>
      </c>
      <c r="DO102" s="1">
        <v>0</v>
      </c>
    </row>
    <row r="103" spans="1:119">
      <c r="A103" s="93">
        <f t="shared" si="79"/>
        <v>45444</v>
      </c>
      <c r="B103" s="4">
        <f t="shared" si="42"/>
        <v>2024</v>
      </c>
      <c r="C103" s="4">
        <f t="shared" si="43"/>
        <v>6</v>
      </c>
      <c r="D103" s="56">
        <v>6779760</v>
      </c>
      <c r="E103" s="56">
        <f>IFERROR(VLOOKUP($B103-1,CDM!$J$6:$P$19,2,FALSE)/12,0)+IFERROR(VLOOKUP($B103,CDM!$J$37:$M$48,2,FALSE)/24,0)+IFERROR(VLOOKUP($B103,CDM!$J$37:$M$48,2,FALSE)/2*$C103/78,0)</f>
        <v>171106.68101555805</v>
      </c>
      <c r="F103" s="56">
        <f t="shared" si="76"/>
        <v>6950866.6810155576</v>
      </c>
      <c r="G103" s="301">
        <v>10343</v>
      </c>
      <c r="H103" s="56">
        <v>2215585</v>
      </c>
      <c r="I103" s="56">
        <f>IFERROR(VLOOKUP($B103-1,CDM!$J$6:$P$19,3,FALSE)/12,0)+IFERROR(VLOOKUP($B103,CDM!$J$37:$M$47,3,FALSE)/24,0)+IFERROR(VLOOKUP($B103,CDM!$J$37:$M$47,3,FALSE)/2*$C103/78,0)</f>
        <v>246211.10393944097</v>
      </c>
      <c r="J103" s="56">
        <f t="shared" si="77"/>
        <v>2461796.103939441</v>
      </c>
      <c r="K103" s="6">
        <v>1281</v>
      </c>
      <c r="L103" s="5">
        <v>5135897</v>
      </c>
      <c r="M103" s="2">
        <f>IFERROR(VLOOKUP($B103-1,CDM!$J$6:$P$19,4,FALSE)/12,0)+IFERROR(VLOOKUP($B103,CDM!$J$37:$M$47,4,FALSE)/24,0)+IFERROR(VLOOKUP($B103,CDM!$J$37:$M$47,4,FALSE)/2*$C103/78,0)</f>
        <v>238275.2314736736</v>
      </c>
      <c r="N103" s="56">
        <f t="shared" si="78"/>
        <v>5374172.2314736731</v>
      </c>
      <c r="O103" s="5">
        <v>14718.7</v>
      </c>
      <c r="P103" s="6">
        <v>139</v>
      </c>
      <c r="Q103" s="5">
        <v>60048</v>
      </c>
      <c r="R103" s="5">
        <v>231.60000000000002</v>
      </c>
      <c r="S103" s="6">
        <v>2908</v>
      </c>
      <c r="T103" s="6">
        <v>14244</v>
      </c>
      <c r="U103" s="6">
        <v>38.699999999999989</v>
      </c>
      <c r="V103" s="6">
        <v>172</v>
      </c>
      <c r="W103" s="5">
        <v>48580</v>
      </c>
      <c r="X103" s="1">
        <v>18</v>
      </c>
      <c r="Y103" s="56">
        <v>32</v>
      </c>
      <c r="Z103" s="56">
        <v>41.6</v>
      </c>
      <c r="AA103" s="71">
        <f>L103-Y103</f>
        <v>5135865</v>
      </c>
      <c r="AB103" s="71">
        <f>N103-Y103</f>
        <v>5374140.2314736731</v>
      </c>
      <c r="AC103" s="5">
        <f>O103-Z103</f>
        <v>14677.1</v>
      </c>
      <c r="AD103" s="111">
        <f>Economic!H105</f>
        <v>876619.7</v>
      </c>
      <c r="AE103" s="111">
        <f>Economic!I105</f>
        <v>888733</v>
      </c>
      <c r="AF103" s="111">
        <f>Economic!D105</f>
        <v>8140.7</v>
      </c>
      <c r="AG103" s="111">
        <f>Economic!E105</f>
        <v>8202.2000000000007</v>
      </c>
      <c r="AH103" s="111">
        <f>Economic!F105</f>
        <v>679.1</v>
      </c>
      <c r="AI103" s="111">
        <f>Economic!G105</f>
        <v>686.8</v>
      </c>
      <c r="AJ103" s="111">
        <f>Economic!J105</f>
        <v>139.59999999999945</v>
      </c>
      <c r="AK103" s="111">
        <f>Economic!K105</f>
        <v>143.70000000000073</v>
      </c>
      <c r="AL103" s="111">
        <f>Economic!L105</f>
        <v>7.1000000000000227</v>
      </c>
      <c r="AM103" s="111">
        <f>Economic!M105</f>
        <v>8</v>
      </c>
      <c r="AN103" s="111">
        <f>Economic!N105</f>
        <v>10760.099999999977</v>
      </c>
      <c r="AO103" s="111">
        <f>Economic!O105</f>
        <v>2931</v>
      </c>
      <c r="AP103" s="28">
        <f>Weather!D103</f>
        <v>18.156111111111112</v>
      </c>
      <c r="AQ103" s="28">
        <f>Weather!E103</f>
        <v>82.241666666666674</v>
      </c>
      <c r="AR103" s="28">
        <f>Weather!F103</f>
        <v>26.924999999999997</v>
      </c>
      <c r="AS103" s="28">
        <f>Weather!G103</f>
        <v>44.020833333333336</v>
      </c>
      <c r="AT103" s="28">
        <f>Weather!H103</f>
        <v>48.704166666666659</v>
      </c>
      <c r="AU103" s="28">
        <f>Weather!I103</f>
        <v>20.5</v>
      </c>
      <c r="AV103" s="28">
        <f>Weather!J103</f>
        <v>85.183333333333337</v>
      </c>
      <c r="AW103" s="28">
        <f>Weather!K103</f>
        <v>8.2083333333333357</v>
      </c>
      <c r="AX103" s="28">
        <f>Weather!L103</f>
        <v>132.89166666666665</v>
      </c>
      <c r="AY103" s="28">
        <f>Weather!M103</f>
        <v>2.6000000000000032</v>
      </c>
      <c r="AZ103" s="28">
        <f>Weather!N103</f>
        <v>187.28333333333333</v>
      </c>
      <c r="BA103" s="28">
        <f>Weather!O103</f>
        <v>0.6000000000000032</v>
      </c>
      <c r="BB103" s="28">
        <f>Weather!P103</f>
        <v>245.28333333333333</v>
      </c>
      <c r="BC103" s="28">
        <f>Weather!Q103</f>
        <v>0</v>
      </c>
      <c r="BD103" s="28">
        <f>Weather!R103</f>
        <v>304.68333333333339</v>
      </c>
      <c r="BE103">
        <f t="shared" si="85"/>
        <v>0</v>
      </c>
      <c r="BF103">
        <f t="shared" si="85"/>
        <v>0</v>
      </c>
      <c r="BG103">
        <f t="shared" si="85"/>
        <v>0</v>
      </c>
      <c r="BH103">
        <f t="shared" si="85"/>
        <v>0</v>
      </c>
      <c r="BI103">
        <f t="shared" si="85"/>
        <v>0</v>
      </c>
      <c r="BJ103">
        <f t="shared" si="85"/>
        <v>1</v>
      </c>
      <c r="BK103">
        <f t="shared" si="85"/>
        <v>0</v>
      </c>
      <c r="BL103">
        <f t="shared" si="85"/>
        <v>0</v>
      </c>
      <c r="BM103">
        <f t="shared" si="85"/>
        <v>0</v>
      </c>
      <c r="BN103">
        <f t="shared" si="85"/>
        <v>0</v>
      </c>
      <c r="BO103">
        <f t="shared" si="85"/>
        <v>0</v>
      </c>
      <c r="BP103">
        <f t="shared" si="85"/>
        <v>0</v>
      </c>
      <c r="BQ103" s="1">
        <f t="shared" si="85"/>
        <v>0</v>
      </c>
      <c r="BR103" s="1">
        <f t="shared" si="85"/>
        <v>0</v>
      </c>
      <c r="BS103" s="1">
        <f t="shared" si="85"/>
        <v>0</v>
      </c>
      <c r="BT103" s="1">
        <f t="shared" si="44"/>
        <v>102</v>
      </c>
      <c r="BU103">
        <f t="shared" si="41"/>
        <v>30</v>
      </c>
      <c r="BV103" s="1">
        <v>22</v>
      </c>
      <c r="BW103" s="1">
        <v>0</v>
      </c>
      <c r="BX103" s="1">
        <v>0</v>
      </c>
      <c r="BY103" s="1">
        <v>0.25</v>
      </c>
      <c r="BZ103" s="1">
        <v>0</v>
      </c>
      <c r="CA103">
        <f t="shared" si="83"/>
        <v>0</v>
      </c>
      <c r="CB103">
        <f t="shared" si="46"/>
        <v>0</v>
      </c>
      <c r="CC103">
        <f t="shared" si="47"/>
        <v>0</v>
      </c>
      <c r="CD103">
        <f t="shared" si="48"/>
        <v>0</v>
      </c>
      <c r="CE103">
        <f t="shared" si="49"/>
        <v>0</v>
      </c>
      <c r="CF103">
        <f t="shared" si="50"/>
        <v>0</v>
      </c>
      <c r="CG103">
        <f t="shared" si="51"/>
        <v>0</v>
      </c>
      <c r="CH103">
        <f t="shared" si="52"/>
        <v>0</v>
      </c>
      <c r="CI103">
        <f t="shared" si="53"/>
        <v>0</v>
      </c>
      <c r="CJ103">
        <f t="shared" si="54"/>
        <v>0</v>
      </c>
      <c r="CK103">
        <f t="shared" si="55"/>
        <v>0</v>
      </c>
      <c r="CL103">
        <f t="shared" si="56"/>
        <v>0</v>
      </c>
      <c r="CM103">
        <f t="shared" si="57"/>
        <v>0</v>
      </c>
      <c r="CN103">
        <f t="shared" si="58"/>
        <v>0</v>
      </c>
      <c r="CO103" s="14">
        <f t="shared" si="84"/>
        <v>20.560416666666669</v>
      </c>
      <c r="CP103" s="14">
        <f t="shared" si="59"/>
        <v>6.7312499999999993</v>
      </c>
      <c r="CQ103" s="14">
        <f t="shared" si="60"/>
        <v>11.005208333333334</v>
      </c>
      <c r="CR103" s="14">
        <f t="shared" si="61"/>
        <v>12.176041666666665</v>
      </c>
      <c r="CS103" s="14">
        <f t="shared" si="62"/>
        <v>5.125</v>
      </c>
      <c r="CT103" s="14">
        <f t="shared" si="63"/>
        <v>21.295833333333334</v>
      </c>
      <c r="CU103" s="14">
        <f t="shared" si="64"/>
        <v>2.0520833333333339</v>
      </c>
      <c r="CV103" s="14">
        <f t="shared" si="65"/>
        <v>33.222916666666663</v>
      </c>
      <c r="CW103" s="14">
        <f t="shared" si="66"/>
        <v>0.6500000000000008</v>
      </c>
      <c r="CX103" s="14">
        <f t="shared" si="67"/>
        <v>46.820833333333333</v>
      </c>
      <c r="CY103" s="14">
        <f t="shared" si="68"/>
        <v>0.1500000000000008</v>
      </c>
      <c r="CZ103" s="14">
        <f t="shared" si="69"/>
        <v>61.320833333333333</v>
      </c>
      <c r="DA103" s="14">
        <f t="shared" si="70"/>
        <v>0</v>
      </c>
      <c r="DB103" s="14">
        <f t="shared" si="71"/>
        <v>76.170833333333348</v>
      </c>
      <c r="DC103" s="72">
        <f>F103/G103</f>
        <v>672.03583882969713</v>
      </c>
      <c r="DD103" s="72">
        <f t="shared" si="82"/>
        <v>22.401194627656572</v>
      </c>
      <c r="DE103" s="71">
        <f>F103/BU103</f>
        <v>231695.55603385193</v>
      </c>
      <c r="DF103" s="72">
        <f>J103/K103</f>
        <v>1921.7768180635762</v>
      </c>
      <c r="DG103" s="72">
        <f t="shared" si="73"/>
        <v>64.059227268785875</v>
      </c>
      <c r="DH103" s="72">
        <f>J103/BU103</f>
        <v>82059.870131314703</v>
      </c>
      <c r="DI103" s="72">
        <f>N103/P103</f>
        <v>38663.109578947289</v>
      </c>
      <c r="DJ103" s="72">
        <f t="shared" si="74"/>
        <v>1288.7703192982431</v>
      </c>
      <c r="DK103" s="72">
        <f t="shared" si="75"/>
        <v>1757.4140717703312</v>
      </c>
      <c r="DL103" s="72">
        <f>N103/BU103</f>
        <v>179139.07438245576</v>
      </c>
      <c r="DM103" s="72">
        <f>N103/BV103</f>
        <v>244280.55597607605</v>
      </c>
      <c r="DN103" s="1">
        <v>0</v>
      </c>
      <c r="DO103" s="1">
        <v>0</v>
      </c>
    </row>
    <row r="104" spans="1:119">
      <c r="A104" s="93">
        <f t="shared" si="79"/>
        <v>45474</v>
      </c>
      <c r="B104" s="4">
        <f t="shared" si="42"/>
        <v>2024</v>
      </c>
      <c r="C104" s="4">
        <f t="shared" si="43"/>
        <v>7</v>
      </c>
      <c r="D104" s="56">
        <v>8060619</v>
      </c>
      <c r="E104" s="56">
        <f>IFERROR(VLOOKUP($B104-1,CDM!$J$6:$P$19,2,FALSE)/12,0)+IFERROR(VLOOKUP($B104,CDM!$J$37:$M$48,2,FALSE)/24,0)+IFERROR(VLOOKUP($B104,CDM!$J$37:$M$48,2,FALSE)/2*$C104/78,0)</f>
        <v>171541.24717180067</v>
      </c>
      <c r="F104" s="56">
        <f t="shared" si="76"/>
        <v>8232160.2471718006</v>
      </c>
      <c r="G104" s="301">
        <v>10353</v>
      </c>
      <c r="H104" s="56">
        <v>2495541</v>
      </c>
      <c r="I104" s="56">
        <f>IFERROR(VLOOKUP($B104-1,CDM!$J$6:$P$19,3,FALSE)/12,0)+IFERROR(VLOOKUP($B104,CDM!$J$37:$M$47,3,FALSE)/24,0)+IFERROR(VLOOKUP($B104,CDM!$J$37:$M$47,3,FALSE)/2*$C104/78,0)</f>
        <v>248140.87126951828</v>
      </c>
      <c r="J104" s="56">
        <f t="shared" si="77"/>
        <v>2743681.8712695185</v>
      </c>
      <c r="K104" s="6">
        <v>1280</v>
      </c>
      <c r="L104" s="5">
        <v>5607311</v>
      </c>
      <c r="M104" s="2">
        <f>IFERROR(VLOOKUP($B104-1,CDM!$J$6:$P$19,4,FALSE)/12,0)+IFERROR(VLOOKUP($B104,CDM!$J$37:$M$47,4,FALSE)/24,0)+IFERROR(VLOOKUP($B104,CDM!$J$37:$M$47,4,FALSE)/2*$C104/78,0)</f>
        <v>240502.28602900775</v>
      </c>
      <c r="N104" s="56">
        <f t="shared" si="78"/>
        <v>5847813.2860290073</v>
      </c>
      <c r="O104" s="5">
        <v>13908.8</v>
      </c>
      <c r="P104" s="6">
        <v>140</v>
      </c>
      <c r="Q104" s="5">
        <v>64390</v>
      </c>
      <c r="R104" s="5">
        <v>231.6</v>
      </c>
      <c r="S104" s="6">
        <v>2908</v>
      </c>
      <c r="T104" s="6">
        <v>13401</v>
      </c>
      <c r="U104" s="6">
        <v>38.6</v>
      </c>
      <c r="V104" s="6">
        <v>172</v>
      </c>
      <c r="W104" s="5">
        <v>50177</v>
      </c>
      <c r="X104" s="1">
        <v>18</v>
      </c>
      <c r="Y104" s="56">
        <v>6252.8</v>
      </c>
      <c r="Z104" s="56">
        <v>4195.2</v>
      </c>
      <c r="AA104" s="71">
        <f>L104-Y104</f>
        <v>5601058.2000000002</v>
      </c>
      <c r="AB104" s="71">
        <f>N104-Y104</f>
        <v>5841560.4860290075</v>
      </c>
      <c r="AC104" s="5">
        <f>O104-Z104</f>
        <v>9713.5999999999985</v>
      </c>
      <c r="AD104" s="111">
        <f>Economic!H106</f>
        <v>876619.7</v>
      </c>
      <c r="AE104" s="111">
        <f>Economic!I106</f>
        <v>890079</v>
      </c>
      <c r="AF104" s="111">
        <f>Economic!D106</f>
        <v>8161</v>
      </c>
      <c r="AG104" s="111">
        <f>Economic!E106</f>
        <v>8253.1</v>
      </c>
      <c r="AH104" s="111">
        <f>Economic!F106</f>
        <v>682.7</v>
      </c>
      <c r="AI104" s="111">
        <f>Economic!G106</f>
        <v>696.7</v>
      </c>
      <c r="AJ104" s="111">
        <f>Economic!J106</f>
        <v>144.69999999999982</v>
      </c>
      <c r="AK104" s="111">
        <f>Economic!K106</f>
        <v>146.10000000000036</v>
      </c>
      <c r="AL104" s="111">
        <f>Economic!L106</f>
        <v>4.9000000000000909</v>
      </c>
      <c r="AM104" s="111">
        <f>Economic!M106</f>
        <v>6.5</v>
      </c>
      <c r="AN104" s="111">
        <f>Economic!N106</f>
        <v>10760.099999999977</v>
      </c>
      <c r="AO104" s="111">
        <f>Economic!O106</f>
        <v>1346</v>
      </c>
      <c r="AP104" s="28">
        <f>Weather!D104</f>
        <v>20.843279569892474</v>
      </c>
      <c r="AQ104" s="28">
        <f>Weather!E104</f>
        <v>17.166666666666668</v>
      </c>
      <c r="AR104" s="28">
        <f>Weather!F104</f>
        <v>43.308333333333337</v>
      </c>
      <c r="AS104" s="28">
        <f>Weather!G104</f>
        <v>2.2499999999999964</v>
      </c>
      <c r="AT104" s="28">
        <f>Weather!H104</f>
        <v>90.391666666666666</v>
      </c>
      <c r="AU104" s="28">
        <f>Weather!I104</f>
        <v>0</v>
      </c>
      <c r="AV104" s="28">
        <f>Weather!J104</f>
        <v>150.14166666666665</v>
      </c>
      <c r="AW104" s="28">
        <f>Weather!K104</f>
        <v>0</v>
      </c>
      <c r="AX104" s="28">
        <f>Weather!L104</f>
        <v>212.14166666666665</v>
      </c>
      <c r="AY104" s="28">
        <f>Weather!M104</f>
        <v>0</v>
      </c>
      <c r="AZ104" s="28">
        <f>Weather!N104</f>
        <v>274.14166666666665</v>
      </c>
      <c r="BA104" s="28">
        <f>Weather!O104</f>
        <v>0</v>
      </c>
      <c r="BB104" s="28">
        <f>Weather!P104</f>
        <v>336.14166666666665</v>
      </c>
      <c r="BC104" s="28">
        <f>Weather!Q104</f>
        <v>0</v>
      </c>
      <c r="BD104" s="28">
        <f>Weather!R104</f>
        <v>398.14166666666659</v>
      </c>
      <c r="BE104">
        <f t="shared" si="85"/>
        <v>0</v>
      </c>
      <c r="BF104">
        <f t="shared" si="85"/>
        <v>0</v>
      </c>
      <c r="BG104">
        <f t="shared" si="85"/>
        <v>0</v>
      </c>
      <c r="BH104">
        <f t="shared" si="85"/>
        <v>0</v>
      </c>
      <c r="BI104">
        <f t="shared" si="85"/>
        <v>0</v>
      </c>
      <c r="BJ104">
        <f t="shared" si="85"/>
        <v>0</v>
      </c>
      <c r="BK104">
        <f t="shared" si="85"/>
        <v>1</v>
      </c>
      <c r="BL104">
        <f t="shared" si="85"/>
        <v>0</v>
      </c>
      <c r="BM104">
        <f t="shared" si="85"/>
        <v>0</v>
      </c>
      <c r="BN104">
        <f t="shared" si="85"/>
        <v>0</v>
      </c>
      <c r="BO104">
        <f t="shared" si="85"/>
        <v>0</v>
      </c>
      <c r="BP104">
        <f t="shared" si="85"/>
        <v>0</v>
      </c>
      <c r="BQ104" s="1">
        <f t="shared" si="85"/>
        <v>0</v>
      </c>
      <c r="BR104" s="1">
        <f t="shared" si="85"/>
        <v>0</v>
      </c>
      <c r="BS104" s="1">
        <f t="shared" si="85"/>
        <v>0</v>
      </c>
      <c r="BT104" s="1">
        <f t="shared" si="44"/>
        <v>103</v>
      </c>
      <c r="BU104">
        <f t="shared" si="41"/>
        <v>31</v>
      </c>
      <c r="BV104" s="1">
        <v>20</v>
      </c>
      <c r="BW104" s="1">
        <v>0</v>
      </c>
      <c r="BX104" s="1">
        <v>0</v>
      </c>
      <c r="BY104" s="1">
        <v>0.25</v>
      </c>
      <c r="BZ104" s="1">
        <v>0</v>
      </c>
      <c r="CA104">
        <f t="shared" si="83"/>
        <v>0</v>
      </c>
      <c r="CB104">
        <f t="shared" si="46"/>
        <v>0</v>
      </c>
      <c r="CC104">
        <f t="shared" si="47"/>
        <v>0</v>
      </c>
      <c r="CD104">
        <f t="shared" si="48"/>
        <v>0</v>
      </c>
      <c r="CE104">
        <f t="shared" si="49"/>
        <v>0</v>
      </c>
      <c r="CF104">
        <f t="shared" si="50"/>
        <v>0</v>
      </c>
      <c r="CG104">
        <f t="shared" si="51"/>
        <v>0</v>
      </c>
      <c r="CH104">
        <f t="shared" si="52"/>
        <v>0</v>
      </c>
      <c r="CI104">
        <f t="shared" si="53"/>
        <v>0</v>
      </c>
      <c r="CJ104">
        <f t="shared" si="54"/>
        <v>0</v>
      </c>
      <c r="CK104">
        <f t="shared" si="55"/>
        <v>0</v>
      </c>
      <c r="CL104">
        <f t="shared" si="56"/>
        <v>0</v>
      </c>
      <c r="CM104">
        <f t="shared" si="57"/>
        <v>0</v>
      </c>
      <c r="CN104">
        <f t="shared" si="58"/>
        <v>0</v>
      </c>
      <c r="CO104" s="14">
        <f t="shared" si="84"/>
        <v>4.291666666666667</v>
      </c>
      <c r="CP104" s="14">
        <f t="shared" si="59"/>
        <v>10.827083333333334</v>
      </c>
      <c r="CQ104" s="14">
        <f t="shared" si="60"/>
        <v>0.56249999999999911</v>
      </c>
      <c r="CR104" s="14">
        <f t="shared" si="61"/>
        <v>22.597916666666666</v>
      </c>
      <c r="CS104" s="14">
        <f t="shared" si="62"/>
        <v>0</v>
      </c>
      <c r="CT104" s="14">
        <f t="shared" si="63"/>
        <v>37.535416666666663</v>
      </c>
      <c r="CU104" s="14">
        <f t="shared" si="64"/>
        <v>0</v>
      </c>
      <c r="CV104" s="14">
        <f t="shared" si="65"/>
        <v>53.035416666666663</v>
      </c>
      <c r="CW104" s="14">
        <f t="shared" si="66"/>
        <v>0</v>
      </c>
      <c r="CX104" s="14">
        <f t="shared" si="67"/>
        <v>68.535416666666663</v>
      </c>
      <c r="CY104" s="14">
        <f t="shared" si="68"/>
        <v>0</v>
      </c>
      <c r="CZ104" s="14">
        <f t="shared" si="69"/>
        <v>84.035416666666663</v>
      </c>
      <c r="DA104" s="14">
        <f t="shared" si="70"/>
        <v>0</v>
      </c>
      <c r="DB104" s="14">
        <f t="shared" si="71"/>
        <v>99.535416666666649</v>
      </c>
      <c r="DC104" s="72">
        <f>F104/G104</f>
        <v>795.14732417384334</v>
      </c>
      <c r="DD104" s="72">
        <f t="shared" si="82"/>
        <v>25.649913683027204</v>
      </c>
      <c r="DE104" s="71">
        <f>F104/BU104</f>
        <v>265553.55636038067</v>
      </c>
      <c r="DF104" s="72">
        <f>J104/K104</f>
        <v>2143.5014619293115</v>
      </c>
      <c r="DG104" s="72">
        <f t="shared" si="73"/>
        <v>69.145208449332628</v>
      </c>
      <c r="DH104" s="72">
        <f>J104/BU104</f>
        <v>88505.866815145753</v>
      </c>
      <c r="DI104" s="72">
        <f>N104/P104</f>
        <v>41770.094900207194</v>
      </c>
      <c r="DJ104" s="72">
        <f t="shared" si="74"/>
        <v>1347.4224161357158</v>
      </c>
      <c r="DK104" s="72">
        <f t="shared" si="75"/>
        <v>2088.5047450103598</v>
      </c>
      <c r="DL104" s="72">
        <f>N104/BU104</f>
        <v>188639.13825900023</v>
      </c>
      <c r="DM104" s="72">
        <f>N104/BV104</f>
        <v>292390.66430145036</v>
      </c>
      <c r="DN104" s="1">
        <v>0</v>
      </c>
      <c r="DO104" s="1">
        <v>0</v>
      </c>
    </row>
    <row r="105" spans="1:119">
      <c r="A105" s="93">
        <f t="shared" si="79"/>
        <v>45505</v>
      </c>
      <c r="B105" s="4">
        <f t="shared" si="42"/>
        <v>2024</v>
      </c>
      <c r="C105" s="4">
        <f t="shared" si="43"/>
        <v>8</v>
      </c>
      <c r="D105" s="56">
        <v>7256052</v>
      </c>
      <c r="E105" s="56">
        <f>IFERROR(VLOOKUP($B105-1,CDM!$J$6:$P$19,2,FALSE)/12,0)+IFERROR(VLOOKUP($B105,CDM!$J$37:$M$48,2,FALSE)/24,0)+IFERROR(VLOOKUP($B105,CDM!$J$37:$M$48,2,FALSE)/2*$C105/78,0)</f>
        <v>171975.81332804327</v>
      </c>
      <c r="F105" s="56">
        <f t="shared" si="76"/>
        <v>7428027.8133280436</v>
      </c>
      <c r="G105" s="301">
        <v>10354</v>
      </c>
      <c r="H105" s="56">
        <v>2359668</v>
      </c>
      <c r="I105" s="56">
        <f>IFERROR(VLOOKUP($B105-1,CDM!$J$6:$P$19,3,FALSE)/12,0)+IFERROR(VLOOKUP($B105,CDM!$J$37:$M$47,3,FALSE)/24,0)+IFERROR(VLOOKUP($B105,CDM!$J$37:$M$47,3,FALSE)/2*$C105/78,0)</f>
        <v>250070.63859959555</v>
      </c>
      <c r="J105" s="56">
        <f t="shared" si="77"/>
        <v>2609738.6385995955</v>
      </c>
      <c r="K105" s="6">
        <v>1278</v>
      </c>
      <c r="L105" s="5">
        <v>5346249</v>
      </c>
      <c r="M105" s="2">
        <f>IFERROR(VLOOKUP($B105-1,CDM!$J$6:$P$19,4,FALSE)/12,0)+IFERROR(VLOOKUP($B105,CDM!$J$37:$M$47,4,FALSE)/24,0)+IFERROR(VLOOKUP($B105,CDM!$J$37:$M$47,4,FALSE)/2*$C105/78,0)</f>
        <v>242729.3405843419</v>
      </c>
      <c r="N105" s="56">
        <f t="shared" si="78"/>
        <v>5588978.3405843414</v>
      </c>
      <c r="O105" s="5">
        <v>13895.1</v>
      </c>
      <c r="P105" s="6">
        <v>139</v>
      </c>
      <c r="Q105" s="5">
        <v>72150</v>
      </c>
      <c r="R105" s="5">
        <v>230.5</v>
      </c>
      <c r="S105" s="6">
        <v>2906</v>
      </c>
      <c r="T105" s="6">
        <v>13885</v>
      </c>
      <c r="U105" s="6">
        <v>37.700000000000003</v>
      </c>
      <c r="V105" s="6">
        <v>172</v>
      </c>
      <c r="W105" s="5">
        <v>49967</v>
      </c>
      <c r="X105" s="1">
        <v>18</v>
      </c>
      <c r="Y105" s="56">
        <v>371.2</v>
      </c>
      <c r="Z105" s="56">
        <v>380.8</v>
      </c>
      <c r="AA105" s="71">
        <f>L105-Y105</f>
        <v>5345877.8</v>
      </c>
      <c r="AB105" s="71">
        <f>N105-Y105</f>
        <v>5588607.1405843413</v>
      </c>
      <c r="AC105" s="5">
        <f>O105-Z105</f>
        <v>13514.300000000001</v>
      </c>
      <c r="AD105" s="111">
        <f>Economic!H107</f>
        <v>876619.7</v>
      </c>
      <c r="AE105" s="111">
        <f>Economic!I107</f>
        <v>890079</v>
      </c>
      <c r="AF105" s="111">
        <f>Economic!D107</f>
        <v>8167</v>
      </c>
      <c r="AG105" s="111">
        <f>Economic!E107</f>
        <v>8245.1</v>
      </c>
      <c r="AH105" s="111">
        <f>Economic!F107</f>
        <v>690.3</v>
      </c>
      <c r="AI105" s="111">
        <f>Economic!G107</f>
        <v>702.3</v>
      </c>
      <c r="AJ105" s="111">
        <f>Economic!J107</f>
        <v>127</v>
      </c>
      <c r="AK105" s="111">
        <f>Economic!K107</f>
        <v>129.5</v>
      </c>
      <c r="AL105" s="111">
        <f>Economic!L107</f>
        <v>7.5</v>
      </c>
      <c r="AM105" s="111">
        <f>Economic!M107</f>
        <v>10.599999999999909</v>
      </c>
      <c r="AN105" s="111">
        <f>Economic!N107</f>
        <v>10760.099999999977</v>
      </c>
      <c r="AO105" s="111">
        <f>Economic!O107</f>
        <v>1346</v>
      </c>
      <c r="AP105" s="28">
        <f>Weather!D105</f>
        <v>18.859677419354838</v>
      </c>
      <c r="AQ105" s="28">
        <f>Weather!E105</f>
        <v>63.7</v>
      </c>
      <c r="AR105" s="28">
        <f>Weather!F105</f>
        <v>28.349999999999994</v>
      </c>
      <c r="AS105" s="28">
        <f>Weather!G105</f>
        <v>30.883333333333333</v>
      </c>
      <c r="AT105" s="28">
        <f>Weather!H105</f>
        <v>57.533333333333317</v>
      </c>
      <c r="AU105" s="28">
        <f>Weather!I105</f>
        <v>9.0208333333333321</v>
      </c>
      <c r="AV105" s="28">
        <f>Weather!J105</f>
        <v>97.670833333333292</v>
      </c>
      <c r="AW105" s="28">
        <f>Weather!K105</f>
        <v>1.2541666666666682</v>
      </c>
      <c r="AX105" s="28">
        <f>Weather!L105</f>
        <v>151.90416666666661</v>
      </c>
      <c r="AY105" s="28">
        <f>Weather!M105</f>
        <v>0</v>
      </c>
      <c r="AZ105" s="28">
        <f>Weather!N105</f>
        <v>212.65</v>
      </c>
      <c r="BA105" s="28">
        <f>Weather!O105</f>
        <v>0</v>
      </c>
      <c r="BB105" s="28">
        <f>Weather!P105</f>
        <v>274.65000000000003</v>
      </c>
      <c r="BC105" s="28">
        <f>Weather!Q105</f>
        <v>0</v>
      </c>
      <c r="BD105" s="28">
        <f>Weather!R105</f>
        <v>336.65000000000003</v>
      </c>
      <c r="BE105">
        <f t="shared" si="85"/>
        <v>0</v>
      </c>
      <c r="BF105">
        <f t="shared" si="85"/>
        <v>0</v>
      </c>
      <c r="BG105">
        <f t="shared" si="85"/>
        <v>0</v>
      </c>
      <c r="BH105">
        <f t="shared" si="85"/>
        <v>0</v>
      </c>
      <c r="BI105">
        <f t="shared" si="85"/>
        <v>0</v>
      </c>
      <c r="BJ105">
        <f t="shared" si="85"/>
        <v>0</v>
      </c>
      <c r="BK105">
        <f t="shared" si="85"/>
        <v>0</v>
      </c>
      <c r="BL105">
        <f t="shared" si="85"/>
        <v>1</v>
      </c>
      <c r="BM105">
        <f t="shared" si="85"/>
        <v>0</v>
      </c>
      <c r="BN105">
        <f t="shared" si="85"/>
        <v>0</v>
      </c>
      <c r="BO105">
        <f t="shared" si="85"/>
        <v>0</v>
      </c>
      <c r="BP105">
        <f t="shared" si="85"/>
        <v>0</v>
      </c>
      <c r="BQ105" s="1">
        <f t="shared" si="85"/>
        <v>0</v>
      </c>
      <c r="BR105" s="1">
        <f t="shared" si="85"/>
        <v>0</v>
      </c>
      <c r="BS105" s="1">
        <f t="shared" si="85"/>
        <v>0</v>
      </c>
      <c r="BT105" s="1">
        <f t="shared" si="44"/>
        <v>104</v>
      </c>
      <c r="BU105">
        <f t="shared" si="41"/>
        <v>31</v>
      </c>
      <c r="BV105" s="1">
        <v>22</v>
      </c>
      <c r="BW105" s="1">
        <v>0</v>
      </c>
      <c r="BX105" s="1">
        <v>0</v>
      </c>
      <c r="BY105" s="1">
        <v>0.25</v>
      </c>
      <c r="BZ105" s="1">
        <v>0</v>
      </c>
      <c r="CA105">
        <f t="shared" si="83"/>
        <v>0</v>
      </c>
      <c r="CB105">
        <f t="shared" si="46"/>
        <v>0</v>
      </c>
      <c r="CC105">
        <f t="shared" si="47"/>
        <v>0</v>
      </c>
      <c r="CD105">
        <f t="shared" si="48"/>
        <v>0</v>
      </c>
      <c r="CE105">
        <f t="shared" si="49"/>
        <v>0</v>
      </c>
      <c r="CF105">
        <f t="shared" si="50"/>
        <v>0</v>
      </c>
      <c r="CG105">
        <f t="shared" si="51"/>
        <v>0</v>
      </c>
      <c r="CH105">
        <f t="shared" si="52"/>
        <v>0</v>
      </c>
      <c r="CI105">
        <f t="shared" si="53"/>
        <v>0</v>
      </c>
      <c r="CJ105">
        <f t="shared" si="54"/>
        <v>0</v>
      </c>
      <c r="CK105">
        <f t="shared" si="55"/>
        <v>0</v>
      </c>
      <c r="CL105">
        <f t="shared" si="56"/>
        <v>0</v>
      </c>
      <c r="CM105">
        <f t="shared" si="57"/>
        <v>0</v>
      </c>
      <c r="CN105">
        <f t="shared" si="58"/>
        <v>0</v>
      </c>
      <c r="CO105" s="14">
        <f t="shared" si="84"/>
        <v>15.925000000000001</v>
      </c>
      <c r="CP105" s="14">
        <f t="shared" si="59"/>
        <v>7.0874999999999986</v>
      </c>
      <c r="CQ105" s="14">
        <f t="shared" si="60"/>
        <v>7.7208333333333332</v>
      </c>
      <c r="CR105" s="14">
        <f t="shared" si="61"/>
        <v>14.383333333333329</v>
      </c>
      <c r="CS105" s="14">
        <f t="shared" si="62"/>
        <v>2.255208333333333</v>
      </c>
      <c r="CT105" s="14">
        <f t="shared" si="63"/>
        <v>24.417708333333323</v>
      </c>
      <c r="CU105" s="14">
        <f t="shared" si="64"/>
        <v>0.31354166666666705</v>
      </c>
      <c r="CV105" s="14">
        <f t="shared" si="65"/>
        <v>37.976041666666653</v>
      </c>
      <c r="CW105" s="14">
        <f t="shared" si="66"/>
        <v>0</v>
      </c>
      <c r="CX105" s="14">
        <f t="shared" si="67"/>
        <v>53.162500000000001</v>
      </c>
      <c r="CY105" s="14">
        <f t="shared" si="68"/>
        <v>0</v>
      </c>
      <c r="CZ105" s="14">
        <f t="shared" si="69"/>
        <v>68.662500000000009</v>
      </c>
      <c r="DA105" s="14">
        <f t="shared" si="70"/>
        <v>0</v>
      </c>
      <c r="DB105" s="14">
        <f t="shared" si="71"/>
        <v>84.162500000000009</v>
      </c>
      <c r="DC105" s="72">
        <f>F105/G105</f>
        <v>717.40658811358355</v>
      </c>
      <c r="DD105" s="72">
        <f t="shared" si="82"/>
        <v>23.142148003663987</v>
      </c>
      <c r="DE105" s="71">
        <f>F105/BU105</f>
        <v>239613.80042993688</v>
      </c>
      <c r="DF105" s="72">
        <f>J105/K105</f>
        <v>2042.0490129887289</v>
      </c>
      <c r="DG105" s="72">
        <f t="shared" si="73"/>
        <v>65.872548806088034</v>
      </c>
      <c r="DH105" s="72">
        <f>J105/BU105</f>
        <v>84185.117374180496</v>
      </c>
      <c r="DI105" s="72">
        <f>N105/P105</f>
        <v>40208.477270390948</v>
      </c>
      <c r="DJ105" s="72">
        <f t="shared" si="74"/>
        <v>1297.047653883579</v>
      </c>
      <c r="DK105" s="72">
        <f t="shared" si="75"/>
        <v>1827.6580577450432</v>
      </c>
      <c r="DL105" s="72">
        <f>N105/BU105</f>
        <v>180289.62388981748</v>
      </c>
      <c r="DM105" s="72">
        <f>N105/BV105</f>
        <v>254044.47002656097</v>
      </c>
      <c r="DN105" s="1">
        <v>0</v>
      </c>
      <c r="DO105" s="1">
        <v>0</v>
      </c>
    </row>
    <row r="106" spans="1:119">
      <c r="A106" s="93">
        <f t="shared" si="79"/>
        <v>45536</v>
      </c>
      <c r="B106" s="4">
        <f t="shared" si="42"/>
        <v>2024</v>
      </c>
      <c r="C106" s="4">
        <f t="shared" si="43"/>
        <v>9</v>
      </c>
      <c r="D106" s="56">
        <v>6086500</v>
      </c>
      <c r="E106" s="56">
        <f>IFERROR(VLOOKUP($B106-1,CDM!$J$6:$P$19,2,FALSE)/12,0)+IFERROR(VLOOKUP($B106,CDM!$J$37:$M$48,2,FALSE)/24,0)+IFERROR(VLOOKUP($B106,CDM!$J$37:$M$48,2,FALSE)/2*$C106/78,0)</f>
        <v>172410.37948428589</v>
      </c>
      <c r="F106" s="56">
        <f t="shared" si="76"/>
        <v>6258910.3794842856</v>
      </c>
      <c r="G106" s="301">
        <v>10358</v>
      </c>
      <c r="H106" s="56">
        <v>2082104</v>
      </c>
      <c r="I106" s="56">
        <f>IFERROR(VLOOKUP($B106-1,CDM!$J$6:$P$19,3,FALSE)/12,0)+IFERROR(VLOOKUP($B106,CDM!$J$37:$M$47,3,FALSE)/24,0)+IFERROR(VLOOKUP($B106,CDM!$J$37:$M$47,3,FALSE)/2*$C106/78,0)</f>
        <v>252000.40592967282</v>
      </c>
      <c r="J106" s="56">
        <f t="shared" si="77"/>
        <v>2334104.405929673</v>
      </c>
      <c r="K106" s="6">
        <v>1276</v>
      </c>
      <c r="L106" s="5">
        <v>5113993</v>
      </c>
      <c r="M106" s="2">
        <f>IFERROR(VLOOKUP($B106-1,CDM!$J$6:$P$19,4,FALSE)/12,0)+IFERROR(VLOOKUP($B106,CDM!$J$37:$M$47,4,FALSE)/24,0)+IFERROR(VLOOKUP($B106,CDM!$J$37:$M$47,4,FALSE)/2*$C106/78,0)</f>
        <v>244956.39513967608</v>
      </c>
      <c r="N106" s="56">
        <f t="shared" si="78"/>
        <v>5358949.3951396765</v>
      </c>
      <c r="O106" s="5">
        <v>19139.2</v>
      </c>
      <c r="P106" s="6">
        <v>139</v>
      </c>
      <c r="Q106" s="5">
        <v>79660</v>
      </c>
      <c r="R106" s="5">
        <v>230.5</v>
      </c>
      <c r="S106" s="6">
        <v>2906</v>
      </c>
      <c r="T106" s="6">
        <v>13771</v>
      </c>
      <c r="U106" s="6">
        <v>37.5</v>
      </c>
      <c r="V106" s="6">
        <v>172</v>
      </c>
      <c r="W106" s="5">
        <v>48874</v>
      </c>
      <c r="X106" s="1">
        <v>18</v>
      </c>
      <c r="Y106" s="56">
        <v>304</v>
      </c>
      <c r="Z106" s="56">
        <v>800</v>
      </c>
      <c r="AA106" s="71">
        <f>L106-Y106</f>
        <v>5113689</v>
      </c>
      <c r="AB106" s="71">
        <f>N106-Y106</f>
        <v>5358645.3951396765</v>
      </c>
      <c r="AC106" s="5">
        <f>O106-Z106</f>
        <v>18339.2</v>
      </c>
      <c r="AD106" s="111">
        <f>Economic!H108</f>
        <v>876619.7</v>
      </c>
      <c r="AE106" s="111">
        <f>Economic!I108</f>
        <v>890079</v>
      </c>
      <c r="AF106" s="111">
        <f>Economic!D108</f>
        <v>8182.9</v>
      </c>
      <c r="AG106" s="111">
        <f>Economic!E108</f>
        <v>8217.2000000000007</v>
      </c>
      <c r="AH106" s="111">
        <f>Economic!F108</f>
        <v>699.9</v>
      </c>
      <c r="AI106" s="111">
        <f>Economic!G108</f>
        <v>703.5</v>
      </c>
      <c r="AJ106" s="111">
        <f>Economic!J108</f>
        <v>130.5</v>
      </c>
      <c r="AK106" s="111">
        <f>Economic!K108</f>
        <v>148.70000000000073</v>
      </c>
      <c r="AL106" s="111">
        <f>Economic!L108</f>
        <v>15.100000000000023</v>
      </c>
      <c r="AM106" s="111">
        <f>Economic!M108</f>
        <v>16.200000000000045</v>
      </c>
      <c r="AN106" s="111">
        <f>Economic!N108</f>
        <v>10760.099999999977</v>
      </c>
      <c r="AO106" s="111">
        <f>Economic!O108</f>
        <v>1346</v>
      </c>
      <c r="AP106" s="28">
        <f>Weather!D106</f>
        <v>15.967222222222224</v>
      </c>
      <c r="AQ106" s="28">
        <f>Weather!E106</f>
        <v>120.98333333333333</v>
      </c>
      <c r="AR106" s="28">
        <f>Weather!F106</f>
        <v>0</v>
      </c>
      <c r="AS106" s="28">
        <f>Weather!G106</f>
        <v>70.695833333333326</v>
      </c>
      <c r="AT106" s="28">
        <f>Weather!H106</f>
        <v>9.7124999999999879</v>
      </c>
      <c r="AU106" s="28">
        <f>Weather!I106</f>
        <v>36.037500000000001</v>
      </c>
      <c r="AV106" s="28">
        <f>Weather!J106</f>
        <v>35.054166666666646</v>
      </c>
      <c r="AW106" s="28">
        <f>Weather!K106</f>
        <v>17.058333333333337</v>
      </c>
      <c r="AX106" s="28">
        <f>Weather!L106</f>
        <v>76.075000000000003</v>
      </c>
      <c r="AY106" s="28">
        <f>Weather!M106</f>
        <v>8.1791666666666654</v>
      </c>
      <c r="AZ106" s="28">
        <f>Weather!N106</f>
        <v>127.19583333333331</v>
      </c>
      <c r="BA106" s="28">
        <f>Weather!O106</f>
        <v>2.4333333333333318</v>
      </c>
      <c r="BB106" s="28">
        <f>Weather!P106</f>
        <v>181.45</v>
      </c>
      <c r="BC106" s="28">
        <f>Weather!Q106</f>
        <v>2.0833333333332149E-2</v>
      </c>
      <c r="BD106" s="28">
        <f>Weather!R106</f>
        <v>239.03749999999997</v>
      </c>
      <c r="BE106">
        <f t="shared" si="85"/>
        <v>0</v>
      </c>
      <c r="BF106">
        <f t="shared" si="85"/>
        <v>0</v>
      </c>
      <c r="BG106">
        <f t="shared" si="85"/>
        <v>0</v>
      </c>
      <c r="BH106">
        <f t="shared" si="85"/>
        <v>0</v>
      </c>
      <c r="BI106">
        <f t="shared" si="85"/>
        <v>0</v>
      </c>
      <c r="BJ106">
        <f t="shared" si="85"/>
        <v>0</v>
      </c>
      <c r="BK106">
        <f t="shared" si="85"/>
        <v>0</v>
      </c>
      <c r="BL106">
        <f t="shared" si="85"/>
        <v>0</v>
      </c>
      <c r="BM106">
        <f t="shared" si="85"/>
        <v>1</v>
      </c>
      <c r="BN106">
        <f t="shared" si="85"/>
        <v>0</v>
      </c>
      <c r="BO106">
        <f t="shared" si="85"/>
        <v>0</v>
      </c>
      <c r="BP106">
        <f t="shared" si="85"/>
        <v>0</v>
      </c>
      <c r="BQ106" s="1">
        <f t="shared" si="85"/>
        <v>0</v>
      </c>
      <c r="BR106" s="1">
        <f t="shared" si="85"/>
        <v>1</v>
      </c>
      <c r="BS106" s="1">
        <f t="shared" si="85"/>
        <v>1</v>
      </c>
      <c r="BT106" s="1">
        <f t="shared" si="44"/>
        <v>105</v>
      </c>
      <c r="BU106">
        <f t="shared" si="41"/>
        <v>30</v>
      </c>
      <c r="BV106" s="1">
        <v>20</v>
      </c>
      <c r="BW106" s="1">
        <v>0</v>
      </c>
      <c r="BX106" s="1">
        <v>0</v>
      </c>
      <c r="BY106" s="1">
        <v>0.25</v>
      </c>
      <c r="BZ106" s="1">
        <v>0</v>
      </c>
      <c r="CA106">
        <f t="shared" si="83"/>
        <v>0</v>
      </c>
      <c r="CB106">
        <f t="shared" si="46"/>
        <v>0</v>
      </c>
      <c r="CC106">
        <f t="shared" si="47"/>
        <v>0</v>
      </c>
      <c r="CD106">
        <f t="shared" si="48"/>
        <v>0</v>
      </c>
      <c r="CE106">
        <f t="shared" si="49"/>
        <v>0</v>
      </c>
      <c r="CF106">
        <f t="shared" si="50"/>
        <v>0</v>
      </c>
      <c r="CG106">
        <f t="shared" si="51"/>
        <v>0</v>
      </c>
      <c r="CH106">
        <f t="shared" si="52"/>
        <v>0</v>
      </c>
      <c r="CI106">
        <f t="shared" si="53"/>
        <v>0</v>
      </c>
      <c r="CJ106">
        <f t="shared" si="54"/>
        <v>0</v>
      </c>
      <c r="CK106">
        <f t="shared" si="55"/>
        <v>0</v>
      </c>
      <c r="CL106">
        <f t="shared" si="56"/>
        <v>0</v>
      </c>
      <c r="CM106">
        <f t="shared" si="57"/>
        <v>0</v>
      </c>
      <c r="CN106">
        <f t="shared" si="58"/>
        <v>0</v>
      </c>
      <c r="CO106" s="14">
        <f t="shared" si="84"/>
        <v>30.245833333333334</v>
      </c>
      <c r="CP106" s="14">
        <f t="shared" si="59"/>
        <v>0</v>
      </c>
      <c r="CQ106" s="14">
        <f t="shared" si="60"/>
        <v>17.673958333333331</v>
      </c>
      <c r="CR106" s="14">
        <f t="shared" si="61"/>
        <v>2.428124999999997</v>
      </c>
      <c r="CS106" s="14">
        <f t="shared" si="62"/>
        <v>9.0093750000000004</v>
      </c>
      <c r="CT106" s="14">
        <f t="shared" si="63"/>
        <v>8.7635416666666615</v>
      </c>
      <c r="CU106" s="14">
        <f t="shared" si="64"/>
        <v>4.2645833333333343</v>
      </c>
      <c r="CV106" s="14">
        <f t="shared" si="65"/>
        <v>19.018750000000001</v>
      </c>
      <c r="CW106" s="14">
        <f t="shared" si="66"/>
        <v>2.0447916666666663</v>
      </c>
      <c r="CX106" s="14">
        <f t="shared" si="67"/>
        <v>31.798958333333328</v>
      </c>
      <c r="CY106" s="14">
        <f t="shared" si="68"/>
        <v>0.60833333333333295</v>
      </c>
      <c r="CZ106" s="14">
        <f t="shared" si="69"/>
        <v>45.362499999999997</v>
      </c>
      <c r="DA106" s="14">
        <f t="shared" si="70"/>
        <v>5.2083333333330373E-3</v>
      </c>
      <c r="DB106" s="14">
        <f t="shared" si="71"/>
        <v>59.759374999999991</v>
      </c>
      <c r="DC106" s="72">
        <f>F106/G106</f>
        <v>604.25858075731662</v>
      </c>
      <c r="DD106" s="72">
        <f t="shared" si="82"/>
        <v>20.141952691910554</v>
      </c>
      <c r="DE106" s="71">
        <f>F106/BU106</f>
        <v>208630.34598280952</v>
      </c>
      <c r="DF106" s="72">
        <f>J106/K106</f>
        <v>1829.2354278445714</v>
      </c>
      <c r="DG106" s="72">
        <f t="shared" si="73"/>
        <v>60.974514261485716</v>
      </c>
      <c r="DH106" s="72">
        <f>J106/BU106</f>
        <v>77803.480197655765</v>
      </c>
      <c r="DI106" s="72">
        <f>N106/P106</f>
        <v>38553.592770789037</v>
      </c>
      <c r="DJ106" s="72">
        <f t="shared" si="74"/>
        <v>1285.1197590263012</v>
      </c>
      <c r="DK106" s="72">
        <f t="shared" si="75"/>
        <v>1927.6796385394518</v>
      </c>
      <c r="DL106" s="72">
        <f>N106/BU106</f>
        <v>178631.64650465589</v>
      </c>
      <c r="DM106" s="72">
        <f>N106/BV106</f>
        <v>267947.4697569838</v>
      </c>
      <c r="DN106" s="1">
        <v>0</v>
      </c>
      <c r="DO106" s="1">
        <v>0</v>
      </c>
    </row>
    <row r="107" spans="1:119">
      <c r="A107" s="93">
        <f t="shared" si="79"/>
        <v>45566</v>
      </c>
      <c r="B107" s="4">
        <f t="shared" si="42"/>
        <v>2024</v>
      </c>
      <c r="C107" s="4">
        <f t="shared" si="43"/>
        <v>10</v>
      </c>
      <c r="D107" s="56">
        <v>5987770</v>
      </c>
      <c r="E107" s="56">
        <f>IFERROR(VLOOKUP($B107-1,CDM!$J$6:$P$19,2,FALSE)/12,0)+IFERROR(VLOOKUP($B107,CDM!$J$37:$M$48,2,FALSE)/24,0)+IFERROR(VLOOKUP($B107,CDM!$J$37:$M$48,2,FALSE)/2*$C107/78,0)</f>
        <v>172844.94564052852</v>
      </c>
      <c r="F107" s="56">
        <f t="shared" si="76"/>
        <v>6160614.9456405286</v>
      </c>
      <c r="G107" s="301">
        <v>10359</v>
      </c>
      <c r="H107" s="56">
        <v>2141072</v>
      </c>
      <c r="I107" s="56">
        <f>IFERROR(VLOOKUP($B107-1,CDM!$J$6:$P$19,3,FALSE)/12,0)+IFERROR(VLOOKUP($B107,CDM!$J$37:$M$47,3,FALSE)/24,0)+IFERROR(VLOOKUP($B107,CDM!$J$37:$M$47,3,FALSE)/2*$C107/78,0)</f>
        <v>253930.1732597501</v>
      </c>
      <c r="J107" s="56">
        <f t="shared" si="77"/>
        <v>2395002.17325975</v>
      </c>
      <c r="K107" s="6">
        <v>1274</v>
      </c>
      <c r="L107" s="5">
        <v>5118189</v>
      </c>
      <c r="M107" s="2">
        <f>IFERROR(VLOOKUP($B107-1,CDM!$J$6:$P$19,4,FALSE)/12,0)+IFERROR(VLOOKUP($B107,CDM!$J$37:$M$47,4,FALSE)/24,0)+IFERROR(VLOOKUP($B107,CDM!$J$37:$M$47,4,FALSE)/2*$C107/78,0)</f>
        <v>247183.44969501023</v>
      </c>
      <c r="N107" s="56">
        <f t="shared" si="78"/>
        <v>5365372.4496950107</v>
      </c>
      <c r="O107" s="5">
        <v>16271</v>
      </c>
      <c r="P107" s="6">
        <v>138</v>
      </c>
      <c r="Q107" s="5">
        <v>92876</v>
      </c>
      <c r="R107" s="5">
        <v>230.5</v>
      </c>
      <c r="S107" s="6">
        <v>2906</v>
      </c>
      <c r="T107" s="6">
        <v>13634</v>
      </c>
      <c r="U107" s="6">
        <v>37.1</v>
      </c>
      <c r="V107" s="6">
        <v>172</v>
      </c>
      <c r="W107" s="5">
        <v>49892</v>
      </c>
      <c r="X107" s="1">
        <v>18</v>
      </c>
      <c r="Y107" s="56">
        <v>148430.39999999999</v>
      </c>
      <c r="Z107" s="56">
        <v>2908.8</v>
      </c>
      <c r="AA107" s="71">
        <f>L107-Y107</f>
        <v>4969758.5999999996</v>
      </c>
      <c r="AB107" s="71">
        <f>N107-Y107</f>
        <v>5216942.0496950103</v>
      </c>
      <c r="AC107" s="5">
        <f>O107-Z107</f>
        <v>13362.2</v>
      </c>
      <c r="AD107" s="111">
        <f>Economic!H109</f>
        <v>876619.7</v>
      </c>
      <c r="AE107" s="111">
        <f>Economic!I109</f>
        <v>893201</v>
      </c>
      <c r="AF107" s="111">
        <f>Economic!D109</f>
        <v>8184.5</v>
      </c>
      <c r="AG107" s="111">
        <f>Economic!E109</f>
        <v>8197.6</v>
      </c>
      <c r="AH107" s="111">
        <f>Economic!F109</f>
        <v>706.4</v>
      </c>
      <c r="AI107" s="111">
        <f>Economic!G109</f>
        <v>702.8</v>
      </c>
      <c r="AJ107" s="111">
        <f>Economic!J109</f>
        <v>126.19999999999982</v>
      </c>
      <c r="AK107" s="111">
        <f>Economic!K109</f>
        <v>147.5</v>
      </c>
      <c r="AL107" s="111">
        <f>Economic!L109</f>
        <v>16</v>
      </c>
      <c r="AM107" s="111">
        <f>Economic!M109</f>
        <v>14</v>
      </c>
      <c r="AN107" s="111">
        <f>Economic!N109</f>
        <v>10760.099999999977</v>
      </c>
      <c r="AO107" s="111">
        <f>Economic!O109</f>
        <v>3122</v>
      </c>
      <c r="AP107" s="28">
        <f>Weather!D107</f>
        <v>8.3852150537634422</v>
      </c>
      <c r="AQ107" s="28">
        <f>Weather!E107</f>
        <v>360.05833333333328</v>
      </c>
      <c r="AR107" s="28">
        <f>Weather!F107</f>
        <v>0</v>
      </c>
      <c r="AS107" s="28">
        <f>Weather!G107</f>
        <v>299.2833333333333</v>
      </c>
      <c r="AT107" s="28">
        <f>Weather!H107</f>
        <v>1.2250000000000014</v>
      </c>
      <c r="AU107" s="28">
        <f>Weather!I107</f>
        <v>239.28333333333327</v>
      </c>
      <c r="AV107" s="28">
        <f>Weather!J107</f>
        <v>3.2250000000000014</v>
      </c>
      <c r="AW107" s="28">
        <f>Weather!K107</f>
        <v>181.74583333333334</v>
      </c>
      <c r="AX107" s="28">
        <f>Weather!L107</f>
        <v>7.6875000000000036</v>
      </c>
      <c r="AY107" s="28">
        <f>Weather!M107</f>
        <v>132.20416666666668</v>
      </c>
      <c r="AZ107" s="28">
        <f>Weather!N107</f>
        <v>20.145833333333339</v>
      </c>
      <c r="BA107" s="28">
        <f>Weather!O107</f>
        <v>89.8</v>
      </c>
      <c r="BB107" s="28">
        <f>Weather!P107</f>
        <v>39.741666666666674</v>
      </c>
      <c r="BC107" s="28">
        <f>Weather!Q107</f>
        <v>51.55416666666666</v>
      </c>
      <c r="BD107" s="28">
        <f>Weather!R107</f>
        <v>63.495833333333337</v>
      </c>
      <c r="BE107">
        <f t="shared" ref="BE107:BS121" si="86">BE95</f>
        <v>0</v>
      </c>
      <c r="BF107">
        <f t="shared" si="86"/>
        <v>0</v>
      </c>
      <c r="BG107">
        <f t="shared" si="86"/>
        <v>0</v>
      </c>
      <c r="BH107">
        <f t="shared" si="86"/>
        <v>0</v>
      </c>
      <c r="BI107">
        <f t="shared" si="86"/>
        <v>0</v>
      </c>
      <c r="BJ107">
        <f t="shared" si="86"/>
        <v>0</v>
      </c>
      <c r="BK107">
        <f t="shared" si="86"/>
        <v>0</v>
      </c>
      <c r="BL107">
        <f t="shared" si="86"/>
        <v>0</v>
      </c>
      <c r="BM107">
        <f t="shared" si="86"/>
        <v>0</v>
      </c>
      <c r="BN107">
        <f t="shared" si="86"/>
        <v>1</v>
      </c>
      <c r="BO107">
        <f t="shared" si="86"/>
        <v>0</v>
      </c>
      <c r="BP107">
        <f t="shared" si="86"/>
        <v>0</v>
      </c>
      <c r="BQ107" s="1">
        <f t="shared" si="86"/>
        <v>0</v>
      </c>
      <c r="BR107" s="1">
        <f t="shared" si="86"/>
        <v>1</v>
      </c>
      <c r="BS107" s="1">
        <f t="shared" si="86"/>
        <v>1</v>
      </c>
      <c r="BT107" s="1">
        <f t="shared" si="44"/>
        <v>106</v>
      </c>
      <c r="BU107">
        <f t="shared" si="41"/>
        <v>31</v>
      </c>
      <c r="BV107" s="1">
        <v>20</v>
      </c>
      <c r="BW107" s="1">
        <v>0</v>
      </c>
      <c r="BX107" s="1">
        <v>0</v>
      </c>
      <c r="BY107" s="1">
        <v>0.25</v>
      </c>
      <c r="BZ107" s="1">
        <v>0</v>
      </c>
      <c r="CA107">
        <f t="shared" si="83"/>
        <v>0</v>
      </c>
      <c r="CB107">
        <f t="shared" si="46"/>
        <v>0</v>
      </c>
      <c r="CC107">
        <f t="shared" si="47"/>
        <v>0</v>
      </c>
      <c r="CD107">
        <f t="shared" si="48"/>
        <v>0</v>
      </c>
      <c r="CE107">
        <f t="shared" si="49"/>
        <v>0</v>
      </c>
      <c r="CF107">
        <f t="shared" si="50"/>
        <v>0</v>
      </c>
      <c r="CG107">
        <f t="shared" si="51"/>
        <v>0</v>
      </c>
      <c r="CH107">
        <f t="shared" si="52"/>
        <v>0</v>
      </c>
      <c r="CI107">
        <f t="shared" si="53"/>
        <v>0</v>
      </c>
      <c r="CJ107">
        <f t="shared" si="54"/>
        <v>0</v>
      </c>
      <c r="CK107">
        <f t="shared" si="55"/>
        <v>0</v>
      </c>
      <c r="CL107">
        <f t="shared" si="56"/>
        <v>0</v>
      </c>
      <c r="CM107">
        <f t="shared" si="57"/>
        <v>0</v>
      </c>
      <c r="CN107">
        <f t="shared" si="58"/>
        <v>0</v>
      </c>
      <c r="CO107" s="14">
        <f t="shared" si="84"/>
        <v>90.01458333333332</v>
      </c>
      <c r="CP107" s="14">
        <f t="shared" si="59"/>
        <v>0</v>
      </c>
      <c r="CQ107" s="14">
        <f t="shared" si="60"/>
        <v>74.820833333333326</v>
      </c>
      <c r="CR107" s="14">
        <f t="shared" si="61"/>
        <v>0.30625000000000036</v>
      </c>
      <c r="CS107" s="14">
        <f t="shared" si="62"/>
        <v>59.820833333333319</v>
      </c>
      <c r="CT107" s="14">
        <f t="shared" si="63"/>
        <v>0.80625000000000036</v>
      </c>
      <c r="CU107" s="14">
        <f t="shared" si="64"/>
        <v>45.436458333333334</v>
      </c>
      <c r="CV107" s="14">
        <f t="shared" si="65"/>
        <v>1.9218750000000009</v>
      </c>
      <c r="CW107" s="14">
        <f t="shared" si="66"/>
        <v>33.05104166666667</v>
      </c>
      <c r="CX107" s="14">
        <f t="shared" si="67"/>
        <v>5.0364583333333348</v>
      </c>
      <c r="CY107" s="14">
        <f t="shared" si="68"/>
        <v>22.45</v>
      </c>
      <c r="CZ107" s="14">
        <f t="shared" si="69"/>
        <v>9.9354166666666686</v>
      </c>
      <c r="DA107" s="14">
        <f t="shared" si="70"/>
        <v>12.888541666666665</v>
      </c>
      <c r="DB107" s="14">
        <f t="shared" si="71"/>
        <v>15.873958333333334</v>
      </c>
      <c r="DC107" s="72">
        <f>F107/G107</f>
        <v>594.71135685302909</v>
      </c>
      <c r="DD107" s="72">
        <f t="shared" si="82"/>
        <v>19.184237317839649</v>
      </c>
      <c r="DE107" s="71">
        <f>F107/BU107</f>
        <v>198729.51437550093</v>
      </c>
      <c r="DF107" s="72">
        <f>J107/K107</f>
        <v>1879.9075143326138</v>
      </c>
      <c r="DG107" s="72">
        <f t="shared" si="73"/>
        <v>60.642177881697222</v>
      </c>
      <c r="DH107" s="72">
        <f>J107/BU107</f>
        <v>77258.134621282254</v>
      </c>
      <c r="DI107" s="72">
        <f>N107/P107</f>
        <v>38879.510505036313</v>
      </c>
      <c r="DJ107" s="72">
        <f t="shared" si="74"/>
        <v>1254.1777582269779</v>
      </c>
      <c r="DK107" s="72">
        <f t="shared" si="75"/>
        <v>1943.9755252518157</v>
      </c>
      <c r="DL107" s="72">
        <f>N107/BU107</f>
        <v>173076.53063532294</v>
      </c>
      <c r="DM107" s="72">
        <f>N107/BV107</f>
        <v>268268.62248475052</v>
      </c>
      <c r="DN107" s="1">
        <v>0</v>
      </c>
      <c r="DO107" s="1">
        <v>0</v>
      </c>
    </row>
    <row r="108" spans="1:119">
      <c r="A108" s="93">
        <f t="shared" si="79"/>
        <v>45597</v>
      </c>
      <c r="B108" s="4">
        <f t="shared" si="42"/>
        <v>2024</v>
      </c>
      <c r="C108" s="4">
        <f t="shared" si="43"/>
        <v>11</v>
      </c>
      <c r="D108" s="56">
        <v>6661271</v>
      </c>
      <c r="E108" s="56">
        <f>IFERROR(VLOOKUP($B108-1,CDM!$J$6:$P$19,2,FALSE)/12,0)+IFERROR(VLOOKUP($B108,CDM!$J$37:$M$48,2,FALSE)/24,0)+IFERROR(VLOOKUP($B108,CDM!$J$37:$M$48,2,FALSE)/2*$C108/78,0)</f>
        <v>173279.51179677114</v>
      </c>
      <c r="F108" s="56">
        <f t="shared" si="76"/>
        <v>6834550.5117967715</v>
      </c>
      <c r="G108" s="301">
        <v>10364</v>
      </c>
      <c r="H108" s="56">
        <v>2343080</v>
      </c>
      <c r="I108" s="56">
        <f>IFERROR(VLOOKUP($B108-1,CDM!$J$6:$P$19,3,FALSE)/12,0)+IFERROR(VLOOKUP($B108,CDM!$J$37:$M$47,3,FALSE)/24,0)+IFERROR(VLOOKUP($B108,CDM!$J$37:$M$47,3,FALSE)/2*$C108/78,0)</f>
        <v>255859.94058982737</v>
      </c>
      <c r="J108" s="56">
        <f t="shared" si="77"/>
        <v>2598939.9405898275</v>
      </c>
      <c r="K108" s="6">
        <v>1271</v>
      </c>
      <c r="L108" s="5">
        <v>5084244</v>
      </c>
      <c r="M108" s="2">
        <f>IFERROR(VLOOKUP($B108-1,CDM!$J$6:$P$19,4,FALSE)/12,0)+IFERROR(VLOOKUP($B108,CDM!$J$37:$M$47,4,FALSE)/24,0)+IFERROR(VLOOKUP($B108,CDM!$J$37:$M$47,4,FALSE)/2*$C108/78,0)</f>
        <v>249410.50425034438</v>
      </c>
      <c r="N108" s="56">
        <f t="shared" si="78"/>
        <v>5333654.5042503448</v>
      </c>
      <c r="O108" s="5">
        <v>15760.5</v>
      </c>
      <c r="P108" s="6">
        <v>137</v>
      </c>
      <c r="Q108" s="5">
        <v>98927</v>
      </c>
      <c r="R108" s="5">
        <v>230.5</v>
      </c>
      <c r="S108" s="6">
        <v>2906</v>
      </c>
      <c r="T108" s="6">
        <v>13622</v>
      </c>
      <c r="U108" s="6">
        <v>37.099999999999994</v>
      </c>
      <c r="V108" s="6">
        <v>177</v>
      </c>
      <c r="W108" s="5">
        <v>48758</v>
      </c>
      <c r="X108" s="1">
        <v>20</v>
      </c>
      <c r="Y108" s="56">
        <v>63941.599999999999</v>
      </c>
      <c r="Z108" s="56">
        <v>2969.6</v>
      </c>
      <c r="AA108" s="71">
        <f>L108-Y108</f>
        <v>5020302.4000000004</v>
      </c>
      <c r="AB108" s="71">
        <f>N108-Y108</f>
        <v>5269712.9042503452</v>
      </c>
      <c r="AC108" s="5">
        <f>O108-Z108</f>
        <v>12790.9</v>
      </c>
      <c r="AD108" s="111">
        <f>Economic!H110</f>
        <v>876619.7</v>
      </c>
      <c r="AE108" s="111">
        <f>Economic!I110</f>
        <v>893201</v>
      </c>
      <c r="AF108" s="111">
        <f>Economic!D110</f>
        <v>8185.4</v>
      </c>
      <c r="AG108" s="111">
        <f>Economic!E110</f>
        <v>8185.1</v>
      </c>
      <c r="AH108" s="111">
        <f>Economic!F110</f>
        <v>708.3</v>
      </c>
      <c r="AI108" s="111">
        <f>Economic!G110</f>
        <v>700.7</v>
      </c>
      <c r="AJ108" s="111">
        <f>Economic!J110</f>
        <v>123.29999999999927</v>
      </c>
      <c r="AK108" s="111">
        <f>Economic!K110</f>
        <v>138.90000000000055</v>
      </c>
      <c r="AL108" s="111">
        <f>Economic!L110</f>
        <v>16.299999999999955</v>
      </c>
      <c r="AM108" s="111">
        <f>Economic!M110</f>
        <v>13.700000000000045</v>
      </c>
      <c r="AN108" s="111">
        <f>Economic!N110</f>
        <v>10760.099999999977</v>
      </c>
      <c r="AO108" s="111">
        <f>Economic!O110</f>
        <v>3122</v>
      </c>
      <c r="AP108" s="28">
        <f>Weather!D108</f>
        <v>3.1184722222222234</v>
      </c>
      <c r="AQ108" s="28">
        <f>Weather!E108</f>
        <v>506.44583333333338</v>
      </c>
      <c r="AR108" s="28">
        <f>Weather!F108</f>
        <v>0</v>
      </c>
      <c r="AS108" s="28">
        <f>Weather!G108</f>
        <v>446.44583333333333</v>
      </c>
      <c r="AT108" s="28">
        <f>Weather!H108</f>
        <v>0</v>
      </c>
      <c r="AU108" s="28">
        <f>Weather!I108</f>
        <v>386.44583333333333</v>
      </c>
      <c r="AV108" s="28">
        <f>Weather!J108</f>
        <v>0</v>
      </c>
      <c r="AW108" s="28">
        <f>Weather!K108</f>
        <v>327.05000000000007</v>
      </c>
      <c r="AX108" s="28">
        <f>Weather!L108</f>
        <v>0.6041666666666643</v>
      </c>
      <c r="AY108" s="28">
        <f>Weather!M108</f>
        <v>269.08333333333337</v>
      </c>
      <c r="AZ108" s="28">
        <f>Weather!N108</f>
        <v>2.6374999999999975</v>
      </c>
      <c r="BA108" s="28">
        <f>Weather!O108</f>
        <v>213.08333333333331</v>
      </c>
      <c r="BB108" s="28">
        <f>Weather!P108</f>
        <v>6.6374999999999975</v>
      </c>
      <c r="BC108" s="28">
        <f>Weather!Q108</f>
        <v>157.08333333333331</v>
      </c>
      <c r="BD108" s="28">
        <f>Weather!R108</f>
        <v>10.637499999999998</v>
      </c>
      <c r="BE108">
        <f t="shared" si="86"/>
        <v>0</v>
      </c>
      <c r="BF108">
        <f t="shared" si="86"/>
        <v>0</v>
      </c>
      <c r="BG108">
        <f t="shared" si="86"/>
        <v>0</v>
      </c>
      <c r="BH108">
        <f t="shared" si="86"/>
        <v>0</v>
      </c>
      <c r="BI108">
        <f t="shared" si="86"/>
        <v>0</v>
      </c>
      <c r="BJ108">
        <f t="shared" si="86"/>
        <v>0</v>
      </c>
      <c r="BK108">
        <f t="shared" si="86"/>
        <v>0</v>
      </c>
      <c r="BL108">
        <f t="shared" si="86"/>
        <v>0</v>
      </c>
      <c r="BM108">
        <f t="shared" si="86"/>
        <v>0</v>
      </c>
      <c r="BN108">
        <f t="shared" si="86"/>
        <v>0</v>
      </c>
      <c r="BO108">
        <f t="shared" si="86"/>
        <v>1</v>
      </c>
      <c r="BP108">
        <f t="shared" si="86"/>
        <v>0</v>
      </c>
      <c r="BQ108" s="1">
        <f t="shared" si="86"/>
        <v>0</v>
      </c>
      <c r="BR108" s="1">
        <f t="shared" si="86"/>
        <v>1</v>
      </c>
      <c r="BS108" s="1">
        <f t="shared" si="86"/>
        <v>1</v>
      </c>
      <c r="BT108" s="1">
        <f t="shared" si="44"/>
        <v>107</v>
      </c>
      <c r="BU108">
        <f t="shared" si="41"/>
        <v>30</v>
      </c>
      <c r="BV108" s="1">
        <v>22</v>
      </c>
      <c r="BW108" s="1">
        <v>0</v>
      </c>
      <c r="BX108" s="1">
        <v>0</v>
      </c>
      <c r="BY108" s="1">
        <v>0.25</v>
      </c>
      <c r="BZ108" s="1">
        <v>0</v>
      </c>
      <c r="CA108">
        <f t="shared" si="83"/>
        <v>0</v>
      </c>
      <c r="CB108">
        <f t="shared" si="46"/>
        <v>0</v>
      </c>
      <c r="CC108">
        <f t="shared" si="47"/>
        <v>0</v>
      </c>
      <c r="CD108">
        <f t="shared" si="48"/>
        <v>0</v>
      </c>
      <c r="CE108">
        <f t="shared" si="49"/>
        <v>0</v>
      </c>
      <c r="CF108">
        <f t="shared" si="50"/>
        <v>0</v>
      </c>
      <c r="CG108">
        <f t="shared" si="51"/>
        <v>0</v>
      </c>
      <c r="CH108">
        <f t="shared" si="52"/>
        <v>0</v>
      </c>
      <c r="CI108">
        <f t="shared" si="53"/>
        <v>0</v>
      </c>
      <c r="CJ108">
        <f t="shared" si="54"/>
        <v>0</v>
      </c>
      <c r="CK108">
        <f t="shared" si="55"/>
        <v>0</v>
      </c>
      <c r="CL108">
        <f t="shared" si="56"/>
        <v>0</v>
      </c>
      <c r="CM108">
        <f t="shared" si="57"/>
        <v>0</v>
      </c>
      <c r="CN108">
        <f t="shared" si="58"/>
        <v>0</v>
      </c>
      <c r="CO108" s="14">
        <f t="shared" si="84"/>
        <v>126.61145833333335</v>
      </c>
      <c r="CP108" s="14">
        <f t="shared" si="59"/>
        <v>0</v>
      </c>
      <c r="CQ108" s="14">
        <f t="shared" si="60"/>
        <v>111.61145833333333</v>
      </c>
      <c r="CR108" s="14">
        <f t="shared" si="61"/>
        <v>0</v>
      </c>
      <c r="CS108" s="14">
        <f t="shared" si="62"/>
        <v>96.611458333333331</v>
      </c>
      <c r="CT108" s="14">
        <f t="shared" si="63"/>
        <v>0</v>
      </c>
      <c r="CU108" s="14">
        <f t="shared" si="64"/>
        <v>81.762500000000017</v>
      </c>
      <c r="CV108" s="14">
        <f t="shared" si="65"/>
        <v>0.15104166666666607</v>
      </c>
      <c r="CW108" s="14">
        <f t="shared" si="66"/>
        <v>67.270833333333343</v>
      </c>
      <c r="CX108" s="14">
        <f t="shared" si="67"/>
        <v>0.65937499999999938</v>
      </c>
      <c r="CY108" s="14">
        <f t="shared" si="68"/>
        <v>53.270833333333329</v>
      </c>
      <c r="CZ108" s="14">
        <f t="shared" si="69"/>
        <v>1.6593749999999994</v>
      </c>
      <c r="DA108" s="14">
        <f t="shared" si="70"/>
        <v>39.270833333333329</v>
      </c>
      <c r="DB108" s="14">
        <f t="shared" si="71"/>
        <v>2.6593749999999994</v>
      </c>
      <c r="DC108" s="72">
        <f>F108/G108</f>
        <v>659.45103355816013</v>
      </c>
      <c r="DD108" s="72">
        <f t="shared" si="82"/>
        <v>21.981701118605336</v>
      </c>
      <c r="DE108" s="71">
        <f>F108/BU108</f>
        <v>227818.35039322573</v>
      </c>
      <c r="DF108" s="72">
        <f>J108/K108</f>
        <v>2044.799323831493</v>
      </c>
      <c r="DG108" s="72">
        <f t="shared" si="73"/>
        <v>68.159977461049763</v>
      </c>
      <c r="DH108" s="72">
        <f>J108/BU108</f>
        <v>86631.331352994253</v>
      </c>
      <c r="DI108" s="72">
        <f>N108/P108</f>
        <v>38931.784702557263</v>
      </c>
      <c r="DJ108" s="72">
        <f t="shared" si="74"/>
        <v>1297.7261567519088</v>
      </c>
      <c r="DK108" s="72">
        <f t="shared" si="75"/>
        <v>1769.6265773889666</v>
      </c>
      <c r="DL108" s="72">
        <f>N108/BU108</f>
        <v>177788.48347501148</v>
      </c>
      <c r="DM108" s="72">
        <f>N108/BV108</f>
        <v>242438.8411022884</v>
      </c>
      <c r="DN108" s="1">
        <v>0</v>
      </c>
      <c r="DO108" s="1">
        <v>0</v>
      </c>
    </row>
    <row r="109" spans="1:119">
      <c r="A109" s="93">
        <f t="shared" si="79"/>
        <v>45627</v>
      </c>
      <c r="B109" s="4">
        <f t="shared" si="42"/>
        <v>2024</v>
      </c>
      <c r="C109" s="4">
        <f t="shared" si="43"/>
        <v>12</v>
      </c>
      <c r="D109" s="56">
        <v>8908313</v>
      </c>
      <c r="E109" s="56">
        <f>IFERROR(VLOOKUP($B109-1,CDM!$J$6:$P$19,2,FALSE)/12,0)+IFERROR(VLOOKUP($B109,CDM!$J$37:$M$48,2,FALSE)/24,0)+IFERROR(VLOOKUP($B109,CDM!$J$37:$M$48,2,FALSE)/2*$C109/78,0)</f>
        <v>173714.07795301377</v>
      </c>
      <c r="F109" s="56">
        <f t="shared" si="76"/>
        <v>9082027.0779530145</v>
      </c>
      <c r="G109" s="301">
        <v>10367</v>
      </c>
      <c r="H109" s="56">
        <v>2971477</v>
      </c>
      <c r="I109" s="56">
        <f>IFERROR(VLOOKUP($B109-1,CDM!$J$6:$P$19,3,FALSE)/12,0)+IFERROR(VLOOKUP($B109,CDM!$J$37:$M$47,3,FALSE)/24,0)+IFERROR(VLOOKUP($B109,CDM!$J$37:$M$47,3,FALSE)/2*$C109/78,0)</f>
        <v>257789.70791990467</v>
      </c>
      <c r="J109" s="56">
        <f t="shared" si="77"/>
        <v>3229266.7079199045</v>
      </c>
      <c r="K109" s="6">
        <v>1271</v>
      </c>
      <c r="L109" s="5">
        <v>6023740</v>
      </c>
      <c r="M109" s="2">
        <f>IFERROR(VLOOKUP($B109-1,CDM!$J$6:$P$19,4,FALSE)/12,0)+IFERROR(VLOOKUP($B109,CDM!$J$37:$M$47,4,FALSE)/24,0)+IFERROR(VLOOKUP($B109,CDM!$J$37:$M$47,4,FALSE)/2*$C109/78,0)</f>
        <v>251637.55880567856</v>
      </c>
      <c r="N109" s="56">
        <f t="shared" si="78"/>
        <v>6275377.558805679</v>
      </c>
      <c r="O109" s="5">
        <v>16712.82</v>
      </c>
      <c r="P109" s="6">
        <v>137</v>
      </c>
      <c r="Q109" s="5">
        <v>107149</v>
      </c>
      <c r="R109" s="5">
        <v>230.5</v>
      </c>
      <c r="S109" s="6">
        <v>2906</v>
      </c>
      <c r="T109" s="6">
        <v>13911</v>
      </c>
      <c r="U109" s="6">
        <v>38.400000000000006</v>
      </c>
      <c r="V109" s="6">
        <v>177</v>
      </c>
      <c r="W109" s="5">
        <v>49715</v>
      </c>
      <c r="X109" s="1">
        <v>19</v>
      </c>
      <c r="Y109" s="56">
        <v>426684.8</v>
      </c>
      <c r="Z109" s="56">
        <v>3744</v>
      </c>
      <c r="AA109" s="71">
        <f>L109-Y109</f>
        <v>5597055.2000000002</v>
      </c>
      <c r="AB109" s="71">
        <f t="shared" ref="AB109:AB120" si="87">N109-Y109</f>
        <v>5848692.7588056792</v>
      </c>
      <c r="AC109" s="5">
        <f>O109-Z109</f>
        <v>12968.82</v>
      </c>
      <c r="AD109" s="111">
        <f>Economic!H111</f>
        <v>876619.7</v>
      </c>
      <c r="AE109" s="111">
        <f>Economic!I111</f>
        <v>893201</v>
      </c>
      <c r="AF109" s="111">
        <f>Economic!D111</f>
        <v>8187.7</v>
      </c>
      <c r="AG109" s="111">
        <f>Economic!E111</f>
        <v>8176.6</v>
      </c>
      <c r="AH109" s="111">
        <f>Economic!F111</f>
        <v>708.4</v>
      </c>
      <c r="AI109" s="111">
        <f>Economic!G111</f>
        <v>702.3</v>
      </c>
      <c r="AJ109" s="111">
        <f>Economic!J111</f>
        <v>135.19999999999982</v>
      </c>
      <c r="AK109" s="111">
        <f>Economic!K111</f>
        <v>127.60000000000036</v>
      </c>
      <c r="AL109" s="111">
        <f>Economic!L111</f>
        <v>17.399999999999977</v>
      </c>
      <c r="AM109" s="111">
        <f>Economic!M111</f>
        <v>14.699999999999932</v>
      </c>
      <c r="AN109" s="111">
        <f>Economic!N111</f>
        <v>10760.099999999977</v>
      </c>
      <c r="AO109" s="111">
        <f>Economic!O111</f>
        <v>3122</v>
      </c>
      <c r="AP109" s="28">
        <f>Weather!D109</f>
        <v>-5.6983198924731173</v>
      </c>
      <c r="AQ109" s="28">
        <f>Weather!E109</f>
        <v>796.64791666666656</v>
      </c>
      <c r="AR109" s="28">
        <f>Weather!F109</f>
        <v>0</v>
      </c>
      <c r="AS109" s="28">
        <f>Weather!G109</f>
        <v>734.64791666666656</v>
      </c>
      <c r="AT109" s="28">
        <f>Weather!H109</f>
        <v>0</v>
      </c>
      <c r="AU109" s="28">
        <f>Weather!I109</f>
        <v>672.64791666666656</v>
      </c>
      <c r="AV109" s="28">
        <f>Weather!J109</f>
        <v>0</v>
      </c>
      <c r="AW109" s="28">
        <f>Weather!K109</f>
        <v>610.64791666666656</v>
      </c>
      <c r="AX109" s="28">
        <f>Weather!L109</f>
        <v>0</v>
      </c>
      <c r="AY109" s="28">
        <f>Weather!M109</f>
        <v>548.64791666666667</v>
      </c>
      <c r="AZ109" s="28">
        <f>Weather!N109</f>
        <v>0</v>
      </c>
      <c r="BA109" s="28">
        <f>Weather!O109</f>
        <v>486.6479166666665</v>
      </c>
      <c r="BB109" s="28">
        <f>Weather!P109</f>
        <v>0</v>
      </c>
      <c r="BC109" s="28">
        <f>Weather!Q109</f>
        <v>424.64791666666656</v>
      </c>
      <c r="BD109" s="28">
        <f>Weather!R109</f>
        <v>0</v>
      </c>
      <c r="BE109">
        <f t="shared" si="86"/>
        <v>0</v>
      </c>
      <c r="BF109">
        <f t="shared" si="86"/>
        <v>0</v>
      </c>
      <c r="BG109">
        <f t="shared" si="86"/>
        <v>0</v>
      </c>
      <c r="BH109">
        <f t="shared" si="86"/>
        <v>0</v>
      </c>
      <c r="BI109">
        <f t="shared" si="86"/>
        <v>0</v>
      </c>
      <c r="BJ109">
        <f t="shared" si="86"/>
        <v>0</v>
      </c>
      <c r="BK109">
        <f t="shared" si="86"/>
        <v>0</v>
      </c>
      <c r="BL109">
        <f t="shared" si="86"/>
        <v>0</v>
      </c>
      <c r="BM109">
        <f t="shared" si="86"/>
        <v>0</v>
      </c>
      <c r="BN109">
        <f t="shared" si="86"/>
        <v>0</v>
      </c>
      <c r="BO109">
        <f t="shared" si="86"/>
        <v>0</v>
      </c>
      <c r="BP109">
        <f t="shared" si="86"/>
        <v>1</v>
      </c>
      <c r="BQ109" s="1">
        <f t="shared" si="86"/>
        <v>0</v>
      </c>
      <c r="BR109" s="1">
        <f t="shared" si="86"/>
        <v>0</v>
      </c>
      <c r="BS109" s="1">
        <f t="shared" si="86"/>
        <v>0</v>
      </c>
      <c r="BT109" s="1">
        <f t="shared" si="44"/>
        <v>108</v>
      </c>
      <c r="BU109">
        <f t="shared" si="41"/>
        <v>31</v>
      </c>
      <c r="BV109" s="1">
        <v>20</v>
      </c>
      <c r="BW109" s="1">
        <v>0</v>
      </c>
      <c r="BX109" s="1">
        <v>0</v>
      </c>
      <c r="BY109" s="1">
        <v>0.25</v>
      </c>
      <c r="BZ109" s="1">
        <v>0</v>
      </c>
      <c r="CA109">
        <f t="shared" si="83"/>
        <v>0</v>
      </c>
      <c r="CB109">
        <f t="shared" si="46"/>
        <v>0</v>
      </c>
      <c r="CC109">
        <f t="shared" si="47"/>
        <v>0</v>
      </c>
      <c r="CD109">
        <f t="shared" si="48"/>
        <v>0</v>
      </c>
      <c r="CE109">
        <f t="shared" si="49"/>
        <v>0</v>
      </c>
      <c r="CF109">
        <f t="shared" si="50"/>
        <v>0</v>
      </c>
      <c r="CG109">
        <f t="shared" si="51"/>
        <v>0</v>
      </c>
      <c r="CH109">
        <f t="shared" si="52"/>
        <v>0</v>
      </c>
      <c r="CI109">
        <f t="shared" si="53"/>
        <v>0</v>
      </c>
      <c r="CJ109">
        <f t="shared" si="54"/>
        <v>0</v>
      </c>
      <c r="CK109">
        <f t="shared" si="55"/>
        <v>0</v>
      </c>
      <c r="CL109">
        <f t="shared" si="56"/>
        <v>0</v>
      </c>
      <c r="CM109">
        <f t="shared" si="57"/>
        <v>0</v>
      </c>
      <c r="CN109">
        <f t="shared" si="58"/>
        <v>0</v>
      </c>
      <c r="CO109" s="14">
        <f t="shared" si="84"/>
        <v>199.16197916666664</v>
      </c>
      <c r="CP109" s="14">
        <f t="shared" si="59"/>
        <v>0</v>
      </c>
      <c r="CQ109" s="14">
        <f t="shared" si="60"/>
        <v>183.66197916666664</v>
      </c>
      <c r="CR109" s="14">
        <f t="shared" si="61"/>
        <v>0</v>
      </c>
      <c r="CS109" s="14">
        <f t="shared" si="62"/>
        <v>168.16197916666664</v>
      </c>
      <c r="CT109" s="14">
        <f t="shared" si="63"/>
        <v>0</v>
      </c>
      <c r="CU109" s="14">
        <f t="shared" si="64"/>
        <v>152.66197916666664</v>
      </c>
      <c r="CV109" s="14">
        <f t="shared" si="65"/>
        <v>0</v>
      </c>
      <c r="CW109" s="14">
        <f t="shared" si="66"/>
        <v>137.16197916666667</v>
      </c>
      <c r="CX109" s="14">
        <f t="shared" si="67"/>
        <v>0</v>
      </c>
      <c r="CY109" s="14">
        <f t="shared" si="68"/>
        <v>121.66197916666663</v>
      </c>
      <c r="CZ109" s="14">
        <f t="shared" si="69"/>
        <v>0</v>
      </c>
      <c r="DA109" s="14">
        <f t="shared" si="70"/>
        <v>106.16197916666664</v>
      </c>
      <c r="DB109" s="14">
        <f t="shared" si="71"/>
        <v>0</v>
      </c>
      <c r="DC109" s="72">
        <f>F109/G109</f>
        <v>876.05161357702468</v>
      </c>
      <c r="DD109" s="72">
        <f t="shared" si="82"/>
        <v>28.259729470226603</v>
      </c>
      <c r="DE109" s="71">
        <f>F109/BU109</f>
        <v>292968.6154178392</v>
      </c>
      <c r="DF109" s="72">
        <f>J109/K109</f>
        <v>2540.7291171675092</v>
      </c>
      <c r="DG109" s="72">
        <f t="shared" si="73"/>
        <v>81.959003779597069</v>
      </c>
      <c r="DH109" s="72">
        <f>J109/BU109</f>
        <v>104169.89380386789</v>
      </c>
      <c r="DI109" s="72">
        <f>N109/P109</f>
        <v>45805.675611720282</v>
      </c>
      <c r="DJ109" s="72">
        <f t="shared" si="74"/>
        <v>1477.602439087751</v>
      </c>
      <c r="DK109" s="72">
        <f t="shared" si="75"/>
        <v>2290.283780586014</v>
      </c>
      <c r="DL109" s="72">
        <f>N109/BU109</f>
        <v>202431.53415502192</v>
      </c>
      <c r="DM109" s="72">
        <f>N109/BV109</f>
        <v>313768.87794028397</v>
      </c>
      <c r="DN109" s="1">
        <v>0</v>
      </c>
      <c r="DO109" s="1">
        <v>0</v>
      </c>
    </row>
    <row r="110" spans="1:119">
      <c r="A110" s="93">
        <f t="shared" si="79"/>
        <v>45658</v>
      </c>
      <c r="B110" s="4">
        <f t="shared" si="42"/>
        <v>2025</v>
      </c>
      <c r="C110" s="4">
        <f t="shared" si="43"/>
        <v>1</v>
      </c>
      <c r="D110" s="56">
        <v>9630824</v>
      </c>
      <c r="E110" s="56">
        <f>IFERROR(VLOOKUP($B110-1,CDM!$J$6:$P$19,2,FALSE)/12,0)+IFERROR(VLOOKUP($B110,CDM!$J$37:$M$48,2,FALSE)/24,0)+IFERROR(VLOOKUP($B110,CDM!$J$37:$M$48,2,FALSE)/2*$C110/78,0)</f>
        <v>177494.07398799036</v>
      </c>
      <c r="F110" s="56">
        <f t="shared" si="76"/>
        <v>9808318.0739879906</v>
      </c>
      <c r="G110" s="301">
        <v>10366</v>
      </c>
      <c r="H110" s="56">
        <v>3258471</v>
      </c>
      <c r="I110" s="56">
        <f>IFERROR(VLOOKUP($B110-1,CDM!$J$6:$P$19,3,FALSE)/12,0)+IFERROR(VLOOKUP($B110,CDM!$J$37:$M$47,3,FALSE)/24,0)+IFERROR(VLOOKUP($B110,CDM!$J$37:$M$47,3,FALSE)/2*$C110/78,0)</f>
        <v>262833.20194214321</v>
      </c>
      <c r="J110" s="56">
        <f t="shared" si="77"/>
        <v>3521304.201942143</v>
      </c>
      <c r="K110" s="6">
        <v>1271</v>
      </c>
      <c r="L110" s="5">
        <v>6140478</v>
      </c>
      <c r="M110" s="2">
        <f>IFERROR(VLOOKUP($B110-1,CDM!$J$6:$P$19,4,FALSE)/12,0)+IFERROR(VLOOKUP($B110,CDM!$J$37:$M$47,4,FALSE)/24,0)+IFERROR(VLOOKUP($B110,CDM!$J$37:$M$47,4,FALSE)/2*$C110/78,0)</f>
        <v>256672.11206260309</v>
      </c>
      <c r="N110" s="56">
        <f t="shared" si="78"/>
        <v>6397150.1120626032</v>
      </c>
      <c r="O110" s="5">
        <v>18379</v>
      </c>
      <c r="P110" s="6">
        <v>137</v>
      </c>
      <c r="Q110" s="5">
        <v>104402</v>
      </c>
      <c r="R110" s="5">
        <v>230.5</v>
      </c>
      <c r="S110" s="6">
        <v>2906</v>
      </c>
      <c r="T110" s="6">
        <v>13692</v>
      </c>
      <c r="U110" s="6">
        <v>37.199999999999996</v>
      </c>
      <c r="V110" s="6">
        <v>177</v>
      </c>
      <c r="W110" s="5">
        <v>44213</v>
      </c>
      <c r="X110" s="1">
        <v>19</v>
      </c>
      <c r="Y110" s="56">
        <v>143449.60000000001</v>
      </c>
      <c r="Z110" s="56">
        <v>4665.6000000000004</v>
      </c>
      <c r="AA110" s="71">
        <f>L110-Y110</f>
        <v>5997028.4000000004</v>
      </c>
      <c r="AB110" s="71">
        <f t="shared" si="87"/>
        <v>6253700.5120626036</v>
      </c>
      <c r="AC110" s="5">
        <f>O110-Z110</f>
        <v>13713.4</v>
      </c>
      <c r="AD110" s="111">
        <f>Economic!H112</f>
        <v>887796.60117499996</v>
      </c>
      <c r="AE110" s="111">
        <f>Economic!I112</f>
        <v>897095.97550000006</v>
      </c>
      <c r="AF110" s="111">
        <f>Economic!D112</f>
        <v>8205.7000000000007</v>
      </c>
      <c r="AG110" s="111">
        <f>Economic!E112</f>
        <v>8161.4</v>
      </c>
      <c r="AH110" s="111">
        <f>Economic!F112</f>
        <v>707.9</v>
      </c>
      <c r="AI110" s="111">
        <f>Economic!G112</f>
        <v>701</v>
      </c>
      <c r="AJ110" s="111">
        <f>Economic!J112</f>
        <v>154.70000000000073</v>
      </c>
      <c r="AK110" s="111">
        <f>Economic!K112</f>
        <v>141.69999999999982</v>
      </c>
      <c r="AL110" s="111">
        <f>Economic!L112</f>
        <v>18.799999999999955</v>
      </c>
      <c r="AM110" s="111">
        <f>Economic!M112</f>
        <v>15.899999999999977</v>
      </c>
      <c r="AN110" s="111">
        <f>Economic!N112</f>
        <v>11176.901175000006</v>
      </c>
      <c r="AO110" s="111">
        <f>Economic!O112</f>
        <v>3894.9755000000587</v>
      </c>
      <c r="AP110" s="28">
        <f>Weather!D110</f>
        <v>-10.018481182795702</v>
      </c>
      <c r="AQ110" s="28">
        <f>Weather!E110</f>
        <v>930.57291666666663</v>
      </c>
      <c r="AR110" s="28">
        <f>Weather!F110</f>
        <v>0</v>
      </c>
      <c r="AS110" s="28">
        <f>Weather!G110</f>
        <v>868.57291666666663</v>
      </c>
      <c r="AT110" s="28">
        <f>Weather!H110</f>
        <v>0</v>
      </c>
      <c r="AU110" s="28">
        <f>Weather!I110</f>
        <v>806.57291666666663</v>
      </c>
      <c r="AV110" s="28">
        <f>Weather!J110</f>
        <v>0</v>
      </c>
      <c r="AW110" s="28">
        <f>Weather!K110</f>
        <v>744.57291666666663</v>
      </c>
      <c r="AX110" s="28">
        <f>Weather!L110</f>
        <v>0</v>
      </c>
      <c r="AY110" s="28">
        <f>Weather!M110</f>
        <v>682.57291666666663</v>
      </c>
      <c r="AZ110" s="28">
        <f>Weather!N110</f>
        <v>0</v>
      </c>
      <c r="BA110" s="28">
        <f>Weather!O110</f>
        <v>620.57291666666663</v>
      </c>
      <c r="BB110" s="28">
        <f>Weather!P110</f>
        <v>0</v>
      </c>
      <c r="BC110" s="28">
        <f>Weather!Q110</f>
        <v>558.57291666666663</v>
      </c>
      <c r="BD110" s="28">
        <f>Weather!R110</f>
        <v>0</v>
      </c>
      <c r="BE110">
        <f t="shared" si="86"/>
        <v>1</v>
      </c>
      <c r="BF110">
        <f t="shared" si="86"/>
        <v>0</v>
      </c>
      <c r="BG110">
        <f t="shared" si="86"/>
        <v>0</v>
      </c>
      <c r="BH110">
        <f t="shared" si="86"/>
        <v>0</v>
      </c>
      <c r="BI110">
        <f t="shared" si="86"/>
        <v>0</v>
      </c>
      <c r="BJ110">
        <f t="shared" si="86"/>
        <v>0</v>
      </c>
      <c r="BK110">
        <f t="shared" si="86"/>
        <v>0</v>
      </c>
      <c r="BL110">
        <f t="shared" si="86"/>
        <v>0</v>
      </c>
      <c r="BM110">
        <f t="shared" si="86"/>
        <v>0</v>
      </c>
      <c r="BN110">
        <f t="shared" si="86"/>
        <v>0</v>
      </c>
      <c r="BO110">
        <f t="shared" si="86"/>
        <v>0</v>
      </c>
      <c r="BP110">
        <f t="shared" si="86"/>
        <v>0</v>
      </c>
      <c r="BQ110" s="1">
        <f t="shared" si="86"/>
        <v>0</v>
      </c>
      <c r="BR110" s="1">
        <f t="shared" si="86"/>
        <v>0</v>
      </c>
      <c r="BS110" s="1">
        <f t="shared" si="86"/>
        <v>0</v>
      </c>
      <c r="BT110" s="1">
        <f t="shared" si="44"/>
        <v>109</v>
      </c>
      <c r="BU110">
        <f t="shared" si="41"/>
        <v>31</v>
      </c>
      <c r="BV110" s="1">
        <v>21</v>
      </c>
      <c r="BW110" s="1">
        <v>0</v>
      </c>
      <c r="BX110" s="1">
        <v>0</v>
      </c>
      <c r="BY110" s="1">
        <v>0.25</v>
      </c>
      <c r="BZ110" s="1">
        <v>0</v>
      </c>
      <c r="CA110">
        <f t="shared" si="83"/>
        <v>0</v>
      </c>
      <c r="CB110">
        <f t="shared" si="46"/>
        <v>0</v>
      </c>
      <c r="CC110">
        <f t="shared" si="47"/>
        <v>0</v>
      </c>
      <c r="CD110">
        <f t="shared" si="48"/>
        <v>0</v>
      </c>
      <c r="CE110">
        <f t="shared" si="49"/>
        <v>0</v>
      </c>
      <c r="CF110">
        <f t="shared" si="50"/>
        <v>0</v>
      </c>
      <c r="CG110">
        <f t="shared" si="51"/>
        <v>0</v>
      </c>
      <c r="CH110">
        <f t="shared" si="52"/>
        <v>0</v>
      </c>
      <c r="CI110">
        <f t="shared" si="53"/>
        <v>0</v>
      </c>
      <c r="CJ110">
        <f t="shared" si="54"/>
        <v>0</v>
      </c>
      <c r="CK110">
        <f t="shared" si="55"/>
        <v>0</v>
      </c>
      <c r="CL110">
        <f t="shared" si="56"/>
        <v>0</v>
      </c>
      <c r="CM110">
        <f t="shared" si="57"/>
        <v>0</v>
      </c>
      <c r="CN110">
        <f t="shared" si="58"/>
        <v>0</v>
      </c>
      <c r="CO110" s="14">
        <f t="shared" si="84"/>
        <v>232.64322916666666</v>
      </c>
      <c r="CP110" s="14">
        <f t="shared" si="59"/>
        <v>0</v>
      </c>
      <c r="CQ110" s="14">
        <f t="shared" si="60"/>
        <v>217.14322916666666</v>
      </c>
      <c r="CR110" s="14">
        <f t="shared" si="61"/>
        <v>0</v>
      </c>
      <c r="CS110" s="14">
        <f t="shared" si="62"/>
        <v>201.64322916666666</v>
      </c>
      <c r="CT110" s="14">
        <f t="shared" si="63"/>
        <v>0</v>
      </c>
      <c r="CU110" s="14">
        <f t="shared" si="64"/>
        <v>186.14322916666666</v>
      </c>
      <c r="CV110" s="14">
        <f t="shared" si="65"/>
        <v>0</v>
      </c>
      <c r="CW110" s="14">
        <f t="shared" si="66"/>
        <v>170.64322916666666</v>
      </c>
      <c r="CX110" s="14">
        <f t="shared" si="67"/>
        <v>0</v>
      </c>
      <c r="CY110" s="14">
        <f t="shared" si="68"/>
        <v>155.14322916666666</v>
      </c>
      <c r="CZ110" s="14">
        <f t="shared" si="69"/>
        <v>0</v>
      </c>
      <c r="DA110" s="14">
        <f t="shared" si="70"/>
        <v>139.64322916666666</v>
      </c>
      <c r="DB110" s="14">
        <f t="shared" si="71"/>
        <v>0</v>
      </c>
      <c r="DC110" s="72">
        <f>F110/G110</f>
        <v>946.20085606675582</v>
      </c>
      <c r="DD110" s="72">
        <f t="shared" si="82"/>
        <v>30.522608260217929</v>
      </c>
      <c r="DE110" s="71">
        <f>F110/BU110</f>
        <v>316397.35722541908</v>
      </c>
      <c r="DF110" s="72">
        <f>J110/K110</f>
        <v>2770.4989787113636</v>
      </c>
      <c r="DG110" s="72">
        <f t="shared" si="73"/>
        <v>89.370934797140762</v>
      </c>
      <c r="DH110" s="72">
        <f>J110/BU110</f>
        <v>113590.4581271659</v>
      </c>
      <c r="DI110" s="72">
        <f>N110/P110</f>
        <v>46694.526365420461</v>
      </c>
      <c r="DJ110" s="72">
        <f t="shared" si="74"/>
        <v>1506.2750440458212</v>
      </c>
      <c r="DK110" s="72">
        <f t="shared" si="75"/>
        <v>2223.5488745438315</v>
      </c>
      <c r="DL110" s="72">
        <f>N110/BU110</f>
        <v>206359.68103427751</v>
      </c>
      <c r="DM110" s="72">
        <f>N110/BV110</f>
        <v>304626.19581250491</v>
      </c>
      <c r="DN110" s="1">
        <v>0</v>
      </c>
      <c r="DO110" s="1">
        <v>0</v>
      </c>
    </row>
    <row r="111" spans="1:119">
      <c r="A111" s="93">
        <f t="shared" si="79"/>
        <v>45689</v>
      </c>
      <c r="B111" s="4">
        <f t="shared" si="42"/>
        <v>2025</v>
      </c>
      <c r="C111" s="4">
        <f t="shared" si="43"/>
        <v>2</v>
      </c>
      <c r="D111" s="56">
        <v>8685959</v>
      </c>
      <c r="E111" s="56">
        <f>IFERROR(VLOOKUP($B111-1,CDM!$J$6:$P$19,2,FALSE)/12,0)+IFERROR(VLOOKUP($B111,CDM!$J$37:$M$48,2,FALSE)/24,0)+IFERROR(VLOOKUP($B111,CDM!$J$37:$M$48,2,FALSE)/2*$C111/78,0)</f>
        <v>178316.75530723183</v>
      </c>
      <c r="F111" s="56">
        <f t="shared" si="76"/>
        <v>8864275.7553072311</v>
      </c>
      <c r="G111" s="301">
        <v>10371</v>
      </c>
      <c r="H111" s="56">
        <v>2984017</v>
      </c>
      <c r="I111" s="56">
        <f>IFERROR(VLOOKUP($B111-1,CDM!$J$6:$P$19,3,FALSE)/12,0)+IFERROR(VLOOKUP($B111,CDM!$J$37:$M$47,3,FALSE)/24,0)+IFERROR(VLOOKUP($B111,CDM!$J$37:$M$47,3,FALSE)/2*$C111/78,0)</f>
        <v>264920.83052049839</v>
      </c>
      <c r="J111" s="56">
        <f t="shared" si="77"/>
        <v>3248937.8305204986</v>
      </c>
      <c r="K111" s="6">
        <v>1272</v>
      </c>
      <c r="L111" s="5">
        <v>5784148</v>
      </c>
      <c r="M111" s="2">
        <f>IFERROR(VLOOKUP($B111-1,CDM!$J$6:$P$19,4,FALSE)/12,0)+IFERROR(VLOOKUP($B111,CDM!$J$37:$M$47,4,FALSE)/24,0)+IFERROR(VLOOKUP($B111,CDM!$J$37:$M$47,4,FALSE)/2*$C111/78,0)</f>
        <v>258976.55917077139</v>
      </c>
      <c r="N111" s="56">
        <f t="shared" si="78"/>
        <v>6043124.5591707714</v>
      </c>
      <c r="O111" s="5">
        <v>18918.100000000002</v>
      </c>
      <c r="P111" s="6">
        <v>137</v>
      </c>
      <c r="Q111" s="5">
        <v>86922</v>
      </c>
      <c r="R111" s="5">
        <v>230.5</v>
      </c>
      <c r="S111" s="6">
        <v>2906</v>
      </c>
      <c r="T111" s="6">
        <v>13858</v>
      </c>
      <c r="U111" s="6">
        <v>37.599999999999994</v>
      </c>
      <c r="V111" s="6">
        <v>177</v>
      </c>
      <c r="W111" s="5">
        <v>47741</v>
      </c>
      <c r="X111" s="1">
        <v>19</v>
      </c>
      <c r="Y111" s="56">
        <v>393060</v>
      </c>
      <c r="Z111" s="56">
        <v>5612.8</v>
      </c>
      <c r="AA111" s="71">
        <f>L111-Y111</f>
        <v>5391088</v>
      </c>
      <c r="AB111" s="71">
        <f t="shared" si="87"/>
        <v>5650064.5591707714</v>
      </c>
      <c r="AC111" s="5">
        <f>O111-Z111</f>
        <v>13305.300000000003</v>
      </c>
      <c r="AD111" s="111">
        <f>Economic!H113</f>
        <v>887796.60117499996</v>
      </c>
      <c r="AE111" s="111">
        <f>Economic!I113</f>
        <v>897095.97550000006</v>
      </c>
      <c r="AF111" s="111">
        <f>Economic!D113</f>
        <v>8230</v>
      </c>
      <c r="AG111" s="111">
        <f>Economic!E113</f>
        <v>8165.5</v>
      </c>
      <c r="AH111" s="111">
        <f>Economic!F113</f>
        <v>707.4</v>
      </c>
      <c r="AI111" s="111">
        <f>Economic!G113</f>
        <v>701.7</v>
      </c>
      <c r="AJ111" s="111">
        <f>Economic!J113</f>
        <v>182.10000000000036</v>
      </c>
      <c r="AK111" s="111">
        <f>Economic!K113</f>
        <v>174.10000000000036</v>
      </c>
      <c r="AL111" s="111">
        <f>Economic!L113</f>
        <v>19.5</v>
      </c>
      <c r="AM111" s="111">
        <f>Economic!M113</f>
        <v>15.800000000000068</v>
      </c>
      <c r="AN111" s="111">
        <f>Economic!N113</f>
        <v>11176.901175000006</v>
      </c>
      <c r="AO111" s="111">
        <f>Economic!O113</f>
        <v>3894.9755000000587</v>
      </c>
      <c r="AP111" s="28">
        <f>Weather!D111</f>
        <v>-10.394642857142859</v>
      </c>
      <c r="AQ111" s="28">
        <f>Weather!E111</f>
        <v>851.05000000000007</v>
      </c>
      <c r="AR111" s="28">
        <f>Weather!F111</f>
        <v>0</v>
      </c>
      <c r="AS111" s="28">
        <f>Weather!G111</f>
        <v>795.05000000000007</v>
      </c>
      <c r="AT111" s="28">
        <f>Weather!H111</f>
        <v>0</v>
      </c>
      <c r="AU111" s="28">
        <f>Weather!I111</f>
        <v>739.05000000000007</v>
      </c>
      <c r="AV111" s="28">
        <f>Weather!J111</f>
        <v>0</v>
      </c>
      <c r="AW111" s="28">
        <f>Weather!K111</f>
        <v>683.05000000000007</v>
      </c>
      <c r="AX111" s="28">
        <f>Weather!L111</f>
        <v>0</v>
      </c>
      <c r="AY111" s="28">
        <f>Weather!M111</f>
        <v>627.05000000000007</v>
      </c>
      <c r="AZ111" s="28">
        <f>Weather!N111</f>
        <v>0</v>
      </c>
      <c r="BA111" s="28">
        <f>Weather!O111</f>
        <v>571.05000000000007</v>
      </c>
      <c r="BB111" s="28">
        <f>Weather!P111</f>
        <v>0</v>
      </c>
      <c r="BC111" s="28">
        <f>Weather!Q111</f>
        <v>515.05000000000018</v>
      </c>
      <c r="BD111" s="28">
        <f>Weather!R111</f>
        <v>0</v>
      </c>
      <c r="BE111">
        <f t="shared" si="86"/>
        <v>0</v>
      </c>
      <c r="BF111">
        <f t="shared" si="86"/>
        <v>1</v>
      </c>
      <c r="BG111">
        <f t="shared" si="86"/>
        <v>0</v>
      </c>
      <c r="BH111">
        <f t="shared" si="86"/>
        <v>0</v>
      </c>
      <c r="BI111">
        <f t="shared" si="86"/>
        <v>0</v>
      </c>
      <c r="BJ111">
        <f t="shared" si="86"/>
        <v>0</v>
      </c>
      <c r="BK111">
        <f t="shared" si="86"/>
        <v>0</v>
      </c>
      <c r="BL111">
        <f t="shared" si="86"/>
        <v>0</v>
      </c>
      <c r="BM111">
        <f t="shared" si="86"/>
        <v>0</v>
      </c>
      <c r="BN111">
        <f t="shared" si="86"/>
        <v>0</v>
      </c>
      <c r="BO111">
        <f t="shared" si="86"/>
        <v>0</v>
      </c>
      <c r="BP111">
        <f t="shared" si="86"/>
        <v>0</v>
      </c>
      <c r="BQ111" s="1">
        <f t="shared" si="86"/>
        <v>0</v>
      </c>
      <c r="BR111" s="1">
        <f t="shared" si="86"/>
        <v>0</v>
      </c>
      <c r="BS111" s="1">
        <f t="shared" si="86"/>
        <v>0</v>
      </c>
      <c r="BT111" s="1">
        <f t="shared" si="44"/>
        <v>110</v>
      </c>
      <c r="BU111">
        <f t="shared" si="41"/>
        <v>28</v>
      </c>
      <c r="BV111" s="1">
        <v>19</v>
      </c>
      <c r="BW111" s="1">
        <v>0</v>
      </c>
      <c r="BX111" s="1">
        <v>0</v>
      </c>
      <c r="BY111" s="1">
        <v>0.25</v>
      </c>
      <c r="BZ111" s="1">
        <v>0</v>
      </c>
      <c r="CA111">
        <f t="shared" si="83"/>
        <v>0</v>
      </c>
      <c r="CB111">
        <f t="shared" si="46"/>
        <v>0</v>
      </c>
      <c r="CC111">
        <f t="shared" si="47"/>
        <v>0</v>
      </c>
      <c r="CD111">
        <f t="shared" si="48"/>
        <v>0</v>
      </c>
      <c r="CE111">
        <f t="shared" si="49"/>
        <v>0</v>
      </c>
      <c r="CF111">
        <f t="shared" si="50"/>
        <v>0</v>
      </c>
      <c r="CG111">
        <f t="shared" si="51"/>
        <v>0</v>
      </c>
      <c r="CH111">
        <f t="shared" si="52"/>
        <v>0</v>
      </c>
      <c r="CI111">
        <f t="shared" si="53"/>
        <v>0</v>
      </c>
      <c r="CJ111">
        <f t="shared" si="54"/>
        <v>0</v>
      </c>
      <c r="CK111">
        <f t="shared" si="55"/>
        <v>0</v>
      </c>
      <c r="CL111">
        <f t="shared" si="56"/>
        <v>0</v>
      </c>
      <c r="CM111">
        <f t="shared" si="57"/>
        <v>0</v>
      </c>
      <c r="CN111">
        <f t="shared" si="58"/>
        <v>0</v>
      </c>
      <c r="CO111" s="14">
        <f t="shared" si="84"/>
        <v>212.76250000000002</v>
      </c>
      <c r="CP111" s="14">
        <f t="shared" si="59"/>
        <v>0</v>
      </c>
      <c r="CQ111" s="14">
        <f t="shared" si="60"/>
        <v>198.76250000000002</v>
      </c>
      <c r="CR111" s="14">
        <f t="shared" si="61"/>
        <v>0</v>
      </c>
      <c r="CS111" s="14">
        <f t="shared" si="62"/>
        <v>184.76250000000002</v>
      </c>
      <c r="CT111" s="14">
        <f t="shared" si="63"/>
        <v>0</v>
      </c>
      <c r="CU111" s="14">
        <f t="shared" si="64"/>
        <v>170.76250000000002</v>
      </c>
      <c r="CV111" s="14">
        <f t="shared" si="65"/>
        <v>0</v>
      </c>
      <c r="CW111" s="14">
        <f t="shared" si="66"/>
        <v>156.76250000000002</v>
      </c>
      <c r="CX111" s="14">
        <f t="shared" si="67"/>
        <v>0</v>
      </c>
      <c r="CY111" s="14">
        <f t="shared" si="68"/>
        <v>142.76250000000002</v>
      </c>
      <c r="CZ111" s="14">
        <f t="shared" si="69"/>
        <v>0</v>
      </c>
      <c r="DA111" s="14">
        <f t="shared" si="70"/>
        <v>128.76250000000005</v>
      </c>
      <c r="DB111" s="14">
        <f t="shared" si="71"/>
        <v>0</v>
      </c>
      <c r="DC111" s="72">
        <f>F111/G111</f>
        <v>854.71755426740253</v>
      </c>
      <c r="DD111" s="72">
        <f t="shared" si="82"/>
        <v>30.525626938121519</v>
      </c>
      <c r="DE111" s="71">
        <f>F111/BU111</f>
        <v>316581.27697525825</v>
      </c>
      <c r="DF111" s="72">
        <f>J111/K111</f>
        <v>2554.1964076419013</v>
      </c>
      <c r="DG111" s="72">
        <f t="shared" si="73"/>
        <v>91.221300272925049</v>
      </c>
      <c r="DH111" s="72">
        <f>J111/BU111</f>
        <v>116033.49394716066</v>
      </c>
      <c r="DI111" s="72">
        <f>N111/P111</f>
        <v>44110.398242122421</v>
      </c>
      <c r="DJ111" s="72">
        <f t="shared" si="74"/>
        <v>1575.3713657900864</v>
      </c>
      <c r="DK111" s="72">
        <f t="shared" si="75"/>
        <v>2321.5999074801275</v>
      </c>
      <c r="DL111" s="72">
        <f>N111/BU111</f>
        <v>215825.87711324185</v>
      </c>
      <c r="DM111" s="72">
        <f>N111/BV111</f>
        <v>318059.18732477742</v>
      </c>
      <c r="DN111" s="1">
        <v>0</v>
      </c>
      <c r="DO111" s="1">
        <v>0</v>
      </c>
    </row>
    <row r="112" spans="1:119">
      <c r="A112" s="93">
        <f t="shared" si="79"/>
        <v>45717</v>
      </c>
      <c r="B112" s="4">
        <f t="shared" si="42"/>
        <v>2025</v>
      </c>
      <c r="C112" s="4">
        <f t="shared" si="43"/>
        <v>3</v>
      </c>
      <c r="D112" s="56">
        <v>8094438</v>
      </c>
      <c r="E112" s="56">
        <f>IFERROR(VLOOKUP($B112-1,CDM!$J$6:$P$19,2,FALSE)/12,0)+IFERROR(VLOOKUP($B112,CDM!$J$37:$M$48,2,FALSE)/24,0)+IFERROR(VLOOKUP($B112,CDM!$J$37:$M$48,2,FALSE)/2*$C112/78,0)</f>
        <v>179139.4366264733</v>
      </c>
      <c r="F112" s="56">
        <f t="shared" si="76"/>
        <v>8273577.4366264734</v>
      </c>
      <c r="G112" s="301">
        <v>10390</v>
      </c>
      <c r="H112" s="56">
        <v>2855748</v>
      </c>
      <c r="I112" s="56">
        <f>IFERROR(VLOOKUP($B112-1,CDM!$J$6:$P$19,3,FALSE)/12,0)+IFERROR(VLOOKUP($B112,CDM!$J$37:$M$47,3,FALSE)/24,0)+IFERROR(VLOOKUP($B112,CDM!$J$37:$M$47,3,FALSE)/2*$C112/78,0)</f>
        <v>267008.45909885352</v>
      </c>
      <c r="J112" s="56">
        <f t="shared" si="77"/>
        <v>3122756.4590988536</v>
      </c>
      <c r="K112" s="6">
        <v>1273</v>
      </c>
      <c r="L112" s="5">
        <v>5561728</v>
      </c>
      <c r="M112" s="2">
        <f>IFERROR(VLOOKUP($B112-1,CDM!$J$6:$P$19,4,FALSE)/12,0)+IFERROR(VLOOKUP($B112,CDM!$J$37:$M$47,4,FALSE)/24,0)+IFERROR(VLOOKUP($B112,CDM!$J$37:$M$47,4,FALSE)/2*$C112/78,0)</f>
        <v>261281.00627893972</v>
      </c>
      <c r="N112" s="56">
        <f t="shared" si="78"/>
        <v>5823009.0062789395</v>
      </c>
      <c r="O112" s="5">
        <v>14776.099999999999</v>
      </c>
      <c r="P112" s="6">
        <v>137</v>
      </c>
      <c r="Q112" s="5">
        <v>86422</v>
      </c>
      <c r="R112" s="5">
        <v>230.5</v>
      </c>
      <c r="S112" s="6">
        <v>2906</v>
      </c>
      <c r="T112" s="6">
        <v>13858</v>
      </c>
      <c r="U112" s="6">
        <v>37.599999999999994</v>
      </c>
      <c r="V112" s="6">
        <v>177</v>
      </c>
      <c r="W112" s="5">
        <v>50345</v>
      </c>
      <c r="X112" s="1">
        <v>19</v>
      </c>
      <c r="Y112" s="56">
        <v>94755.199999999997</v>
      </c>
      <c r="Z112" s="56">
        <v>1369.6</v>
      </c>
      <c r="AA112" s="71">
        <f>L112-Y112</f>
        <v>5466972.7999999998</v>
      </c>
      <c r="AB112" s="71">
        <f t="shared" si="87"/>
        <v>5728253.8062789394</v>
      </c>
      <c r="AC112" s="5">
        <f>O112-Z112</f>
        <v>13406.499999999998</v>
      </c>
      <c r="AD112" s="111">
        <f>Economic!H114</f>
        <v>887796.60117499996</v>
      </c>
      <c r="AE112" s="111">
        <f>Economic!I114</f>
        <v>897095.97550000006</v>
      </c>
      <c r="AF112" s="111">
        <f>Economic!D114</f>
        <v>8233.7999999999993</v>
      </c>
      <c r="AG112" s="111">
        <f>Economic!E114</f>
        <v>8155.5</v>
      </c>
      <c r="AH112" s="111">
        <f>Economic!F114</f>
        <v>710</v>
      </c>
      <c r="AI112" s="111">
        <f>Economic!G114</f>
        <v>705.5</v>
      </c>
      <c r="AJ112" s="111">
        <f>Economic!J114</f>
        <v>167.79999999999927</v>
      </c>
      <c r="AK112" s="111">
        <f>Economic!K114</f>
        <v>166.89999999999964</v>
      </c>
      <c r="AL112" s="111">
        <f>Economic!L114</f>
        <v>27</v>
      </c>
      <c r="AM112" s="111">
        <f>Economic!M114</f>
        <v>25.299999999999955</v>
      </c>
      <c r="AN112" s="111">
        <f>Economic!N114</f>
        <v>11176.901175000006</v>
      </c>
      <c r="AO112" s="111">
        <f>Economic!O114</f>
        <v>3894.9755000000587</v>
      </c>
      <c r="AP112" s="28">
        <f>Weather!D112</f>
        <v>-2.0059139784946241</v>
      </c>
      <c r="AQ112" s="28">
        <f>Weather!E112</f>
        <v>682.18333333333362</v>
      </c>
      <c r="AR112" s="28">
        <f>Weather!F112</f>
        <v>0</v>
      </c>
      <c r="AS112" s="28">
        <f>Weather!G112</f>
        <v>620.18333333333362</v>
      </c>
      <c r="AT112" s="28">
        <f>Weather!H112</f>
        <v>0</v>
      </c>
      <c r="AU112" s="28">
        <f>Weather!I112</f>
        <v>558.18333333333351</v>
      </c>
      <c r="AV112" s="28">
        <f>Weather!J112</f>
        <v>0</v>
      </c>
      <c r="AW112" s="28">
        <f>Weather!K112</f>
        <v>496.18333333333339</v>
      </c>
      <c r="AX112" s="28">
        <f>Weather!L112</f>
        <v>0</v>
      </c>
      <c r="AY112" s="28">
        <f>Weather!M112</f>
        <v>434.18333333333334</v>
      </c>
      <c r="AZ112" s="28">
        <f>Weather!N112</f>
        <v>0</v>
      </c>
      <c r="BA112" s="28">
        <f>Weather!O112</f>
        <v>372.18333333333328</v>
      </c>
      <c r="BB112" s="28">
        <f>Weather!P112</f>
        <v>0</v>
      </c>
      <c r="BC112" s="28">
        <f>Weather!Q112</f>
        <v>310.18333333333328</v>
      </c>
      <c r="BD112" s="28">
        <f>Weather!R112</f>
        <v>0</v>
      </c>
      <c r="BE112">
        <f t="shared" si="86"/>
        <v>0</v>
      </c>
      <c r="BF112">
        <f t="shared" si="86"/>
        <v>0</v>
      </c>
      <c r="BG112">
        <f t="shared" si="86"/>
        <v>1</v>
      </c>
      <c r="BH112">
        <f t="shared" si="86"/>
        <v>0</v>
      </c>
      <c r="BI112">
        <f t="shared" si="86"/>
        <v>0</v>
      </c>
      <c r="BJ112">
        <f t="shared" si="86"/>
        <v>0</v>
      </c>
      <c r="BK112">
        <f t="shared" si="86"/>
        <v>0</v>
      </c>
      <c r="BL112">
        <f t="shared" si="86"/>
        <v>0</v>
      </c>
      <c r="BM112">
        <f t="shared" si="86"/>
        <v>0</v>
      </c>
      <c r="BN112">
        <f t="shared" si="86"/>
        <v>0</v>
      </c>
      <c r="BO112">
        <f t="shared" si="86"/>
        <v>0</v>
      </c>
      <c r="BP112">
        <f t="shared" si="86"/>
        <v>0</v>
      </c>
      <c r="BQ112" s="1">
        <f t="shared" si="86"/>
        <v>1</v>
      </c>
      <c r="BR112" s="1">
        <f t="shared" si="86"/>
        <v>0</v>
      </c>
      <c r="BS112" s="1">
        <f t="shared" si="86"/>
        <v>1</v>
      </c>
      <c r="BT112" s="1">
        <f t="shared" si="44"/>
        <v>111</v>
      </c>
      <c r="BU112">
        <f t="shared" si="41"/>
        <v>31</v>
      </c>
      <c r="BV112" s="1">
        <v>23</v>
      </c>
      <c r="BW112" s="1">
        <v>0</v>
      </c>
      <c r="BX112" s="1">
        <v>0</v>
      </c>
      <c r="BY112" s="1">
        <v>0.25</v>
      </c>
      <c r="BZ112" s="1">
        <v>0</v>
      </c>
      <c r="CA112">
        <f t="shared" si="83"/>
        <v>0</v>
      </c>
      <c r="CB112">
        <f t="shared" si="46"/>
        <v>0</v>
      </c>
      <c r="CC112">
        <f t="shared" si="47"/>
        <v>0</v>
      </c>
      <c r="CD112">
        <f t="shared" si="48"/>
        <v>0</v>
      </c>
      <c r="CE112">
        <f t="shared" si="49"/>
        <v>0</v>
      </c>
      <c r="CF112">
        <f t="shared" si="50"/>
        <v>0</v>
      </c>
      <c r="CG112">
        <f t="shared" si="51"/>
        <v>0</v>
      </c>
      <c r="CH112">
        <f t="shared" si="52"/>
        <v>0</v>
      </c>
      <c r="CI112">
        <f t="shared" si="53"/>
        <v>0</v>
      </c>
      <c r="CJ112">
        <f t="shared" si="54"/>
        <v>0</v>
      </c>
      <c r="CK112">
        <f t="shared" si="55"/>
        <v>0</v>
      </c>
      <c r="CL112">
        <f t="shared" si="56"/>
        <v>0</v>
      </c>
      <c r="CM112">
        <f t="shared" si="57"/>
        <v>0</v>
      </c>
      <c r="CN112">
        <f t="shared" si="58"/>
        <v>0</v>
      </c>
      <c r="CO112" s="14">
        <f t="shared" si="84"/>
        <v>170.54583333333341</v>
      </c>
      <c r="CP112" s="14">
        <f t="shared" si="59"/>
        <v>0</v>
      </c>
      <c r="CQ112" s="14">
        <f t="shared" si="60"/>
        <v>155.04583333333341</v>
      </c>
      <c r="CR112" s="14">
        <f t="shared" si="61"/>
        <v>0</v>
      </c>
      <c r="CS112" s="14">
        <f t="shared" si="62"/>
        <v>139.54583333333338</v>
      </c>
      <c r="CT112" s="14">
        <f t="shared" si="63"/>
        <v>0</v>
      </c>
      <c r="CU112" s="14">
        <f t="shared" si="64"/>
        <v>124.04583333333335</v>
      </c>
      <c r="CV112" s="14">
        <f t="shared" si="65"/>
        <v>0</v>
      </c>
      <c r="CW112" s="14">
        <f t="shared" si="66"/>
        <v>108.54583333333333</v>
      </c>
      <c r="CX112" s="14">
        <f t="shared" si="67"/>
        <v>0</v>
      </c>
      <c r="CY112" s="14">
        <f t="shared" si="68"/>
        <v>93.04583333333332</v>
      </c>
      <c r="CZ112" s="14">
        <f t="shared" si="69"/>
        <v>0</v>
      </c>
      <c r="DA112" s="14">
        <f t="shared" si="70"/>
        <v>77.54583333333332</v>
      </c>
      <c r="DB112" s="14">
        <f t="shared" si="71"/>
        <v>0</v>
      </c>
      <c r="DC112" s="72">
        <f>F112/G112</f>
        <v>796.30196695153734</v>
      </c>
      <c r="DD112" s="72">
        <f t="shared" si="82"/>
        <v>25.68716022424314</v>
      </c>
      <c r="DE112" s="71">
        <f>F112/BU112</f>
        <v>266889.59472988622</v>
      </c>
      <c r="DF112" s="72">
        <f>J112/K112</f>
        <v>2453.0687031412831</v>
      </c>
      <c r="DG112" s="72">
        <f t="shared" si="73"/>
        <v>79.131248488428483</v>
      </c>
      <c r="DH112" s="72">
        <f>J112/BU112</f>
        <v>100734.07932576947</v>
      </c>
      <c r="DI112" s="72">
        <f>N112/P112</f>
        <v>42503.71537429883</v>
      </c>
      <c r="DJ112" s="72">
        <f t="shared" si="74"/>
        <v>1371.0875927193172</v>
      </c>
      <c r="DK112" s="72">
        <f t="shared" si="75"/>
        <v>1847.9876249695144</v>
      </c>
      <c r="DL112" s="72">
        <f>N112/BU112</f>
        <v>187839.00020254645</v>
      </c>
      <c r="DM112" s="72">
        <f>N112/BV112</f>
        <v>253174.30462082344</v>
      </c>
      <c r="DN112" s="1">
        <v>0</v>
      </c>
      <c r="DO112" s="1">
        <v>0</v>
      </c>
    </row>
    <row r="113" spans="1:119">
      <c r="A113" s="93">
        <f t="shared" si="79"/>
        <v>45748</v>
      </c>
      <c r="B113" s="4">
        <f t="shared" si="42"/>
        <v>2025</v>
      </c>
      <c r="C113" s="4">
        <f t="shared" si="43"/>
        <v>4</v>
      </c>
      <c r="D113" s="56">
        <v>6743989</v>
      </c>
      <c r="E113" s="56">
        <f>IFERROR(VLOOKUP($B113-1,CDM!$J$6:$P$19,2,FALSE)/12,0)+IFERROR(VLOOKUP($B113,CDM!$J$37:$M$48,2,FALSE)/24,0)+IFERROR(VLOOKUP($B113,CDM!$J$37:$M$48,2,FALSE)/2*$C113/78,0)</f>
        <v>179962.11794571477</v>
      </c>
      <c r="F113" s="56">
        <f t="shared" si="76"/>
        <v>6923951.1179457149</v>
      </c>
      <c r="G113" s="301">
        <v>10390</v>
      </c>
      <c r="H113" s="56">
        <v>2382953</v>
      </c>
      <c r="I113" s="56">
        <f>IFERROR(VLOOKUP($B113-1,CDM!$J$6:$P$19,3,FALSE)/12,0)+IFERROR(VLOOKUP($B113,CDM!$J$37:$M$47,3,FALSE)/24,0)+IFERROR(VLOOKUP($B113,CDM!$J$37:$M$47,3,FALSE)/2*$C113/78,0)</f>
        <v>269096.08767720865</v>
      </c>
      <c r="J113" s="56">
        <f t="shared" si="77"/>
        <v>2652049.0876772087</v>
      </c>
      <c r="K113" s="6">
        <v>1268</v>
      </c>
      <c r="L113" s="5">
        <v>4897517</v>
      </c>
      <c r="M113" s="2">
        <f>IFERROR(VLOOKUP($B113-1,CDM!$J$6:$P$19,4,FALSE)/12,0)+IFERROR(VLOOKUP($B113,CDM!$J$37:$M$47,4,FALSE)/24,0)+IFERROR(VLOOKUP($B113,CDM!$J$37:$M$47,4,FALSE)/2*$C113/78,0)</f>
        <v>263585.45338710805</v>
      </c>
      <c r="N113" s="56">
        <f t="shared" si="78"/>
        <v>5161102.4533871077</v>
      </c>
      <c r="O113" s="5">
        <v>17824.500000000004</v>
      </c>
      <c r="P113" s="6">
        <v>136</v>
      </c>
      <c r="Q113" s="5">
        <v>72976</v>
      </c>
      <c r="R113" s="5">
        <v>230.5</v>
      </c>
      <c r="S113" s="6">
        <v>2906</v>
      </c>
      <c r="T113" s="6">
        <v>13708</v>
      </c>
      <c r="U113" s="6">
        <v>36.799999999999997</v>
      </c>
      <c r="V113" s="6">
        <v>177</v>
      </c>
      <c r="W113" s="5">
        <v>48833</v>
      </c>
      <c r="X113" s="1">
        <v>19</v>
      </c>
      <c r="Y113" s="56">
        <v>4427.2</v>
      </c>
      <c r="Z113" s="56">
        <v>4288</v>
      </c>
      <c r="AA113" s="71">
        <f>L113-Y113</f>
        <v>4893089.8</v>
      </c>
      <c r="AB113" s="71">
        <f t="shared" si="87"/>
        <v>5156675.2533871075</v>
      </c>
      <c r="AC113" s="5">
        <f>O113-Z113</f>
        <v>13536.500000000004</v>
      </c>
      <c r="AD113" s="111">
        <f>Economic!H115</f>
        <v>887796.60117499996</v>
      </c>
      <c r="AE113" s="111">
        <f>Economic!I115</f>
        <v>900064.34574999998</v>
      </c>
      <c r="AF113" s="111">
        <f>Economic!D115</f>
        <v>8220.2999999999993</v>
      </c>
      <c r="AG113" s="111">
        <f>Economic!E115</f>
        <v>8165.3</v>
      </c>
      <c r="AH113" s="111">
        <f>Economic!F115</f>
        <v>708</v>
      </c>
      <c r="AI113" s="111">
        <f>Economic!G115</f>
        <v>704.9</v>
      </c>
      <c r="AJ113" s="111">
        <f>Economic!J115</f>
        <v>133.19999999999891</v>
      </c>
      <c r="AK113" s="111">
        <f>Economic!K115</f>
        <v>132</v>
      </c>
      <c r="AL113" s="111">
        <f>Economic!L115</f>
        <v>29.799999999999955</v>
      </c>
      <c r="AM113" s="111">
        <f>Economic!M115</f>
        <v>29.100000000000023</v>
      </c>
      <c r="AN113" s="111">
        <f>Economic!N115</f>
        <v>11176.901175000006</v>
      </c>
      <c r="AO113" s="111">
        <f>Economic!O115</f>
        <v>2968.3702499999199</v>
      </c>
      <c r="AP113" s="28">
        <f>Weather!D113</f>
        <v>4.0188194444444445</v>
      </c>
      <c r="AQ113" s="28">
        <f>Weather!E113</f>
        <v>479.43541666666664</v>
      </c>
      <c r="AR113" s="28">
        <f>Weather!F113</f>
        <v>0</v>
      </c>
      <c r="AS113" s="28">
        <f>Weather!G113</f>
        <v>419.4354166666667</v>
      </c>
      <c r="AT113" s="28">
        <f>Weather!H113</f>
        <v>0</v>
      </c>
      <c r="AU113" s="28">
        <f>Weather!I113</f>
        <v>359.45624999999995</v>
      </c>
      <c r="AV113" s="28">
        <f>Weather!J113</f>
        <v>2.0833333333332149E-2</v>
      </c>
      <c r="AW113" s="28">
        <f>Weather!K113</f>
        <v>301.45625000000001</v>
      </c>
      <c r="AX113" s="28">
        <f>Weather!L113</f>
        <v>2.0208333333333321</v>
      </c>
      <c r="AY113" s="28">
        <f>Weather!M113</f>
        <v>244.1229166666667</v>
      </c>
      <c r="AZ113" s="28">
        <f>Weather!N113</f>
        <v>4.6874999999999982</v>
      </c>
      <c r="BA113" s="28">
        <f>Weather!O113</f>
        <v>188.24375000000001</v>
      </c>
      <c r="BB113" s="28">
        <f>Weather!P113</f>
        <v>8.80833333333333</v>
      </c>
      <c r="BC113" s="28">
        <f>Weather!Q113</f>
        <v>138.13124999999997</v>
      </c>
      <c r="BD113" s="28">
        <f>Weather!R113</f>
        <v>18.695833333333333</v>
      </c>
      <c r="BE113">
        <f t="shared" si="86"/>
        <v>0</v>
      </c>
      <c r="BF113">
        <f t="shared" si="86"/>
        <v>0</v>
      </c>
      <c r="BG113">
        <f t="shared" si="86"/>
        <v>0</v>
      </c>
      <c r="BH113">
        <f t="shared" si="86"/>
        <v>1</v>
      </c>
      <c r="BI113">
        <f t="shared" si="86"/>
        <v>0</v>
      </c>
      <c r="BJ113">
        <f t="shared" si="86"/>
        <v>0</v>
      </c>
      <c r="BK113">
        <f t="shared" si="86"/>
        <v>0</v>
      </c>
      <c r="BL113">
        <f t="shared" si="86"/>
        <v>0</v>
      </c>
      <c r="BM113">
        <f t="shared" si="86"/>
        <v>0</v>
      </c>
      <c r="BN113">
        <f t="shared" si="86"/>
        <v>0</v>
      </c>
      <c r="BO113">
        <f t="shared" si="86"/>
        <v>0</v>
      </c>
      <c r="BP113">
        <f t="shared" si="86"/>
        <v>0</v>
      </c>
      <c r="BQ113" s="1">
        <f t="shared" si="86"/>
        <v>1</v>
      </c>
      <c r="BR113" s="1">
        <f t="shared" si="86"/>
        <v>0</v>
      </c>
      <c r="BS113" s="1">
        <f t="shared" si="86"/>
        <v>1</v>
      </c>
      <c r="BT113" s="1">
        <f t="shared" si="44"/>
        <v>112</v>
      </c>
      <c r="BU113">
        <f t="shared" si="41"/>
        <v>30</v>
      </c>
      <c r="BV113" s="1">
        <v>19</v>
      </c>
      <c r="BW113" s="1">
        <v>0</v>
      </c>
      <c r="BX113" s="1">
        <v>0</v>
      </c>
      <c r="BY113" s="1">
        <v>0.25</v>
      </c>
      <c r="BZ113" s="1">
        <v>0</v>
      </c>
      <c r="CA113">
        <f t="shared" si="83"/>
        <v>0</v>
      </c>
      <c r="CB113">
        <f t="shared" si="46"/>
        <v>0</v>
      </c>
      <c r="CC113">
        <f t="shared" si="47"/>
        <v>0</v>
      </c>
      <c r="CD113">
        <f t="shared" si="48"/>
        <v>0</v>
      </c>
      <c r="CE113">
        <f t="shared" si="49"/>
        <v>0</v>
      </c>
      <c r="CF113">
        <f t="shared" si="50"/>
        <v>0</v>
      </c>
      <c r="CG113">
        <f t="shared" si="51"/>
        <v>0</v>
      </c>
      <c r="CH113">
        <f t="shared" si="52"/>
        <v>0</v>
      </c>
      <c r="CI113">
        <f t="shared" si="53"/>
        <v>0</v>
      </c>
      <c r="CJ113">
        <f t="shared" si="54"/>
        <v>0</v>
      </c>
      <c r="CK113">
        <f t="shared" si="55"/>
        <v>0</v>
      </c>
      <c r="CL113">
        <f t="shared" si="56"/>
        <v>0</v>
      </c>
      <c r="CM113">
        <f t="shared" si="57"/>
        <v>0</v>
      </c>
      <c r="CN113">
        <f t="shared" si="58"/>
        <v>0</v>
      </c>
      <c r="CO113" s="14">
        <f t="shared" si="84"/>
        <v>119.85885416666666</v>
      </c>
      <c r="CP113" s="14">
        <f t="shared" si="59"/>
        <v>0</v>
      </c>
      <c r="CQ113" s="14">
        <f t="shared" si="60"/>
        <v>104.85885416666667</v>
      </c>
      <c r="CR113" s="14">
        <f t="shared" si="61"/>
        <v>0</v>
      </c>
      <c r="CS113" s="14">
        <f t="shared" si="62"/>
        <v>89.864062499999989</v>
      </c>
      <c r="CT113" s="14">
        <f t="shared" si="63"/>
        <v>5.2083333333330373E-3</v>
      </c>
      <c r="CU113" s="14">
        <f t="shared" si="64"/>
        <v>75.364062500000003</v>
      </c>
      <c r="CV113" s="14">
        <f t="shared" si="65"/>
        <v>0.50520833333333304</v>
      </c>
      <c r="CW113" s="14">
        <f t="shared" si="66"/>
        <v>61.030729166666674</v>
      </c>
      <c r="CX113" s="14">
        <f t="shared" si="67"/>
        <v>1.1718749999999996</v>
      </c>
      <c r="CY113" s="14">
        <f t="shared" si="68"/>
        <v>47.060937500000001</v>
      </c>
      <c r="CZ113" s="14">
        <f t="shared" si="69"/>
        <v>2.2020833333333325</v>
      </c>
      <c r="DA113" s="14">
        <f t="shared" si="70"/>
        <v>34.532812499999991</v>
      </c>
      <c r="DB113" s="14">
        <f t="shared" si="71"/>
        <v>4.6739583333333332</v>
      </c>
      <c r="DC113" s="72">
        <f>F113/G113</f>
        <v>666.40530490334118</v>
      </c>
      <c r="DD113" s="72">
        <f t="shared" si="82"/>
        <v>22.213510163444706</v>
      </c>
      <c r="DE113" s="71">
        <f>F113/BU113</f>
        <v>230798.37059819049</v>
      </c>
      <c r="DF113" s="72">
        <f>J113/K113</f>
        <v>2091.5213625214578</v>
      </c>
      <c r="DG113" s="72">
        <f t="shared" si="73"/>
        <v>69.717378750715255</v>
      </c>
      <c r="DH113" s="72">
        <f>J113/BU113</f>
        <v>88401.636255906953</v>
      </c>
      <c r="DI113" s="72">
        <f>N113/P113</f>
        <v>37949.282745493438</v>
      </c>
      <c r="DJ113" s="72">
        <f t="shared" si="74"/>
        <v>1264.9760915164479</v>
      </c>
      <c r="DK113" s="72">
        <f t="shared" si="75"/>
        <v>1997.3306708154441</v>
      </c>
      <c r="DL113" s="72">
        <f>N113/BU113</f>
        <v>172036.74844623692</v>
      </c>
      <c r="DM113" s="72">
        <f>N113/BV113</f>
        <v>271636.97123090038</v>
      </c>
      <c r="DN113" s="1">
        <v>0</v>
      </c>
      <c r="DO113" s="1">
        <v>0</v>
      </c>
    </row>
    <row r="114" spans="1:119">
      <c r="A114" s="93">
        <f t="shared" si="79"/>
        <v>45778</v>
      </c>
      <c r="B114" s="4">
        <f t="shared" si="42"/>
        <v>2025</v>
      </c>
      <c r="C114" s="4">
        <f t="shared" si="43"/>
        <v>5</v>
      </c>
      <c r="D114" s="56">
        <v>5933055</v>
      </c>
      <c r="E114" s="56">
        <f>IFERROR(VLOOKUP($B114-1,CDM!$J$6:$P$19,2,FALSE)/12,0)+IFERROR(VLOOKUP($B114,CDM!$J$37:$M$48,2,FALSE)/24,0)+IFERROR(VLOOKUP($B114,CDM!$J$37:$M$48,2,FALSE)/2*$C114/78,0)</f>
        <v>180784.79926495624</v>
      </c>
      <c r="F114" s="56">
        <f t="shared" si="76"/>
        <v>6113839.7992649563</v>
      </c>
      <c r="G114" s="301">
        <v>10389</v>
      </c>
      <c r="H114" s="56">
        <v>2106592</v>
      </c>
      <c r="I114" s="56">
        <f>IFERROR(VLOOKUP($B114-1,CDM!$J$6:$P$19,3,FALSE)/12,0)+IFERROR(VLOOKUP($B114,CDM!$J$37:$M$47,3,FALSE)/24,0)+IFERROR(VLOOKUP($B114,CDM!$J$37:$M$47,3,FALSE)/2*$C114/78,0)</f>
        <v>271183.71625556378</v>
      </c>
      <c r="J114" s="56">
        <f t="shared" si="77"/>
        <v>2377775.7162555638</v>
      </c>
      <c r="K114" s="6">
        <v>1271</v>
      </c>
      <c r="L114" s="5">
        <v>4754657</v>
      </c>
      <c r="M114" s="2">
        <f>IFERROR(VLOOKUP($B114-1,CDM!$J$6:$P$19,4,FALSE)/12,0)+IFERROR(VLOOKUP($B114,CDM!$J$37:$M$47,4,FALSE)/24,0)+IFERROR(VLOOKUP($B114,CDM!$J$37:$M$47,4,FALSE)/2*$C114/78,0)</f>
        <v>265889.90049527638</v>
      </c>
      <c r="N114" s="56">
        <f t="shared" si="78"/>
        <v>5020546.9004952768</v>
      </c>
      <c r="O114" s="5">
        <v>16578.900000000001</v>
      </c>
      <c r="P114" s="6">
        <v>136</v>
      </c>
      <c r="Q114" s="5">
        <v>66310</v>
      </c>
      <c r="R114" s="5">
        <v>230.5</v>
      </c>
      <c r="S114" s="6">
        <v>2906</v>
      </c>
      <c r="T114" s="6">
        <v>13124</v>
      </c>
      <c r="U114" s="6">
        <v>36</v>
      </c>
      <c r="V114" s="6">
        <v>177</v>
      </c>
      <c r="W114" s="5">
        <v>49967</v>
      </c>
      <c r="X114" s="1">
        <v>19</v>
      </c>
      <c r="Y114" s="56">
        <v>6524</v>
      </c>
      <c r="Z114" s="56">
        <v>3824</v>
      </c>
      <c r="AA114" s="71">
        <f>L114-Y114</f>
        <v>4748133</v>
      </c>
      <c r="AB114" s="71">
        <f t="shared" si="87"/>
        <v>5014022.9004952768</v>
      </c>
      <c r="AC114" s="5">
        <f>O114-Z114</f>
        <v>12754.900000000001</v>
      </c>
      <c r="AD114" s="111">
        <f>Economic!H116</f>
        <v>887796.60117499996</v>
      </c>
      <c r="AE114" s="111">
        <f>Economic!I116</f>
        <v>900064.34574999998</v>
      </c>
      <c r="AF114" s="111">
        <f>Economic!D116</f>
        <v>8204.4</v>
      </c>
      <c r="AG114" s="111">
        <f>Economic!E116</f>
        <v>8198.1</v>
      </c>
      <c r="AH114" s="111">
        <f>Economic!F116</f>
        <v>703.6</v>
      </c>
      <c r="AI114" s="111">
        <f>Economic!G116</f>
        <v>705</v>
      </c>
      <c r="AJ114" s="111">
        <f>Economic!J116</f>
        <v>84.699999999999818</v>
      </c>
      <c r="AK114" s="111">
        <f>Economic!K116</f>
        <v>84.5</v>
      </c>
      <c r="AL114" s="111">
        <f>Economic!L116</f>
        <v>27.100000000000023</v>
      </c>
      <c r="AM114" s="111">
        <f>Economic!M116</f>
        <v>26.799999999999955</v>
      </c>
      <c r="AN114" s="111">
        <f>Economic!N116</f>
        <v>11176.901175000006</v>
      </c>
      <c r="AO114" s="111">
        <f>Economic!O116</f>
        <v>2968.3702499999199</v>
      </c>
      <c r="AP114" s="28">
        <f>Weather!D114</f>
        <v>12.344220430107528</v>
      </c>
      <c r="AQ114" s="28">
        <f>Weather!E114</f>
        <v>237.32916666666665</v>
      </c>
      <c r="AR114" s="28">
        <f>Weather!F114</f>
        <v>0</v>
      </c>
      <c r="AS114" s="28">
        <f>Weather!G114</f>
        <v>177.67291666666665</v>
      </c>
      <c r="AT114" s="28">
        <f>Weather!H114</f>
        <v>2.34375</v>
      </c>
      <c r="AU114" s="28">
        <f>Weather!I114</f>
        <v>128.02499999999998</v>
      </c>
      <c r="AV114" s="28">
        <f>Weather!J114</f>
        <v>14.695833333333336</v>
      </c>
      <c r="AW114" s="28">
        <f>Weather!K114</f>
        <v>86.63333333333334</v>
      </c>
      <c r="AX114" s="28">
        <f>Weather!L114</f>
        <v>35.304166666666674</v>
      </c>
      <c r="AY114" s="28">
        <f>Weather!M114</f>
        <v>51.35</v>
      </c>
      <c r="AZ114" s="28">
        <f>Weather!N114</f>
        <v>62.020833333333329</v>
      </c>
      <c r="BA114" s="28">
        <f>Weather!O114</f>
        <v>21.554166666666667</v>
      </c>
      <c r="BB114" s="28">
        <f>Weather!P114</f>
        <v>94.225000000000009</v>
      </c>
      <c r="BC114" s="28">
        <f>Weather!Q114</f>
        <v>5.4916666666666663</v>
      </c>
      <c r="BD114" s="28">
        <f>Weather!R114</f>
        <v>140.16249999999997</v>
      </c>
      <c r="BE114">
        <f t="shared" si="86"/>
        <v>0</v>
      </c>
      <c r="BF114">
        <f t="shared" si="86"/>
        <v>0</v>
      </c>
      <c r="BG114">
        <f t="shared" si="86"/>
        <v>0</v>
      </c>
      <c r="BH114">
        <f t="shared" si="86"/>
        <v>0</v>
      </c>
      <c r="BI114">
        <f t="shared" si="86"/>
        <v>1</v>
      </c>
      <c r="BJ114">
        <f t="shared" si="86"/>
        <v>0</v>
      </c>
      <c r="BK114">
        <f t="shared" si="86"/>
        <v>0</v>
      </c>
      <c r="BL114">
        <f t="shared" si="86"/>
        <v>0</v>
      </c>
      <c r="BM114">
        <f t="shared" si="86"/>
        <v>0</v>
      </c>
      <c r="BN114">
        <f t="shared" si="86"/>
        <v>0</v>
      </c>
      <c r="BO114">
        <f t="shared" si="86"/>
        <v>0</v>
      </c>
      <c r="BP114">
        <f t="shared" si="86"/>
        <v>0</v>
      </c>
      <c r="BQ114" s="1">
        <f t="shared" si="86"/>
        <v>1</v>
      </c>
      <c r="BR114" s="1">
        <f t="shared" si="86"/>
        <v>0</v>
      </c>
      <c r="BS114" s="1">
        <f t="shared" si="86"/>
        <v>1</v>
      </c>
      <c r="BT114" s="1">
        <f t="shared" si="44"/>
        <v>113</v>
      </c>
      <c r="BU114">
        <f t="shared" si="41"/>
        <v>31</v>
      </c>
      <c r="BV114" s="1">
        <v>22</v>
      </c>
      <c r="BW114" s="1">
        <v>0</v>
      </c>
      <c r="BX114" s="1">
        <v>0</v>
      </c>
      <c r="BY114" s="1">
        <v>0.25</v>
      </c>
      <c r="BZ114" s="1">
        <v>0</v>
      </c>
      <c r="CA114">
        <f t="shared" si="83"/>
        <v>0</v>
      </c>
      <c r="CB114">
        <f t="shared" si="46"/>
        <v>0</v>
      </c>
      <c r="CC114">
        <f t="shared" si="47"/>
        <v>0</v>
      </c>
      <c r="CD114">
        <f t="shared" si="48"/>
        <v>0</v>
      </c>
      <c r="CE114">
        <f t="shared" si="49"/>
        <v>0</v>
      </c>
      <c r="CF114">
        <f t="shared" si="50"/>
        <v>0</v>
      </c>
      <c r="CG114">
        <f t="shared" si="51"/>
        <v>0</v>
      </c>
      <c r="CH114">
        <f t="shared" si="52"/>
        <v>0</v>
      </c>
      <c r="CI114">
        <f t="shared" si="53"/>
        <v>0</v>
      </c>
      <c r="CJ114">
        <f t="shared" si="54"/>
        <v>0</v>
      </c>
      <c r="CK114">
        <f t="shared" si="55"/>
        <v>0</v>
      </c>
      <c r="CL114">
        <f t="shared" si="56"/>
        <v>0</v>
      </c>
      <c r="CM114">
        <f t="shared" si="57"/>
        <v>0</v>
      </c>
      <c r="CN114">
        <f t="shared" si="58"/>
        <v>0</v>
      </c>
      <c r="CO114" s="14">
        <f t="shared" si="84"/>
        <v>59.332291666666663</v>
      </c>
      <c r="CP114" s="14">
        <f t="shared" si="59"/>
        <v>0</v>
      </c>
      <c r="CQ114" s="14">
        <f t="shared" si="60"/>
        <v>44.418229166666663</v>
      </c>
      <c r="CR114" s="14">
        <f t="shared" si="61"/>
        <v>0.5859375</v>
      </c>
      <c r="CS114" s="14">
        <f t="shared" si="62"/>
        <v>32.006249999999994</v>
      </c>
      <c r="CT114" s="14">
        <f t="shared" si="63"/>
        <v>3.6739583333333341</v>
      </c>
      <c r="CU114" s="14">
        <f t="shared" si="64"/>
        <v>21.658333333333335</v>
      </c>
      <c r="CV114" s="14">
        <f t="shared" si="65"/>
        <v>8.8260416666666686</v>
      </c>
      <c r="CW114" s="14">
        <f t="shared" si="66"/>
        <v>12.8375</v>
      </c>
      <c r="CX114" s="14">
        <f t="shared" si="67"/>
        <v>15.505208333333332</v>
      </c>
      <c r="CY114" s="14">
        <f t="shared" si="68"/>
        <v>5.3885416666666668</v>
      </c>
      <c r="CZ114" s="14">
        <f t="shared" si="69"/>
        <v>23.556250000000002</v>
      </c>
      <c r="DA114" s="14">
        <f t="shared" si="70"/>
        <v>1.3729166666666666</v>
      </c>
      <c r="DB114" s="14">
        <f t="shared" si="71"/>
        <v>35.040624999999991</v>
      </c>
      <c r="DC114" s="72">
        <f>F114/G114</f>
        <v>588.4916545639577</v>
      </c>
      <c r="DD114" s="72">
        <f t="shared" si="82"/>
        <v>18.983601760127666</v>
      </c>
      <c r="DE114" s="71">
        <f>F114/BU114</f>
        <v>197220.63868596632</v>
      </c>
      <c r="DF114" s="72">
        <f>J114/K114</f>
        <v>1870.7912795087047</v>
      </c>
      <c r="DG114" s="72">
        <f t="shared" si="73"/>
        <v>60.348105790603377</v>
      </c>
      <c r="DH114" s="72">
        <f>J114/BU114</f>
        <v>76702.442459856902</v>
      </c>
      <c r="DI114" s="72">
        <f>N114/P114</f>
        <v>36915.786033053504</v>
      </c>
      <c r="DJ114" s="72">
        <f t="shared" si="74"/>
        <v>1190.8318075178549</v>
      </c>
      <c r="DK114" s="72">
        <f t="shared" si="75"/>
        <v>1677.9902742297047</v>
      </c>
      <c r="DL114" s="72">
        <f>N114/BU114</f>
        <v>161953.12582242829</v>
      </c>
      <c r="DM114" s="72">
        <f>N114/BV114</f>
        <v>228206.67729523985</v>
      </c>
      <c r="DN114" s="1">
        <v>0</v>
      </c>
      <c r="DO114" s="1">
        <v>0</v>
      </c>
    </row>
    <row r="115" spans="1:119">
      <c r="A115" s="93">
        <f t="shared" si="79"/>
        <v>45809</v>
      </c>
      <c r="B115" s="4">
        <f t="shared" si="42"/>
        <v>2025</v>
      </c>
      <c r="C115" s="4">
        <f t="shared" si="43"/>
        <v>6</v>
      </c>
      <c r="D115" s="56">
        <v>6900582</v>
      </c>
      <c r="E115" s="56">
        <f>IFERROR(VLOOKUP($B115-1,CDM!$J$6:$P$19,2,FALSE)/12,0)+IFERROR(VLOOKUP($B115,CDM!$J$37:$M$48,2,FALSE)/24,0)+IFERROR(VLOOKUP($B115,CDM!$J$37:$M$48,2,FALSE)/2*$C115/78,0)</f>
        <v>181607.48058419771</v>
      </c>
      <c r="F115" s="56">
        <f t="shared" si="76"/>
        <v>7082189.4805841977</v>
      </c>
      <c r="G115" s="301">
        <v>10389</v>
      </c>
      <c r="H115" s="56">
        <v>2250178</v>
      </c>
      <c r="I115" s="56">
        <f>IFERROR(VLOOKUP($B115-1,CDM!$J$6:$P$19,3,FALSE)/12,0)+IFERROR(VLOOKUP($B115,CDM!$J$37:$M$47,3,FALSE)/24,0)+IFERROR(VLOOKUP($B115,CDM!$J$37:$M$47,3,FALSE)/2*$C115/78,0)</f>
        <v>273271.34483391896</v>
      </c>
      <c r="J115" s="56">
        <f t="shared" si="77"/>
        <v>2523449.3448339188</v>
      </c>
      <c r="K115" s="6">
        <v>1271</v>
      </c>
      <c r="L115" s="5">
        <v>5284797</v>
      </c>
      <c r="M115" s="2">
        <f>IFERROR(VLOOKUP($B115-1,CDM!$J$6:$P$19,4,FALSE)/12,0)+IFERROR(VLOOKUP($B115,CDM!$J$37:$M$47,4,FALSE)/24,0)+IFERROR(VLOOKUP($B115,CDM!$J$37:$M$47,4,FALSE)/2*$C115/78,0)</f>
        <v>268194.34760344465</v>
      </c>
      <c r="N115" s="56">
        <f t="shared" si="78"/>
        <v>5552991.3476034449</v>
      </c>
      <c r="O115" s="5">
        <v>16823.5</v>
      </c>
      <c r="P115" s="6">
        <v>136</v>
      </c>
      <c r="Q115" s="5">
        <v>59760</v>
      </c>
      <c r="R115" s="5">
        <v>230.5</v>
      </c>
      <c r="S115" s="6">
        <v>2906</v>
      </c>
      <c r="T115" s="6">
        <v>14144</v>
      </c>
      <c r="U115" s="6">
        <v>38.599999999999987</v>
      </c>
      <c r="V115" s="6">
        <v>177</v>
      </c>
      <c r="W115" s="5">
        <v>48791</v>
      </c>
      <c r="X115" s="1">
        <v>19</v>
      </c>
      <c r="Y115" s="56">
        <v>296.60000000000002</v>
      </c>
      <c r="Z115" s="56">
        <v>675.2</v>
      </c>
      <c r="AA115" s="71">
        <f>L115-Y115</f>
        <v>5284500.4000000004</v>
      </c>
      <c r="AB115" s="71">
        <f t="shared" si="87"/>
        <v>5552694.7476034453</v>
      </c>
      <c r="AC115" s="5">
        <f>O115-Z115</f>
        <v>16148.3</v>
      </c>
      <c r="AD115" s="111">
        <f>Economic!H117</f>
        <v>887796.60117499996</v>
      </c>
      <c r="AE115" s="111">
        <f>Economic!I117</f>
        <v>900064.34574999998</v>
      </c>
      <c r="AF115" s="111">
        <f>Economic!D117</f>
        <v>8200</v>
      </c>
      <c r="AG115" s="111">
        <f>Economic!E117</f>
        <v>8270</v>
      </c>
      <c r="AH115" s="111">
        <f>Economic!F117</f>
        <v>694.7</v>
      </c>
      <c r="AI115" s="111">
        <f>Economic!G117</f>
        <v>699.7</v>
      </c>
      <c r="AJ115" s="111">
        <f>Economic!J117</f>
        <v>59.300000000000182</v>
      </c>
      <c r="AK115" s="111">
        <f>Economic!K117</f>
        <v>67.799999999999272</v>
      </c>
      <c r="AL115" s="111">
        <f>Economic!L117</f>
        <v>15.600000000000023</v>
      </c>
      <c r="AM115" s="111">
        <f>Economic!M117</f>
        <v>12.900000000000091</v>
      </c>
      <c r="AN115" s="111">
        <f>Economic!N117</f>
        <v>11176.901175000006</v>
      </c>
      <c r="AO115" s="111">
        <f>Economic!O117</f>
        <v>2968.3702499999199</v>
      </c>
      <c r="AP115" s="28">
        <f>Weather!D115</f>
        <v>18.235833333333332</v>
      </c>
      <c r="AQ115" s="28">
        <f>Weather!E115</f>
        <v>85.787499999999994</v>
      </c>
      <c r="AR115" s="28">
        <f>Weather!F115</f>
        <v>32.862500000000011</v>
      </c>
      <c r="AS115" s="28">
        <f>Weather!G115</f>
        <v>46.833333333333336</v>
      </c>
      <c r="AT115" s="28">
        <f>Weather!H115</f>
        <v>53.908333333333331</v>
      </c>
      <c r="AU115" s="28">
        <f>Weather!I115</f>
        <v>22.612500000000011</v>
      </c>
      <c r="AV115" s="28">
        <f>Weather!J115</f>
        <v>89.6875</v>
      </c>
      <c r="AW115" s="28">
        <f>Weather!K115</f>
        <v>10.90833333333334</v>
      </c>
      <c r="AX115" s="28">
        <f>Weather!L115</f>
        <v>137.98333333333338</v>
      </c>
      <c r="AY115" s="28">
        <f>Weather!M115</f>
        <v>4.2625000000000011</v>
      </c>
      <c r="AZ115" s="28">
        <f>Weather!N115</f>
        <v>191.33749999999998</v>
      </c>
      <c r="BA115" s="28">
        <f>Weather!O115</f>
        <v>1.375</v>
      </c>
      <c r="BB115" s="28">
        <f>Weather!P115</f>
        <v>248.45</v>
      </c>
      <c r="BC115" s="28">
        <f>Weather!Q115</f>
        <v>0</v>
      </c>
      <c r="BD115" s="28">
        <f>Weather!R115</f>
        <v>307.07499999999999</v>
      </c>
      <c r="BE115">
        <f t="shared" si="86"/>
        <v>0</v>
      </c>
      <c r="BF115">
        <f t="shared" si="86"/>
        <v>0</v>
      </c>
      <c r="BG115">
        <f t="shared" si="86"/>
        <v>0</v>
      </c>
      <c r="BH115">
        <f t="shared" si="86"/>
        <v>0</v>
      </c>
      <c r="BI115">
        <f t="shared" si="86"/>
        <v>0</v>
      </c>
      <c r="BJ115">
        <f t="shared" si="86"/>
        <v>1</v>
      </c>
      <c r="BK115">
        <f t="shared" si="86"/>
        <v>0</v>
      </c>
      <c r="BL115">
        <f t="shared" si="86"/>
        <v>0</v>
      </c>
      <c r="BM115">
        <f t="shared" si="86"/>
        <v>0</v>
      </c>
      <c r="BN115">
        <f t="shared" si="86"/>
        <v>0</v>
      </c>
      <c r="BO115">
        <f t="shared" si="86"/>
        <v>0</v>
      </c>
      <c r="BP115">
        <f t="shared" si="86"/>
        <v>0</v>
      </c>
      <c r="BQ115" s="1">
        <f t="shared" si="86"/>
        <v>0</v>
      </c>
      <c r="BR115" s="1">
        <f t="shared" si="86"/>
        <v>0</v>
      </c>
      <c r="BS115" s="1">
        <f t="shared" si="86"/>
        <v>0</v>
      </c>
      <c r="BT115" s="1">
        <f t="shared" si="44"/>
        <v>114</v>
      </c>
      <c r="BU115">
        <f t="shared" si="41"/>
        <v>30</v>
      </c>
      <c r="BV115" s="1">
        <v>22</v>
      </c>
      <c r="BW115" s="1">
        <v>0</v>
      </c>
      <c r="BX115" s="1">
        <v>0</v>
      </c>
      <c r="BY115" s="1">
        <v>0.25</v>
      </c>
      <c r="BZ115" s="1">
        <v>0</v>
      </c>
      <c r="CA115">
        <f t="shared" si="83"/>
        <v>0</v>
      </c>
      <c r="CB115">
        <f t="shared" si="46"/>
        <v>0</v>
      </c>
      <c r="CC115">
        <f t="shared" si="47"/>
        <v>0</v>
      </c>
      <c r="CD115">
        <f t="shared" si="48"/>
        <v>0</v>
      </c>
      <c r="CE115">
        <f t="shared" si="49"/>
        <v>0</v>
      </c>
      <c r="CF115">
        <f t="shared" si="50"/>
        <v>0</v>
      </c>
      <c r="CG115">
        <f t="shared" si="51"/>
        <v>0</v>
      </c>
      <c r="CH115">
        <f t="shared" si="52"/>
        <v>0</v>
      </c>
      <c r="CI115">
        <f t="shared" si="53"/>
        <v>0</v>
      </c>
      <c r="CJ115">
        <f t="shared" si="54"/>
        <v>0</v>
      </c>
      <c r="CK115">
        <f t="shared" si="55"/>
        <v>0</v>
      </c>
      <c r="CL115">
        <f t="shared" si="56"/>
        <v>0</v>
      </c>
      <c r="CM115">
        <f t="shared" si="57"/>
        <v>0</v>
      </c>
      <c r="CN115">
        <f t="shared" si="58"/>
        <v>0</v>
      </c>
      <c r="CO115" s="14">
        <f t="shared" si="84"/>
        <v>21.446874999999999</v>
      </c>
      <c r="CP115" s="14">
        <f t="shared" si="59"/>
        <v>8.2156250000000028</v>
      </c>
      <c r="CQ115" s="14">
        <f t="shared" si="60"/>
        <v>11.708333333333334</v>
      </c>
      <c r="CR115" s="14">
        <f t="shared" si="61"/>
        <v>13.477083333333333</v>
      </c>
      <c r="CS115" s="14">
        <f t="shared" si="62"/>
        <v>5.6531250000000028</v>
      </c>
      <c r="CT115" s="14">
        <f t="shared" si="63"/>
        <v>22.421875</v>
      </c>
      <c r="CU115" s="14">
        <f t="shared" si="64"/>
        <v>2.7270833333333351</v>
      </c>
      <c r="CV115" s="14">
        <f t="shared" si="65"/>
        <v>34.495833333333344</v>
      </c>
      <c r="CW115" s="14">
        <f t="shared" si="66"/>
        <v>1.0656250000000003</v>
      </c>
      <c r="CX115" s="14">
        <f t="shared" si="67"/>
        <v>47.834374999999994</v>
      </c>
      <c r="CY115" s="14">
        <f t="shared" si="68"/>
        <v>0.34375</v>
      </c>
      <c r="CZ115" s="14">
        <f t="shared" si="69"/>
        <v>62.112499999999997</v>
      </c>
      <c r="DA115" s="14">
        <f t="shared" si="70"/>
        <v>0</v>
      </c>
      <c r="DB115" s="14">
        <f t="shared" si="71"/>
        <v>76.768749999999997</v>
      </c>
      <c r="DC115" s="72">
        <f>F115/G115</f>
        <v>681.70078742749035</v>
      </c>
      <c r="DD115" s="72">
        <f t="shared" si="82"/>
        <v>22.723359580916345</v>
      </c>
      <c r="DE115" s="71">
        <f>F115/BU115</f>
        <v>236072.98268613993</v>
      </c>
      <c r="DF115" s="72">
        <f>J115/K115</f>
        <v>1985.4046772886852</v>
      </c>
      <c r="DG115" s="72">
        <f t="shared" si="73"/>
        <v>66.18015590962284</v>
      </c>
      <c r="DH115" s="72">
        <f>J115/BU115</f>
        <v>84114.978161130624</v>
      </c>
      <c r="DI115" s="72">
        <f>N115/P115</f>
        <v>40830.818732378269</v>
      </c>
      <c r="DJ115" s="72">
        <f t="shared" si="74"/>
        <v>1361.0272910792758</v>
      </c>
      <c r="DK115" s="72">
        <f t="shared" si="75"/>
        <v>1855.946306017194</v>
      </c>
      <c r="DL115" s="72">
        <f>N115/BU115</f>
        <v>185099.71158678149</v>
      </c>
      <c r="DM115" s="72">
        <f>N115/BV115</f>
        <v>252408.6976183384</v>
      </c>
      <c r="DN115" s="1">
        <v>0</v>
      </c>
      <c r="DO115" s="1">
        <v>0</v>
      </c>
    </row>
    <row r="116" spans="1:119">
      <c r="A116" s="93">
        <f t="shared" si="79"/>
        <v>45839</v>
      </c>
      <c r="B116" s="4">
        <f t="shared" si="42"/>
        <v>2025</v>
      </c>
      <c r="C116" s="4">
        <f t="shared" si="43"/>
        <v>7</v>
      </c>
      <c r="D116" s="56">
        <v>8595343</v>
      </c>
      <c r="E116" s="56">
        <f>IFERROR(VLOOKUP($B116-1,CDM!$J$6:$P$19,2,FALSE)/12,0)+IFERROR(VLOOKUP($B116,CDM!$J$37:$M$48,2,FALSE)/24,0)+IFERROR(VLOOKUP($B116,CDM!$J$37:$M$48,2,FALSE)/2*$C116/78,0)</f>
        <v>182430.16190343918</v>
      </c>
      <c r="F116" s="56">
        <f t="shared" si="76"/>
        <v>8777773.1619034391</v>
      </c>
      <c r="G116" s="301">
        <v>10393</v>
      </c>
      <c r="H116" s="56">
        <v>2662435</v>
      </c>
      <c r="I116" s="56">
        <f>IFERROR(VLOOKUP($B116-1,CDM!$J$6:$P$19,3,FALSE)/12,0)+IFERROR(VLOOKUP($B116,CDM!$J$37:$M$47,3,FALSE)/24,0)+IFERROR(VLOOKUP($B116,CDM!$J$37:$M$47,3,FALSE)/2*$C116/78,0)</f>
        <v>275358.97341227409</v>
      </c>
      <c r="J116" s="56">
        <f t="shared" si="77"/>
        <v>2937793.9734122739</v>
      </c>
      <c r="K116" s="6">
        <v>1270</v>
      </c>
      <c r="L116" s="5">
        <v>5770963</v>
      </c>
      <c r="M116" s="2">
        <f>IFERROR(VLOOKUP($B116-1,CDM!$J$6:$P$19,4,FALSE)/12,0)+IFERROR(VLOOKUP($B116,CDM!$J$37:$M$47,4,FALSE)/24,0)+IFERROR(VLOOKUP($B116,CDM!$J$37:$M$47,4,FALSE)/2*$C116/78,0)</f>
        <v>270498.79471161298</v>
      </c>
      <c r="N116" s="56">
        <f t="shared" si="78"/>
        <v>6041461.7947116131</v>
      </c>
      <c r="O116" s="5">
        <v>18311</v>
      </c>
      <c r="P116" s="6">
        <v>135</v>
      </c>
      <c r="Q116" s="5">
        <v>64082</v>
      </c>
      <c r="R116" s="5">
        <v>230.5</v>
      </c>
      <c r="S116" s="6">
        <v>2906</v>
      </c>
      <c r="T116" s="6">
        <v>11715</v>
      </c>
      <c r="U116" s="6">
        <v>37.200000000000003</v>
      </c>
      <c r="V116" s="6">
        <v>177</v>
      </c>
      <c r="W116" s="5">
        <v>50303</v>
      </c>
      <c r="X116" s="1">
        <v>19</v>
      </c>
      <c r="Y116" s="56">
        <v>2655.2</v>
      </c>
      <c r="Z116" s="56">
        <v>4323.2</v>
      </c>
      <c r="AA116" s="71">
        <f>L116-Y116</f>
        <v>5768307.7999999998</v>
      </c>
      <c r="AB116" s="71">
        <f t="shared" si="87"/>
        <v>6038806.5947116129</v>
      </c>
      <c r="AC116" s="5">
        <f>O116-Z116</f>
        <v>13987.8</v>
      </c>
      <c r="AD116" s="111">
        <f>Economic!H118</f>
        <v>887796.60117499996</v>
      </c>
      <c r="AE116" s="111">
        <f>Economic!I118</f>
        <v>901427.50725000002</v>
      </c>
      <c r="AF116" s="111">
        <f>Economic!D118</f>
        <v>8207.5</v>
      </c>
      <c r="AG116" s="111">
        <f>Economic!E118</f>
        <v>8308.4</v>
      </c>
      <c r="AH116" s="111">
        <f>Economic!F118</f>
        <v>692.8</v>
      </c>
      <c r="AI116" s="111">
        <f>Economic!G118</f>
        <v>704.2</v>
      </c>
      <c r="AJ116" s="111">
        <f>Economic!J118</f>
        <v>46.5</v>
      </c>
      <c r="AK116" s="111">
        <f>Economic!K118</f>
        <v>55.299999999999272</v>
      </c>
      <c r="AL116" s="111">
        <f>Economic!L118</f>
        <v>10.099999999999909</v>
      </c>
      <c r="AM116" s="111">
        <f>Economic!M118</f>
        <v>7.5</v>
      </c>
      <c r="AN116" s="111">
        <f>Economic!N118</f>
        <v>11176.901175000006</v>
      </c>
      <c r="AO116" s="111">
        <f>Economic!O118</f>
        <v>1363.1615000000456</v>
      </c>
      <c r="AP116" s="28">
        <f>Weather!D116</f>
        <v>21.22076612903226</v>
      </c>
      <c r="AQ116" s="28">
        <f>Weather!E116</f>
        <v>23.716666666666676</v>
      </c>
      <c r="AR116" s="28">
        <f>Weather!F116</f>
        <v>61.560416666666669</v>
      </c>
      <c r="AS116" s="28">
        <f>Weather!G116</f>
        <v>8.0333333333333403</v>
      </c>
      <c r="AT116" s="28">
        <f>Weather!H116</f>
        <v>107.87708333333333</v>
      </c>
      <c r="AU116" s="28">
        <f>Weather!I116</f>
        <v>1.6166666666666689</v>
      </c>
      <c r="AV116" s="28">
        <f>Weather!J116</f>
        <v>163.46041666666662</v>
      </c>
      <c r="AW116" s="28">
        <f>Weather!K116</f>
        <v>0</v>
      </c>
      <c r="AX116" s="28">
        <f>Weather!L116</f>
        <v>223.84375</v>
      </c>
      <c r="AY116" s="28">
        <f>Weather!M116</f>
        <v>0</v>
      </c>
      <c r="AZ116" s="28">
        <f>Weather!N116</f>
        <v>285.84375000000006</v>
      </c>
      <c r="BA116" s="28">
        <f>Weather!O116</f>
        <v>0</v>
      </c>
      <c r="BB116" s="28">
        <f>Weather!P116</f>
        <v>347.84375000000006</v>
      </c>
      <c r="BC116" s="28">
        <f>Weather!Q116</f>
        <v>0</v>
      </c>
      <c r="BD116" s="28">
        <f>Weather!R116</f>
        <v>409.84375000000006</v>
      </c>
      <c r="BE116">
        <f t="shared" si="86"/>
        <v>0</v>
      </c>
      <c r="BF116">
        <f t="shared" si="86"/>
        <v>0</v>
      </c>
      <c r="BG116">
        <f t="shared" si="86"/>
        <v>0</v>
      </c>
      <c r="BH116">
        <f t="shared" si="86"/>
        <v>0</v>
      </c>
      <c r="BI116">
        <f t="shared" si="86"/>
        <v>0</v>
      </c>
      <c r="BJ116">
        <f t="shared" si="86"/>
        <v>0</v>
      </c>
      <c r="BK116">
        <f t="shared" si="86"/>
        <v>1</v>
      </c>
      <c r="BL116">
        <f t="shared" si="86"/>
        <v>0</v>
      </c>
      <c r="BM116">
        <f t="shared" si="86"/>
        <v>0</v>
      </c>
      <c r="BN116">
        <f t="shared" si="86"/>
        <v>0</v>
      </c>
      <c r="BO116">
        <f t="shared" si="86"/>
        <v>0</v>
      </c>
      <c r="BP116">
        <f t="shared" si="86"/>
        <v>0</v>
      </c>
      <c r="BQ116" s="1">
        <f t="shared" si="86"/>
        <v>0</v>
      </c>
      <c r="BR116" s="1">
        <f t="shared" si="86"/>
        <v>0</v>
      </c>
      <c r="BS116" s="1">
        <f t="shared" si="86"/>
        <v>0</v>
      </c>
      <c r="BT116" s="1">
        <f t="shared" si="44"/>
        <v>115</v>
      </c>
      <c r="BU116">
        <f t="shared" si="41"/>
        <v>31</v>
      </c>
      <c r="BV116" s="1">
        <v>20</v>
      </c>
      <c r="BW116" s="1">
        <v>0</v>
      </c>
      <c r="BX116" s="1">
        <v>0</v>
      </c>
      <c r="BY116" s="1">
        <v>0.25</v>
      </c>
      <c r="BZ116" s="1">
        <v>0</v>
      </c>
      <c r="CA116">
        <f t="shared" si="83"/>
        <v>0</v>
      </c>
      <c r="CB116">
        <f t="shared" si="46"/>
        <v>0</v>
      </c>
      <c r="CC116">
        <f t="shared" si="47"/>
        <v>0</v>
      </c>
      <c r="CD116">
        <f t="shared" si="48"/>
        <v>0</v>
      </c>
      <c r="CE116">
        <f t="shared" si="49"/>
        <v>0</v>
      </c>
      <c r="CF116">
        <f t="shared" si="50"/>
        <v>0</v>
      </c>
      <c r="CG116">
        <f t="shared" si="51"/>
        <v>0</v>
      </c>
      <c r="CH116">
        <f t="shared" si="52"/>
        <v>0</v>
      </c>
      <c r="CI116">
        <f t="shared" si="53"/>
        <v>0</v>
      </c>
      <c r="CJ116">
        <f t="shared" si="54"/>
        <v>0</v>
      </c>
      <c r="CK116">
        <f t="shared" si="55"/>
        <v>0</v>
      </c>
      <c r="CL116">
        <f t="shared" si="56"/>
        <v>0</v>
      </c>
      <c r="CM116">
        <f t="shared" si="57"/>
        <v>0</v>
      </c>
      <c r="CN116">
        <f t="shared" si="58"/>
        <v>0</v>
      </c>
      <c r="CO116" s="14">
        <f t="shared" si="84"/>
        <v>5.9291666666666689</v>
      </c>
      <c r="CP116" s="14">
        <f t="shared" si="59"/>
        <v>15.390104166666667</v>
      </c>
      <c r="CQ116" s="14">
        <f t="shared" si="60"/>
        <v>2.0083333333333351</v>
      </c>
      <c r="CR116" s="14">
        <f t="shared" si="61"/>
        <v>26.969270833333333</v>
      </c>
      <c r="CS116" s="14">
        <f t="shared" si="62"/>
        <v>0.40416666666666723</v>
      </c>
      <c r="CT116" s="14">
        <f t="shared" si="63"/>
        <v>40.865104166666654</v>
      </c>
      <c r="CU116" s="14">
        <f t="shared" si="64"/>
        <v>0</v>
      </c>
      <c r="CV116" s="14">
        <f t="shared" si="65"/>
        <v>55.9609375</v>
      </c>
      <c r="CW116" s="14">
        <f t="shared" si="66"/>
        <v>0</v>
      </c>
      <c r="CX116" s="14">
        <f t="shared" si="67"/>
        <v>71.460937500000014</v>
      </c>
      <c r="CY116" s="14">
        <f t="shared" si="68"/>
        <v>0</v>
      </c>
      <c r="CZ116" s="14">
        <f t="shared" si="69"/>
        <v>86.960937500000014</v>
      </c>
      <c r="DA116" s="14">
        <f t="shared" si="70"/>
        <v>0</v>
      </c>
      <c r="DB116" s="14">
        <f t="shared" si="71"/>
        <v>102.46093750000001</v>
      </c>
      <c r="DC116" s="72">
        <f>F116/G116</f>
        <v>844.58512093750016</v>
      </c>
      <c r="DD116" s="72">
        <f t="shared" si="82"/>
        <v>27.244681320564521</v>
      </c>
      <c r="DE116" s="71">
        <f>F116/BU116</f>
        <v>283153.97296462709</v>
      </c>
      <c r="DF116" s="72">
        <f>J116/K116</f>
        <v>2313.2236011120267</v>
      </c>
      <c r="DG116" s="72">
        <f t="shared" si="73"/>
        <v>74.62011616490409</v>
      </c>
      <c r="DH116" s="72">
        <f>J116/BU116</f>
        <v>94767.547529428193</v>
      </c>
      <c r="DI116" s="72">
        <f>N116/P116</f>
        <v>44751.568849715652</v>
      </c>
      <c r="DJ116" s="72">
        <f t="shared" si="74"/>
        <v>1443.5989951521178</v>
      </c>
      <c r="DK116" s="72">
        <f t="shared" si="75"/>
        <v>2237.5784424857825</v>
      </c>
      <c r="DL116" s="72">
        <f>N116/BU116</f>
        <v>194885.8643455359</v>
      </c>
      <c r="DM116" s="72">
        <f>N116/BV116</f>
        <v>302073.08973558067</v>
      </c>
      <c r="DN116" s="1">
        <v>0</v>
      </c>
      <c r="DO116" s="1">
        <v>0</v>
      </c>
    </row>
    <row r="117" spans="1:119">
      <c r="A117" s="93">
        <f t="shared" si="79"/>
        <v>45870</v>
      </c>
      <c r="B117" s="4">
        <f t="shared" si="42"/>
        <v>2025</v>
      </c>
      <c r="C117" s="4">
        <f t="shared" si="43"/>
        <v>8</v>
      </c>
      <c r="D117" s="56">
        <v>7513652</v>
      </c>
      <c r="E117" s="56">
        <f>IFERROR(VLOOKUP($B117-1,CDM!$J$6:$P$19,2,FALSE)/12,0)+IFERROR(VLOOKUP($B117,CDM!$J$37:$M$48,2,FALSE)/24,0)+IFERROR(VLOOKUP($B117,CDM!$J$37:$M$48,2,FALSE)/2*$C117/78,0)</f>
        <v>183252.84322268065</v>
      </c>
      <c r="F117" s="56">
        <f t="shared" si="76"/>
        <v>7696904.8432226805</v>
      </c>
      <c r="G117" s="301">
        <v>10396</v>
      </c>
      <c r="H117" s="56">
        <v>2354103</v>
      </c>
      <c r="I117" s="56">
        <f>IFERROR(VLOOKUP($B117-1,CDM!$J$6:$P$19,3,FALSE)/12,0)+IFERROR(VLOOKUP($B117,CDM!$J$37:$M$47,3,FALSE)/24,0)+IFERROR(VLOOKUP($B117,CDM!$J$37:$M$47,3,FALSE)/2*$C117/78,0)</f>
        <v>277446.60199062922</v>
      </c>
      <c r="J117" s="56">
        <f t="shared" si="77"/>
        <v>2631549.601990629</v>
      </c>
      <c r="K117" s="6">
        <v>1272</v>
      </c>
      <c r="L117" s="5">
        <v>5321115</v>
      </c>
      <c r="M117" s="2">
        <f>IFERROR(VLOOKUP($B117-1,CDM!$J$6:$P$19,4,FALSE)/12,0)+IFERROR(VLOOKUP($B117,CDM!$J$37:$M$47,4,FALSE)/24,0)+IFERROR(VLOOKUP($B117,CDM!$J$37:$M$47,4,FALSE)/2*$C117/78,0)</f>
        <v>272803.24181978131</v>
      </c>
      <c r="N117" s="56">
        <f t="shared" si="78"/>
        <v>5593918.2418197813</v>
      </c>
      <c r="O117" s="5">
        <v>16162.4</v>
      </c>
      <c r="P117" s="6">
        <v>135</v>
      </c>
      <c r="Q117" s="5">
        <v>72150</v>
      </c>
      <c r="R117" s="5">
        <v>230.5</v>
      </c>
      <c r="S117" s="6">
        <v>2906</v>
      </c>
      <c r="T117" s="6">
        <v>13634</v>
      </c>
      <c r="U117" s="6">
        <v>37.199999999999996</v>
      </c>
      <c r="V117" s="6">
        <v>177</v>
      </c>
      <c r="W117" s="5">
        <v>50051</v>
      </c>
      <c r="X117" s="1">
        <v>19</v>
      </c>
      <c r="Y117" s="56">
        <v>238.4</v>
      </c>
      <c r="Z117" s="56">
        <v>729.6</v>
      </c>
      <c r="AA117" s="71">
        <f>L117-Y117</f>
        <v>5320876.5999999996</v>
      </c>
      <c r="AB117" s="71">
        <f t="shared" si="87"/>
        <v>5593679.8418197809</v>
      </c>
      <c r="AC117" s="5">
        <f>O117-Z117</f>
        <v>15432.8</v>
      </c>
      <c r="AD117" s="111">
        <f>Economic!H119</f>
        <v>887796.60117499996</v>
      </c>
      <c r="AE117" s="111">
        <f>Economic!I119</f>
        <v>901427.50725000002</v>
      </c>
      <c r="AF117" s="111">
        <f>Economic!D119</f>
        <v>8204.9</v>
      </c>
      <c r="AG117" s="111">
        <f>Economic!E119</f>
        <v>8291.7000000000007</v>
      </c>
      <c r="AH117" s="111">
        <f>Economic!F119</f>
        <v>687.5</v>
      </c>
      <c r="AI117" s="111">
        <f>Economic!G119</f>
        <v>697.8</v>
      </c>
      <c r="AJ117" s="111">
        <f>Economic!J119</f>
        <v>37.899999999999636</v>
      </c>
      <c r="AK117" s="111">
        <f>Economic!K119</f>
        <v>46.600000000000364</v>
      </c>
      <c r="AL117" s="111">
        <f>Economic!L119</f>
        <v>-2.7999999999999545</v>
      </c>
      <c r="AM117" s="111">
        <f>Economic!M119</f>
        <v>-4.5</v>
      </c>
      <c r="AN117" s="111">
        <f>Economic!N119</f>
        <v>11176.901175000006</v>
      </c>
      <c r="AO117" s="111">
        <f>Economic!O119</f>
        <v>1363.1615000000456</v>
      </c>
      <c r="AP117" s="28">
        <f>Weather!D117</f>
        <v>19.0567876344086</v>
      </c>
      <c r="AQ117" s="28">
        <f>Weather!E117</f>
        <v>67.597916666666677</v>
      </c>
      <c r="AR117" s="28">
        <f>Weather!F117</f>
        <v>38.35833333333332</v>
      </c>
      <c r="AS117" s="28">
        <f>Weather!G117</f>
        <v>32.360416666666666</v>
      </c>
      <c r="AT117" s="28">
        <f>Weather!H117</f>
        <v>65.120833333333309</v>
      </c>
      <c r="AU117" s="28">
        <f>Weather!I117</f>
        <v>11.950000000000001</v>
      </c>
      <c r="AV117" s="28">
        <f>Weather!J117</f>
        <v>106.71041666666666</v>
      </c>
      <c r="AW117" s="28">
        <f>Weather!K117</f>
        <v>1.3208333333333346</v>
      </c>
      <c r="AX117" s="28">
        <f>Weather!L117</f>
        <v>158.08124999999998</v>
      </c>
      <c r="AY117" s="28">
        <f>Weather!M117</f>
        <v>0</v>
      </c>
      <c r="AZ117" s="28">
        <f>Weather!N117</f>
        <v>218.76041666666663</v>
      </c>
      <c r="BA117" s="28">
        <f>Weather!O117</f>
        <v>0</v>
      </c>
      <c r="BB117" s="28">
        <f>Weather!P117</f>
        <v>280.76041666666669</v>
      </c>
      <c r="BC117" s="28">
        <f>Weather!Q117</f>
        <v>0</v>
      </c>
      <c r="BD117" s="28">
        <f>Weather!R117</f>
        <v>342.76041666666669</v>
      </c>
      <c r="BE117">
        <f t="shared" si="86"/>
        <v>0</v>
      </c>
      <c r="BF117">
        <f t="shared" si="86"/>
        <v>0</v>
      </c>
      <c r="BG117">
        <f t="shared" si="86"/>
        <v>0</v>
      </c>
      <c r="BH117">
        <f t="shared" si="86"/>
        <v>0</v>
      </c>
      <c r="BI117">
        <f t="shared" si="86"/>
        <v>0</v>
      </c>
      <c r="BJ117">
        <f t="shared" si="86"/>
        <v>0</v>
      </c>
      <c r="BK117">
        <f t="shared" si="86"/>
        <v>0</v>
      </c>
      <c r="BL117">
        <f t="shared" si="86"/>
        <v>1</v>
      </c>
      <c r="BM117">
        <f t="shared" si="86"/>
        <v>0</v>
      </c>
      <c r="BN117">
        <f t="shared" si="86"/>
        <v>0</v>
      </c>
      <c r="BO117">
        <f t="shared" si="86"/>
        <v>0</v>
      </c>
      <c r="BP117">
        <f t="shared" si="86"/>
        <v>0</v>
      </c>
      <c r="BQ117" s="1">
        <f t="shared" si="86"/>
        <v>0</v>
      </c>
      <c r="BR117" s="1">
        <f t="shared" si="86"/>
        <v>0</v>
      </c>
      <c r="BS117" s="1">
        <f t="shared" si="86"/>
        <v>0</v>
      </c>
      <c r="BT117" s="1">
        <f t="shared" si="44"/>
        <v>116</v>
      </c>
      <c r="BU117">
        <f t="shared" si="41"/>
        <v>31</v>
      </c>
      <c r="BV117" s="1">
        <v>22</v>
      </c>
      <c r="BW117" s="1">
        <v>0</v>
      </c>
      <c r="BX117" s="1">
        <v>0</v>
      </c>
      <c r="BY117" s="1">
        <v>0.25</v>
      </c>
      <c r="BZ117" s="1">
        <v>0</v>
      </c>
      <c r="CA117">
        <f t="shared" si="83"/>
        <v>0</v>
      </c>
      <c r="CB117">
        <f t="shared" si="46"/>
        <v>0</v>
      </c>
      <c r="CC117">
        <f t="shared" si="47"/>
        <v>0</v>
      </c>
      <c r="CD117">
        <f t="shared" si="48"/>
        <v>0</v>
      </c>
      <c r="CE117">
        <f t="shared" si="49"/>
        <v>0</v>
      </c>
      <c r="CF117">
        <f t="shared" si="50"/>
        <v>0</v>
      </c>
      <c r="CG117">
        <f t="shared" si="51"/>
        <v>0</v>
      </c>
      <c r="CH117">
        <f t="shared" si="52"/>
        <v>0</v>
      </c>
      <c r="CI117">
        <f t="shared" si="53"/>
        <v>0</v>
      </c>
      <c r="CJ117">
        <f t="shared" si="54"/>
        <v>0</v>
      </c>
      <c r="CK117">
        <f t="shared" si="55"/>
        <v>0</v>
      </c>
      <c r="CL117">
        <f t="shared" si="56"/>
        <v>0</v>
      </c>
      <c r="CM117">
        <f t="shared" si="57"/>
        <v>0</v>
      </c>
      <c r="CN117">
        <f t="shared" si="58"/>
        <v>0</v>
      </c>
      <c r="CO117" s="14">
        <f t="shared" si="84"/>
        <v>16.899479166666669</v>
      </c>
      <c r="CP117" s="14">
        <f t="shared" si="59"/>
        <v>9.58958333333333</v>
      </c>
      <c r="CQ117" s="14">
        <f t="shared" si="60"/>
        <v>8.0901041666666664</v>
      </c>
      <c r="CR117" s="14">
        <f t="shared" si="61"/>
        <v>16.280208333333327</v>
      </c>
      <c r="CS117" s="14">
        <f t="shared" si="62"/>
        <v>2.9875000000000003</v>
      </c>
      <c r="CT117" s="14">
        <f t="shared" si="63"/>
        <v>26.677604166666665</v>
      </c>
      <c r="CU117" s="14">
        <f t="shared" si="64"/>
        <v>0.33020833333333366</v>
      </c>
      <c r="CV117" s="14">
        <f t="shared" si="65"/>
        <v>39.520312499999996</v>
      </c>
      <c r="CW117" s="14">
        <f t="shared" si="66"/>
        <v>0</v>
      </c>
      <c r="CX117" s="14">
        <f t="shared" si="67"/>
        <v>54.690104166666657</v>
      </c>
      <c r="CY117" s="14">
        <f t="shared" si="68"/>
        <v>0</v>
      </c>
      <c r="CZ117" s="14">
        <f t="shared" si="69"/>
        <v>70.190104166666671</v>
      </c>
      <c r="DA117" s="14">
        <f t="shared" si="70"/>
        <v>0</v>
      </c>
      <c r="DB117" s="14">
        <f t="shared" si="71"/>
        <v>85.690104166666671</v>
      </c>
      <c r="DC117" s="72">
        <f>F117/G117</f>
        <v>740.37176252622942</v>
      </c>
      <c r="DD117" s="72">
        <f t="shared" si="82"/>
        <v>23.882960081491273</v>
      </c>
      <c r="DE117" s="71">
        <f>F117/BU117</f>
        <v>248287.25300718323</v>
      </c>
      <c r="DF117" s="72">
        <f>J117/K117</f>
        <v>2068.8283034517522</v>
      </c>
      <c r="DG117" s="72">
        <f t="shared" si="73"/>
        <v>66.736396885540387</v>
      </c>
      <c r="DH117" s="72">
        <f>J117/BU117</f>
        <v>84888.696838407384</v>
      </c>
      <c r="DI117" s="72">
        <f>N117/P117</f>
        <v>41436.431420887267</v>
      </c>
      <c r="DJ117" s="72">
        <f t="shared" si="74"/>
        <v>1336.6590780931376</v>
      </c>
      <c r="DK117" s="72">
        <f t="shared" si="75"/>
        <v>1883.4741554948757</v>
      </c>
      <c r="DL117" s="72">
        <f>N117/BU117</f>
        <v>180448.97554257358</v>
      </c>
      <c r="DM117" s="72">
        <f>N117/BV117</f>
        <v>254269.01099180823</v>
      </c>
      <c r="DN117" s="1">
        <v>0</v>
      </c>
      <c r="DO117" s="1">
        <v>0</v>
      </c>
    </row>
    <row r="118" spans="1:119">
      <c r="A118" s="93">
        <f t="shared" si="79"/>
        <v>45901</v>
      </c>
      <c r="B118" s="4">
        <f t="shared" si="42"/>
        <v>2025</v>
      </c>
      <c r="C118" s="4">
        <f t="shared" si="43"/>
        <v>9</v>
      </c>
      <c r="D118" s="56">
        <v>5575032</v>
      </c>
      <c r="E118" s="56">
        <f>IFERROR(VLOOKUP($B118-1,CDM!$J$6:$P$19,2,FALSE)/12,0)+IFERROR(VLOOKUP($B118,CDM!$J$37:$M$48,2,FALSE)/24,0)+IFERROR(VLOOKUP($B118,CDM!$J$37:$M$48,2,FALSE)/2*$C118/78,0)</f>
        <v>184075.52454192212</v>
      </c>
      <c r="F118" s="56">
        <f t="shared" si="76"/>
        <v>5759107.5245419219</v>
      </c>
      <c r="G118" s="301">
        <v>10397</v>
      </c>
      <c r="H118" s="56">
        <v>2031324</v>
      </c>
      <c r="I118" s="56">
        <f>IFERROR(VLOOKUP($B118-1,CDM!$J$6:$P$19,3,FALSE)/12,0)+IFERROR(VLOOKUP($B118,CDM!$J$37:$M$47,3,FALSE)/24,0)+IFERROR(VLOOKUP($B118,CDM!$J$37:$M$47,3,FALSE)/2*$C118/78,0)</f>
        <v>279534.23056898441</v>
      </c>
      <c r="J118" s="56">
        <f t="shared" si="77"/>
        <v>2310858.2305689845</v>
      </c>
      <c r="K118" s="6">
        <v>1274</v>
      </c>
      <c r="L118" s="5">
        <v>4870042</v>
      </c>
      <c r="M118" s="2">
        <f>IFERROR(VLOOKUP($B118-1,CDM!$J$6:$P$19,4,FALSE)/12,0)+IFERROR(VLOOKUP($B118,CDM!$J$37:$M$47,4,FALSE)/24,0)+IFERROR(VLOOKUP($B118,CDM!$J$37:$M$47,4,FALSE)/2*$C118/78,0)</f>
        <v>275107.68892794964</v>
      </c>
      <c r="N118" s="56">
        <f t="shared" si="78"/>
        <v>5145149.6889279494</v>
      </c>
      <c r="O118" s="5">
        <v>14905.3</v>
      </c>
      <c r="P118" s="6">
        <v>135</v>
      </c>
      <c r="Q118" s="5">
        <v>79616</v>
      </c>
      <c r="R118" s="5">
        <v>230.4</v>
      </c>
      <c r="S118" s="6">
        <v>2906</v>
      </c>
      <c r="T118" s="6">
        <v>13634</v>
      </c>
      <c r="U118" s="6">
        <v>31.6</v>
      </c>
      <c r="V118" s="6">
        <v>177</v>
      </c>
      <c r="W118" s="5">
        <v>48875</v>
      </c>
      <c r="X118" s="1">
        <v>19</v>
      </c>
      <c r="Y118" s="56">
        <v>26308.799999999999</v>
      </c>
      <c r="Z118" s="56">
        <v>1760</v>
      </c>
      <c r="AA118" s="71">
        <f>L118-Y118</f>
        <v>4843733.2</v>
      </c>
      <c r="AB118" s="71">
        <f t="shared" si="87"/>
        <v>5118840.8889279496</v>
      </c>
      <c r="AC118" s="5">
        <f>O118-Z118</f>
        <v>13145.3</v>
      </c>
      <c r="AD118" s="111">
        <f>Economic!H120</f>
        <v>887796.60117499996</v>
      </c>
      <c r="AE118" s="111">
        <f>Economic!I120</f>
        <v>901427.50725000002</v>
      </c>
      <c r="AF118" s="111">
        <f>Economic!D120</f>
        <v>8202.2000000000007</v>
      </c>
      <c r="AG118" s="111">
        <f>Economic!E120</f>
        <v>8234.2999999999993</v>
      </c>
      <c r="AH118" s="111">
        <f>Economic!F120</f>
        <v>678.5</v>
      </c>
      <c r="AI118" s="111">
        <f>Economic!G120</f>
        <v>682.4</v>
      </c>
      <c r="AJ118" s="111">
        <f>Economic!J120</f>
        <v>19.300000000001091</v>
      </c>
      <c r="AK118" s="111">
        <f>Economic!K120</f>
        <v>17.099999999998545</v>
      </c>
      <c r="AL118" s="111">
        <f>Economic!L120</f>
        <v>-21.399999999999977</v>
      </c>
      <c r="AM118" s="111">
        <f>Economic!M120</f>
        <v>-21.100000000000023</v>
      </c>
      <c r="AN118" s="111">
        <f>Economic!N120</f>
        <v>11176.901175000006</v>
      </c>
      <c r="AO118" s="111">
        <f>Economic!O120</f>
        <v>1363.1615000000456</v>
      </c>
      <c r="AP118" s="28">
        <f>Weather!D118</f>
        <v>14.043194444444445</v>
      </c>
      <c r="AQ118" s="28">
        <f>Weather!E118</f>
        <v>178.70416666666671</v>
      </c>
      <c r="AR118" s="28">
        <f>Weather!F118</f>
        <v>0</v>
      </c>
      <c r="AS118" s="28">
        <f>Weather!G118</f>
        <v>119.1583333333333</v>
      </c>
      <c r="AT118" s="28">
        <f>Weather!H118</f>
        <v>0.45416666666666572</v>
      </c>
      <c r="AU118" s="28">
        <f>Weather!I118</f>
        <v>67.6875</v>
      </c>
      <c r="AV118" s="28">
        <f>Weather!J118</f>
        <v>8.9833333333333343</v>
      </c>
      <c r="AW118" s="28">
        <f>Weather!K118</f>
        <v>31.791666666666671</v>
      </c>
      <c r="AX118" s="28">
        <f>Weather!L118</f>
        <v>33.087500000000006</v>
      </c>
      <c r="AY118" s="28">
        <f>Weather!M118</f>
        <v>11.725</v>
      </c>
      <c r="AZ118" s="28">
        <f>Weather!N118</f>
        <v>73.020833333333343</v>
      </c>
      <c r="BA118" s="28">
        <f>Weather!O118</f>
        <v>3.8749999999999982</v>
      </c>
      <c r="BB118" s="28">
        <f>Weather!P118</f>
        <v>125.17083333333335</v>
      </c>
      <c r="BC118" s="28">
        <f>Weather!Q118</f>
        <v>1.2583333333333329</v>
      </c>
      <c r="BD118" s="28">
        <f>Weather!R118</f>
        <v>182.55416666666667</v>
      </c>
      <c r="BE118">
        <f t="shared" si="86"/>
        <v>0</v>
      </c>
      <c r="BF118">
        <f t="shared" si="86"/>
        <v>0</v>
      </c>
      <c r="BG118">
        <f t="shared" si="86"/>
        <v>0</v>
      </c>
      <c r="BH118">
        <f t="shared" si="86"/>
        <v>0</v>
      </c>
      <c r="BI118">
        <f t="shared" si="86"/>
        <v>0</v>
      </c>
      <c r="BJ118">
        <f t="shared" si="86"/>
        <v>0</v>
      </c>
      <c r="BK118">
        <f t="shared" si="86"/>
        <v>0</v>
      </c>
      <c r="BL118">
        <f t="shared" si="86"/>
        <v>0</v>
      </c>
      <c r="BM118">
        <f t="shared" si="86"/>
        <v>1</v>
      </c>
      <c r="BN118">
        <f t="shared" si="86"/>
        <v>0</v>
      </c>
      <c r="BO118">
        <f t="shared" si="86"/>
        <v>0</v>
      </c>
      <c r="BP118">
        <f t="shared" si="86"/>
        <v>0</v>
      </c>
      <c r="BQ118" s="1">
        <f t="shared" si="86"/>
        <v>0</v>
      </c>
      <c r="BR118" s="1">
        <f t="shared" si="86"/>
        <v>1</v>
      </c>
      <c r="BS118" s="1">
        <f t="shared" si="86"/>
        <v>1</v>
      </c>
      <c r="BT118" s="1">
        <f t="shared" si="44"/>
        <v>117</v>
      </c>
      <c r="BU118">
        <f t="shared" si="41"/>
        <v>30</v>
      </c>
      <c r="BV118" s="1">
        <v>20</v>
      </c>
      <c r="BW118" s="1">
        <v>0</v>
      </c>
      <c r="BX118" s="1">
        <v>0</v>
      </c>
      <c r="BY118" s="1">
        <v>0.25</v>
      </c>
      <c r="BZ118" s="1">
        <v>0</v>
      </c>
      <c r="CA118">
        <f t="shared" si="83"/>
        <v>0</v>
      </c>
      <c r="CB118">
        <f t="shared" si="46"/>
        <v>0</v>
      </c>
      <c r="CC118">
        <f t="shared" si="47"/>
        <v>0</v>
      </c>
      <c r="CD118">
        <f t="shared" si="48"/>
        <v>0</v>
      </c>
      <c r="CE118">
        <f t="shared" si="49"/>
        <v>0</v>
      </c>
      <c r="CF118">
        <f t="shared" si="50"/>
        <v>0</v>
      </c>
      <c r="CG118">
        <f t="shared" si="51"/>
        <v>0</v>
      </c>
      <c r="CH118">
        <f t="shared" si="52"/>
        <v>0</v>
      </c>
      <c r="CI118">
        <f t="shared" si="53"/>
        <v>0</v>
      </c>
      <c r="CJ118">
        <f t="shared" si="54"/>
        <v>0</v>
      </c>
      <c r="CK118">
        <f t="shared" si="55"/>
        <v>0</v>
      </c>
      <c r="CL118">
        <f t="shared" si="56"/>
        <v>0</v>
      </c>
      <c r="CM118">
        <f t="shared" si="57"/>
        <v>0</v>
      </c>
      <c r="CN118">
        <f t="shared" si="58"/>
        <v>0</v>
      </c>
      <c r="CO118" s="14">
        <f t="shared" si="84"/>
        <v>44.676041666666677</v>
      </c>
      <c r="CP118" s="14">
        <f t="shared" si="59"/>
        <v>0</v>
      </c>
      <c r="CQ118" s="14">
        <f t="shared" si="60"/>
        <v>29.789583333333326</v>
      </c>
      <c r="CR118" s="14">
        <f t="shared" si="61"/>
        <v>0.11354166666666643</v>
      </c>
      <c r="CS118" s="14">
        <f t="shared" si="62"/>
        <v>16.921875</v>
      </c>
      <c r="CT118" s="14">
        <f t="shared" si="63"/>
        <v>2.2458333333333336</v>
      </c>
      <c r="CU118" s="14">
        <f t="shared" si="64"/>
        <v>7.9479166666666679</v>
      </c>
      <c r="CV118" s="14">
        <f t="shared" si="65"/>
        <v>8.2718750000000014</v>
      </c>
      <c r="CW118" s="14">
        <f t="shared" si="66"/>
        <v>2.9312499999999999</v>
      </c>
      <c r="CX118" s="14">
        <f t="shared" si="67"/>
        <v>18.255208333333336</v>
      </c>
      <c r="CY118" s="14">
        <f t="shared" si="68"/>
        <v>0.96874999999999956</v>
      </c>
      <c r="CZ118" s="14">
        <f t="shared" si="69"/>
        <v>31.292708333333337</v>
      </c>
      <c r="DA118" s="14">
        <f t="shared" si="70"/>
        <v>0.31458333333333321</v>
      </c>
      <c r="DB118" s="14">
        <f t="shared" si="71"/>
        <v>45.638541666666669</v>
      </c>
      <c r="DC118" s="72">
        <f>F118/G118</f>
        <v>553.92012354928556</v>
      </c>
      <c r="DD118" s="72">
        <f t="shared" si="82"/>
        <v>18.464004118309518</v>
      </c>
      <c r="DE118" s="71">
        <f>F118/BU118</f>
        <v>191970.25081806406</v>
      </c>
      <c r="DF118" s="72">
        <f>J118/K118</f>
        <v>1813.8604635549329</v>
      </c>
      <c r="DG118" s="72">
        <f t="shared" si="73"/>
        <v>60.4620154518311</v>
      </c>
      <c r="DH118" s="72">
        <f>J118/BU118</f>
        <v>77028.607685632815</v>
      </c>
      <c r="DI118" s="72">
        <f>N118/P118</f>
        <v>38112.21991798481</v>
      </c>
      <c r="DJ118" s="72">
        <f t="shared" si="74"/>
        <v>1270.4073305994937</v>
      </c>
      <c r="DK118" s="72">
        <f t="shared" si="75"/>
        <v>1905.6109958992406</v>
      </c>
      <c r="DL118" s="72">
        <f>N118/BU118</f>
        <v>171504.98963093164</v>
      </c>
      <c r="DM118" s="72">
        <f>N118/BV118</f>
        <v>257257.48444639746</v>
      </c>
      <c r="DN118" s="1">
        <v>0</v>
      </c>
      <c r="DO118" s="1">
        <v>0</v>
      </c>
    </row>
    <row r="119" spans="1:119">
      <c r="A119" s="93">
        <f t="shared" si="79"/>
        <v>45931</v>
      </c>
      <c r="B119" s="4">
        <f t="shared" si="42"/>
        <v>2025</v>
      </c>
      <c r="C119" s="4">
        <f t="shared" si="43"/>
        <v>10</v>
      </c>
      <c r="D119" s="56">
        <v>6000923</v>
      </c>
      <c r="E119" s="56">
        <f>IFERROR(VLOOKUP($B119-1,CDM!$J$6:$P$19,2,FALSE)/12,0)+IFERROR(VLOOKUP($B119,CDM!$J$37:$M$48,2,FALSE)/24,0)+IFERROR(VLOOKUP($B119,CDM!$J$37:$M$48,2,FALSE)/2*$C119/78,0)</f>
        <v>184898.20586116362</v>
      </c>
      <c r="F119" s="56">
        <f t="shared" si="76"/>
        <v>6185821.2058611633</v>
      </c>
      <c r="G119" s="301">
        <v>10402</v>
      </c>
      <c r="H119" s="56">
        <v>2140792</v>
      </c>
      <c r="I119" s="56">
        <f>IFERROR(VLOOKUP($B119-1,CDM!$J$6:$P$19,3,FALSE)/12,0)+IFERROR(VLOOKUP($B119,CDM!$J$37:$M$47,3,FALSE)/24,0)+IFERROR(VLOOKUP($B119,CDM!$J$37:$M$47,3,FALSE)/2*$C119/78,0)</f>
        <v>281621.85914733954</v>
      </c>
      <c r="J119" s="56">
        <f t="shared" si="77"/>
        <v>2422413.8591473396</v>
      </c>
      <c r="K119" s="6">
        <v>1274</v>
      </c>
      <c r="L119" s="5">
        <v>5700318</v>
      </c>
      <c r="M119" s="2">
        <f>IFERROR(VLOOKUP($B119-1,CDM!$J$6:$P$19,4,FALSE)/12,0)+IFERROR(VLOOKUP($B119,CDM!$J$37:$M$47,4,FALSE)/24,0)+IFERROR(VLOOKUP($B119,CDM!$J$37:$M$47,4,FALSE)/2*$C119/78,0)</f>
        <v>277412.13603611797</v>
      </c>
      <c r="N119" s="56">
        <f t="shared" si="78"/>
        <v>5977730.1360361176</v>
      </c>
      <c r="O119" s="5">
        <v>18120</v>
      </c>
      <c r="P119" s="6">
        <v>135</v>
      </c>
      <c r="Q119" s="5">
        <v>101120</v>
      </c>
      <c r="R119" s="5">
        <v>251</v>
      </c>
      <c r="S119" s="6">
        <v>2988</v>
      </c>
      <c r="T119" s="6">
        <v>13634</v>
      </c>
      <c r="U119" s="6">
        <v>37.899999999999991</v>
      </c>
      <c r="V119" s="6">
        <v>177</v>
      </c>
      <c r="W119" s="5">
        <v>49925</v>
      </c>
      <c r="X119" s="1">
        <v>19</v>
      </c>
      <c r="Y119" s="56">
        <v>785685.6</v>
      </c>
      <c r="Z119" s="56">
        <v>4544</v>
      </c>
      <c r="AA119" s="71">
        <f>L119-Y119</f>
        <v>4914632.4000000004</v>
      </c>
      <c r="AB119" s="71">
        <f t="shared" si="87"/>
        <v>5192044.5360361179</v>
      </c>
      <c r="AC119" s="5">
        <f>O119-Z119</f>
        <v>13576</v>
      </c>
      <c r="AD119" s="111">
        <f>Economic!H121</f>
        <v>887796.60117499996</v>
      </c>
      <c r="AE119" s="111">
        <f>Economic!I121</f>
        <v>904589.31275000004</v>
      </c>
      <c r="AF119" s="111">
        <f>Economic!D121</f>
        <v>8214.2999999999993</v>
      </c>
      <c r="AG119" s="111">
        <f>Economic!E121</f>
        <v>8223.9</v>
      </c>
      <c r="AH119" s="111">
        <f>Economic!F121</f>
        <v>670.2</v>
      </c>
      <c r="AI119" s="111">
        <f>Economic!G121</f>
        <v>667.6</v>
      </c>
      <c r="AJ119" s="111">
        <f>Economic!J121</f>
        <v>29.799999999999272</v>
      </c>
      <c r="AK119" s="111">
        <f>Economic!K121</f>
        <v>26.299999999999272</v>
      </c>
      <c r="AL119" s="111">
        <f>Economic!L121</f>
        <v>-36.199999999999932</v>
      </c>
      <c r="AM119" s="111">
        <f>Economic!M121</f>
        <v>-35.199999999999932</v>
      </c>
      <c r="AN119" s="111">
        <f>Economic!N121</f>
        <v>11176.901175000006</v>
      </c>
      <c r="AO119" s="111">
        <f>Economic!O121</f>
        <v>3161.8055000000168</v>
      </c>
      <c r="AP119" s="28">
        <f>Weather!D119</f>
        <v>8.8896505376344077</v>
      </c>
      <c r="AQ119" s="28">
        <f>Weather!E119</f>
        <v>347.06666666666666</v>
      </c>
      <c r="AR119" s="28">
        <f>Weather!F119</f>
        <v>2.6458333333333357</v>
      </c>
      <c r="AS119" s="28">
        <f>Weather!G119</f>
        <v>289.06666666666666</v>
      </c>
      <c r="AT119" s="28">
        <f>Weather!H119</f>
        <v>6.6458333333333357</v>
      </c>
      <c r="AU119" s="28">
        <f>Weather!I119</f>
        <v>233.49583333333331</v>
      </c>
      <c r="AV119" s="28">
        <f>Weather!J119</f>
        <v>13.075000000000003</v>
      </c>
      <c r="AW119" s="28">
        <f>Weather!K119</f>
        <v>180.64166666666668</v>
      </c>
      <c r="AX119" s="28">
        <f>Weather!L119</f>
        <v>22.220833333333335</v>
      </c>
      <c r="AY119" s="28">
        <f>Weather!M119</f>
        <v>134.08750000000003</v>
      </c>
      <c r="AZ119" s="28">
        <f>Weather!N119</f>
        <v>37.666666666666671</v>
      </c>
      <c r="BA119" s="28">
        <f>Weather!O119</f>
        <v>91.36666666666666</v>
      </c>
      <c r="BB119" s="28">
        <f>Weather!P119</f>
        <v>56.94583333333334</v>
      </c>
      <c r="BC119" s="28">
        <f>Weather!Q119</f>
        <v>54.525000000000006</v>
      </c>
      <c r="BD119" s="28">
        <f>Weather!R119</f>
        <v>82.104166666666657</v>
      </c>
      <c r="BE119">
        <f t="shared" si="86"/>
        <v>0</v>
      </c>
      <c r="BF119">
        <f t="shared" si="86"/>
        <v>0</v>
      </c>
      <c r="BG119">
        <f t="shared" si="86"/>
        <v>0</v>
      </c>
      <c r="BH119">
        <f t="shared" si="86"/>
        <v>0</v>
      </c>
      <c r="BI119">
        <f t="shared" si="86"/>
        <v>0</v>
      </c>
      <c r="BJ119">
        <f t="shared" si="86"/>
        <v>0</v>
      </c>
      <c r="BK119">
        <f t="shared" si="86"/>
        <v>0</v>
      </c>
      <c r="BL119">
        <f t="shared" si="86"/>
        <v>0</v>
      </c>
      <c r="BM119">
        <f t="shared" si="86"/>
        <v>0</v>
      </c>
      <c r="BN119">
        <f t="shared" si="86"/>
        <v>1</v>
      </c>
      <c r="BO119">
        <f t="shared" si="86"/>
        <v>0</v>
      </c>
      <c r="BP119">
        <f t="shared" si="86"/>
        <v>0</v>
      </c>
      <c r="BQ119" s="1">
        <f t="shared" si="86"/>
        <v>0</v>
      </c>
      <c r="BR119" s="1">
        <f t="shared" si="86"/>
        <v>1</v>
      </c>
      <c r="BS119" s="1">
        <f t="shared" si="86"/>
        <v>1</v>
      </c>
      <c r="BT119" s="1">
        <f t="shared" si="44"/>
        <v>118</v>
      </c>
      <c r="BU119">
        <f t="shared" si="41"/>
        <v>31</v>
      </c>
      <c r="BV119" s="1">
        <v>21</v>
      </c>
      <c r="BW119" s="1">
        <v>0</v>
      </c>
      <c r="BX119" s="1">
        <v>0</v>
      </c>
      <c r="BY119" s="1">
        <v>0.25</v>
      </c>
      <c r="BZ119" s="1">
        <v>0</v>
      </c>
      <c r="CA119">
        <f t="shared" si="83"/>
        <v>0</v>
      </c>
      <c r="CB119">
        <f t="shared" si="46"/>
        <v>0</v>
      </c>
      <c r="CC119">
        <f t="shared" si="47"/>
        <v>0</v>
      </c>
      <c r="CD119">
        <f t="shared" si="48"/>
        <v>0</v>
      </c>
      <c r="CE119">
        <f t="shared" si="49"/>
        <v>0</v>
      </c>
      <c r="CF119">
        <f t="shared" si="50"/>
        <v>0</v>
      </c>
      <c r="CG119">
        <f t="shared" si="51"/>
        <v>0</v>
      </c>
      <c r="CH119">
        <f t="shared" si="52"/>
        <v>0</v>
      </c>
      <c r="CI119">
        <f t="shared" si="53"/>
        <v>0</v>
      </c>
      <c r="CJ119">
        <f t="shared" si="54"/>
        <v>0</v>
      </c>
      <c r="CK119">
        <f t="shared" si="55"/>
        <v>0</v>
      </c>
      <c r="CL119">
        <f t="shared" si="56"/>
        <v>0</v>
      </c>
      <c r="CM119">
        <f t="shared" si="57"/>
        <v>0</v>
      </c>
      <c r="CN119">
        <f t="shared" si="58"/>
        <v>0</v>
      </c>
      <c r="CO119" s="14">
        <f t="shared" si="84"/>
        <v>86.766666666666666</v>
      </c>
      <c r="CP119" s="14">
        <f t="shared" si="59"/>
        <v>0.66145833333333393</v>
      </c>
      <c r="CQ119" s="14">
        <f t="shared" si="60"/>
        <v>72.266666666666666</v>
      </c>
      <c r="CR119" s="14">
        <f t="shared" si="61"/>
        <v>1.6614583333333339</v>
      </c>
      <c r="CS119" s="14">
        <f t="shared" si="62"/>
        <v>58.373958333333327</v>
      </c>
      <c r="CT119" s="14">
        <f t="shared" si="63"/>
        <v>3.2687500000000007</v>
      </c>
      <c r="CU119" s="14">
        <f t="shared" si="64"/>
        <v>45.16041666666667</v>
      </c>
      <c r="CV119" s="14">
        <f t="shared" si="65"/>
        <v>5.5552083333333337</v>
      </c>
      <c r="CW119" s="14">
        <f t="shared" si="66"/>
        <v>33.521875000000009</v>
      </c>
      <c r="CX119" s="14">
        <f t="shared" si="67"/>
        <v>9.4166666666666679</v>
      </c>
      <c r="CY119" s="14">
        <f t="shared" si="68"/>
        <v>22.841666666666665</v>
      </c>
      <c r="CZ119" s="14">
        <f t="shared" si="69"/>
        <v>14.236458333333335</v>
      </c>
      <c r="DA119" s="14">
        <f t="shared" si="70"/>
        <v>13.631250000000001</v>
      </c>
      <c r="DB119" s="14">
        <f t="shared" si="71"/>
        <v>20.526041666666664</v>
      </c>
      <c r="DC119" s="72">
        <f>F119/G119</f>
        <v>594.67613976746429</v>
      </c>
      <c r="DD119" s="72">
        <f t="shared" si="82"/>
        <v>19.183101282821429</v>
      </c>
      <c r="DE119" s="71">
        <f>F119/BU119</f>
        <v>199542.61954390848</v>
      </c>
      <c r="DF119" s="72">
        <f>J119/K119</f>
        <v>1901.4237512930451</v>
      </c>
      <c r="DG119" s="72">
        <f t="shared" si="73"/>
        <v>61.336250041711132</v>
      </c>
      <c r="DH119" s="72">
        <f>J119/BU119</f>
        <v>78142.382553139993</v>
      </c>
      <c r="DI119" s="72">
        <f>N119/P119</f>
        <v>44279.482489156428</v>
      </c>
      <c r="DJ119" s="72">
        <f t="shared" si="74"/>
        <v>1428.3704028760137</v>
      </c>
      <c r="DK119" s="72">
        <f t="shared" si="75"/>
        <v>2108.5467851979251</v>
      </c>
      <c r="DL119" s="72">
        <f>N119/BU119</f>
        <v>192830.00438826185</v>
      </c>
      <c r="DM119" s="72">
        <f>N119/BV119</f>
        <v>284653.81600171991</v>
      </c>
      <c r="DN119" s="1">
        <v>0</v>
      </c>
      <c r="DO119" s="1">
        <v>0</v>
      </c>
    </row>
    <row r="120" spans="1:119">
      <c r="A120" s="93">
        <f t="shared" si="79"/>
        <v>45962</v>
      </c>
      <c r="B120" s="4">
        <f t="shared" si="42"/>
        <v>2025</v>
      </c>
      <c r="C120" s="4">
        <f t="shared" si="43"/>
        <v>11</v>
      </c>
      <c r="D120" s="56">
        <v>7503196</v>
      </c>
      <c r="E120" s="56">
        <f>IFERROR(VLOOKUP($B120-1,CDM!$J$6:$P$19,2,FALSE)/12,0)+IFERROR(VLOOKUP($B120,CDM!$J$37:$M$48,2,FALSE)/24,0)+IFERROR(VLOOKUP($B120,CDM!$J$37:$M$48,2,FALSE)/2*$C120/78,0)</f>
        <v>185720.88718040509</v>
      </c>
      <c r="F120" s="56">
        <f t="shared" si="76"/>
        <v>7688916.8871804047</v>
      </c>
      <c r="G120" s="301">
        <v>10407</v>
      </c>
      <c r="H120" s="56">
        <v>2559296</v>
      </c>
      <c r="I120" s="56">
        <f>IFERROR(VLOOKUP($B120-1,CDM!$J$6:$P$19,3,FALSE)/12,0)+IFERROR(VLOOKUP($B120,CDM!$J$37:$M$47,3,FALSE)/24,0)+IFERROR(VLOOKUP($B120,CDM!$J$37:$M$47,3,FALSE)/2*$C120/78,0)</f>
        <v>283709.48772569466</v>
      </c>
      <c r="J120" s="56">
        <f t="shared" si="77"/>
        <v>2843005.4877256947</v>
      </c>
      <c r="K120" s="6">
        <v>1272</v>
      </c>
      <c r="L120" s="5">
        <v>7741533</v>
      </c>
      <c r="M120" s="2">
        <f>IFERROR(VLOOKUP($B120-1,CDM!$J$6:$P$19,4,FALSE)/12,0)+IFERROR(VLOOKUP($B120,CDM!$J$37:$M$47,4,FALSE)/24,0)+IFERROR(VLOOKUP($B120,CDM!$J$37:$M$47,4,FALSE)/2*$C120/78,0)</f>
        <v>279716.5831442863</v>
      </c>
      <c r="N120" s="56">
        <f t="shared" si="78"/>
        <v>8021249.5831442866</v>
      </c>
      <c r="O120" s="5">
        <v>18737.600000000002</v>
      </c>
      <c r="P120" s="6">
        <v>135</v>
      </c>
      <c r="Q120" s="5">
        <v>106949</v>
      </c>
      <c r="R120" s="5">
        <v>249.2</v>
      </c>
      <c r="S120" s="6">
        <v>2973</v>
      </c>
      <c r="T120" s="6">
        <v>13630</v>
      </c>
      <c r="U120" s="6">
        <v>38</v>
      </c>
      <c r="V120" s="6">
        <v>177</v>
      </c>
      <c r="W120" s="5">
        <v>48581</v>
      </c>
      <c r="X120" s="1">
        <v>19</v>
      </c>
      <c r="Y120" s="56">
        <v>2541758.4</v>
      </c>
      <c r="Z120" s="56">
        <v>6064</v>
      </c>
      <c r="AA120" s="71">
        <f>L120-Y120</f>
        <v>5199774.5999999996</v>
      </c>
      <c r="AB120" s="71">
        <f t="shared" si="87"/>
        <v>5479491.1831442863</v>
      </c>
      <c r="AC120" s="5">
        <f>O120-Z120</f>
        <v>12673.600000000002</v>
      </c>
      <c r="AD120" s="111">
        <f>Economic!H122</f>
        <v>887796.60117499996</v>
      </c>
      <c r="AE120" s="111">
        <f>Economic!I122</f>
        <v>904589.31275000004</v>
      </c>
      <c r="AF120" s="111">
        <f>Economic!D122</f>
        <v>8236.4</v>
      </c>
      <c r="AG120" s="111">
        <f>Economic!E122</f>
        <v>8231.2999999999993</v>
      </c>
      <c r="AH120" s="111">
        <f>Economic!F122</f>
        <v>665.6</v>
      </c>
      <c r="AI120" s="111">
        <f>Economic!G122</f>
        <v>658</v>
      </c>
      <c r="AJ120" s="111">
        <f>Economic!J122</f>
        <v>51</v>
      </c>
      <c r="AK120" s="111">
        <f>Economic!K122</f>
        <v>46.199999999998909</v>
      </c>
      <c r="AL120" s="111">
        <f>Economic!L122</f>
        <v>-42.699999999999932</v>
      </c>
      <c r="AM120" s="111">
        <f>Economic!M122</f>
        <v>-42.700000000000045</v>
      </c>
      <c r="AN120" s="111">
        <f>Economic!N122</f>
        <v>11176.901175000006</v>
      </c>
      <c r="AO120" s="111">
        <f>Economic!O122</f>
        <v>3161.8055000000168</v>
      </c>
      <c r="AP120" s="28">
        <f>Weather!D120</f>
        <v>-0.24097222222222214</v>
      </c>
      <c r="AQ120" s="28">
        <f>Weather!E120</f>
        <v>607.22916666666652</v>
      </c>
      <c r="AR120" s="28">
        <f>Weather!F120</f>
        <v>0</v>
      </c>
      <c r="AS120" s="28">
        <f>Weather!G120</f>
        <v>547.22916666666663</v>
      </c>
      <c r="AT120" s="28">
        <f>Weather!H120</f>
        <v>0</v>
      </c>
      <c r="AU120" s="28">
        <f>Weather!I120</f>
        <v>487.22916666666669</v>
      </c>
      <c r="AV120" s="28">
        <f>Weather!J120</f>
        <v>0</v>
      </c>
      <c r="AW120" s="28">
        <f>Weather!K120</f>
        <v>427.22916666666674</v>
      </c>
      <c r="AX120" s="28">
        <f>Weather!L120</f>
        <v>0</v>
      </c>
      <c r="AY120" s="28">
        <f>Weather!M120</f>
        <v>367.22916666666669</v>
      </c>
      <c r="AZ120" s="28">
        <f>Weather!N120</f>
        <v>0</v>
      </c>
      <c r="BA120" s="28">
        <f>Weather!O120</f>
        <v>307.22916666666669</v>
      </c>
      <c r="BB120" s="28">
        <f>Weather!P120</f>
        <v>0</v>
      </c>
      <c r="BC120" s="28">
        <f>Weather!Q120</f>
        <v>247.22916666666666</v>
      </c>
      <c r="BD120" s="28">
        <f>Weather!R120</f>
        <v>0</v>
      </c>
      <c r="BE120">
        <f t="shared" si="86"/>
        <v>0</v>
      </c>
      <c r="BF120">
        <f t="shared" si="86"/>
        <v>0</v>
      </c>
      <c r="BG120">
        <f t="shared" si="86"/>
        <v>0</v>
      </c>
      <c r="BH120">
        <f t="shared" si="86"/>
        <v>0</v>
      </c>
      <c r="BI120">
        <f t="shared" si="86"/>
        <v>0</v>
      </c>
      <c r="BJ120">
        <f t="shared" si="86"/>
        <v>0</v>
      </c>
      <c r="BK120">
        <f t="shared" si="86"/>
        <v>0</v>
      </c>
      <c r="BL120">
        <f t="shared" si="86"/>
        <v>0</v>
      </c>
      <c r="BM120">
        <f t="shared" si="86"/>
        <v>0</v>
      </c>
      <c r="BN120">
        <f t="shared" si="86"/>
        <v>0</v>
      </c>
      <c r="BO120">
        <f t="shared" si="86"/>
        <v>1</v>
      </c>
      <c r="BP120">
        <f t="shared" si="86"/>
        <v>0</v>
      </c>
      <c r="BQ120" s="1">
        <f t="shared" si="86"/>
        <v>0</v>
      </c>
      <c r="BR120" s="1">
        <f t="shared" si="86"/>
        <v>1</v>
      </c>
      <c r="BS120" s="1">
        <f t="shared" si="86"/>
        <v>1</v>
      </c>
      <c r="BT120" s="1">
        <f t="shared" si="44"/>
        <v>119</v>
      </c>
      <c r="BU120">
        <f t="shared" si="41"/>
        <v>30</v>
      </c>
      <c r="BV120" s="1">
        <v>22</v>
      </c>
      <c r="BW120" s="1">
        <v>0</v>
      </c>
      <c r="BX120" s="1">
        <v>0</v>
      </c>
      <c r="BY120" s="1">
        <v>0.25</v>
      </c>
      <c r="BZ120" s="1">
        <v>0</v>
      </c>
      <c r="CA120">
        <f t="shared" si="83"/>
        <v>0</v>
      </c>
      <c r="CB120">
        <f t="shared" si="46"/>
        <v>0</v>
      </c>
      <c r="CC120">
        <f t="shared" si="47"/>
        <v>0</v>
      </c>
      <c r="CD120">
        <f t="shared" si="48"/>
        <v>0</v>
      </c>
      <c r="CE120">
        <f t="shared" si="49"/>
        <v>0</v>
      </c>
      <c r="CF120">
        <f t="shared" si="50"/>
        <v>0</v>
      </c>
      <c r="CG120">
        <f t="shared" si="51"/>
        <v>0</v>
      </c>
      <c r="CH120">
        <f t="shared" si="52"/>
        <v>0</v>
      </c>
      <c r="CI120">
        <f t="shared" si="53"/>
        <v>0</v>
      </c>
      <c r="CJ120">
        <f t="shared" si="54"/>
        <v>0</v>
      </c>
      <c r="CK120">
        <f t="shared" si="55"/>
        <v>0</v>
      </c>
      <c r="CL120">
        <f t="shared" si="56"/>
        <v>0</v>
      </c>
      <c r="CM120">
        <f t="shared" si="57"/>
        <v>0</v>
      </c>
      <c r="CN120">
        <f t="shared" si="58"/>
        <v>0</v>
      </c>
      <c r="CO120" s="14">
        <f t="shared" si="84"/>
        <v>151.80729166666663</v>
      </c>
      <c r="CP120" s="14">
        <f t="shared" si="59"/>
        <v>0</v>
      </c>
      <c r="CQ120" s="14">
        <f t="shared" si="60"/>
        <v>136.80729166666666</v>
      </c>
      <c r="CR120" s="14">
        <f t="shared" si="61"/>
        <v>0</v>
      </c>
      <c r="CS120" s="14">
        <f t="shared" si="62"/>
        <v>121.80729166666667</v>
      </c>
      <c r="CT120" s="14">
        <f t="shared" si="63"/>
        <v>0</v>
      </c>
      <c r="CU120" s="14">
        <f t="shared" si="64"/>
        <v>106.80729166666669</v>
      </c>
      <c r="CV120" s="14">
        <f t="shared" si="65"/>
        <v>0</v>
      </c>
      <c r="CW120" s="14">
        <f t="shared" si="66"/>
        <v>91.807291666666671</v>
      </c>
      <c r="CX120" s="14">
        <f t="shared" si="67"/>
        <v>0</v>
      </c>
      <c r="CY120" s="14">
        <f t="shared" si="68"/>
        <v>76.807291666666671</v>
      </c>
      <c r="CZ120" s="14">
        <f t="shared" si="69"/>
        <v>0</v>
      </c>
      <c r="DA120" s="14">
        <f t="shared" si="70"/>
        <v>61.807291666666664</v>
      </c>
      <c r="DB120" s="14">
        <f t="shared" si="71"/>
        <v>0</v>
      </c>
      <c r="DC120" s="72">
        <f>F120/G120</f>
        <v>738.8216476583458</v>
      </c>
      <c r="DD120" s="72">
        <f t="shared" si="82"/>
        <v>24.627388255278195</v>
      </c>
      <c r="DE120" s="71">
        <f>F120/BU120</f>
        <v>256297.22957268017</v>
      </c>
      <c r="DF120" s="72">
        <f>J120/K120</f>
        <v>2235.0672073315209</v>
      </c>
      <c r="DG120" s="72">
        <f t="shared" si="73"/>
        <v>74.502240244384026</v>
      </c>
      <c r="DH120" s="72">
        <f>J120/BU120</f>
        <v>94766.849590856495</v>
      </c>
      <c r="DI120" s="72">
        <f>N120/P120</f>
        <v>59416.663578846565</v>
      </c>
      <c r="DJ120" s="72">
        <f t="shared" si="74"/>
        <v>1980.5554526282187</v>
      </c>
      <c r="DK120" s="72">
        <f t="shared" si="75"/>
        <v>2700.7574354021167</v>
      </c>
      <c r="DL120" s="72">
        <f>N120/BU120</f>
        <v>267374.98610480956</v>
      </c>
      <c r="DM120" s="72">
        <f>N120/BV120</f>
        <v>364602.25377928576</v>
      </c>
      <c r="DN120" s="1">
        <v>1</v>
      </c>
      <c r="DO120" s="1">
        <v>0</v>
      </c>
    </row>
    <row r="121" spans="1:119">
      <c r="A121" s="93">
        <f t="shared" si="79"/>
        <v>45992</v>
      </c>
      <c r="B121" s="4">
        <f t="shared" si="42"/>
        <v>2025</v>
      </c>
      <c r="C121" s="4">
        <f t="shared" si="43"/>
        <v>12</v>
      </c>
      <c r="D121" s="56">
        <v>9796058</v>
      </c>
      <c r="E121" s="56">
        <f>IFERROR(VLOOKUP($B121-1,CDM!$J$6:$P$19,2,FALSE)/12,0)+IFERROR(VLOOKUP($B121,CDM!$J$37:$M$48,2,FALSE)/24,0)+IFERROR(VLOOKUP($B121,CDM!$J$37:$M$48,2,FALSE)/2*$C121/78,0)</f>
        <v>186543.56849964656</v>
      </c>
      <c r="F121" s="56">
        <f t="shared" si="76"/>
        <v>9982601.5684996471</v>
      </c>
      <c r="G121" s="301">
        <v>10411</v>
      </c>
      <c r="H121" s="56">
        <v>3164060</v>
      </c>
      <c r="I121" s="56">
        <f>IFERROR(VLOOKUP($B121-1,CDM!$J$6:$P$19,3,FALSE)/12,0)+IFERROR(VLOOKUP($B121,CDM!$J$37:$M$47,3,FALSE)/24,0)+IFERROR(VLOOKUP($B121,CDM!$J$37:$M$47,3,FALSE)/2*$C121/78,0)</f>
        <v>285797.11630404979</v>
      </c>
      <c r="J121" s="56">
        <f t="shared" si="77"/>
        <v>3449857.1163040497</v>
      </c>
      <c r="K121" s="6">
        <v>1273</v>
      </c>
      <c r="L121" s="5">
        <v>10274882</v>
      </c>
      <c r="M121" s="2">
        <f>IFERROR(VLOOKUP($B121-1,CDM!$J$6:$P$19,4,FALSE)/12,0)+IFERROR(VLOOKUP($B121,CDM!$J$37:$M$47,4,FALSE)/24,0)+IFERROR(VLOOKUP($B121,CDM!$J$37:$M$47,4,FALSE)/2*$C121/78,0)</f>
        <v>282021.03025245457</v>
      </c>
      <c r="N121" s="56">
        <f t="shared" si="78"/>
        <v>10556903.030252455</v>
      </c>
      <c r="O121" s="5">
        <v>24640.2</v>
      </c>
      <c r="P121" s="6">
        <v>135</v>
      </c>
      <c r="Q121" s="5">
        <v>115943</v>
      </c>
      <c r="R121" s="5">
        <v>249.4</v>
      </c>
      <c r="S121" s="6">
        <v>2983</v>
      </c>
      <c r="T121" s="6">
        <v>13634</v>
      </c>
      <c r="U121" s="6">
        <v>37.899999999999991</v>
      </c>
      <c r="V121" s="6">
        <v>177</v>
      </c>
      <c r="W121" s="5">
        <v>49547</v>
      </c>
      <c r="X121" s="1">
        <v>19</v>
      </c>
      <c r="Y121" s="56">
        <v>4442053.5999999996</v>
      </c>
      <c r="Z121" s="56">
        <v>11526.4</v>
      </c>
      <c r="AA121" s="71">
        <f>L121-Y121</f>
        <v>5832828.4000000004</v>
      </c>
      <c r="AB121" s="71">
        <f>N121-Y121</f>
        <v>6114849.4302524552</v>
      </c>
      <c r="AC121" s="5">
        <f>O121-Z121</f>
        <v>13113.800000000001</v>
      </c>
      <c r="AD121" s="111">
        <f>Economic!H123</f>
        <v>887796.60117499996</v>
      </c>
      <c r="AE121" s="111">
        <f>Economic!I123</f>
        <v>904589.31275000004</v>
      </c>
      <c r="AF121" s="111">
        <f>Economic!D123</f>
        <v>8261.1</v>
      </c>
      <c r="AG121" s="111">
        <f>Economic!E123</f>
        <v>8248.1</v>
      </c>
      <c r="AH121" s="111">
        <f>Economic!F123</f>
        <v>670.8</v>
      </c>
      <c r="AI121" s="111">
        <f>Economic!G123</f>
        <v>665.2</v>
      </c>
      <c r="AJ121" s="111">
        <f>Economic!J123</f>
        <v>73.400000000000546</v>
      </c>
      <c r="AK121" s="111">
        <f>Economic!K123</f>
        <v>71.5</v>
      </c>
      <c r="AL121" s="111">
        <f>Economic!L123</f>
        <v>-37.600000000000023</v>
      </c>
      <c r="AM121" s="111">
        <f>Economic!M123</f>
        <v>-37.099999999999909</v>
      </c>
      <c r="AN121" s="111">
        <f>Economic!N123</f>
        <v>11176.901175000006</v>
      </c>
      <c r="AO121" s="111">
        <f>Economic!O123</f>
        <v>3161.8055000000168</v>
      </c>
      <c r="AP121" s="28">
        <f>Weather!D121</f>
        <v>-9.5466397849462368</v>
      </c>
      <c r="AQ121" s="28">
        <f>Weather!E121</f>
        <v>915.94583333333321</v>
      </c>
      <c r="AR121" s="28">
        <f>Weather!F121</f>
        <v>0</v>
      </c>
      <c r="AS121" s="28">
        <f>Weather!G121</f>
        <v>853.94583333333321</v>
      </c>
      <c r="AT121" s="28">
        <f>Weather!H121</f>
        <v>0</v>
      </c>
      <c r="AU121" s="28">
        <f>Weather!I121</f>
        <v>791.94583333333321</v>
      </c>
      <c r="AV121" s="28">
        <f>Weather!J121</f>
        <v>0</v>
      </c>
      <c r="AW121" s="28">
        <f>Weather!K121</f>
        <v>729.94583333333321</v>
      </c>
      <c r="AX121" s="28">
        <f>Weather!L121</f>
        <v>0</v>
      </c>
      <c r="AY121" s="28">
        <f>Weather!M121</f>
        <v>667.94583333333333</v>
      </c>
      <c r="AZ121" s="28">
        <f>Weather!N121</f>
        <v>0</v>
      </c>
      <c r="BA121" s="28">
        <f>Weather!O121</f>
        <v>605.94583333333333</v>
      </c>
      <c r="BB121" s="28">
        <f>Weather!P121</f>
        <v>0</v>
      </c>
      <c r="BC121" s="28">
        <f>Weather!Q121</f>
        <v>543.94583333333344</v>
      </c>
      <c r="BD121" s="28">
        <f>Weather!R121</f>
        <v>0</v>
      </c>
      <c r="BE121">
        <f t="shared" si="86"/>
        <v>0</v>
      </c>
      <c r="BF121">
        <f t="shared" si="86"/>
        <v>0</v>
      </c>
      <c r="BG121">
        <f t="shared" si="86"/>
        <v>0</v>
      </c>
      <c r="BH121">
        <f t="shared" si="86"/>
        <v>0</v>
      </c>
      <c r="BI121">
        <f t="shared" si="86"/>
        <v>0</v>
      </c>
      <c r="BJ121">
        <f t="shared" si="86"/>
        <v>0</v>
      </c>
      <c r="BK121">
        <f t="shared" si="86"/>
        <v>0</v>
      </c>
      <c r="BL121">
        <f t="shared" si="86"/>
        <v>0</v>
      </c>
      <c r="BM121">
        <f t="shared" si="86"/>
        <v>0</v>
      </c>
      <c r="BN121">
        <f t="shared" si="86"/>
        <v>0</v>
      </c>
      <c r="BO121">
        <f t="shared" si="86"/>
        <v>0</v>
      </c>
      <c r="BP121">
        <f t="shared" si="86"/>
        <v>1</v>
      </c>
      <c r="BQ121" s="1">
        <f t="shared" si="86"/>
        <v>0</v>
      </c>
      <c r="BR121" s="1">
        <f t="shared" si="86"/>
        <v>0</v>
      </c>
      <c r="BS121" s="1">
        <f t="shared" si="86"/>
        <v>0</v>
      </c>
      <c r="BT121" s="1">
        <f t="shared" si="44"/>
        <v>120</v>
      </c>
      <c r="BU121">
        <f t="shared" si="41"/>
        <v>31</v>
      </c>
      <c r="BV121" s="1">
        <v>19</v>
      </c>
      <c r="BW121" s="1">
        <v>0</v>
      </c>
      <c r="BX121" s="1">
        <v>0</v>
      </c>
      <c r="BY121" s="1">
        <v>0.25</v>
      </c>
      <c r="BZ121" s="1">
        <v>0</v>
      </c>
      <c r="CA121">
        <f t="shared" si="83"/>
        <v>0</v>
      </c>
      <c r="CB121">
        <f t="shared" si="46"/>
        <v>0</v>
      </c>
      <c r="CC121">
        <f t="shared" si="47"/>
        <v>0</v>
      </c>
      <c r="CD121">
        <f t="shared" si="48"/>
        <v>0</v>
      </c>
      <c r="CE121">
        <f t="shared" si="49"/>
        <v>0</v>
      </c>
      <c r="CF121">
        <f t="shared" si="50"/>
        <v>0</v>
      </c>
      <c r="CG121">
        <f t="shared" si="51"/>
        <v>0</v>
      </c>
      <c r="CH121">
        <f t="shared" si="52"/>
        <v>0</v>
      </c>
      <c r="CI121">
        <f t="shared" si="53"/>
        <v>0</v>
      </c>
      <c r="CJ121">
        <f t="shared" si="54"/>
        <v>0</v>
      </c>
      <c r="CK121">
        <f t="shared" si="55"/>
        <v>0</v>
      </c>
      <c r="CL121">
        <f t="shared" si="56"/>
        <v>0</v>
      </c>
      <c r="CM121">
        <f t="shared" si="57"/>
        <v>0</v>
      </c>
      <c r="CN121">
        <f t="shared" si="58"/>
        <v>0</v>
      </c>
      <c r="CO121" s="14">
        <f t="shared" si="84"/>
        <v>228.9864583333333</v>
      </c>
      <c r="CP121" s="14">
        <f t="shared" si="59"/>
        <v>0</v>
      </c>
      <c r="CQ121" s="14">
        <f t="shared" si="60"/>
        <v>213.4864583333333</v>
      </c>
      <c r="CR121" s="14">
        <f t="shared" si="61"/>
        <v>0</v>
      </c>
      <c r="CS121" s="14">
        <f t="shared" si="62"/>
        <v>197.9864583333333</v>
      </c>
      <c r="CT121" s="14">
        <f t="shared" si="63"/>
        <v>0</v>
      </c>
      <c r="CU121" s="14">
        <f t="shared" si="64"/>
        <v>182.4864583333333</v>
      </c>
      <c r="CV121" s="14">
        <f t="shared" si="65"/>
        <v>0</v>
      </c>
      <c r="CW121" s="14">
        <f t="shared" si="66"/>
        <v>166.98645833333333</v>
      </c>
      <c r="CX121" s="14">
        <f t="shared" si="67"/>
        <v>0</v>
      </c>
      <c r="CY121" s="14">
        <f t="shared" si="68"/>
        <v>151.48645833333333</v>
      </c>
      <c r="CZ121" s="14">
        <f t="shared" si="69"/>
        <v>0</v>
      </c>
      <c r="DA121" s="14">
        <f t="shared" si="70"/>
        <v>135.98645833333336</v>
      </c>
      <c r="DB121" s="14">
        <f t="shared" si="71"/>
        <v>0</v>
      </c>
      <c r="DC121" s="72">
        <f>F121/G121</f>
        <v>958.85136571891724</v>
      </c>
      <c r="DD121" s="72">
        <f t="shared" si="82"/>
        <v>30.930689216739264</v>
      </c>
      <c r="DE121" s="71">
        <f>F121/BU121</f>
        <v>322019.40543547249</v>
      </c>
      <c r="DF121" s="72">
        <f>J121/K121</f>
        <v>2710.0213011029455</v>
      </c>
      <c r="DG121" s="72">
        <f t="shared" si="73"/>
        <v>87.420041971062759</v>
      </c>
      <c r="DH121" s="72">
        <f>J121/BU121</f>
        <v>111285.71342916289</v>
      </c>
      <c r="DI121" s="72">
        <f>N121/P121</f>
        <v>78199.28170557374</v>
      </c>
      <c r="DJ121" s="72">
        <f t="shared" si="74"/>
        <v>2522.5574743733464</v>
      </c>
      <c r="DK121" s="72">
        <f t="shared" si="75"/>
        <v>4115.7516687144071</v>
      </c>
      <c r="DL121" s="72">
        <f>N121/BU121</f>
        <v>340545.25904040178</v>
      </c>
      <c r="DM121" s="72">
        <f>N121/BV121</f>
        <v>555626.47527644504</v>
      </c>
      <c r="DN121" s="1">
        <v>0</v>
      </c>
      <c r="DO121" s="1">
        <v>1</v>
      </c>
    </row>
    <row r="122" spans="1:119">
      <c r="A122" s="93"/>
      <c r="B122" s="4"/>
      <c r="C122" s="4"/>
    </row>
    <row r="123" spans="1:119">
      <c r="Y123" s="71"/>
      <c r="Z123" s="518"/>
    </row>
    <row r="124" spans="1:119">
      <c r="Z124" s="71"/>
    </row>
    <row r="125" spans="1:119">
      <c r="Y125" s="71"/>
      <c r="Z125" s="518"/>
      <c r="AA125" s="71"/>
    </row>
    <row r="126" spans="1:119">
      <c r="AA126" s="518"/>
      <c r="AB126" s="550"/>
    </row>
    <row r="127" spans="1:119">
      <c r="Y127" s="56"/>
      <c r="Z127" s="71"/>
      <c r="AA127" s="518"/>
      <c r="AB127" s="550"/>
    </row>
    <row r="128" spans="1:119">
      <c r="Y128" s="56"/>
      <c r="Z128" s="518"/>
    </row>
    <row r="129" spans="25:26">
      <c r="Y129" s="56"/>
      <c r="Z129" s="518"/>
    </row>
    <row r="130" spans="25:26">
      <c r="Y130" s="56"/>
    </row>
    <row r="131" spans="25:26">
      <c r="Y131" s="56"/>
    </row>
    <row r="132" spans="25:26">
      <c r="Y132" s="56"/>
    </row>
    <row r="133" spans="25:26">
      <c r="Y133" s="56"/>
    </row>
    <row r="134" spans="25:26">
      <c r="Y134" s="56"/>
    </row>
    <row r="135" spans="25:26">
      <c r="Y135" s="56"/>
    </row>
    <row r="137" spans="25:26">
      <c r="Y137" s="71"/>
    </row>
  </sheetData>
  <sheetProtection sheet="1" objects="1" scenarios="1"/>
  <pageMargins left="0.75" right="0.75" top="1" bottom="1" header="0.5" footer="0.5"/>
  <pageSetup scale="10" fitToHeight="0" orientation="landscape" verticalDpi="1200"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85E2F-FCBF-40B8-9F95-5CF3B6AF08F8}">
  <sheetPr codeName="Sheet5">
    <tabColor theme="7" tint="0.79998168889431442"/>
    <pageSetUpPr fitToPage="1"/>
  </sheetPr>
  <dimension ref="A1:DM74"/>
  <sheetViews>
    <sheetView workbookViewId="0">
      <pane xSplit="1" ySplit="1" topLeftCell="S2" activePane="bottomRight" state="frozen"/>
      <selection pane="bottomRight" activeCell="X11" sqref="X11"/>
      <selection pane="bottomLeft" sqref="A1:XFD1048576"/>
      <selection pane="topRight" sqref="A1:XFD1048576"/>
    </sheetView>
  </sheetViews>
  <sheetFormatPr defaultColWidth="8.83203125" defaultRowHeight="13.15"/>
  <cols>
    <col min="1" max="1" width="11.83203125" style="3" bestFit="1" customWidth="1"/>
    <col min="2" max="3" width="10.33203125" style="1" customWidth="1"/>
    <col min="4" max="4" width="13.5" style="2" customWidth="1"/>
    <col min="5" max="5" width="14.1640625" style="2" customWidth="1"/>
    <col min="6" max="6" width="13.1640625" style="2" customWidth="1"/>
    <col min="7" max="7" width="9.83203125" style="5" customWidth="1"/>
    <col min="8" max="8" width="15.5" style="56" customWidth="1"/>
    <col min="9" max="10" width="13.1640625" style="1" customWidth="1"/>
    <col min="11" max="11" width="17.5" style="5" bestFit="1" customWidth="1"/>
    <col min="12" max="13" width="14.33203125" style="5" hidden="1" customWidth="1"/>
    <col min="14" max="14" width="15.83203125" style="5" hidden="1" customWidth="1"/>
    <col min="15" max="15" width="13.83203125" style="5" hidden="1" customWidth="1"/>
    <col min="16" max="16" width="13.83203125" style="5" customWidth="1"/>
    <col min="17" max="17" width="19.5" style="5" bestFit="1" customWidth="1"/>
    <col min="18" max="18" width="18.33203125" style="5" customWidth="1"/>
    <col min="19" max="19" width="20" style="5" bestFit="1" customWidth="1"/>
    <col min="20" max="22" width="20" style="5" customWidth="1"/>
    <col min="23" max="23" width="12.33203125" style="5" bestFit="1" customWidth="1"/>
    <col min="24" max="24" width="18.33203125" style="1" bestFit="1" customWidth="1"/>
    <col min="25" max="26" width="18.33203125" style="1" hidden="1" customWidth="1"/>
    <col min="27" max="29" width="18.33203125" style="1" customWidth="1"/>
    <col min="30" max="30" width="12.33203125" style="26" bestFit="1" customWidth="1"/>
    <col min="31" max="31" width="12.33203125" style="26" customWidth="1"/>
    <col min="32" max="35" width="10.1640625" style="26" bestFit="1" customWidth="1"/>
    <col min="36" max="41" width="8.83203125" style="26" customWidth="1"/>
    <col min="42" max="56" width="8.83203125" style="27"/>
    <col min="57" max="74" width="8.83203125" style="1"/>
    <col min="75" max="75" width="8.33203125" style="1" bestFit="1" customWidth="1"/>
    <col min="76" max="76" width="12.33203125" style="1" bestFit="1" customWidth="1"/>
    <col min="77" max="77" width="13.6640625" style="1" bestFit="1" customWidth="1"/>
    <col min="78" max="78" width="12.33203125" style="1" bestFit="1" customWidth="1"/>
    <col min="79" max="106" width="10.1640625" style="1" customWidth="1"/>
    <col min="107" max="107" width="10.6640625" style="1" customWidth="1"/>
    <col min="108" max="108" width="8.83203125" style="1"/>
    <col min="109" max="109" width="12.83203125" style="1" customWidth="1"/>
    <col min="110" max="110" width="10.83203125" style="1" bestFit="1" customWidth="1"/>
    <col min="111" max="111" width="8.83203125" style="1"/>
    <col min="112" max="113" width="12" style="1" bestFit="1" customWidth="1"/>
    <col min="114" max="115" width="10.83203125" style="1" bestFit="1" customWidth="1"/>
    <col min="116" max="117" width="14" style="1" bestFit="1" customWidth="1"/>
    <col min="118" max="16384" width="8.83203125" style="1"/>
  </cols>
  <sheetData>
    <row r="1" spans="1:117">
      <c r="A1" s="3" t="s">
        <v>26</v>
      </c>
      <c r="B1" s="1" t="s">
        <v>27</v>
      </c>
      <c r="C1" s="1" t="s">
        <v>28</v>
      </c>
      <c r="D1" s="2" t="s">
        <v>29</v>
      </c>
      <c r="E1" s="2" t="s">
        <v>30</v>
      </c>
      <c r="F1" s="2" t="s">
        <v>31</v>
      </c>
      <c r="G1" s="5" t="s">
        <v>32</v>
      </c>
      <c r="H1" s="56" t="s">
        <v>33</v>
      </c>
      <c r="I1" s="2" t="s">
        <v>34</v>
      </c>
      <c r="J1" s="2" t="s">
        <v>35</v>
      </c>
      <c r="K1" s="7" t="s">
        <v>36</v>
      </c>
      <c r="L1" s="7" t="s">
        <v>37</v>
      </c>
      <c r="M1" s="7" t="s">
        <v>38</v>
      </c>
      <c r="N1" s="7" t="s">
        <v>39</v>
      </c>
      <c r="O1" s="7" t="s">
        <v>40</v>
      </c>
      <c r="P1" s="7" t="s">
        <v>41</v>
      </c>
      <c r="Q1" s="7" t="s">
        <v>42</v>
      </c>
      <c r="R1" s="7" t="s">
        <v>43</v>
      </c>
      <c r="S1" s="7" t="s">
        <v>44</v>
      </c>
      <c r="T1" s="7" t="s">
        <v>45</v>
      </c>
      <c r="U1" s="7" t="s">
        <v>46</v>
      </c>
      <c r="V1" s="7" t="s">
        <v>47</v>
      </c>
      <c r="W1" s="7" t="s">
        <v>48</v>
      </c>
      <c r="X1" s="1" t="s">
        <v>49</v>
      </c>
      <c r="Y1" s="1" t="s">
        <v>50</v>
      </c>
      <c r="Z1" s="1" t="s">
        <v>51</v>
      </c>
      <c r="AA1" s="1" t="s">
        <v>52</v>
      </c>
      <c r="AB1" s="1" t="s">
        <v>53</v>
      </c>
      <c r="AC1" s="1" t="s">
        <v>54</v>
      </c>
      <c r="AD1" s="26" t="s">
        <v>55</v>
      </c>
      <c r="AE1" s="26" t="s">
        <v>56</v>
      </c>
      <c r="AF1" s="26" t="s">
        <v>57</v>
      </c>
      <c r="AG1" s="26" t="s">
        <v>58</v>
      </c>
      <c r="AH1" s="26" t="s">
        <v>59</v>
      </c>
      <c r="AI1" s="26" t="s">
        <v>60</v>
      </c>
      <c r="AJ1" s="26" t="s">
        <v>61</v>
      </c>
      <c r="AK1" s="26" t="s">
        <v>62</v>
      </c>
      <c r="AL1" s="26" t="s">
        <v>63</v>
      </c>
      <c r="AM1" s="26" t="s">
        <v>64</v>
      </c>
      <c r="AN1" s="26" t="s">
        <v>65</v>
      </c>
      <c r="AO1" s="26" t="s">
        <v>66</v>
      </c>
      <c r="AP1" s="27" t="s">
        <v>67</v>
      </c>
      <c r="AQ1" s="27" t="s">
        <v>68</v>
      </c>
      <c r="AR1" s="27" t="s">
        <v>69</v>
      </c>
      <c r="AS1" s="27" t="s">
        <v>70</v>
      </c>
      <c r="AT1" s="27" t="s">
        <v>71</v>
      </c>
      <c r="AU1" s="27" t="s">
        <v>72</v>
      </c>
      <c r="AV1" s="27" t="s">
        <v>73</v>
      </c>
      <c r="AW1" s="27" t="s">
        <v>74</v>
      </c>
      <c r="AX1" s="27" t="s">
        <v>75</v>
      </c>
      <c r="AY1" s="27" t="s">
        <v>76</v>
      </c>
      <c r="AZ1" s="27" t="s">
        <v>77</v>
      </c>
      <c r="BA1" s="27" t="s">
        <v>78</v>
      </c>
      <c r="BB1" s="27" t="s">
        <v>79</v>
      </c>
      <c r="BC1" s="27" t="s">
        <v>80</v>
      </c>
      <c r="BD1" s="27" t="s">
        <v>81</v>
      </c>
      <c r="BE1" s="29" t="s">
        <v>82</v>
      </c>
      <c r="BF1" s="29" t="s">
        <v>83</v>
      </c>
      <c r="BG1" s="29" t="s">
        <v>84</v>
      </c>
      <c r="BH1" s="29" t="s">
        <v>85</v>
      </c>
      <c r="BI1" s="29" t="s">
        <v>86</v>
      </c>
      <c r="BJ1" s="29" t="s">
        <v>87</v>
      </c>
      <c r="BK1" s="29" t="s">
        <v>88</v>
      </c>
      <c r="BL1" s="29" t="s">
        <v>89</v>
      </c>
      <c r="BM1" s="29" t="s">
        <v>90</v>
      </c>
      <c r="BN1" s="29" t="s">
        <v>91</v>
      </c>
      <c r="BO1" s="29" t="s">
        <v>92</v>
      </c>
      <c r="BP1" s="29" t="s">
        <v>93</v>
      </c>
      <c r="BQ1" s="29" t="s">
        <v>94</v>
      </c>
      <c r="BR1" s="29" t="s">
        <v>95</v>
      </c>
      <c r="BS1" s="29" t="s">
        <v>96</v>
      </c>
      <c r="BT1" s="1" t="s">
        <v>97</v>
      </c>
      <c r="BU1" s="29" t="s">
        <v>98</v>
      </c>
      <c r="BV1" s="29" t="s">
        <v>99</v>
      </c>
      <c r="BW1" s="112" t="s">
        <v>100</v>
      </c>
      <c r="BX1" s="112" t="s">
        <v>101</v>
      </c>
      <c r="BY1" s="112" t="s">
        <v>102</v>
      </c>
      <c r="BZ1" s="112" t="s">
        <v>103</v>
      </c>
      <c r="CA1" s="112" t="s">
        <v>104</v>
      </c>
      <c r="CB1" s="112" t="s">
        <v>105</v>
      </c>
      <c r="CC1" s="112" t="s">
        <v>106</v>
      </c>
      <c r="CD1" s="112" t="s">
        <v>107</v>
      </c>
      <c r="CE1" s="112" t="s">
        <v>108</v>
      </c>
      <c r="CF1" s="112" t="s">
        <v>109</v>
      </c>
      <c r="CG1" s="112" t="s">
        <v>110</v>
      </c>
      <c r="CH1" s="112" t="s">
        <v>111</v>
      </c>
      <c r="CI1" s="112" t="s">
        <v>112</v>
      </c>
      <c r="CJ1" s="112" t="s">
        <v>113</v>
      </c>
      <c r="CK1" s="112" t="s">
        <v>114</v>
      </c>
      <c r="CL1" s="112" t="s">
        <v>115</v>
      </c>
      <c r="CM1" s="112" t="s">
        <v>116</v>
      </c>
      <c r="CN1" s="112" t="s">
        <v>117</v>
      </c>
      <c r="CO1" s="112" t="s">
        <v>118</v>
      </c>
      <c r="CP1" s="112" t="s">
        <v>119</v>
      </c>
      <c r="CQ1" s="112" t="s">
        <v>120</v>
      </c>
      <c r="CR1" s="112" t="s">
        <v>121</v>
      </c>
      <c r="CS1" s="112" t="s">
        <v>122</v>
      </c>
      <c r="CT1" s="112" t="s">
        <v>123</v>
      </c>
      <c r="CU1" s="112" t="s">
        <v>124</v>
      </c>
      <c r="CV1" s="112" t="s">
        <v>125</v>
      </c>
      <c r="CW1" s="112" t="s">
        <v>126</v>
      </c>
      <c r="CX1" s="112" t="s">
        <v>127</v>
      </c>
      <c r="CY1" s="112" t="s">
        <v>128</v>
      </c>
      <c r="CZ1" s="112" t="s">
        <v>129</v>
      </c>
      <c r="DA1" s="112" t="s">
        <v>130</v>
      </c>
      <c r="DB1" s="112" t="s">
        <v>131</v>
      </c>
      <c r="DC1" s="1" t="s">
        <v>132</v>
      </c>
      <c r="DD1" s="1" t="s">
        <v>133</v>
      </c>
      <c r="DE1" s="1" t="s">
        <v>134</v>
      </c>
      <c r="DF1" s="1" t="s">
        <v>135</v>
      </c>
      <c r="DG1" s="1" t="s">
        <v>136</v>
      </c>
      <c r="DH1" s="1" t="s">
        <v>137</v>
      </c>
      <c r="DI1" s="1" t="s">
        <v>138</v>
      </c>
      <c r="DJ1" s="1" t="s">
        <v>139</v>
      </c>
      <c r="DK1" s="1" t="s">
        <v>140</v>
      </c>
      <c r="DL1" s="1" t="s">
        <v>141</v>
      </c>
      <c r="DM1" s="1" t="s">
        <v>142</v>
      </c>
    </row>
    <row r="2" spans="1:117">
      <c r="A2" s="93">
        <f>'Monthly Data'!A50</f>
        <v>43831</v>
      </c>
      <c r="B2" s="4">
        <f>'Monthly Data'!B50</f>
        <v>2020</v>
      </c>
      <c r="C2" s="4">
        <f>'Monthly Data'!C50</f>
        <v>1</v>
      </c>
      <c r="D2" s="56">
        <f>'Monthly Data'!D50</f>
        <v>8252808</v>
      </c>
      <c r="E2" s="56">
        <f>'Monthly Data'!E50</f>
        <v>161846.16965684996</v>
      </c>
      <c r="F2" s="56">
        <f>'Monthly Data'!F50</f>
        <v>8414654.1696568504</v>
      </c>
      <c r="G2" s="301">
        <f>'Monthly Data'!G50</f>
        <v>9912</v>
      </c>
      <c r="H2" s="56">
        <f>'Monthly Data'!H50</f>
        <v>2851727</v>
      </c>
      <c r="I2" s="56">
        <f>'Monthly Data'!I50</f>
        <v>158440.25749514051</v>
      </c>
      <c r="J2" s="56">
        <f>'Monthly Data'!J50</f>
        <v>3010167.2574951407</v>
      </c>
      <c r="K2" s="6">
        <f>'Monthly Data'!K50</f>
        <v>1282</v>
      </c>
      <c r="L2" s="5">
        <f>'Monthly Data'!L50</f>
        <v>6440679</v>
      </c>
      <c r="M2" s="2">
        <f>'Monthly Data'!M50</f>
        <v>136236.96273915505</v>
      </c>
      <c r="N2" s="56">
        <f>'Monthly Data'!N50</f>
        <v>6576915.9627391547</v>
      </c>
      <c r="O2" s="5">
        <f>'Monthly Data'!O50</f>
        <v>15098</v>
      </c>
      <c r="P2" s="6">
        <f>'Monthly Data'!P50</f>
        <v>149</v>
      </c>
      <c r="Q2" s="5">
        <f>'Monthly Data'!Q50</f>
        <v>106653</v>
      </c>
      <c r="R2" s="5">
        <f>'Monthly Data'!R50</f>
        <v>236</v>
      </c>
      <c r="S2" s="6">
        <f>'Monthly Data'!S50</f>
        <v>2875</v>
      </c>
      <c r="T2" s="6">
        <f>'Monthly Data'!T50</f>
        <v>19661</v>
      </c>
      <c r="U2" s="6">
        <f>'Monthly Data'!U50</f>
        <v>43</v>
      </c>
      <c r="V2" s="6">
        <f>'Monthly Data'!V50</f>
        <v>171</v>
      </c>
      <c r="W2" s="5">
        <f>'Monthly Data'!W50</f>
        <v>51241</v>
      </c>
      <c r="X2" s="56">
        <f>'Monthly Data'!X50</f>
        <v>19</v>
      </c>
      <c r="Y2" s="56">
        <f>'Monthly Data'!Y50</f>
        <v>77811.460000000006</v>
      </c>
      <c r="Z2" s="56">
        <f>'Monthly Data'!Z50</f>
        <v>7319.9</v>
      </c>
      <c r="AA2" s="56">
        <f>'Monthly Data'!AA50</f>
        <v>6362867.54</v>
      </c>
      <c r="AB2" s="56">
        <f>'Monthly Data'!AB50</f>
        <v>6499104.5027391547</v>
      </c>
      <c r="AC2" s="56">
        <f>'Monthly Data'!AC50</f>
        <v>7778.1</v>
      </c>
      <c r="AD2" s="111">
        <f>'Monthly Data'!AD50</f>
        <v>769942</v>
      </c>
      <c r="AE2" s="111">
        <f>'Monthly Data'!AE50</f>
        <v>801246</v>
      </c>
      <c r="AF2" s="111">
        <f>'Monthly Data'!AF50</f>
        <v>7498.1</v>
      </c>
      <c r="AG2" s="111">
        <f>'Monthly Data'!AG50</f>
        <v>7464.7</v>
      </c>
      <c r="AH2" s="111">
        <f>'Monthly Data'!AH50</f>
        <v>635.9</v>
      </c>
      <c r="AI2" s="111">
        <f>'Monthly Data'!AI50</f>
        <v>631.6</v>
      </c>
      <c r="AJ2" s="111">
        <f>'Monthly Data'!AJ50</f>
        <v>191.60000000000036</v>
      </c>
      <c r="AK2" s="111">
        <f>'Monthly Data'!AK50</f>
        <v>184.59999999999945</v>
      </c>
      <c r="AL2" s="111">
        <f>'Monthly Data'!AL50</f>
        <v>47.5</v>
      </c>
      <c r="AM2" s="111">
        <f>'Monthly Data'!AM50</f>
        <v>46.300000000000068</v>
      </c>
      <c r="AN2" s="111">
        <f>'Monthly Data'!AN50</f>
        <v>-37332.5</v>
      </c>
      <c r="AO2" s="111">
        <f>'Monthly Data'!AO50</f>
        <v>-10918</v>
      </c>
      <c r="AP2" s="28">
        <f>'Monthly Data'!AP50</f>
        <v>-7.4672043010752693</v>
      </c>
      <c r="AQ2" s="28">
        <f>'Monthly Data'!AQ50</f>
        <v>851.48333333333335</v>
      </c>
      <c r="AR2" s="28">
        <f>'Monthly Data'!AR50</f>
        <v>0</v>
      </c>
      <c r="AS2" s="28">
        <f>'Monthly Data'!AS50</f>
        <v>789.48333333333335</v>
      </c>
      <c r="AT2" s="28">
        <f>'Monthly Data'!AT50</f>
        <v>0</v>
      </c>
      <c r="AU2" s="28">
        <f>'Monthly Data'!AU50</f>
        <v>727.48333333333335</v>
      </c>
      <c r="AV2" s="28">
        <f>'Monthly Data'!AV50</f>
        <v>0</v>
      </c>
      <c r="AW2" s="28">
        <f>'Monthly Data'!AW50</f>
        <v>665.48333333333335</v>
      </c>
      <c r="AX2" s="28">
        <f>'Monthly Data'!AX50</f>
        <v>0</v>
      </c>
      <c r="AY2" s="28">
        <f>'Monthly Data'!AY50</f>
        <v>603.48333333333335</v>
      </c>
      <c r="AZ2" s="28">
        <f>'Monthly Data'!AZ50</f>
        <v>0</v>
      </c>
      <c r="BA2" s="28">
        <f>'Monthly Data'!BA50</f>
        <v>541.48333333333335</v>
      </c>
      <c r="BB2" s="28">
        <f>'Monthly Data'!BB50</f>
        <v>0</v>
      </c>
      <c r="BC2" s="28">
        <f>'Monthly Data'!BC50</f>
        <v>479.48333333333323</v>
      </c>
      <c r="BD2" s="28">
        <f>'Monthly Data'!BD50</f>
        <v>0</v>
      </c>
      <c r="BE2">
        <f>'Monthly Data'!BE50</f>
        <v>1</v>
      </c>
      <c r="BF2">
        <f>'Monthly Data'!BF50</f>
        <v>0</v>
      </c>
      <c r="BG2">
        <f>'Monthly Data'!BG50</f>
        <v>0</v>
      </c>
      <c r="BH2">
        <f>'Monthly Data'!BH50</f>
        <v>0</v>
      </c>
      <c r="BI2">
        <f>'Monthly Data'!BI50</f>
        <v>0</v>
      </c>
      <c r="BJ2">
        <f>'Monthly Data'!BJ50</f>
        <v>0</v>
      </c>
      <c r="BK2">
        <f>'Monthly Data'!BK50</f>
        <v>0</v>
      </c>
      <c r="BL2">
        <f>'Monthly Data'!BL50</f>
        <v>0</v>
      </c>
      <c r="BM2">
        <f>'Monthly Data'!BM50</f>
        <v>0</v>
      </c>
      <c r="BN2">
        <f>'Monthly Data'!BN50</f>
        <v>0</v>
      </c>
      <c r="BO2">
        <f>'Monthly Data'!BO50</f>
        <v>0</v>
      </c>
      <c r="BP2">
        <f>'Monthly Data'!BP50</f>
        <v>0</v>
      </c>
      <c r="BQ2">
        <f>'Monthly Data'!BQ50</f>
        <v>0</v>
      </c>
      <c r="BR2">
        <f>'Monthly Data'!BR50</f>
        <v>0</v>
      </c>
      <c r="BS2">
        <f>'Monthly Data'!BS50</f>
        <v>0</v>
      </c>
      <c r="BT2" s="1">
        <f>'Monthly Data'!BT50</f>
        <v>49</v>
      </c>
      <c r="BU2">
        <f>'Monthly Data'!BU50</f>
        <v>31</v>
      </c>
      <c r="BV2">
        <f>'Monthly Data'!BV50</f>
        <v>22</v>
      </c>
      <c r="BW2">
        <f>'Monthly Data'!BW50</f>
        <v>0</v>
      </c>
      <c r="BX2">
        <f>'Monthly Data'!BX50</f>
        <v>0</v>
      </c>
      <c r="BY2">
        <f>'Monthly Data'!BY50</f>
        <v>0</v>
      </c>
      <c r="BZ2">
        <f>'Monthly Data'!BZ50</f>
        <v>0</v>
      </c>
      <c r="CA2">
        <f>'Monthly Data'!CA50</f>
        <v>0</v>
      </c>
      <c r="CB2">
        <f>'Monthly Data'!CB50</f>
        <v>0</v>
      </c>
      <c r="CC2">
        <f>'Monthly Data'!CC50</f>
        <v>0</v>
      </c>
      <c r="CD2">
        <f>'Monthly Data'!CD50</f>
        <v>0</v>
      </c>
      <c r="CE2">
        <f>'Monthly Data'!CE50</f>
        <v>0</v>
      </c>
      <c r="CF2">
        <f>'Monthly Data'!CF50</f>
        <v>0</v>
      </c>
      <c r="CG2">
        <f>'Monthly Data'!CG50</f>
        <v>0</v>
      </c>
      <c r="CH2">
        <f>'Monthly Data'!CH50</f>
        <v>0</v>
      </c>
      <c r="CI2">
        <f>'Monthly Data'!CI50</f>
        <v>0</v>
      </c>
      <c r="CJ2">
        <f>'Monthly Data'!CJ50</f>
        <v>0</v>
      </c>
      <c r="CK2">
        <f>'Monthly Data'!CK50</f>
        <v>0</v>
      </c>
      <c r="CL2">
        <f>'Monthly Data'!CL50</f>
        <v>0</v>
      </c>
      <c r="CM2">
        <f>'Monthly Data'!CM50</f>
        <v>0</v>
      </c>
      <c r="CN2">
        <f>'Monthly Data'!CN50</f>
        <v>0</v>
      </c>
      <c r="CO2" s="14">
        <f>'Monthly Data'!CO50</f>
        <v>0</v>
      </c>
      <c r="CP2" s="14">
        <f>'Monthly Data'!CP50</f>
        <v>0</v>
      </c>
      <c r="CQ2" s="14">
        <f>'Monthly Data'!CQ50</f>
        <v>0</v>
      </c>
      <c r="CR2" s="14">
        <f>'Monthly Data'!CR50</f>
        <v>0</v>
      </c>
      <c r="CS2" s="14">
        <f>'Monthly Data'!CS50</f>
        <v>0</v>
      </c>
      <c r="CT2" s="14">
        <f>'Monthly Data'!CT50</f>
        <v>0</v>
      </c>
      <c r="CU2" s="14">
        <f>'Monthly Data'!CU50</f>
        <v>0</v>
      </c>
      <c r="CV2" s="14">
        <f>'Monthly Data'!CV50</f>
        <v>0</v>
      </c>
      <c r="CW2" s="14">
        <f>'Monthly Data'!CW50</f>
        <v>0</v>
      </c>
      <c r="CX2" s="14">
        <f>'Monthly Data'!CX50</f>
        <v>0</v>
      </c>
      <c r="CY2" s="14">
        <f>'Monthly Data'!CY50</f>
        <v>0</v>
      </c>
      <c r="CZ2" s="14">
        <f>'Monthly Data'!CZ50</f>
        <v>0</v>
      </c>
      <c r="DA2" s="14">
        <f>'Monthly Data'!DA50</f>
        <v>0</v>
      </c>
      <c r="DB2" s="14">
        <f>'Monthly Data'!DB50</f>
        <v>0</v>
      </c>
      <c r="DC2" s="72">
        <f>'Monthly Data'!DC50</f>
        <v>848.9360542430237</v>
      </c>
      <c r="DD2" s="72">
        <f>'Monthly Data'!DD50</f>
        <v>27.385034007839476</v>
      </c>
      <c r="DE2" s="71">
        <f>'Monthly Data'!DE50</f>
        <v>271440.45708570484</v>
      </c>
      <c r="DF2" s="72">
        <f>'Monthly Data'!DF50</f>
        <v>2348.0243818214826</v>
      </c>
      <c r="DG2" s="72">
        <f>'Monthly Data'!DG50</f>
        <v>75.742721994241379</v>
      </c>
      <c r="DH2" s="72">
        <f>'Monthly Data'!DH50</f>
        <v>97102.169596617445</v>
      </c>
      <c r="DI2" s="72">
        <f>'Monthly Data'!DI50</f>
        <v>44140.375588853385</v>
      </c>
      <c r="DJ2" s="72">
        <f>'Monthly Data'!DJ50</f>
        <v>1423.8830835113995</v>
      </c>
      <c r="DK2" s="72">
        <f>'Monthly Data'!DK50</f>
        <v>2006.3807085842448</v>
      </c>
      <c r="DL2" s="72">
        <f>'Monthly Data'!DL50</f>
        <v>212158.57944319854</v>
      </c>
      <c r="DM2" s="72">
        <f>'Monthly Data'!DM50</f>
        <v>298950.72557905247</v>
      </c>
    </row>
    <row r="3" spans="1:117">
      <c r="A3" s="93">
        <f>'Monthly Data'!A51</f>
        <v>43862</v>
      </c>
      <c r="B3" s="4">
        <f>'Monthly Data'!B51</f>
        <v>2020</v>
      </c>
      <c r="C3" s="4">
        <f>'Monthly Data'!C51</f>
        <v>2</v>
      </c>
      <c r="D3" s="56">
        <f>'Monthly Data'!D51</f>
        <v>7653590</v>
      </c>
      <c r="E3" s="56">
        <f>'Monthly Data'!E51</f>
        <v>161848.18888761921</v>
      </c>
      <c r="F3" s="56">
        <f>'Monthly Data'!F51</f>
        <v>7815438.1888876194</v>
      </c>
      <c r="G3" s="301">
        <f>'Monthly Data'!G51</f>
        <v>9916</v>
      </c>
      <c r="H3" s="56">
        <f>'Monthly Data'!H51</f>
        <v>2655070</v>
      </c>
      <c r="I3" s="56">
        <f>'Monthly Data'!I51</f>
        <v>158055.89868444126</v>
      </c>
      <c r="J3" s="56">
        <f>'Monthly Data'!J51</f>
        <v>2813125.8986844411</v>
      </c>
      <c r="K3" s="6">
        <f>'Monthly Data'!K51</f>
        <v>1280</v>
      </c>
      <c r="L3" s="5">
        <f>'Monthly Data'!L51</f>
        <v>5907939</v>
      </c>
      <c r="M3" s="2">
        <f>'Monthly Data'!M51</f>
        <v>136106.58023792601</v>
      </c>
      <c r="N3" s="56">
        <f>'Monthly Data'!N51</f>
        <v>6044045.580237926</v>
      </c>
      <c r="O3" s="5">
        <f>'Monthly Data'!O51</f>
        <v>14713</v>
      </c>
      <c r="P3" s="6">
        <f>'Monthly Data'!P51</f>
        <v>149</v>
      </c>
      <c r="Q3" s="5">
        <f>'Monthly Data'!Q51</f>
        <v>91818</v>
      </c>
      <c r="R3" s="5">
        <f>'Monthly Data'!R51</f>
        <v>236</v>
      </c>
      <c r="S3" s="6">
        <f>'Monthly Data'!S51</f>
        <v>2875</v>
      </c>
      <c r="T3" s="6">
        <f>'Monthly Data'!T51</f>
        <v>16528</v>
      </c>
      <c r="U3" s="6">
        <f>'Monthly Data'!U51</f>
        <v>43</v>
      </c>
      <c r="V3" s="6">
        <f>'Monthly Data'!V51</f>
        <v>171</v>
      </c>
      <c r="W3" s="5">
        <f>'Monthly Data'!W51</f>
        <v>48847</v>
      </c>
      <c r="X3" s="56">
        <f>'Monthly Data'!X51</f>
        <v>19</v>
      </c>
      <c r="Y3" s="56">
        <f>'Monthly Data'!Y51</f>
        <v>218008</v>
      </c>
      <c r="Z3" s="56">
        <f>'Monthly Data'!Z51</f>
        <v>5116.8</v>
      </c>
      <c r="AA3" s="56">
        <f>'Monthly Data'!AA51</f>
        <v>5689931</v>
      </c>
      <c r="AB3" s="56">
        <f>'Monthly Data'!AB51</f>
        <v>5826037.580237926</v>
      </c>
      <c r="AC3" s="56">
        <f>'Monthly Data'!AC51</f>
        <v>9596.2000000000007</v>
      </c>
      <c r="AD3" s="111">
        <f>'Monthly Data'!AD51</f>
        <v>769942</v>
      </c>
      <c r="AE3" s="111">
        <f>'Monthly Data'!AE51</f>
        <v>801246</v>
      </c>
      <c r="AF3" s="111">
        <f>'Monthly Data'!AF51</f>
        <v>7508</v>
      </c>
      <c r="AG3" s="111">
        <f>'Monthly Data'!AG51</f>
        <v>7439</v>
      </c>
      <c r="AH3" s="111">
        <f>'Monthly Data'!AH51</f>
        <v>627.79999999999995</v>
      </c>
      <c r="AI3" s="111">
        <f>'Monthly Data'!AI51</f>
        <v>621.9</v>
      </c>
      <c r="AJ3" s="111">
        <f>'Monthly Data'!AJ51</f>
        <v>178.30000000000018</v>
      </c>
      <c r="AK3" s="111">
        <f>'Monthly Data'!AK51</f>
        <v>174.80000000000018</v>
      </c>
      <c r="AL3" s="111">
        <f>'Monthly Data'!AL51</f>
        <v>33.399999999999977</v>
      </c>
      <c r="AM3" s="111">
        <f>'Monthly Data'!AM51</f>
        <v>30.399999999999977</v>
      </c>
      <c r="AN3" s="111">
        <f>'Monthly Data'!AN51</f>
        <v>-37332.5</v>
      </c>
      <c r="AO3" s="111">
        <f>'Monthly Data'!AO51</f>
        <v>-10918</v>
      </c>
      <c r="AP3" s="28">
        <f>'Monthly Data'!AP51</f>
        <v>-7.7364942528735607</v>
      </c>
      <c r="AQ3" s="28">
        <f>'Monthly Data'!AQ51</f>
        <v>804.35833333333335</v>
      </c>
      <c r="AR3" s="28">
        <f>'Monthly Data'!AR51</f>
        <v>0</v>
      </c>
      <c r="AS3" s="28">
        <f>'Monthly Data'!AS51</f>
        <v>746.35833333333335</v>
      </c>
      <c r="AT3" s="28">
        <f>'Monthly Data'!AT51</f>
        <v>0</v>
      </c>
      <c r="AU3" s="28">
        <f>'Monthly Data'!AU51</f>
        <v>688.35833333333335</v>
      </c>
      <c r="AV3" s="28">
        <f>'Monthly Data'!AV51</f>
        <v>0</v>
      </c>
      <c r="AW3" s="28">
        <f>'Monthly Data'!AW51</f>
        <v>630.35833333333323</v>
      </c>
      <c r="AX3" s="28">
        <f>'Monthly Data'!AX51</f>
        <v>0</v>
      </c>
      <c r="AY3" s="28">
        <f>'Monthly Data'!AY51</f>
        <v>572.35833333333323</v>
      </c>
      <c r="AZ3" s="28">
        <f>'Monthly Data'!AZ51</f>
        <v>0</v>
      </c>
      <c r="BA3" s="28">
        <f>'Monthly Data'!BA51</f>
        <v>514.35833333333323</v>
      </c>
      <c r="BB3" s="28">
        <f>'Monthly Data'!BB51</f>
        <v>0</v>
      </c>
      <c r="BC3" s="28">
        <f>'Monthly Data'!BC51</f>
        <v>456.35833333333329</v>
      </c>
      <c r="BD3" s="28">
        <f>'Monthly Data'!BD51</f>
        <v>0</v>
      </c>
      <c r="BE3">
        <f>'Monthly Data'!BE51</f>
        <v>0</v>
      </c>
      <c r="BF3">
        <f>'Monthly Data'!BF51</f>
        <v>1</v>
      </c>
      <c r="BG3">
        <f>'Monthly Data'!BG51</f>
        <v>0</v>
      </c>
      <c r="BH3">
        <f>'Monthly Data'!BH51</f>
        <v>0</v>
      </c>
      <c r="BI3">
        <f>'Monthly Data'!BI51</f>
        <v>0</v>
      </c>
      <c r="BJ3">
        <f>'Monthly Data'!BJ51</f>
        <v>0</v>
      </c>
      <c r="BK3">
        <f>'Monthly Data'!BK51</f>
        <v>0</v>
      </c>
      <c r="BL3">
        <f>'Monthly Data'!BL51</f>
        <v>0</v>
      </c>
      <c r="BM3">
        <f>'Monthly Data'!BM51</f>
        <v>0</v>
      </c>
      <c r="BN3">
        <f>'Monthly Data'!BN51</f>
        <v>0</v>
      </c>
      <c r="BO3">
        <f>'Monthly Data'!BO51</f>
        <v>0</v>
      </c>
      <c r="BP3">
        <f>'Monthly Data'!BP51</f>
        <v>0</v>
      </c>
      <c r="BQ3">
        <f>'Monthly Data'!BQ51</f>
        <v>0</v>
      </c>
      <c r="BR3">
        <f>'Monthly Data'!BR51</f>
        <v>0</v>
      </c>
      <c r="BS3">
        <f>'Monthly Data'!BS51</f>
        <v>0</v>
      </c>
      <c r="BT3" s="1">
        <f>'Monthly Data'!BT51</f>
        <v>50</v>
      </c>
      <c r="BU3">
        <f>'Monthly Data'!BU51</f>
        <v>28</v>
      </c>
      <c r="BV3">
        <f>'Monthly Data'!BV51</f>
        <v>19</v>
      </c>
      <c r="BW3">
        <f>'Monthly Data'!BW51</f>
        <v>0</v>
      </c>
      <c r="BX3">
        <f>'Monthly Data'!BX51</f>
        <v>0</v>
      </c>
      <c r="BY3">
        <f>'Monthly Data'!BY51</f>
        <v>0</v>
      </c>
      <c r="BZ3">
        <f>'Monthly Data'!BZ51</f>
        <v>0</v>
      </c>
      <c r="CA3">
        <f>'Monthly Data'!CA51</f>
        <v>0</v>
      </c>
      <c r="CB3">
        <f>'Monthly Data'!CB51</f>
        <v>0</v>
      </c>
      <c r="CC3">
        <f>'Monthly Data'!CC51</f>
        <v>0</v>
      </c>
      <c r="CD3">
        <f>'Monthly Data'!CD51</f>
        <v>0</v>
      </c>
      <c r="CE3">
        <f>'Monthly Data'!CE51</f>
        <v>0</v>
      </c>
      <c r="CF3">
        <f>'Monthly Data'!CF51</f>
        <v>0</v>
      </c>
      <c r="CG3">
        <f>'Monthly Data'!CG51</f>
        <v>0</v>
      </c>
      <c r="CH3">
        <f>'Monthly Data'!CH51</f>
        <v>0</v>
      </c>
      <c r="CI3">
        <f>'Monthly Data'!CI51</f>
        <v>0</v>
      </c>
      <c r="CJ3">
        <f>'Monthly Data'!CJ51</f>
        <v>0</v>
      </c>
      <c r="CK3">
        <f>'Monthly Data'!CK51</f>
        <v>0</v>
      </c>
      <c r="CL3">
        <f>'Monthly Data'!CL51</f>
        <v>0</v>
      </c>
      <c r="CM3">
        <f>'Monthly Data'!CM51</f>
        <v>0</v>
      </c>
      <c r="CN3">
        <f>'Monthly Data'!CN51</f>
        <v>0</v>
      </c>
      <c r="CO3" s="14">
        <f>'Monthly Data'!CO51</f>
        <v>0</v>
      </c>
      <c r="CP3" s="14">
        <f>'Monthly Data'!CP51</f>
        <v>0</v>
      </c>
      <c r="CQ3" s="14">
        <f>'Monthly Data'!CQ51</f>
        <v>0</v>
      </c>
      <c r="CR3" s="14">
        <f>'Monthly Data'!CR51</f>
        <v>0</v>
      </c>
      <c r="CS3" s="14">
        <f>'Monthly Data'!CS51</f>
        <v>0</v>
      </c>
      <c r="CT3" s="14">
        <f>'Monthly Data'!CT51</f>
        <v>0</v>
      </c>
      <c r="CU3" s="14">
        <f>'Monthly Data'!CU51</f>
        <v>0</v>
      </c>
      <c r="CV3" s="14">
        <f>'Monthly Data'!CV51</f>
        <v>0</v>
      </c>
      <c r="CW3" s="14">
        <f>'Monthly Data'!CW51</f>
        <v>0</v>
      </c>
      <c r="CX3" s="14">
        <f>'Monthly Data'!CX51</f>
        <v>0</v>
      </c>
      <c r="CY3" s="14">
        <f>'Monthly Data'!CY51</f>
        <v>0</v>
      </c>
      <c r="CZ3" s="14">
        <f>'Monthly Data'!CZ51</f>
        <v>0</v>
      </c>
      <c r="DA3" s="14">
        <f>'Monthly Data'!DA51</f>
        <v>0</v>
      </c>
      <c r="DB3" s="14">
        <f>'Monthly Data'!DB51</f>
        <v>0</v>
      </c>
      <c r="DC3" s="72">
        <f>'Monthly Data'!DC51</f>
        <v>788.16439984748081</v>
      </c>
      <c r="DD3" s="72">
        <f>'Monthly Data'!DD51</f>
        <v>28.148728565981457</v>
      </c>
      <c r="DE3" s="71">
        <f>'Monthly Data'!DE51</f>
        <v>279122.79246027215</v>
      </c>
      <c r="DF3" s="72">
        <f>'Monthly Data'!DF51</f>
        <v>2197.7546083472198</v>
      </c>
      <c r="DG3" s="72">
        <f>'Monthly Data'!DG51</f>
        <v>78.491236012400705</v>
      </c>
      <c r="DH3" s="72">
        <f>'Monthly Data'!DH51</f>
        <v>100468.7820958729</v>
      </c>
      <c r="DI3" s="72">
        <f>'Monthly Data'!DI51</f>
        <v>40564.064296898832</v>
      </c>
      <c r="DJ3" s="72">
        <f>'Monthly Data'!DJ51</f>
        <v>1448.7165820321011</v>
      </c>
      <c r="DK3" s="72">
        <f>'Monthly Data'!DK51</f>
        <v>2134.9507524683595</v>
      </c>
      <c r="DL3" s="72">
        <f>'Monthly Data'!DL51</f>
        <v>215858.77072278308</v>
      </c>
      <c r="DM3" s="72">
        <f>'Monthly Data'!DM51</f>
        <v>318107.6621177856</v>
      </c>
    </row>
    <row r="4" spans="1:117">
      <c r="A4" s="93">
        <f>'Monthly Data'!A52</f>
        <v>43891</v>
      </c>
      <c r="B4" s="4">
        <f>'Monthly Data'!B52</f>
        <v>2020</v>
      </c>
      <c r="C4" s="4">
        <f>'Monthly Data'!C52</f>
        <v>3</v>
      </c>
      <c r="D4" s="56">
        <f>'Monthly Data'!D52</f>
        <v>7390200</v>
      </c>
      <c r="E4" s="56">
        <f>'Monthly Data'!E52</f>
        <v>161850.20811838843</v>
      </c>
      <c r="F4" s="56">
        <f>'Monthly Data'!F52</f>
        <v>7552050.2081183884</v>
      </c>
      <c r="G4" s="301">
        <f>'Monthly Data'!G52</f>
        <v>9928</v>
      </c>
      <c r="H4" s="56">
        <f>'Monthly Data'!H52</f>
        <v>2392130</v>
      </c>
      <c r="I4" s="56">
        <f>'Monthly Data'!I52</f>
        <v>157671.53987374197</v>
      </c>
      <c r="J4" s="56">
        <f>'Monthly Data'!J52</f>
        <v>2549801.539873742</v>
      </c>
      <c r="K4" s="6">
        <f>'Monthly Data'!K52</f>
        <v>1280</v>
      </c>
      <c r="L4" s="5">
        <f>'Monthly Data'!L52</f>
        <v>5610578</v>
      </c>
      <c r="M4" s="2">
        <f>'Monthly Data'!M52</f>
        <v>135976.19773669701</v>
      </c>
      <c r="N4" s="56">
        <f>'Monthly Data'!N52</f>
        <v>5746554.1977366973</v>
      </c>
      <c r="O4" s="5">
        <f>'Monthly Data'!O52</f>
        <v>14021</v>
      </c>
      <c r="P4" s="6">
        <f>'Monthly Data'!P52</f>
        <v>149</v>
      </c>
      <c r="Q4" s="5">
        <f>'Monthly Data'!Q52</f>
        <v>87913</v>
      </c>
      <c r="R4" s="5">
        <f>'Monthly Data'!R52</f>
        <v>236</v>
      </c>
      <c r="S4" s="6">
        <f>'Monthly Data'!S52</f>
        <v>2875</v>
      </c>
      <c r="T4" s="6">
        <f>'Monthly Data'!T52</f>
        <v>16258</v>
      </c>
      <c r="U4" s="6">
        <f>'Monthly Data'!U52</f>
        <v>44</v>
      </c>
      <c r="V4" s="6">
        <f>'Monthly Data'!V52</f>
        <v>171</v>
      </c>
      <c r="W4" s="5">
        <f>'Monthly Data'!W52</f>
        <v>49981</v>
      </c>
      <c r="X4" s="56">
        <f>'Monthly Data'!X52</f>
        <v>19</v>
      </c>
      <c r="Y4" s="56">
        <f>'Monthly Data'!Y52</f>
        <v>16681.759999999998</v>
      </c>
      <c r="Z4" s="56">
        <f>'Monthly Data'!Z52</f>
        <v>3181.4</v>
      </c>
      <c r="AA4" s="56">
        <f>'Monthly Data'!AA52</f>
        <v>5593896.2400000002</v>
      </c>
      <c r="AB4" s="56">
        <f>'Monthly Data'!AB52</f>
        <v>5729872.4377366975</v>
      </c>
      <c r="AC4" s="56">
        <f>'Monthly Data'!AC52</f>
        <v>10839.6</v>
      </c>
      <c r="AD4" s="111">
        <f>'Monthly Data'!AD52</f>
        <v>769942</v>
      </c>
      <c r="AE4" s="111">
        <f>'Monthly Data'!AE52</f>
        <v>801246</v>
      </c>
      <c r="AF4" s="111">
        <f>'Monthly Data'!AF52</f>
        <v>7351.6</v>
      </c>
      <c r="AG4" s="111">
        <f>'Monthly Data'!AG52</f>
        <v>7258.8</v>
      </c>
      <c r="AH4" s="111">
        <f>'Monthly Data'!AH52</f>
        <v>611.6</v>
      </c>
      <c r="AI4" s="111">
        <f>'Monthly Data'!AI52</f>
        <v>605.20000000000005</v>
      </c>
      <c r="AJ4" s="111">
        <f>'Monthly Data'!AJ52</f>
        <v>9.7000000000007276</v>
      </c>
      <c r="AK4" s="111">
        <f>'Monthly Data'!AK52</f>
        <v>19.300000000000182</v>
      </c>
      <c r="AL4" s="111">
        <f>'Monthly Data'!AL52</f>
        <v>14.700000000000045</v>
      </c>
      <c r="AM4" s="111">
        <f>'Monthly Data'!AM52</f>
        <v>13.300000000000068</v>
      </c>
      <c r="AN4" s="111">
        <f>'Monthly Data'!AN52</f>
        <v>-37332.5</v>
      </c>
      <c r="AO4" s="111">
        <f>'Monthly Data'!AO52</f>
        <v>-10918</v>
      </c>
      <c r="AP4" s="28">
        <f>'Monthly Data'!AP52</f>
        <v>-1.2733870967741934</v>
      </c>
      <c r="AQ4" s="28">
        <f>'Monthly Data'!AQ52</f>
        <v>659.47500000000002</v>
      </c>
      <c r="AR4" s="28">
        <f>'Monthly Data'!AR52</f>
        <v>0</v>
      </c>
      <c r="AS4" s="28">
        <f>'Monthly Data'!AS52</f>
        <v>597.47499999999991</v>
      </c>
      <c r="AT4" s="28">
        <f>'Monthly Data'!AT52</f>
        <v>0</v>
      </c>
      <c r="AU4" s="28">
        <f>'Monthly Data'!AU52</f>
        <v>535.47499999999991</v>
      </c>
      <c r="AV4" s="28">
        <f>'Monthly Data'!AV52</f>
        <v>0</v>
      </c>
      <c r="AW4" s="28">
        <f>'Monthly Data'!AW52</f>
        <v>473.47499999999997</v>
      </c>
      <c r="AX4" s="28">
        <f>'Monthly Data'!AX52</f>
        <v>0</v>
      </c>
      <c r="AY4" s="28">
        <f>'Monthly Data'!AY52</f>
        <v>411.47500000000002</v>
      </c>
      <c r="AZ4" s="28">
        <f>'Monthly Data'!AZ52</f>
        <v>0</v>
      </c>
      <c r="BA4" s="28">
        <f>'Monthly Data'!BA52</f>
        <v>349.47500000000014</v>
      </c>
      <c r="BB4" s="28">
        <f>'Monthly Data'!BB52</f>
        <v>0</v>
      </c>
      <c r="BC4" s="28">
        <f>'Monthly Data'!BC52</f>
        <v>287.47500000000008</v>
      </c>
      <c r="BD4" s="28">
        <f>'Monthly Data'!BD52</f>
        <v>0</v>
      </c>
      <c r="BE4">
        <f>'Monthly Data'!BE52</f>
        <v>0</v>
      </c>
      <c r="BF4">
        <f>'Monthly Data'!BF52</f>
        <v>0</v>
      </c>
      <c r="BG4">
        <f>'Monthly Data'!BG52</f>
        <v>1</v>
      </c>
      <c r="BH4">
        <f>'Monthly Data'!BH52</f>
        <v>0</v>
      </c>
      <c r="BI4">
        <f>'Monthly Data'!BI52</f>
        <v>0</v>
      </c>
      <c r="BJ4">
        <f>'Monthly Data'!BJ52</f>
        <v>0</v>
      </c>
      <c r="BK4">
        <f>'Monthly Data'!BK52</f>
        <v>0</v>
      </c>
      <c r="BL4">
        <f>'Monthly Data'!BL52</f>
        <v>0</v>
      </c>
      <c r="BM4">
        <f>'Monthly Data'!BM52</f>
        <v>0</v>
      </c>
      <c r="BN4">
        <f>'Monthly Data'!BN52</f>
        <v>0</v>
      </c>
      <c r="BO4">
        <f>'Monthly Data'!BO52</f>
        <v>0</v>
      </c>
      <c r="BP4">
        <f>'Monthly Data'!BP52</f>
        <v>0</v>
      </c>
      <c r="BQ4">
        <f>'Monthly Data'!BQ52</f>
        <v>1</v>
      </c>
      <c r="BR4">
        <f>'Monthly Data'!BR52</f>
        <v>0</v>
      </c>
      <c r="BS4">
        <f>'Monthly Data'!BS52</f>
        <v>1</v>
      </c>
      <c r="BT4" s="1">
        <f>'Monthly Data'!BT52</f>
        <v>51</v>
      </c>
      <c r="BU4">
        <f>'Monthly Data'!BU52</f>
        <v>31</v>
      </c>
      <c r="BV4">
        <f>'Monthly Data'!BV52</f>
        <v>21</v>
      </c>
      <c r="BW4" s="1">
        <f>'Monthly Data'!BW52</f>
        <v>1</v>
      </c>
      <c r="BX4" s="1">
        <f>'Monthly Data'!BX52</f>
        <v>0.5</v>
      </c>
      <c r="BY4" s="1">
        <f>'Monthly Data'!BY52</f>
        <v>0.5</v>
      </c>
      <c r="BZ4" s="1">
        <f>'Monthly Data'!BZ52</f>
        <v>0.5</v>
      </c>
      <c r="CA4">
        <f>'Monthly Data'!CA52</f>
        <v>329.73750000000001</v>
      </c>
      <c r="CB4">
        <f>'Monthly Data'!CB52</f>
        <v>0</v>
      </c>
      <c r="CC4">
        <f>'Monthly Data'!CC52</f>
        <v>298.73749999999995</v>
      </c>
      <c r="CD4">
        <f>'Monthly Data'!CD52</f>
        <v>0</v>
      </c>
      <c r="CE4">
        <f>'Monthly Data'!CE52</f>
        <v>267.73749999999995</v>
      </c>
      <c r="CF4">
        <f>'Monthly Data'!CF52</f>
        <v>0</v>
      </c>
      <c r="CG4">
        <f>'Monthly Data'!CG52</f>
        <v>236.73749999999998</v>
      </c>
      <c r="CH4">
        <f>'Monthly Data'!CH52</f>
        <v>0</v>
      </c>
      <c r="CI4">
        <f>'Monthly Data'!CI52</f>
        <v>205.73750000000001</v>
      </c>
      <c r="CJ4">
        <f>'Monthly Data'!CJ52</f>
        <v>0</v>
      </c>
      <c r="CK4">
        <f>'Monthly Data'!CK52</f>
        <v>174.73750000000007</v>
      </c>
      <c r="CL4">
        <f>'Monthly Data'!CL52</f>
        <v>0</v>
      </c>
      <c r="CM4">
        <f>'Monthly Data'!CM52</f>
        <v>143.73750000000004</v>
      </c>
      <c r="CN4">
        <f>'Monthly Data'!CN52</f>
        <v>0</v>
      </c>
      <c r="CO4" s="14">
        <f>'Monthly Data'!CO52</f>
        <v>329.73750000000001</v>
      </c>
      <c r="CP4" s="14">
        <f>'Monthly Data'!CP52</f>
        <v>0</v>
      </c>
      <c r="CQ4" s="14">
        <f>'Monthly Data'!CQ52</f>
        <v>298.73749999999995</v>
      </c>
      <c r="CR4" s="14">
        <f>'Monthly Data'!CR52</f>
        <v>0</v>
      </c>
      <c r="CS4" s="14">
        <f>'Monthly Data'!CS52</f>
        <v>267.73749999999995</v>
      </c>
      <c r="CT4" s="14">
        <f>'Monthly Data'!CT52</f>
        <v>0</v>
      </c>
      <c r="CU4" s="14">
        <f>'Monthly Data'!CU52</f>
        <v>236.73749999999998</v>
      </c>
      <c r="CV4" s="14">
        <f>'Monthly Data'!CV52</f>
        <v>0</v>
      </c>
      <c r="CW4" s="14">
        <f>'Monthly Data'!CW52</f>
        <v>205.73750000000001</v>
      </c>
      <c r="CX4" s="14">
        <f>'Monthly Data'!CX52</f>
        <v>0</v>
      </c>
      <c r="CY4" s="14">
        <f>'Monthly Data'!CY52</f>
        <v>174.73750000000007</v>
      </c>
      <c r="CZ4" s="14">
        <f>'Monthly Data'!CZ52</f>
        <v>0</v>
      </c>
      <c r="DA4" s="14">
        <f>'Monthly Data'!DA52</f>
        <v>143.73750000000004</v>
      </c>
      <c r="DB4" s="14">
        <f>'Monthly Data'!DB52</f>
        <v>0</v>
      </c>
      <c r="DC4" s="72">
        <f>'Monthly Data'!DC52</f>
        <v>760.68193071297219</v>
      </c>
      <c r="DD4" s="72">
        <f>'Monthly Data'!DD52</f>
        <v>24.53812679719265</v>
      </c>
      <c r="DE4" s="71">
        <f>'Monthly Data'!DE52</f>
        <v>243614.52284252865</v>
      </c>
      <c r="DF4" s="72">
        <f>'Monthly Data'!DF52</f>
        <v>1992.0324530263611</v>
      </c>
      <c r="DG4" s="72">
        <f>'Monthly Data'!DG52</f>
        <v>64.259111387947129</v>
      </c>
      <c r="DH4" s="72">
        <f>'Monthly Data'!DH52</f>
        <v>82251.662576572329</v>
      </c>
      <c r="DI4" s="72">
        <f>'Monthly Data'!DI52</f>
        <v>38567.477837159044</v>
      </c>
      <c r="DJ4" s="72">
        <f>'Monthly Data'!DJ52</f>
        <v>1244.1121882954531</v>
      </c>
      <c r="DK4" s="72">
        <f>'Monthly Data'!DK52</f>
        <v>1836.5465636742401</v>
      </c>
      <c r="DL4" s="72">
        <f>'Monthly Data'!DL52</f>
        <v>185372.7160560225</v>
      </c>
      <c r="DM4" s="72">
        <f>'Monthly Data'!DM52</f>
        <v>273645.4379874618</v>
      </c>
    </row>
    <row r="5" spans="1:117">
      <c r="A5" s="93">
        <f>'Monthly Data'!A53</f>
        <v>43922</v>
      </c>
      <c r="B5" s="4">
        <f>'Monthly Data'!B53</f>
        <v>2020</v>
      </c>
      <c r="C5" s="4">
        <f>'Monthly Data'!C53</f>
        <v>4</v>
      </c>
      <c r="D5" s="56">
        <f>'Monthly Data'!D53</f>
        <v>6556759</v>
      </c>
      <c r="E5" s="56">
        <f>'Monthly Data'!E53</f>
        <v>161852.22734915768</v>
      </c>
      <c r="F5" s="56">
        <f>'Monthly Data'!F53</f>
        <v>6718611.2273491574</v>
      </c>
      <c r="G5" s="301">
        <f>'Monthly Data'!G53</f>
        <v>9943</v>
      </c>
      <c r="H5" s="56">
        <f>'Monthly Data'!H53</f>
        <v>1855781</v>
      </c>
      <c r="I5" s="56">
        <f>'Monthly Data'!I53</f>
        <v>157287.18106304272</v>
      </c>
      <c r="J5" s="56">
        <f>'Monthly Data'!J53</f>
        <v>2013068.1810630427</v>
      </c>
      <c r="K5" s="6">
        <f>'Monthly Data'!K53</f>
        <v>1281</v>
      </c>
      <c r="L5" s="5">
        <f>'Monthly Data'!L53</f>
        <v>4999240</v>
      </c>
      <c r="M5" s="2">
        <f>'Monthly Data'!M53</f>
        <v>135845.81523546801</v>
      </c>
      <c r="N5" s="56">
        <f>'Monthly Data'!N53</f>
        <v>5135085.8152354676</v>
      </c>
      <c r="O5" s="5">
        <f>'Monthly Data'!O53</f>
        <v>13418.878736616729</v>
      </c>
      <c r="P5" s="6">
        <f>'Monthly Data'!P53</f>
        <v>149</v>
      </c>
      <c r="Q5" s="5">
        <f>'Monthly Data'!Q53</f>
        <v>74549</v>
      </c>
      <c r="R5" s="5">
        <f>'Monthly Data'!R53</f>
        <v>236</v>
      </c>
      <c r="S5" s="6">
        <f>'Monthly Data'!S53</f>
        <v>2875</v>
      </c>
      <c r="T5" s="6">
        <f>'Monthly Data'!T53</f>
        <v>16645</v>
      </c>
      <c r="U5" s="6">
        <f>'Monthly Data'!U53</f>
        <v>43</v>
      </c>
      <c r="V5" s="6">
        <f>'Monthly Data'!V53</f>
        <v>171</v>
      </c>
      <c r="W5" s="5">
        <f>'Monthly Data'!W53</f>
        <v>46957</v>
      </c>
      <c r="X5" s="56">
        <f>'Monthly Data'!X53</f>
        <v>19</v>
      </c>
      <c r="Y5" s="56">
        <f>'Monthly Data'!Y53</f>
        <v>3969.44</v>
      </c>
      <c r="Z5" s="56">
        <f>'Monthly Data'!Z53</f>
        <v>6635.5</v>
      </c>
      <c r="AA5" s="56">
        <f>'Monthly Data'!AA53</f>
        <v>4995270.5599999996</v>
      </c>
      <c r="AB5" s="56">
        <f>'Monthly Data'!AB53</f>
        <v>5131116.3752354672</v>
      </c>
      <c r="AC5" s="56">
        <f>'Monthly Data'!AC53</f>
        <v>6783.3787366167289</v>
      </c>
      <c r="AD5" s="111">
        <f>'Monthly Data'!AD53</f>
        <v>769942</v>
      </c>
      <c r="AE5" s="111">
        <f>'Monthly Data'!AE53</f>
        <v>705711</v>
      </c>
      <c r="AF5" s="111">
        <f>'Monthly Data'!AF53</f>
        <v>6961.6</v>
      </c>
      <c r="AG5" s="111">
        <f>'Monthly Data'!AG53</f>
        <v>6893.7</v>
      </c>
      <c r="AH5" s="111">
        <f>'Monthly Data'!AH53</f>
        <v>585</v>
      </c>
      <c r="AI5" s="111">
        <f>'Monthly Data'!AI53</f>
        <v>582.4</v>
      </c>
      <c r="AJ5" s="111">
        <f>'Monthly Data'!AJ53</f>
        <v>-400</v>
      </c>
      <c r="AK5" s="111">
        <f>'Monthly Data'!AK53</f>
        <v>-382</v>
      </c>
      <c r="AL5" s="111">
        <f>'Monthly Data'!AL53</f>
        <v>-10</v>
      </c>
      <c r="AM5" s="111">
        <f>'Monthly Data'!AM53</f>
        <v>-11.300000000000068</v>
      </c>
      <c r="AN5" s="111">
        <f>'Monthly Data'!AN53</f>
        <v>-37332.5</v>
      </c>
      <c r="AO5" s="111">
        <f>'Monthly Data'!AO53</f>
        <v>-95535</v>
      </c>
      <c r="AP5" s="28">
        <f>'Monthly Data'!AP53</f>
        <v>3.5943055555555548</v>
      </c>
      <c r="AQ5" s="28">
        <f>'Monthly Data'!AQ53</f>
        <v>492.17083333333346</v>
      </c>
      <c r="AR5" s="28">
        <f>'Monthly Data'!AR53</f>
        <v>0</v>
      </c>
      <c r="AS5" s="28">
        <f>'Monthly Data'!AS53</f>
        <v>432.17083333333341</v>
      </c>
      <c r="AT5" s="28">
        <f>'Monthly Data'!AT53</f>
        <v>0</v>
      </c>
      <c r="AU5" s="28">
        <f>'Monthly Data'!AU53</f>
        <v>372.17083333333352</v>
      </c>
      <c r="AV5" s="28">
        <f>'Monthly Data'!AV53</f>
        <v>0</v>
      </c>
      <c r="AW5" s="28">
        <f>'Monthly Data'!AW53</f>
        <v>312.17083333333341</v>
      </c>
      <c r="AX5" s="28">
        <f>'Monthly Data'!AX53</f>
        <v>0</v>
      </c>
      <c r="AY5" s="28">
        <f>'Monthly Data'!AY53</f>
        <v>252.17083333333329</v>
      </c>
      <c r="AZ5" s="28">
        <f>'Monthly Data'!AZ53</f>
        <v>0</v>
      </c>
      <c r="BA5" s="28">
        <f>'Monthly Data'!BA53</f>
        <v>192.94166666666663</v>
      </c>
      <c r="BB5" s="28">
        <f>'Monthly Data'!BB53</f>
        <v>0.77083333333333393</v>
      </c>
      <c r="BC5" s="28">
        <f>'Monthly Data'!BC53</f>
        <v>135.62916666666663</v>
      </c>
      <c r="BD5" s="28">
        <f>'Monthly Data'!BD53</f>
        <v>3.4583333333333339</v>
      </c>
      <c r="BE5">
        <f>'Monthly Data'!BE53</f>
        <v>0</v>
      </c>
      <c r="BF5">
        <f>'Monthly Data'!BF53</f>
        <v>0</v>
      </c>
      <c r="BG5">
        <f>'Monthly Data'!BG53</f>
        <v>0</v>
      </c>
      <c r="BH5">
        <f>'Monthly Data'!BH53</f>
        <v>1</v>
      </c>
      <c r="BI5">
        <f>'Monthly Data'!BI53</f>
        <v>0</v>
      </c>
      <c r="BJ5">
        <f>'Monthly Data'!BJ53</f>
        <v>0</v>
      </c>
      <c r="BK5">
        <f>'Monthly Data'!BK53</f>
        <v>0</v>
      </c>
      <c r="BL5">
        <f>'Monthly Data'!BL53</f>
        <v>0</v>
      </c>
      <c r="BM5">
        <f>'Monthly Data'!BM53</f>
        <v>0</v>
      </c>
      <c r="BN5">
        <f>'Monthly Data'!BN53</f>
        <v>0</v>
      </c>
      <c r="BO5">
        <f>'Monthly Data'!BO53</f>
        <v>0</v>
      </c>
      <c r="BP5">
        <f>'Monthly Data'!BP53</f>
        <v>0</v>
      </c>
      <c r="BQ5">
        <f>'Monthly Data'!BQ53</f>
        <v>1</v>
      </c>
      <c r="BR5">
        <f>'Monthly Data'!BR53</f>
        <v>0</v>
      </c>
      <c r="BS5">
        <f>'Monthly Data'!BS53</f>
        <v>1</v>
      </c>
      <c r="BT5" s="1">
        <f>'Monthly Data'!BT53</f>
        <v>52</v>
      </c>
      <c r="BU5">
        <f>'Monthly Data'!BU53</f>
        <v>30</v>
      </c>
      <c r="BV5">
        <f>'Monthly Data'!BV53</f>
        <v>21</v>
      </c>
      <c r="BW5" s="1">
        <f>'Monthly Data'!BW53</f>
        <v>1</v>
      </c>
      <c r="BX5" s="1">
        <f>'Monthly Data'!BX53</f>
        <v>1</v>
      </c>
      <c r="BY5" s="1">
        <f>'Monthly Data'!BY53</f>
        <v>1</v>
      </c>
      <c r="BZ5" s="1">
        <f>'Monthly Data'!BZ53</f>
        <v>1</v>
      </c>
      <c r="CA5">
        <f>'Monthly Data'!CA53</f>
        <v>492.17083333333346</v>
      </c>
      <c r="CB5">
        <f>'Monthly Data'!CB53</f>
        <v>0</v>
      </c>
      <c r="CC5">
        <f>'Monthly Data'!CC53</f>
        <v>432.17083333333341</v>
      </c>
      <c r="CD5">
        <f>'Monthly Data'!CD53</f>
        <v>0</v>
      </c>
      <c r="CE5">
        <f>'Monthly Data'!CE53</f>
        <v>372.17083333333352</v>
      </c>
      <c r="CF5">
        <f>'Monthly Data'!CF53</f>
        <v>0</v>
      </c>
      <c r="CG5">
        <f>'Monthly Data'!CG53</f>
        <v>312.17083333333341</v>
      </c>
      <c r="CH5">
        <f>'Monthly Data'!CH53</f>
        <v>0</v>
      </c>
      <c r="CI5">
        <f>'Monthly Data'!CI53</f>
        <v>252.17083333333329</v>
      </c>
      <c r="CJ5">
        <f>'Monthly Data'!CJ53</f>
        <v>0</v>
      </c>
      <c r="CK5">
        <f>'Monthly Data'!CK53</f>
        <v>192.94166666666663</v>
      </c>
      <c r="CL5">
        <f>'Monthly Data'!CL53</f>
        <v>0.77083333333333393</v>
      </c>
      <c r="CM5">
        <f>'Monthly Data'!CM53</f>
        <v>135.62916666666663</v>
      </c>
      <c r="CN5">
        <f>'Monthly Data'!CN53</f>
        <v>3.4583333333333339</v>
      </c>
      <c r="CO5" s="14">
        <f>'Monthly Data'!CO53</f>
        <v>492.17083333333346</v>
      </c>
      <c r="CP5" s="14">
        <f>'Monthly Data'!CP53</f>
        <v>0</v>
      </c>
      <c r="CQ5" s="14">
        <f>'Monthly Data'!CQ53</f>
        <v>432.17083333333341</v>
      </c>
      <c r="CR5" s="14">
        <f>'Monthly Data'!CR53</f>
        <v>0</v>
      </c>
      <c r="CS5" s="14">
        <f>'Monthly Data'!CS53</f>
        <v>372.17083333333352</v>
      </c>
      <c r="CT5" s="14">
        <f>'Monthly Data'!CT53</f>
        <v>0</v>
      </c>
      <c r="CU5" s="14">
        <f>'Monthly Data'!CU53</f>
        <v>312.17083333333341</v>
      </c>
      <c r="CV5" s="14">
        <f>'Monthly Data'!CV53</f>
        <v>0</v>
      </c>
      <c r="CW5" s="14">
        <f>'Monthly Data'!CW53</f>
        <v>252.17083333333329</v>
      </c>
      <c r="CX5" s="14">
        <f>'Monthly Data'!CX53</f>
        <v>0</v>
      </c>
      <c r="CY5" s="14">
        <f>'Monthly Data'!CY53</f>
        <v>192.94166666666663</v>
      </c>
      <c r="CZ5" s="14">
        <f>'Monthly Data'!CZ53</f>
        <v>0.77083333333333393</v>
      </c>
      <c r="DA5" s="14">
        <f>'Monthly Data'!DA53</f>
        <v>135.62916666666663</v>
      </c>
      <c r="DB5" s="14">
        <f>'Monthly Data'!DB53</f>
        <v>3.4583333333333339</v>
      </c>
      <c r="DC5" s="72">
        <f>'Monthly Data'!DC53</f>
        <v>675.71268503964166</v>
      </c>
      <c r="DD5" s="72">
        <f>'Monthly Data'!DD53</f>
        <v>22.523756167988054</v>
      </c>
      <c r="DE5" s="71">
        <f>'Monthly Data'!DE53</f>
        <v>223953.70757830524</v>
      </c>
      <c r="DF5" s="72">
        <f>'Monthly Data'!DF53</f>
        <v>1571.481796302141</v>
      </c>
      <c r="DG5" s="72">
        <f>'Monthly Data'!DG53</f>
        <v>52.382726543404701</v>
      </c>
      <c r="DH5" s="72">
        <f>'Monthly Data'!DH53</f>
        <v>67102.272702101429</v>
      </c>
      <c r="DI5" s="72">
        <f>'Monthly Data'!DI53</f>
        <v>34463.663189499784</v>
      </c>
      <c r="DJ5" s="72">
        <f>'Monthly Data'!DJ53</f>
        <v>1148.7887729833262</v>
      </c>
      <c r="DK5" s="72">
        <f>'Monthly Data'!DK53</f>
        <v>1641.1268185476088</v>
      </c>
      <c r="DL5" s="72">
        <f>'Monthly Data'!DL53</f>
        <v>171169.52717451559</v>
      </c>
      <c r="DM5" s="72">
        <f>'Monthly Data'!DM53</f>
        <v>244527.89596359371</v>
      </c>
    </row>
    <row r="6" spans="1:117">
      <c r="A6" s="93">
        <f>'Monthly Data'!A54</f>
        <v>43952</v>
      </c>
      <c r="B6" s="4">
        <f>'Monthly Data'!B54</f>
        <v>2020</v>
      </c>
      <c r="C6" s="4">
        <f>'Monthly Data'!C54</f>
        <v>5</v>
      </c>
      <c r="D6" s="56">
        <f>'Monthly Data'!D54</f>
        <v>6323124</v>
      </c>
      <c r="E6" s="56">
        <f>'Monthly Data'!E54</f>
        <v>161854.2465799269</v>
      </c>
      <c r="F6" s="56">
        <f>'Monthly Data'!F54</f>
        <v>6484978.2465799265</v>
      </c>
      <c r="G6" s="301">
        <f>'Monthly Data'!G54</f>
        <v>9945</v>
      </c>
      <c r="H6" s="56">
        <f>'Monthly Data'!H54</f>
        <v>1785317</v>
      </c>
      <c r="I6" s="56">
        <f>'Monthly Data'!I54</f>
        <v>156902.82225234344</v>
      </c>
      <c r="J6" s="56">
        <f>'Monthly Data'!J54</f>
        <v>1942219.8222523434</v>
      </c>
      <c r="K6" s="6">
        <f>'Monthly Data'!K54</f>
        <v>1281</v>
      </c>
      <c r="L6" s="5">
        <f>'Monthly Data'!L54</f>
        <v>4744682</v>
      </c>
      <c r="M6" s="2">
        <f>'Monthly Data'!M54</f>
        <v>135715.432734239</v>
      </c>
      <c r="N6" s="56">
        <f>'Monthly Data'!N54</f>
        <v>4880397.4327342389</v>
      </c>
      <c r="O6" s="5">
        <f>'Monthly Data'!O54</f>
        <v>13599</v>
      </c>
      <c r="P6" s="6">
        <f>'Monthly Data'!P54</f>
        <v>150</v>
      </c>
      <c r="Q6" s="5">
        <f>'Monthly Data'!Q54</f>
        <v>67740</v>
      </c>
      <c r="R6" s="5">
        <f>'Monthly Data'!R54</f>
        <v>236</v>
      </c>
      <c r="S6" s="6">
        <f>'Monthly Data'!S54</f>
        <v>2920</v>
      </c>
      <c r="T6" s="6">
        <f>'Monthly Data'!T54</f>
        <v>16468</v>
      </c>
      <c r="U6" s="6">
        <f>'Monthly Data'!U54</f>
        <v>43</v>
      </c>
      <c r="V6" s="6">
        <f>'Monthly Data'!V54</f>
        <v>171</v>
      </c>
      <c r="W6" s="5">
        <f>'Monthly Data'!W54</f>
        <v>50359</v>
      </c>
      <c r="X6" s="56">
        <f>'Monthly Data'!X54</f>
        <v>19</v>
      </c>
      <c r="Y6" s="56">
        <f>'Monthly Data'!Y54</f>
        <v>528</v>
      </c>
      <c r="Z6" s="56">
        <f>'Monthly Data'!Z54</f>
        <v>524.79999999999995</v>
      </c>
      <c r="AA6" s="56">
        <f>'Monthly Data'!AA54</f>
        <v>4744154</v>
      </c>
      <c r="AB6" s="56">
        <f>'Monthly Data'!AB54</f>
        <v>4879869.4327342389</v>
      </c>
      <c r="AC6" s="56">
        <f>'Monthly Data'!AC54</f>
        <v>13074.2</v>
      </c>
      <c r="AD6" s="111">
        <f>'Monthly Data'!AD54</f>
        <v>769942</v>
      </c>
      <c r="AE6" s="111">
        <f>'Monthly Data'!AE54</f>
        <v>705711</v>
      </c>
      <c r="AF6" s="111">
        <f>'Monthly Data'!AF54</f>
        <v>6572.6</v>
      </c>
      <c r="AG6" s="111">
        <f>'Monthly Data'!AG54</f>
        <v>6550.9</v>
      </c>
      <c r="AH6" s="111">
        <f>'Monthly Data'!AH54</f>
        <v>564.20000000000005</v>
      </c>
      <c r="AI6" s="111">
        <f>'Monthly Data'!AI54</f>
        <v>564.5</v>
      </c>
      <c r="AJ6" s="111">
        <f>'Monthly Data'!AJ54</f>
        <v>-803.79999999999927</v>
      </c>
      <c r="AK6" s="111">
        <f>'Monthly Data'!AK54</f>
        <v>-794.80000000000018</v>
      </c>
      <c r="AL6" s="111">
        <f>'Monthly Data'!AL54</f>
        <v>-31.099999999999909</v>
      </c>
      <c r="AM6" s="111">
        <f>'Monthly Data'!AM54</f>
        <v>-32.600000000000023</v>
      </c>
      <c r="AN6" s="111">
        <f>'Monthly Data'!AN54</f>
        <v>-37332.5</v>
      </c>
      <c r="AO6" s="111">
        <f>'Monthly Data'!AO54</f>
        <v>-95535</v>
      </c>
      <c r="AP6" s="28">
        <f>'Monthly Data'!AP54</f>
        <v>11.401881720430106</v>
      </c>
      <c r="AQ6" s="28">
        <f>'Monthly Data'!AQ54</f>
        <v>278.21250000000003</v>
      </c>
      <c r="AR6" s="28">
        <f>'Monthly Data'!AR54</f>
        <v>11.670833333333331</v>
      </c>
      <c r="AS6" s="28">
        <f>'Monthly Data'!AS54</f>
        <v>227.03749999999999</v>
      </c>
      <c r="AT6" s="28">
        <f>'Monthly Data'!AT54</f>
        <v>22.49583333333333</v>
      </c>
      <c r="AU6" s="28">
        <f>'Monthly Data'!AU54</f>
        <v>182.64583333333334</v>
      </c>
      <c r="AV6" s="28">
        <f>'Monthly Data'!AV54</f>
        <v>40.104166666666657</v>
      </c>
      <c r="AW6" s="28">
        <f>'Monthly Data'!AW54</f>
        <v>140.46666666666664</v>
      </c>
      <c r="AX6" s="28">
        <f>'Monthly Data'!AX54</f>
        <v>59.924999999999997</v>
      </c>
      <c r="AY6" s="28">
        <f>'Monthly Data'!AY54</f>
        <v>102.67499999999998</v>
      </c>
      <c r="AZ6" s="28">
        <f>'Monthly Data'!AZ54</f>
        <v>84.133333333333326</v>
      </c>
      <c r="BA6" s="28">
        <f>'Monthly Data'!BA54</f>
        <v>71.387499999999989</v>
      </c>
      <c r="BB6" s="28">
        <f>'Monthly Data'!BB54</f>
        <v>114.84583333333335</v>
      </c>
      <c r="BC6" s="28">
        <f>'Monthly Data'!BC54</f>
        <v>47.325000000000003</v>
      </c>
      <c r="BD6" s="28">
        <f>'Monthly Data'!BD54</f>
        <v>152.78333333333336</v>
      </c>
      <c r="BE6">
        <f>'Monthly Data'!BE54</f>
        <v>0</v>
      </c>
      <c r="BF6">
        <f>'Monthly Data'!BF54</f>
        <v>0</v>
      </c>
      <c r="BG6">
        <f>'Monthly Data'!BG54</f>
        <v>0</v>
      </c>
      <c r="BH6">
        <f>'Monthly Data'!BH54</f>
        <v>0</v>
      </c>
      <c r="BI6">
        <f>'Monthly Data'!BI54</f>
        <v>1</v>
      </c>
      <c r="BJ6">
        <f>'Monthly Data'!BJ54</f>
        <v>0</v>
      </c>
      <c r="BK6">
        <f>'Monthly Data'!BK54</f>
        <v>0</v>
      </c>
      <c r="BL6">
        <f>'Monthly Data'!BL54</f>
        <v>0</v>
      </c>
      <c r="BM6">
        <f>'Monthly Data'!BM54</f>
        <v>0</v>
      </c>
      <c r="BN6">
        <f>'Monthly Data'!BN54</f>
        <v>0</v>
      </c>
      <c r="BO6">
        <f>'Monthly Data'!BO54</f>
        <v>0</v>
      </c>
      <c r="BP6">
        <f>'Monthly Data'!BP54</f>
        <v>0</v>
      </c>
      <c r="BQ6">
        <f>'Monthly Data'!BQ54</f>
        <v>1</v>
      </c>
      <c r="BR6">
        <f>'Monthly Data'!BR54</f>
        <v>0</v>
      </c>
      <c r="BS6">
        <f>'Monthly Data'!BS54</f>
        <v>1</v>
      </c>
      <c r="BT6" s="1">
        <f>'Monthly Data'!BT54</f>
        <v>53</v>
      </c>
      <c r="BU6">
        <f>'Monthly Data'!BU54</f>
        <v>31</v>
      </c>
      <c r="BV6">
        <f>'Monthly Data'!BV54</f>
        <v>22</v>
      </c>
      <c r="BW6" s="1">
        <f>'Monthly Data'!BW54</f>
        <v>1</v>
      </c>
      <c r="BX6" s="1">
        <f>'Monthly Data'!BX54</f>
        <v>1</v>
      </c>
      <c r="BY6" s="1">
        <f>'Monthly Data'!BY54</f>
        <v>1</v>
      </c>
      <c r="BZ6" s="1">
        <f>'Monthly Data'!BZ54</f>
        <v>1</v>
      </c>
      <c r="CA6">
        <f>'Monthly Data'!CA54</f>
        <v>278.21250000000003</v>
      </c>
      <c r="CB6">
        <f>'Monthly Data'!CB54</f>
        <v>11.670833333333331</v>
      </c>
      <c r="CC6">
        <f>'Monthly Data'!CC54</f>
        <v>227.03749999999999</v>
      </c>
      <c r="CD6">
        <f>'Monthly Data'!CD54</f>
        <v>22.49583333333333</v>
      </c>
      <c r="CE6">
        <f>'Monthly Data'!CE54</f>
        <v>182.64583333333334</v>
      </c>
      <c r="CF6">
        <f>'Monthly Data'!CF54</f>
        <v>40.104166666666657</v>
      </c>
      <c r="CG6">
        <f>'Monthly Data'!CG54</f>
        <v>140.46666666666664</v>
      </c>
      <c r="CH6">
        <f>'Monthly Data'!CH54</f>
        <v>59.924999999999997</v>
      </c>
      <c r="CI6">
        <f>'Monthly Data'!CI54</f>
        <v>102.67499999999998</v>
      </c>
      <c r="CJ6">
        <f>'Monthly Data'!CJ54</f>
        <v>84.133333333333326</v>
      </c>
      <c r="CK6">
        <f>'Monthly Data'!CK54</f>
        <v>71.387499999999989</v>
      </c>
      <c r="CL6">
        <f>'Monthly Data'!CL54</f>
        <v>114.84583333333335</v>
      </c>
      <c r="CM6">
        <f>'Monthly Data'!CM54</f>
        <v>47.325000000000003</v>
      </c>
      <c r="CN6">
        <f>'Monthly Data'!CN54</f>
        <v>152.78333333333336</v>
      </c>
      <c r="CO6" s="14">
        <f>'Monthly Data'!CO54</f>
        <v>278.21250000000003</v>
      </c>
      <c r="CP6" s="14">
        <f>'Monthly Data'!CP54</f>
        <v>11.670833333333331</v>
      </c>
      <c r="CQ6" s="14">
        <f>'Monthly Data'!CQ54</f>
        <v>227.03749999999999</v>
      </c>
      <c r="CR6" s="14">
        <f>'Monthly Data'!CR54</f>
        <v>22.49583333333333</v>
      </c>
      <c r="CS6" s="14">
        <f>'Monthly Data'!CS54</f>
        <v>182.64583333333334</v>
      </c>
      <c r="CT6" s="14">
        <f>'Monthly Data'!CT54</f>
        <v>40.104166666666657</v>
      </c>
      <c r="CU6" s="14">
        <f>'Monthly Data'!CU54</f>
        <v>140.46666666666664</v>
      </c>
      <c r="CV6" s="14">
        <f>'Monthly Data'!CV54</f>
        <v>59.924999999999997</v>
      </c>
      <c r="CW6" s="14">
        <f>'Monthly Data'!CW54</f>
        <v>102.67499999999998</v>
      </c>
      <c r="CX6" s="14">
        <f>'Monthly Data'!CX54</f>
        <v>84.133333333333326</v>
      </c>
      <c r="CY6" s="14">
        <f>'Monthly Data'!CY54</f>
        <v>71.387499999999989</v>
      </c>
      <c r="CZ6" s="14">
        <f>'Monthly Data'!CZ54</f>
        <v>114.84583333333335</v>
      </c>
      <c r="DA6" s="14">
        <f>'Monthly Data'!DA54</f>
        <v>47.325000000000003</v>
      </c>
      <c r="DB6" s="14">
        <f>'Monthly Data'!DB54</f>
        <v>152.78333333333336</v>
      </c>
      <c r="DC6" s="72">
        <f>'Monthly Data'!DC54</f>
        <v>652.084288243331</v>
      </c>
      <c r="DD6" s="72">
        <f>'Monthly Data'!DD54</f>
        <v>21.034977040107453</v>
      </c>
      <c r="DE6" s="71">
        <f>'Monthly Data'!DE54</f>
        <v>209192.84666386861</v>
      </c>
      <c r="DF6" s="72">
        <f>'Monthly Data'!DF54</f>
        <v>1516.1747246310254</v>
      </c>
      <c r="DG6" s="72">
        <f>'Monthly Data'!DG54</f>
        <v>48.908862084871785</v>
      </c>
      <c r="DH6" s="72">
        <f>'Monthly Data'!DH54</f>
        <v>62652.252330720752</v>
      </c>
      <c r="DI6" s="72">
        <f>'Monthly Data'!DI54</f>
        <v>32535.982884894926</v>
      </c>
      <c r="DJ6" s="72">
        <f>'Monthly Data'!DJ54</f>
        <v>1049.5478349966104</v>
      </c>
      <c r="DK6" s="72">
        <f>'Monthly Data'!DK54</f>
        <v>1478.9083129497694</v>
      </c>
      <c r="DL6" s="72">
        <f>'Monthly Data'!DL54</f>
        <v>157432.17524949159</v>
      </c>
      <c r="DM6" s="72">
        <f>'Monthly Data'!DM54</f>
        <v>221836.2469424654</v>
      </c>
    </row>
    <row r="7" spans="1:117">
      <c r="A7" s="93">
        <f>'Monthly Data'!A55</f>
        <v>43983</v>
      </c>
      <c r="B7" s="4">
        <f>'Monthly Data'!B55</f>
        <v>2020</v>
      </c>
      <c r="C7" s="4">
        <f>'Monthly Data'!C55</f>
        <v>6</v>
      </c>
      <c r="D7" s="56">
        <f>'Monthly Data'!D55</f>
        <v>6629679</v>
      </c>
      <c r="E7" s="56">
        <f>'Monthly Data'!E55</f>
        <v>161856.26581069612</v>
      </c>
      <c r="F7" s="56">
        <f>'Monthly Data'!F55</f>
        <v>6791535.2658106964</v>
      </c>
      <c r="G7" s="301">
        <f>'Monthly Data'!G55</f>
        <v>9949</v>
      </c>
      <c r="H7" s="56">
        <f>'Monthly Data'!H55</f>
        <v>1892488</v>
      </c>
      <c r="I7" s="56">
        <f>'Monthly Data'!I55</f>
        <v>156518.46344164418</v>
      </c>
      <c r="J7" s="56">
        <f>'Monthly Data'!J55</f>
        <v>2049006.4634416441</v>
      </c>
      <c r="K7" s="6">
        <f>'Monthly Data'!K55</f>
        <v>1276</v>
      </c>
      <c r="L7" s="5">
        <f>'Monthly Data'!L55</f>
        <v>5036829</v>
      </c>
      <c r="M7" s="2">
        <f>'Monthly Data'!M55</f>
        <v>135585.05023300997</v>
      </c>
      <c r="N7" s="56">
        <f>'Monthly Data'!N55</f>
        <v>5172414.0502330102</v>
      </c>
      <c r="O7" s="5">
        <f>'Monthly Data'!O55</f>
        <v>15696</v>
      </c>
      <c r="P7" s="6">
        <f>'Monthly Data'!P55</f>
        <v>150</v>
      </c>
      <c r="Q7" s="5">
        <f>'Monthly Data'!Q55</f>
        <v>61049</v>
      </c>
      <c r="R7" s="5">
        <f>'Monthly Data'!R55</f>
        <v>236</v>
      </c>
      <c r="S7" s="6">
        <f>'Monthly Data'!S55</f>
        <v>2920</v>
      </c>
      <c r="T7" s="6">
        <f>'Monthly Data'!T55</f>
        <v>16451</v>
      </c>
      <c r="U7" s="6">
        <f>'Monthly Data'!U55</f>
        <v>43</v>
      </c>
      <c r="V7" s="6">
        <f>'Monthly Data'!V55</f>
        <v>171</v>
      </c>
      <c r="W7" s="5">
        <f>'Monthly Data'!W55</f>
        <v>48889</v>
      </c>
      <c r="X7" s="56">
        <f>'Monthly Data'!X55</f>
        <v>19</v>
      </c>
      <c r="Y7" s="56">
        <f>'Monthly Data'!Y55</f>
        <v>3140.96</v>
      </c>
      <c r="Z7" s="56">
        <f>'Monthly Data'!Z55</f>
        <v>1978.24</v>
      </c>
      <c r="AA7" s="56">
        <f>'Monthly Data'!AA55</f>
        <v>5033688.04</v>
      </c>
      <c r="AB7" s="56">
        <f>'Monthly Data'!AB55</f>
        <v>5169273.0902330102</v>
      </c>
      <c r="AC7" s="56">
        <f>'Monthly Data'!AC55</f>
        <v>13717.76</v>
      </c>
      <c r="AD7" s="111">
        <f>'Monthly Data'!AD55</f>
        <v>769942</v>
      </c>
      <c r="AE7" s="111">
        <f>'Monthly Data'!AE55</f>
        <v>705711</v>
      </c>
      <c r="AF7" s="111">
        <f>'Monthly Data'!AF55</f>
        <v>6477.4</v>
      </c>
      <c r="AG7" s="111">
        <f>'Monthly Data'!AG55</f>
        <v>6515.6</v>
      </c>
      <c r="AH7" s="111">
        <f>'Monthly Data'!AH55</f>
        <v>555.70000000000005</v>
      </c>
      <c r="AI7" s="111">
        <f>'Monthly Data'!AI55</f>
        <v>560.1</v>
      </c>
      <c r="AJ7" s="111">
        <f>'Monthly Data'!AJ55</f>
        <v>-918.70000000000073</v>
      </c>
      <c r="AK7" s="111">
        <f>'Monthly Data'!AK55</f>
        <v>-921.19999999999982</v>
      </c>
      <c r="AL7" s="111">
        <f>'Monthly Data'!AL55</f>
        <v>-41.399999999999977</v>
      </c>
      <c r="AM7" s="111">
        <f>'Monthly Data'!AM55</f>
        <v>-43.299999999999955</v>
      </c>
      <c r="AN7" s="111">
        <f>'Monthly Data'!AN55</f>
        <v>-37332.5</v>
      </c>
      <c r="AO7" s="111">
        <f>'Monthly Data'!AO55</f>
        <v>-95535</v>
      </c>
      <c r="AP7" s="28">
        <f>'Monthly Data'!AP55</f>
        <v>17.740833333333331</v>
      </c>
      <c r="AQ7" s="28">
        <f>'Monthly Data'!AQ55</f>
        <v>92.391666666666652</v>
      </c>
      <c r="AR7" s="28">
        <f>'Monthly Data'!AR55</f>
        <v>24.616666666666671</v>
      </c>
      <c r="AS7" s="28">
        <f>'Monthly Data'!AS55</f>
        <v>55.38333333333334</v>
      </c>
      <c r="AT7" s="28">
        <f>'Monthly Data'!AT55</f>
        <v>47.608333333333348</v>
      </c>
      <c r="AU7" s="28">
        <f>'Monthly Data'!AU55</f>
        <v>32.708333333333336</v>
      </c>
      <c r="AV7" s="28">
        <f>'Monthly Data'!AV55</f>
        <v>84.933333333333351</v>
      </c>
      <c r="AW7" s="28">
        <f>'Monthly Data'!AW55</f>
        <v>17.537500000000005</v>
      </c>
      <c r="AX7" s="28">
        <f>'Monthly Data'!AX55</f>
        <v>129.76250000000002</v>
      </c>
      <c r="AY7" s="28">
        <f>'Monthly Data'!AY55</f>
        <v>7.287500000000005</v>
      </c>
      <c r="AZ7" s="28">
        <f>'Monthly Data'!AZ55</f>
        <v>179.51249999999999</v>
      </c>
      <c r="BA7" s="28">
        <f>'Monthly Data'!BA55</f>
        <v>1.3125</v>
      </c>
      <c r="BB7" s="28">
        <f>'Monthly Data'!BB55</f>
        <v>233.53749999999999</v>
      </c>
      <c r="BC7" s="28">
        <f>'Monthly Data'!BC55</f>
        <v>0</v>
      </c>
      <c r="BD7" s="28">
        <f>'Monthly Data'!BD55</f>
        <v>292.22500000000002</v>
      </c>
      <c r="BE7">
        <f>'Monthly Data'!BE55</f>
        <v>0</v>
      </c>
      <c r="BF7">
        <f>'Monthly Data'!BF55</f>
        <v>0</v>
      </c>
      <c r="BG7">
        <f>'Monthly Data'!BG55</f>
        <v>0</v>
      </c>
      <c r="BH7">
        <f>'Monthly Data'!BH55</f>
        <v>0</v>
      </c>
      <c r="BI7">
        <f>'Monthly Data'!BI55</f>
        <v>0</v>
      </c>
      <c r="BJ7">
        <f>'Monthly Data'!BJ55</f>
        <v>1</v>
      </c>
      <c r="BK7">
        <f>'Monthly Data'!BK55</f>
        <v>0</v>
      </c>
      <c r="BL7">
        <f>'Monthly Data'!BL55</f>
        <v>0</v>
      </c>
      <c r="BM7">
        <f>'Monthly Data'!BM55</f>
        <v>0</v>
      </c>
      <c r="BN7">
        <f>'Monthly Data'!BN55</f>
        <v>0</v>
      </c>
      <c r="BO7">
        <f>'Monthly Data'!BO55</f>
        <v>0</v>
      </c>
      <c r="BP7">
        <f>'Monthly Data'!BP55</f>
        <v>0</v>
      </c>
      <c r="BQ7">
        <f>'Monthly Data'!BQ55</f>
        <v>0</v>
      </c>
      <c r="BR7">
        <f>'Monthly Data'!BR55</f>
        <v>0</v>
      </c>
      <c r="BS7">
        <f>'Monthly Data'!BS55</f>
        <v>0</v>
      </c>
      <c r="BT7" s="1">
        <f>'Monthly Data'!BT55</f>
        <v>54</v>
      </c>
      <c r="BU7">
        <f>'Monthly Data'!BU55</f>
        <v>30</v>
      </c>
      <c r="BV7">
        <f>'Monthly Data'!BV55</f>
        <v>21</v>
      </c>
      <c r="BW7" s="1">
        <f>'Monthly Data'!BW55</f>
        <v>1</v>
      </c>
      <c r="BX7" s="1">
        <f>'Monthly Data'!BX55</f>
        <v>0.5</v>
      </c>
      <c r="BY7" s="1">
        <f>'Monthly Data'!BY55</f>
        <v>1</v>
      </c>
      <c r="BZ7" s="1">
        <f>'Monthly Data'!BZ55</f>
        <v>0.5</v>
      </c>
      <c r="CA7">
        <f>'Monthly Data'!CA55</f>
        <v>46.195833333333326</v>
      </c>
      <c r="CB7">
        <f>'Monthly Data'!CB55</f>
        <v>12.308333333333335</v>
      </c>
      <c r="CC7">
        <f>'Monthly Data'!CC55</f>
        <v>27.69166666666667</v>
      </c>
      <c r="CD7">
        <f>'Monthly Data'!CD55</f>
        <v>23.804166666666674</v>
      </c>
      <c r="CE7">
        <f>'Monthly Data'!CE55</f>
        <v>16.354166666666668</v>
      </c>
      <c r="CF7">
        <f>'Monthly Data'!CF55</f>
        <v>42.466666666666676</v>
      </c>
      <c r="CG7">
        <f>'Monthly Data'!CG55</f>
        <v>8.7687500000000025</v>
      </c>
      <c r="CH7">
        <f>'Monthly Data'!CH55</f>
        <v>64.881250000000009</v>
      </c>
      <c r="CI7">
        <f>'Monthly Data'!CI55</f>
        <v>3.6437500000000025</v>
      </c>
      <c r="CJ7">
        <f>'Monthly Data'!CJ55</f>
        <v>89.756249999999994</v>
      </c>
      <c r="CK7">
        <f>'Monthly Data'!CK55</f>
        <v>0.65625</v>
      </c>
      <c r="CL7">
        <f>'Monthly Data'!CL55</f>
        <v>116.76875</v>
      </c>
      <c r="CM7">
        <f>'Monthly Data'!CM55</f>
        <v>0</v>
      </c>
      <c r="CN7">
        <f>'Monthly Data'!CN55</f>
        <v>146.11250000000001</v>
      </c>
      <c r="CO7" s="14">
        <f>'Monthly Data'!CO55</f>
        <v>92.391666666666652</v>
      </c>
      <c r="CP7" s="14">
        <f>'Monthly Data'!CP55</f>
        <v>24.616666666666671</v>
      </c>
      <c r="CQ7" s="14">
        <f>'Monthly Data'!CQ55</f>
        <v>55.38333333333334</v>
      </c>
      <c r="CR7" s="14">
        <f>'Monthly Data'!CR55</f>
        <v>47.608333333333348</v>
      </c>
      <c r="CS7" s="14">
        <f>'Monthly Data'!CS55</f>
        <v>32.708333333333336</v>
      </c>
      <c r="CT7" s="14">
        <f>'Monthly Data'!CT55</f>
        <v>84.933333333333351</v>
      </c>
      <c r="CU7" s="14">
        <f>'Monthly Data'!CU55</f>
        <v>17.537500000000005</v>
      </c>
      <c r="CV7" s="14">
        <f>'Monthly Data'!CV55</f>
        <v>129.76250000000002</v>
      </c>
      <c r="CW7" s="14">
        <f>'Monthly Data'!CW55</f>
        <v>7.287500000000005</v>
      </c>
      <c r="CX7" s="14">
        <f>'Monthly Data'!CX55</f>
        <v>179.51249999999999</v>
      </c>
      <c r="CY7" s="14">
        <f>'Monthly Data'!CY55</f>
        <v>1.3125</v>
      </c>
      <c r="CZ7" s="14">
        <f>'Monthly Data'!CZ55</f>
        <v>233.53749999999999</v>
      </c>
      <c r="DA7" s="14">
        <f>'Monthly Data'!DA55</f>
        <v>0</v>
      </c>
      <c r="DB7" s="14">
        <f>'Monthly Data'!DB55</f>
        <v>292.22500000000002</v>
      </c>
      <c r="DC7" s="72">
        <f>'Monthly Data'!DC55</f>
        <v>682.63496490207024</v>
      </c>
      <c r="DD7" s="72">
        <f>'Monthly Data'!DD55</f>
        <v>22.754498830069007</v>
      </c>
      <c r="DE7" s="71">
        <f>'Monthly Data'!DE55</f>
        <v>226384.50886035655</v>
      </c>
      <c r="DF7" s="72">
        <f>'Monthly Data'!DF55</f>
        <v>1605.8044384338903</v>
      </c>
      <c r="DG7" s="72">
        <f>'Monthly Data'!DG55</f>
        <v>53.526814614463007</v>
      </c>
      <c r="DH7" s="72">
        <f>'Monthly Data'!DH55</f>
        <v>68300.215448054805</v>
      </c>
      <c r="DI7" s="72">
        <f>'Monthly Data'!DI55</f>
        <v>34482.760334886734</v>
      </c>
      <c r="DJ7" s="72">
        <f>'Monthly Data'!DJ55</f>
        <v>1149.4253444962244</v>
      </c>
      <c r="DK7" s="72">
        <f>'Monthly Data'!DK55</f>
        <v>1642.0362064231779</v>
      </c>
      <c r="DL7" s="72">
        <f>'Monthly Data'!DL55</f>
        <v>172413.80167443366</v>
      </c>
      <c r="DM7" s="72">
        <f>'Monthly Data'!DM55</f>
        <v>246305.43096347668</v>
      </c>
    </row>
    <row r="8" spans="1:117">
      <c r="A8" s="93">
        <f>'Monthly Data'!A56</f>
        <v>44013</v>
      </c>
      <c r="B8" s="4">
        <f>'Monthly Data'!B56</f>
        <v>2020</v>
      </c>
      <c r="C8" s="4">
        <f>'Monthly Data'!C56</f>
        <v>7</v>
      </c>
      <c r="D8" s="56">
        <f>'Monthly Data'!D56</f>
        <v>8725974</v>
      </c>
      <c r="E8" s="56">
        <f>'Monthly Data'!E56</f>
        <v>161858.28504146537</v>
      </c>
      <c r="F8" s="56">
        <f>'Monthly Data'!F56</f>
        <v>8887832.2850414645</v>
      </c>
      <c r="G8" s="301">
        <f>'Monthly Data'!G56</f>
        <v>9955</v>
      </c>
      <c r="H8" s="56">
        <f>'Monthly Data'!H56</f>
        <v>2323074</v>
      </c>
      <c r="I8" s="56">
        <f>'Monthly Data'!I56</f>
        <v>156134.1046309449</v>
      </c>
      <c r="J8" s="56">
        <f>'Monthly Data'!J56</f>
        <v>2479208.1046309448</v>
      </c>
      <c r="K8" s="6">
        <f>'Monthly Data'!K56</f>
        <v>1275</v>
      </c>
      <c r="L8" s="5">
        <f>'Monthly Data'!L56</f>
        <v>5743151</v>
      </c>
      <c r="M8" s="2">
        <f>'Monthly Data'!M56</f>
        <v>135454.66773178097</v>
      </c>
      <c r="N8" s="56">
        <f>'Monthly Data'!N56</f>
        <v>5878605.6677317806</v>
      </c>
      <c r="O8" s="5">
        <f>'Monthly Data'!O56</f>
        <v>18614</v>
      </c>
      <c r="P8" s="6">
        <f>'Monthly Data'!P56</f>
        <v>150</v>
      </c>
      <c r="Q8" s="5">
        <f>'Monthly Data'!Q56</f>
        <v>65464</v>
      </c>
      <c r="R8" s="5">
        <f>'Monthly Data'!R56</f>
        <v>236</v>
      </c>
      <c r="S8" s="6">
        <f>'Monthly Data'!S56</f>
        <v>2920</v>
      </c>
      <c r="T8" s="6">
        <f>'Monthly Data'!T56</f>
        <v>16451</v>
      </c>
      <c r="U8" s="6">
        <f>'Monthly Data'!U56</f>
        <v>43</v>
      </c>
      <c r="V8" s="6">
        <f>'Monthly Data'!V56</f>
        <v>171</v>
      </c>
      <c r="W8" s="5">
        <f>'Monthly Data'!W56</f>
        <v>50149</v>
      </c>
      <c r="X8" s="56">
        <f>'Monthly Data'!X56</f>
        <v>19</v>
      </c>
      <c r="Y8" s="56">
        <f>'Monthly Data'!Y56</f>
        <v>44336.800000000003</v>
      </c>
      <c r="Z8" s="56">
        <f>'Monthly Data'!Z56</f>
        <v>4268.8</v>
      </c>
      <c r="AA8" s="56">
        <f>'Monthly Data'!AA56</f>
        <v>5698814.2000000002</v>
      </c>
      <c r="AB8" s="56">
        <f>'Monthly Data'!AB56</f>
        <v>5834268.8677317807</v>
      </c>
      <c r="AC8" s="56">
        <f>'Monthly Data'!AC56</f>
        <v>14345.2</v>
      </c>
      <c r="AD8" s="111">
        <f>'Monthly Data'!AD56</f>
        <v>769942</v>
      </c>
      <c r="AE8" s="111">
        <f>'Monthly Data'!AE56</f>
        <v>778294</v>
      </c>
      <c r="AF8" s="111">
        <f>'Monthly Data'!AF56</f>
        <v>6666.4</v>
      </c>
      <c r="AG8" s="111">
        <f>'Monthly Data'!AG56</f>
        <v>6730.9</v>
      </c>
      <c r="AH8" s="111">
        <f>'Monthly Data'!AH56</f>
        <v>567.1</v>
      </c>
      <c r="AI8" s="111">
        <f>'Monthly Data'!AI56</f>
        <v>575.70000000000005</v>
      </c>
      <c r="AJ8" s="111">
        <f>'Monthly Data'!AJ56</f>
        <v>-733.20000000000073</v>
      </c>
      <c r="AK8" s="111">
        <f>'Monthly Data'!AK56</f>
        <v>-753.60000000000036</v>
      </c>
      <c r="AL8" s="111">
        <f>'Monthly Data'!AL56</f>
        <v>-37.5</v>
      </c>
      <c r="AM8" s="111">
        <f>'Monthly Data'!AM56</f>
        <v>-38.799999999999955</v>
      </c>
      <c r="AN8" s="111">
        <f>'Monthly Data'!AN56</f>
        <v>-37332.5</v>
      </c>
      <c r="AO8" s="111">
        <f>'Monthly Data'!AO56</f>
        <v>72583</v>
      </c>
      <c r="AP8" s="28">
        <f>'Monthly Data'!AP56</f>
        <v>22.358870967741932</v>
      </c>
      <c r="AQ8" s="28">
        <f>'Monthly Data'!AQ56</f>
        <v>3.850000000000005</v>
      </c>
      <c r="AR8" s="28">
        <f>'Monthly Data'!AR56</f>
        <v>76.975000000000023</v>
      </c>
      <c r="AS8" s="28">
        <f>'Monthly Data'!AS56</f>
        <v>0</v>
      </c>
      <c r="AT8" s="28">
        <f>'Monthly Data'!AT56</f>
        <v>135.125</v>
      </c>
      <c r="AU8" s="28">
        <f>'Monthly Data'!AU56</f>
        <v>0</v>
      </c>
      <c r="AV8" s="28">
        <f>'Monthly Data'!AV56</f>
        <v>197.12500000000003</v>
      </c>
      <c r="AW8" s="28">
        <f>'Monthly Data'!AW56</f>
        <v>0</v>
      </c>
      <c r="AX8" s="28">
        <f>'Monthly Data'!AX56</f>
        <v>259.12500000000006</v>
      </c>
      <c r="AY8" s="28">
        <f>'Monthly Data'!AY56</f>
        <v>0</v>
      </c>
      <c r="AZ8" s="28">
        <f>'Monthly Data'!AZ56</f>
        <v>321.12500000000011</v>
      </c>
      <c r="BA8" s="28">
        <f>'Monthly Data'!BA56</f>
        <v>0</v>
      </c>
      <c r="BB8" s="28">
        <f>'Monthly Data'!BB56</f>
        <v>383.12500000000017</v>
      </c>
      <c r="BC8" s="28">
        <f>'Monthly Data'!BC56</f>
        <v>0</v>
      </c>
      <c r="BD8" s="28">
        <f>'Monthly Data'!BD56</f>
        <v>445.12500000000006</v>
      </c>
      <c r="BE8">
        <f>'Monthly Data'!BE56</f>
        <v>0</v>
      </c>
      <c r="BF8">
        <f>'Monthly Data'!BF56</f>
        <v>0</v>
      </c>
      <c r="BG8">
        <f>'Monthly Data'!BG56</f>
        <v>0</v>
      </c>
      <c r="BH8">
        <f>'Monthly Data'!BH56</f>
        <v>0</v>
      </c>
      <c r="BI8">
        <f>'Monthly Data'!BI56</f>
        <v>0</v>
      </c>
      <c r="BJ8">
        <f>'Monthly Data'!BJ56</f>
        <v>0</v>
      </c>
      <c r="BK8">
        <f>'Monthly Data'!BK56</f>
        <v>1</v>
      </c>
      <c r="BL8">
        <f>'Monthly Data'!BL56</f>
        <v>0</v>
      </c>
      <c r="BM8">
        <f>'Monthly Data'!BM56</f>
        <v>0</v>
      </c>
      <c r="BN8">
        <f>'Monthly Data'!BN56</f>
        <v>0</v>
      </c>
      <c r="BO8">
        <f>'Monthly Data'!BO56</f>
        <v>0</v>
      </c>
      <c r="BP8">
        <f>'Monthly Data'!BP56</f>
        <v>0</v>
      </c>
      <c r="BQ8">
        <f>'Monthly Data'!BQ56</f>
        <v>0</v>
      </c>
      <c r="BR8">
        <f>'Monthly Data'!BR56</f>
        <v>0</v>
      </c>
      <c r="BS8">
        <f>'Monthly Data'!BS56</f>
        <v>0</v>
      </c>
      <c r="BT8" s="1">
        <f>'Monthly Data'!BT56</f>
        <v>55</v>
      </c>
      <c r="BU8">
        <f>'Monthly Data'!BU56</f>
        <v>31</v>
      </c>
      <c r="BV8">
        <f>'Monthly Data'!BV56</f>
        <v>21</v>
      </c>
      <c r="BW8" s="1">
        <f>'Monthly Data'!BW56</f>
        <v>1</v>
      </c>
      <c r="BX8" s="1">
        <f>'Monthly Data'!BX56</f>
        <v>0.5</v>
      </c>
      <c r="BY8" s="1">
        <f>'Monthly Data'!BY56</f>
        <v>1</v>
      </c>
      <c r="BZ8" s="1">
        <f>'Monthly Data'!BZ56</f>
        <v>0</v>
      </c>
      <c r="CA8">
        <f>'Monthly Data'!CA56</f>
        <v>1.9250000000000025</v>
      </c>
      <c r="CB8">
        <f>'Monthly Data'!CB56</f>
        <v>38.487500000000011</v>
      </c>
      <c r="CC8">
        <f>'Monthly Data'!CC56</f>
        <v>0</v>
      </c>
      <c r="CD8">
        <f>'Monthly Data'!CD56</f>
        <v>67.5625</v>
      </c>
      <c r="CE8">
        <f>'Monthly Data'!CE56</f>
        <v>0</v>
      </c>
      <c r="CF8">
        <f>'Monthly Data'!CF56</f>
        <v>98.562500000000014</v>
      </c>
      <c r="CG8">
        <f>'Monthly Data'!CG56</f>
        <v>0</v>
      </c>
      <c r="CH8">
        <f>'Monthly Data'!CH56</f>
        <v>129.56250000000003</v>
      </c>
      <c r="CI8">
        <f>'Monthly Data'!CI56</f>
        <v>0</v>
      </c>
      <c r="CJ8">
        <f>'Monthly Data'!CJ56</f>
        <v>160.56250000000006</v>
      </c>
      <c r="CK8">
        <f>'Monthly Data'!CK56</f>
        <v>0</v>
      </c>
      <c r="CL8">
        <f>'Monthly Data'!CL56</f>
        <v>191.56250000000009</v>
      </c>
      <c r="CM8">
        <f>'Monthly Data'!CM56</f>
        <v>0</v>
      </c>
      <c r="CN8">
        <f>'Monthly Data'!CN56</f>
        <v>222.56250000000003</v>
      </c>
      <c r="CO8" s="14">
        <f>'Monthly Data'!CO56</f>
        <v>3.850000000000005</v>
      </c>
      <c r="CP8" s="14">
        <f>'Monthly Data'!CP56</f>
        <v>76.975000000000023</v>
      </c>
      <c r="CQ8" s="14">
        <f>'Monthly Data'!CQ56</f>
        <v>0</v>
      </c>
      <c r="CR8" s="14">
        <f>'Monthly Data'!CR56</f>
        <v>135.125</v>
      </c>
      <c r="CS8" s="14">
        <f>'Monthly Data'!CS56</f>
        <v>0</v>
      </c>
      <c r="CT8" s="14">
        <f>'Monthly Data'!CT56</f>
        <v>197.12500000000003</v>
      </c>
      <c r="CU8" s="14">
        <f>'Monthly Data'!CU56</f>
        <v>0</v>
      </c>
      <c r="CV8" s="14">
        <f>'Monthly Data'!CV56</f>
        <v>259.12500000000006</v>
      </c>
      <c r="CW8" s="14">
        <f>'Monthly Data'!CW56</f>
        <v>0</v>
      </c>
      <c r="CX8" s="14">
        <f>'Monthly Data'!CX56</f>
        <v>321.12500000000011</v>
      </c>
      <c r="CY8" s="14">
        <f>'Monthly Data'!CY56</f>
        <v>0</v>
      </c>
      <c r="CZ8" s="14">
        <f>'Monthly Data'!CZ56</f>
        <v>383.12500000000017</v>
      </c>
      <c r="DA8" s="14">
        <f>'Monthly Data'!DA56</f>
        <v>0</v>
      </c>
      <c r="DB8" s="14">
        <f>'Monthly Data'!DB56</f>
        <v>445.12500000000006</v>
      </c>
      <c r="DC8" s="72">
        <f>'Monthly Data'!DC56</f>
        <v>892.80083224926818</v>
      </c>
      <c r="DD8" s="72">
        <f>'Monthly Data'!DD56</f>
        <v>28.800026846750587</v>
      </c>
      <c r="DE8" s="71">
        <f>'Monthly Data'!DE56</f>
        <v>286704.26725940208</v>
      </c>
      <c r="DF8" s="72">
        <f>'Monthly Data'!DF56</f>
        <v>1944.4769448085842</v>
      </c>
      <c r="DG8" s="72">
        <f>'Monthly Data'!DG56</f>
        <v>62.72506273576078</v>
      </c>
      <c r="DH8" s="72">
        <f>'Monthly Data'!DH56</f>
        <v>79974.454988094993</v>
      </c>
      <c r="DI8" s="72">
        <f>'Monthly Data'!DI56</f>
        <v>39190.704451545207</v>
      </c>
      <c r="DJ8" s="72">
        <f>'Monthly Data'!DJ56</f>
        <v>1264.2162726304905</v>
      </c>
      <c r="DK8" s="72">
        <f>'Monthly Data'!DK56</f>
        <v>1866.2240215021527</v>
      </c>
      <c r="DL8" s="72">
        <f>'Monthly Data'!DL56</f>
        <v>189632.44089457358</v>
      </c>
      <c r="DM8" s="72">
        <f>'Monthly Data'!DM56</f>
        <v>279933.60322532291</v>
      </c>
    </row>
    <row r="9" spans="1:117">
      <c r="A9" s="93">
        <f>'Monthly Data'!A57</f>
        <v>44044</v>
      </c>
      <c r="B9" s="4">
        <f>'Monthly Data'!B57</f>
        <v>2020</v>
      </c>
      <c r="C9" s="4">
        <f>'Monthly Data'!C57</f>
        <v>8</v>
      </c>
      <c r="D9" s="56">
        <f>'Monthly Data'!D57</f>
        <v>6819648</v>
      </c>
      <c r="E9" s="56">
        <f>'Monthly Data'!E57</f>
        <v>161860.30427223459</v>
      </c>
      <c r="F9" s="56">
        <f>'Monthly Data'!F57</f>
        <v>6981508.3042722344</v>
      </c>
      <c r="G9" s="301">
        <f>'Monthly Data'!G57</f>
        <v>9965</v>
      </c>
      <c r="H9" s="56">
        <f>'Monthly Data'!H57</f>
        <v>2013319</v>
      </c>
      <c r="I9" s="56">
        <f>'Monthly Data'!I57</f>
        <v>155749.74582024562</v>
      </c>
      <c r="J9" s="56">
        <f>'Monthly Data'!J57</f>
        <v>2169068.7458202457</v>
      </c>
      <c r="K9" s="6">
        <f>'Monthly Data'!K57</f>
        <v>1274</v>
      </c>
      <c r="L9" s="5">
        <f>'Monthly Data'!L57</f>
        <v>5542475</v>
      </c>
      <c r="M9" s="2">
        <f>'Monthly Data'!M57</f>
        <v>135324.28523055196</v>
      </c>
      <c r="N9" s="56">
        <f>'Monthly Data'!N57</f>
        <v>5677799.2852305518</v>
      </c>
      <c r="O9" s="5">
        <f>'Monthly Data'!O57</f>
        <v>18179</v>
      </c>
      <c r="P9" s="6">
        <f>'Monthly Data'!P57</f>
        <v>150</v>
      </c>
      <c r="Q9" s="5">
        <f>'Monthly Data'!Q57</f>
        <v>73705</v>
      </c>
      <c r="R9" s="5">
        <f>'Monthly Data'!R57</f>
        <v>236</v>
      </c>
      <c r="S9" s="6">
        <f>'Monthly Data'!S57</f>
        <v>2920</v>
      </c>
      <c r="T9" s="6">
        <f>'Monthly Data'!T57</f>
        <v>16457</v>
      </c>
      <c r="U9" s="6">
        <f>'Monthly Data'!U57</f>
        <v>43</v>
      </c>
      <c r="V9" s="6">
        <f>'Monthly Data'!V57</f>
        <v>171</v>
      </c>
      <c r="W9" s="5">
        <f>'Monthly Data'!W57</f>
        <v>49855</v>
      </c>
      <c r="X9" s="56">
        <f>'Monthly Data'!X57</f>
        <v>19</v>
      </c>
      <c r="Y9" s="56">
        <f>'Monthly Data'!Y57</f>
        <v>7553.6</v>
      </c>
      <c r="Z9" s="56">
        <f>'Monthly Data'!Z57</f>
        <v>3788.8</v>
      </c>
      <c r="AA9" s="56">
        <f>'Monthly Data'!AA57</f>
        <v>5534921.4000000004</v>
      </c>
      <c r="AB9" s="56">
        <f>'Monthly Data'!AB57</f>
        <v>5670245.6852305522</v>
      </c>
      <c r="AC9" s="56">
        <f>'Monthly Data'!AC57</f>
        <v>14390.2</v>
      </c>
      <c r="AD9" s="111">
        <f>'Monthly Data'!AD57</f>
        <v>769942</v>
      </c>
      <c r="AE9" s="111">
        <f>'Monthly Data'!AE57</f>
        <v>778294</v>
      </c>
      <c r="AF9" s="111">
        <f>'Monthly Data'!AF57</f>
        <v>6904.3</v>
      </c>
      <c r="AG9" s="111">
        <f>'Monthly Data'!AG57</f>
        <v>6971.5</v>
      </c>
      <c r="AH9" s="111">
        <f>'Monthly Data'!AH57</f>
        <v>579.20000000000005</v>
      </c>
      <c r="AI9" s="111">
        <f>'Monthly Data'!AI57</f>
        <v>586.6</v>
      </c>
      <c r="AJ9" s="111">
        <f>'Monthly Data'!AJ57</f>
        <v>-509.69999999999982</v>
      </c>
      <c r="AK9" s="111">
        <f>'Monthly Data'!AK57</f>
        <v>-530</v>
      </c>
      <c r="AL9" s="111">
        <f>'Monthly Data'!AL57</f>
        <v>-37.399999999999977</v>
      </c>
      <c r="AM9" s="111">
        <f>'Monthly Data'!AM57</f>
        <v>-37.799999999999955</v>
      </c>
      <c r="AN9" s="111">
        <f>'Monthly Data'!AN57</f>
        <v>-37332.5</v>
      </c>
      <c r="AO9" s="111">
        <f>'Monthly Data'!AO57</f>
        <v>72583</v>
      </c>
      <c r="AP9" s="28">
        <f>'Monthly Data'!AP57</f>
        <v>17.764784946236556</v>
      </c>
      <c r="AQ9" s="28">
        <f>'Monthly Data'!AQ57</f>
        <v>79.675000000000011</v>
      </c>
      <c r="AR9" s="28">
        <f>'Monthly Data'!AR57</f>
        <v>10.383333333333329</v>
      </c>
      <c r="AS9" s="28">
        <f>'Monthly Data'!AS57</f>
        <v>40.033333333333331</v>
      </c>
      <c r="AT9" s="28">
        <f>'Monthly Data'!AT57</f>
        <v>32.741666666666674</v>
      </c>
      <c r="AU9" s="28">
        <f>'Monthly Data'!AU57</f>
        <v>17.466666666666679</v>
      </c>
      <c r="AV9" s="28">
        <f>'Monthly Data'!AV57</f>
        <v>72.175000000000011</v>
      </c>
      <c r="AW9" s="28">
        <f>'Monthly Data'!AW57</f>
        <v>3.958333333333341</v>
      </c>
      <c r="AX9" s="28">
        <f>'Monthly Data'!AX57</f>
        <v>120.66666666666664</v>
      </c>
      <c r="AY9" s="28">
        <f>'Monthly Data'!AY57</f>
        <v>0</v>
      </c>
      <c r="AZ9" s="28">
        <f>'Monthly Data'!AZ57</f>
        <v>178.70833333333334</v>
      </c>
      <c r="BA9" s="28">
        <f>'Monthly Data'!BA57</f>
        <v>0</v>
      </c>
      <c r="BB9" s="28">
        <f>'Monthly Data'!BB57</f>
        <v>240.70833333333334</v>
      </c>
      <c r="BC9" s="28">
        <f>'Monthly Data'!BC57</f>
        <v>0</v>
      </c>
      <c r="BD9" s="28">
        <f>'Monthly Data'!BD57</f>
        <v>302.70833333333326</v>
      </c>
      <c r="BE9">
        <f>'Monthly Data'!BE57</f>
        <v>0</v>
      </c>
      <c r="BF9">
        <f>'Monthly Data'!BF57</f>
        <v>0</v>
      </c>
      <c r="BG9">
        <f>'Monthly Data'!BG57</f>
        <v>0</v>
      </c>
      <c r="BH9">
        <f>'Monthly Data'!BH57</f>
        <v>0</v>
      </c>
      <c r="BI9">
        <f>'Monthly Data'!BI57</f>
        <v>0</v>
      </c>
      <c r="BJ9">
        <f>'Monthly Data'!BJ57</f>
        <v>0</v>
      </c>
      <c r="BK9">
        <f>'Monthly Data'!BK57</f>
        <v>0</v>
      </c>
      <c r="BL9">
        <f>'Monthly Data'!BL57</f>
        <v>1</v>
      </c>
      <c r="BM9">
        <f>'Monthly Data'!BM57</f>
        <v>0</v>
      </c>
      <c r="BN9">
        <f>'Monthly Data'!BN57</f>
        <v>0</v>
      </c>
      <c r="BO9">
        <f>'Monthly Data'!BO57</f>
        <v>0</v>
      </c>
      <c r="BP9">
        <f>'Monthly Data'!BP57</f>
        <v>0</v>
      </c>
      <c r="BQ9">
        <f>'Monthly Data'!BQ57</f>
        <v>0</v>
      </c>
      <c r="BR9">
        <f>'Monthly Data'!BR57</f>
        <v>0</v>
      </c>
      <c r="BS9">
        <f>'Monthly Data'!BS57</f>
        <v>0</v>
      </c>
      <c r="BT9" s="1">
        <f>'Monthly Data'!BT57</f>
        <v>56</v>
      </c>
      <c r="BU9">
        <f>'Monthly Data'!BU57</f>
        <v>31</v>
      </c>
      <c r="BV9">
        <f>'Monthly Data'!BV57</f>
        <v>22</v>
      </c>
      <c r="BW9" s="1">
        <f>'Monthly Data'!BW57</f>
        <v>1</v>
      </c>
      <c r="BX9" s="1">
        <f>'Monthly Data'!BX57</f>
        <v>0.5</v>
      </c>
      <c r="BY9" s="1">
        <f>'Monthly Data'!BY57</f>
        <v>1</v>
      </c>
      <c r="BZ9" s="1">
        <f>'Monthly Data'!BZ57</f>
        <v>0</v>
      </c>
      <c r="CA9">
        <f>'Monthly Data'!CA57</f>
        <v>39.837500000000006</v>
      </c>
      <c r="CB9">
        <f>'Monthly Data'!CB57</f>
        <v>5.1916666666666647</v>
      </c>
      <c r="CC9">
        <f>'Monthly Data'!CC57</f>
        <v>20.016666666666666</v>
      </c>
      <c r="CD9">
        <f>'Monthly Data'!CD57</f>
        <v>16.370833333333337</v>
      </c>
      <c r="CE9">
        <f>'Monthly Data'!CE57</f>
        <v>8.7333333333333396</v>
      </c>
      <c r="CF9">
        <f>'Monthly Data'!CF57</f>
        <v>36.087500000000006</v>
      </c>
      <c r="CG9">
        <f>'Monthly Data'!CG57</f>
        <v>1.9791666666666705</v>
      </c>
      <c r="CH9">
        <f>'Monthly Data'!CH57</f>
        <v>60.333333333333321</v>
      </c>
      <c r="CI9">
        <f>'Monthly Data'!CI57</f>
        <v>0</v>
      </c>
      <c r="CJ9">
        <f>'Monthly Data'!CJ57</f>
        <v>89.354166666666671</v>
      </c>
      <c r="CK9">
        <f>'Monthly Data'!CK57</f>
        <v>0</v>
      </c>
      <c r="CL9">
        <f>'Monthly Data'!CL57</f>
        <v>120.35416666666667</v>
      </c>
      <c r="CM9">
        <f>'Monthly Data'!CM57</f>
        <v>0</v>
      </c>
      <c r="CN9">
        <f>'Monthly Data'!CN57</f>
        <v>151.35416666666663</v>
      </c>
      <c r="CO9" s="14">
        <f>'Monthly Data'!CO57</f>
        <v>79.675000000000011</v>
      </c>
      <c r="CP9" s="14">
        <f>'Monthly Data'!CP57</f>
        <v>10.383333333333329</v>
      </c>
      <c r="CQ9" s="14">
        <f>'Monthly Data'!CQ57</f>
        <v>40.033333333333331</v>
      </c>
      <c r="CR9" s="14">
        <f>'Monthly Data'!CR57</f>
        <v>32.741666666666674</v>
      </c>
      <c r="CS9" s="14">
        <f>'Monthly Data'!CS57</f>
        <v>17.466666666666679</v>
      </c>
      <c r="CT9" s="14">
        <f>'Monthly Data'!CT57</f>
        <v>72.175000000000011</v>
      </c>
      <c r="CU9" s="14">
        <f>'Monthly Data'!CU57</f>
        <v>3.958333333333341</v>
      </c>
      <c r="CV9" s="14">
        <f>'Monthly Data'!CV57</f>
        <v>120.66666666666664</v>
      </c>
      <c r="CW9" s="14">
        <f>'Monthly Data'!CW57</f>
        <v>0</v>
      </c>
      <c r="CX9" s="14">
        <f>'Monthly Data'!CX57</f>
        <v>178.70833333333334</v>
      </c>
      <c r="CY9" s="14">
        <f>'Monthly Data'!CY57</f>
        <v>0</v>
      </c>
      <c r="CZ9" s="14">
        <f>'Monthly Data'!CZ57</f>
        <v>240.70833333333334</v>
      </c>
      <c r="DA9" s="14">
        <f>'Monthly Data'!DA57</f>
        <v>0</v>
      </c>
      <c r="DB9" s="14">
        <f>'Monthly Data'!DB57</f>
        <v>302.70833333333326</v>
      </c>
      <c r="DC9" s="72">
        <f>'Monthly Data'!DC57</f>
        <v>700.60294071974249</v>
      </c>
      <c r="DD9" s="72">
        <f>'Monthly Data'!DD57</f>
        <v>22.600094861927179</v>
      </c>
      <c r="DE9" s="71">
        <f>'Monthly Data'!DE57</f>
        <v>225209.94529910435</v>
      </c>
      <c r="DF9" s="72">
        <f>'Monthly Data'!DF57</f>
        <v>1702.5657345527832</v>
      </c>
      <c r="DG9" s="72">
        <f>'Monthly Data'!DG57</f>
        <v>54.921475308154292</v>
      </c>
      <c r="DH9" s="72">
        <f>'Monthly Data'!DH57</f>
        <v>69969.959542588578</v>
      </c>
      <c r="DI9" s="72">
        <f>'Monthly Data'!DI57</f>
        <v>37851.995234870345</v>
      </c>
      <c r="DJ9" s="72">
        <f>'Monthly Data'!DJ57</f>
        <v>1221.0321043506563</v>
      </c>
      <c r="DK9" s="72">
        <f>'Monthly Data'!DK57</f>
        <v>1720.5452379486521</v>
      </c>
      <c r="DL9" s="72">
        <f>'Monthly Data'!DL57</f>
        <v>183154.81565259845</v>
      </c>
      <c r="DM9" s="72">
        <f>'Monthly Data'!DM57</f>
        <v>258081.78569229782</v>
      </c>
    </row>
    <row r="10" spans="1:117">
      <c r="A10" s="93">
        <f>'Monthly Data'!A58</f>
        <v>44075</v>
      </c>
      <c r="B10" s="4">
        <f>'Monthly Data'!B58</f>
        <v>2020</v>
      </c>
      <c r="C10" s="4">
        <f>'Monthly Data'!C58</f>
        <v>9</v>
      </c>
      <c r="D10" s="56">
        <f>'Monthly Data'!D58</f>
        <v>5431156</v>
      </c>
      <c r="E10" s="56">
        <f>'Monthly Data'!E58</f>
        <v>161862.3235030038</v>
      </c>
      <c r="F10" s="56">
        <f>'Monthly Data'!F58</f>
        <v>5593018.3235030035</v>
      </c>
      <c r="G10" s="301">
        <f>'Monthly Data'!G58</f>
        <v>9980</v>
      </c>
      <c r="H10" s="56">
        <f>'Monthly Data'!H58</f>
        <v>1782342</v>
      </c>
      <c r="I10" s="56">
        <f>'Monthly Data'!I58</f>
        <v>155365.38700954636</v>
      </c>
      <c r="J10" s="56">
        <f>'Monthly Data'!J58</f>
        <v>1937707.3870095464</v>
      </c>
      <c r="K10" s="6">
        <f>'Monthly Data'!K58</f>
        <v>1274</v>
      </c>
      <c r="L10" s="5">
        <f>'Monthly Data'!L58</f>
        <v>4718668</v>
      </c>
      <c r="M10" s="2">
        <f>'Monthly Data'!M58</f>
        <v>135193.90272932296</v>
      </c>
      <c r="N10" s="56">
        <f>'Monthly Data'!N58</f>
        <v>4853861.9027293231</v>
      </c>
      <c r="O10" s="5">
        <f>'Monthly Data'!O58</f>
        <v>15554</v>
      </c>
      <c r="P10" s="6">
        <f>'Monthly Data'!P58</f>
        <v>150</v>
      </c>
      <c r="Q10" s="5">
        <f>'Monthly Data'!Q58</f>
        <v>81378</v>
      </c>
      <c r="R10" s="5">
        <f>'Monthly Data'!R58</f>
        <v>236</v>
      </c>
      <c r="S10" s="6">
        <f>'Monthly Data'!S58</f>
        <v>2920</v>
      </c>
      <c r="T10" s="6">
        <f>'Monthly Data'!T58</f>
        <v>16312</v>
      </c>
      <c r="U10" s="6">
        <f>'Monthly Data'!U58</f>
        <v>43</v>
      </c>
      <c r="V10" s="6">
        <f>'Monthly Data'!V58</f>
        <v>171</v>
      </c>
      <c r="W10" s="5">
        <f>'Monthly Data'!W58</f>
        <v>49681</v>
      </c>
      <c r="X10" s="56">
        <f>'Monthly Data'!X58</f>
        <v>19</v>
      </c>
      <c r="Y10" s="56">
        <f>'Monthly Data'!Y58</f>
        <v>1851.2</v>
      </c>
      <c r="Z10" s="56">
        <f>'Monthly Data'!Z58</f>
        <v>2880</v>
      </c>
      <c r="AA10" s="56">
        <f>'Monthly Data'!AA58</f>
        <v>4716816.8</v>
      </c>
      <c r="AB10" s="56">
        <f>'Monthly Data'!AB58</f>
        <v>4852010.7027293229</v>
      </c>
      <c r="AC10" s="56">
        <f>'Monthly Data'!AC58</f>
        <v>12674</v>
      </c>
      <c r="AD10" s="111">
        <f>'Monthly Data'!AD58</f>
        <v>769942</v>
      </c>
      <c r="AE10" s="111">
        <f>'Monthly Data'!AE58</f>
        <v>778294</v>
      </c>
      <c r="AF10" s="111">
        <f>'Monthly Data'!AF58</f>
        <v>7065.2</v>
      </c>
      <c r="AG10" s="111">
        <f>'Monthly Data'!AG58</f>
        <v>7098.8</v>
      </c>
      <c r="AH10" s="111">
        <f>'Monthly Data'!AH58</f>
        <v>589.6</v>
      </c>
      <c r="AI10" s="111">
        <f>'Monthly Data'!AI58</f>
        <v>592</v>
      </c>
      <c r="AJ10" s="111">
        <f>'Monthly Data'!AJ58</f>
        <v>-367.19999999999982</v>
      </c>
      <c r="AK10" s="111">
        <f>'Monthly Data'!AK58</f>
        <v>-390.5</v>
      </c>
      <c r="AL10" s="111">
        <f>'Monthly Data'!AL58</f>
        <v>-38.100000000000023</v>
      </c>
      <c r="AM10" s="111">
        <f>'Monthly Data'!AM58</f>
        <v>-37.899999999999977</v>
      </c>
      <c r="AN10" s="111">
        <f>'Monthly Data'!AN58</f>
        <v>-37332.5</v>
      </c>
      <c r="AO10" s="111">
        <f>'Monthly Data'!AO58</f>
        <v>72583</v>
      </c>
      <c r="AP10" s="28">
        <f>'Monthly Data'!AP58</f>
        <v>13.116250000000001</v>
      </c>
      <c r="AQ10" s="28">
        <f>'Monthly Data'!AQ58</f>
        <v>206.67499999999998</v>
      </c>
      <c r="AR10" s="28">
        <f>'Monthly Data'!AR58</f>
        <v>0.16249999999999432</v>
      </c>
      <c r="AS10" s="28">
        <f>'Monthly Data'!AS58</f>
        <v>153.40416666666664</v>
      </c>
      <c r="AT10" s="28">
        <f>'Monthly Data'!AT58</f>
        <v>6.8916666666666622</v>
      </c>
      <c r="AU10" s="28">
        <f>'Monthly Data'!AU58</f>
        <v>104.86666666666669</v>
      </c>
      <c r="AV10" s="28">
        <f>'Monthly Data'!AV58</f>
        <v>18.354166666666668</v>
      </c>
      <c r="AW10" s="28">
        <f>'Monthly Data'!AW58</f>
        <v>66.750000000000014</v>
      </c>
      <c r="AX10" s="28">
        <f>'Monthly Data'!AX58</f>
        <v>40.23749999999999</v>
      </c>
      <c r="AY10" s="28">
        <f>'Monthly Data'!AY58</f>
        <v>34.841666666666669</v>
      </c>
      <c r="AZ10" s="28">
        <f>'Monthly Data'!AZ58</f>
        <v>68.32916666666668</v>
      </c>
      <c r="BA10" s="28">
        <f>'Monthly Data'!BA58</f>
        <v>16.437500000000007</v>
      </c>
      <c r="BB10" s="28">
        <f>'Monthly Data'!BB58</f>
        <v>109.925</v>
      </c>
      <c r="BC10" s="28">
        <f>'Monthly Data'!BC58</f>
        <v>5.3041666666666707</v>
      </c>
      <c r="BD10" s="28">
        <f>'Monthly Data'!BD58</f>
        <v>158.79166666666663</v>
      </c>
      <c r="BE10">
        <f>'Monthly Data'!BE58</f>
        <v>0</v>
      </c>
      <c r="BF10">
        <f>'Monthly Data'!BF58</f>
        <v>0</v>
      </c>
      <c r="BG10">
        <f>'Monthly Data'!BG58</f>
        <v>0</v>
      </c>
      <c r="BH10">
        <f>'Monthly Data'!BH58</f>
        <v>0</v>
      </c>
      <c r="BI10">
        <f>'Monthly Data'!BI58</f>
        <v>0</v>
      </c>
      <c r="BJ10">
        <f>'Monthly Data'!BJ58</f>
        <v>0</v>
      </c>
      <c r="BK10">
        <f>'Monthly Data'!BK58</f>
        <v>0</v>
      </c>
      <c r="BL10">
        <f>'Monthly Data'!BL58</f>
        <v>0</v>
      </c>
      <c r="BM10">
        <f>'Monthly Data'!BM58</f>
        <v>1</v>
      </c>
      <c r="BN10">
        <f>'Monthly Data'!BN58</f>
        <v>0</v>
      </c>
      <c r="BO10">
        <f>'Monthly Data'!BO58</f>
        <v>0</v>
      </c>
      <c r="BP10">
        <f>'Monthly Data'!BP58</f>
        <v>0</v>
      </c>
      <c r="BQ10">
        <f>'Monthly Data'!BQ58</f>
        <v>0</v>
      </c>
      <c r="BR10">
        <f>'Monthly Data'!BR58</f>
        <v>1</v>
      </c>
      <c r="BS10">
        <f>'Monthly Data'!BS58</f>
        <v>1</v>
      </c>
      <c r="BT10" s="1">
        <f>'Monthly Data'!BT58</f>
        <v>57</v>
      </c>
      <c r="BU10">
        <f>'Monthly Data'!BU58</f>
        <v>30</v>
      </c>
      <c r="BV10">
        <f>'Monthly Data'!BV58</f>
        <v>19</v>
      </c>
      <c r="BW10" s="1">
        <f>'Monthly Data'!BW58</f>
        <v>1</v>
      </c>
      <c r="BX10" s="1">
        <f>'Monthly Data'!BX58</f>
        <v>0.5</v>
      </c>
      <c r="BY10" s="1">
        <f>'Monthly Data'!BY58</f>
        <v>1</v>
      </c>
      <c r="BZ10" s="1">
        <f>'Monthly Data'!BZ58</f>
        <v>0</v>
      </c>
      <c r="CA10">
        <f>'Monthly Data'!CA58</f>
        <v>103.33749999999999</v>
      </c>
      <c r="CB10">
        <f>'Monthly Data'!CB58</f>
        <v>8.1249999999997158E-2</v>
      </c>
      <c r="CC10">
        <f>'Monthly Data'!CC58</f>
        <v>76.70208333333332</v>
      </c>
      <c r="CD10">
        <f>'Monthly Data'!CD58</f>
        <v>3.4458333333333311</v>
      </c>
      <c r="CE10">
        <f>'Monthly Data'!CE58</f>
        <v>52.433333333333344</v>
      </c>
      <c r="CF10">
        <f>'Monthly Data'!CF58</f>
        <v>9.1770833333333339</v>
      </c>
      <c r="CG10">
        <f>'Monthly Data'!CG58</f>
        <v>33.375000000000007</v>
      </c>
      <c r="CH10">
        <f>'Monthly Data'!CH58</f>
        <v>20.118749999999995</v>
      </c>
      <c r="CI10">
        <f>'Monthly Data'!CI58</f>
        <v>17.420833333333334</v>
      </c>
      <c r="CJ10">
        <f>'Monthly Data'!CJ58</f>
        <v>34.16458333333334</v>
      </c>
      <c r="CK10">
        <f>'Monthly Data'!CK58</f>
        <v>8.2187500000000036</v>
      </c>
      <c r="CL10">
        <f>'Monthly Data'!CL58</f>
        <v>54.962499999999999</v>
      </c>
      <c r="CM10">
        <f>'Monthly Data'!CM58</f>
        <v>2.6520833333333353</v>
      </c>
      <c r="CN10">
        <f>'Monthly Data'!CN58</f>
        <v>79.395833333333314</v>
      </c>
      <c r="CO10" s="14">
        <f>'Monthly Data'!CO58</f>
        <v>206.67499999999998</v>
      </c>
      <c r="CP10" s="14">
        <f>'Monthly Data'!CP58</f>
        <v>0.16249999999999432</v>
      </c>
      <c r="CQ10" s="14">
        <f>'Monthly Data'!CQ58</f>
        <v>153.40416666666664</v>
      </c>
      <c r="CR10" s="14">
        <f>'Monthly Data'!CR58</f>
        <v>6.8916666666666622</v>
      </c>
      <c r="CS10" s="14">
        <f>'Monthly Data'!CS58</f>
        <v>104.86666666666669</v>
      </c>
      <c r="CT10" s="14">
        <f>'Monthly Data'!CT58</f>
        <v>18.354166666666668</v>
      </c>
      <c r="CU10" s="14">
        <f>'Monthly Data'!CU58</f>
        <v>66.750000000000014</v>
      </c>
      <c r="CV10" s="14">
        <f>'Monthly Data'!CV58</f>
        <v>40.23749999999999</v>
      </c>
      <c r="CW10" s="14">
        <f>'Monthly Data'!CW58</f>
        <v>34.841666666666669</v>
      </c>
      <c r="CX10" s="14">
        <f>'Monthly Data'!CX58</f>
        <v>68.32916666666668</v>
      </c>
      <c r="CY10" s="14">
        <f>'Monthly Data'!CY58</f>
        <v>16.437500000000007</v>
      </c>
      <c r="CZ10" s="14">
        <f>'Monthly Data'!CZ58</f>
        <v>109.925</v>
      </c>
      <c r="DA10" s="14">
        <f>'Monthly Data'!DA58</f>
        <v>5.3041666666666707</v>
      </c>
      <c r="DB10" s="14">
        <f>'Monthly Data'!DB58</f>
        <v>158.79166666666663</v>
      </c>
      <c r="DC10" s="72">
        <f>'Monthly Data'!DC58</f>
        <v>560.42267770571175</v>
      </c>
      <c r="DD10" s="72">
        <f>'Monthly Data'!DD58</f>
        <v>18.680755923523726</v>
      </c>
      <c r="DE10" s="71">
        <f>'Monthly Data'!DE58</f>
        <v>186433.94411676677</v>
      </c>
      <c r="DF10" s="72">
        <f>'Monthly Data'!DF58</f>
        <v>1520.9634120954054</v>
      </c>
      <c r="DG10" s="72">
        <f>'Monthly Data'!DG58</f>
        <v>50.69878040318018</v>
      </c>
      <c r="DH10" s="72">
        <f>'Monthly Data'!DH58</f>
        <v>64590.246233651545</v>
      </c>
      <c r="DI10" s="72">
        <f>'Monthly Data'!DI58</f>
        <v>32359.079351528821</v>
      </c>
      <c r="DJ10" s="72">
        <f>'Monthly Data'!DJ58</f>
        <v>1078.635978384294</v>
      </c>
      <c r="DK10" s="72">
        <f>'Monthly Data'!DK58</f>
        <v>1703.1094395541484</v>
      </c>
      <c r="DL10" s="72">
        <f>'Monthly Data'!DL58</f>
        <v>161795.39675764411</v>
      </c>
      <c r="DM10" s="72">
        <f>'Monthly Data'!DM58</f>
        <v>255466.41593312228</v>
      </c>
    </row>
    <row r="11" spans="1:117">
      <c r="A11" s="93">
        <f>'Monthly Data'!A59</f>
        <v>44105</v>
      </c>
      <c r="B11" s="4">
        <f>'Monthly Data'!B59</f>
        <v>2020</v>
      </c>
      <c r="C11" s="4">
        <f>'Monthly Data'!C59</f>
        <v>10</v>
      </c>
      <c r="D11" s="56">
        <f>'Monthly Data'!D59</f>
        <v>6120244</v>
      </c>
      <c r="E11" s="56">
        <f>'Monthly Data'!E59</f>
        <v>161864.34273377305</v>
      </c>
      <c r="F11" s="56">
        <f>'Monthly Data'!F59</f>
        <v>6282108.3427337734</v>
      </c>
      <c r="G11" s="301">
        <f>'Monthly Data'!G59</f>
        <v>9996</v>
      </c>
      <c r="H11" s="56">
        <f>'Monthly Data'!H59</f>
        <v>1924819</v>
      </c>
      <c r="I11" s="56">
        <f>'Monthly Data'!I59</f>
        <v>154981.02819884708</v>
      </c>
      <c r="J11" s="56">
        <f>'Monthly Data'!J59</f>
        <v>2079800.0281988471</v>
      </c>
      <c r="K11" s="6">
        <f>'Monthly Data'!K59</f>
        <v>1272</v>
      </c>
      <c r="L11" s="5">
        <f>'Monthly Data'!L59</f>
        <v>5012347</v>
      </c>
      <c r="M11" s="2">
        <f>'Monthly Data'!M59</f>
        <v>135063.52022809393</v>
      </c>
      <c r="N11" s="56">
        <f>'Monthly Data'!N59</f>
        <v>5147410.5202280935</v>
      </c>
      <c r="O11" s="5">
        <f>'Monthly Data'!O59</f>
        <v>16239</v>
      </c>
      <c r="P11" s="6">
        <f>'Monthly Data'!P59</f>
        <v>150</v>
      </c>
      <c r="Q11" s="5">
        <f>'Monthly Data'!Q59</f>
        <v>94879</v>
      </c>
      <c r="R11" s="5">
        <f>'Monthly Data'!R59</f>
        <v>236</v>
      </c>
      <c r="S11" s="6">
        <f>'Monthly Data'!S59</f>
        <v>2920</v>
      </c>
      <c r="T11" s="6">
        <f>'Monthly Data'!T59</f>
        <v>16089</v>
      </c>
      <c r="U11" s="6">
        <f>'Monthly Data'!U59</f>
        <v>42</v>
      </c>
      <c r="V11" s="6">
        <f>'Monthly Data'!V59</f>
        <v>171</v>
      </c>
      <c r="W11" s="5">
        <f>'Monthly Data'!W59</f>
        <v>49975</v>
      </c>
      <c r="X11" s="56">
        <f>'Monthly Data'!X59</f>
        <v>19</v>
      </c>
      <c r="Y11" s="56">
        <f>'Monthly Data'!Y59</f>
        <v>1991.2</v>
      </c>
      <c r="Z11" s="56">
        <f>'Monthly Data'!Z59</f>
        <v>2896</v>
      </c>
      <c r="AA11" s="56">
        <f>'Monthly Data'!AA59</f>
        <v>5010355.8</v>
      </c>
      <c r="AB11" s="56">
        <f>'Monthly Data'!AB59</f>
        <v>5145419.3202280933</v>
      </c>
      <c r="AC11" s="56">
        <f>'Monthly Data'!AC59</f>
        <v>13343</v>
      </c>
      <c r="AD11" s="111">
        <f>'Monthly Data'!AD59</f>
        <v>769942</v>
      </c>
      <c r="AE11" s="111">
        <f>'Monthly Data'!AE59</f>
        <v>797313</v>
      </c>
      <c r="AF11" s="111">
        <f>'Monthly Data'!AF59</f>
        <v>7186.6</v>
      </c>
      <c r="AG11" s="111">
        <f>'Monthly Data'!AG59</f>
        <v>7210.7</v>
      </c>
      <c r="AH11" s="111">
        <f>'Monthly Data'!AH59</f>
        <v>591.20000000000005</v>
      </c>
      <c r="AI11" s="111">
        <f>'Monthly Data'!AI59</f>
        <v>588.29999999999995</v>
      </c>
      <c r="AJ11" s="111">
        <f>'Monthly Data'!AJ59</f>
        <v>-263.39999999999964</v>
      </c>
      <c r="AK11" s="111">
        <f>'Monthly Data'!AK59</f>
        <v>-280.40000000000055</v>
      </c>
      <c r="AL11" s="111">
        <f>'Monthly Data'!AL59</f>
        <v>-47.899999999999977</v>
      </c>
      <c r="AM11" s="111">
        <f>'Monthly Data'!AM59</f>
        <v>-47.5</v>
      </c>
      <c r="AN11" s="111">
        <f>'Monthly Data'!AN59</f>
        <v>-37332.5</v>
      </c>
      <c r="AO11" s="111">
        <f>'Monthly Data'!AO59</f>
        <v>19019</v>
      </c>
      <c r="AP11" s="28">
        <f>'Monthly Data'!AP59</f>
        <v>6.0559139784946225</v>
      </c>
      <c r="AQ11" s="28">
        <f>'Monthly Data'!AQ59</f>
        <v>432.26666666666665</v>
      </c>
      <c r="AR11" s="28">
        <f>'Monthly Data'!AR59</f>
        <v>0</v>
      </c>
      <c r="AS11" s="28">
        <f>'Monthly Data'!AS59</f>
        <v>370.26666666666665</v>
      </c>
      <c r="AT11" s="28">
        <f>'Monthly Data'!AT59</f>
        <v>0</v>
      </c>
      <c r="AU11" s="28">
        <f>'Monthly Data'!AU59</f>
        <v>308.26666666666671</v>
      </c>
      <c r="AV11" s="28">
        <f>'Monthly Data'!AV59</f>
        <v>0</v>
      </c>
      <c r="AW11" s="28">
        <f>'Monthly Data'!AW59</f>
        <v>246.71666666666667</v>
      </c>
      <c r="AX11" s="28">
        <f>'Monthly Data'!AX59</f>
        <v>0.45000000000000107</v>
      </c>
      <c r="AY11" s="28">
        <f>'Monthly Data'!AY59</f>
        <v>188.41666666666663</v>
      </c>
      <c r="AZ11" s="28">
        <f>'Monthly Data'!AZ59</f>
        <v>4.1500000000000021</v>
      </c>
      <c r="BA11" s="28">
        <f>'Monthly Data'!BA59</f>
        <v>132.30000000000001</v>
      </c>
      <c r="BB11" s="28">
        <f>'Monthly Data'!BB59</f>
        <v>10.033333333333337</v>
      </c>
      <c r="BC11" s="28">
        <f>'Monthly Data'!BC59</f>
        <v>88.15000000000002</v>
      </c>
      <c r="BD11" s="28">
        <f>'Monthly Data'!BD59</f>
        <v>27.883333333333333</v>
      </c>
      <c r="BE11">
        <f>'Monthly Data'!BE59</f>
        <v>0</v>
      </c>
      <c r="BF11">
        <f>'Monthly Data'!BF59</f>
        <v>0</v>
      </c>
      <c r="BG11">
        <f>'Monthly Data'!BG59</f>
        <v>0</v>
      </c>
      <c r="BH11">
        <f>'Monthly Data'!BH59</f>
        <v>0</v>
      </c>
      <c r="BI11">
        <f>'Monthly Data'!BI59</f>
        <v>0</v>
      </c>
      <c r="BJ11">
        <f>'Monthly Data'!BJ59</f>
        <v>0</v>
      </c>
      <c r="BK11">
        <f>'Monthly Data'!BK59</f>
        <v>0</v>
      </c>
      <c r="BL11">
        <f>'Monthly Data'!BL59</f>
        <v>0</v>
      </c>
      <c r="BM11">
        <f>'Monthly Data'!BM59</f>
        <v>0</v>
      </c>
      <c r="BN11">
        <f>'Monthly Data'!BN59</f>
        <v>1</v>
      </c>
      <c r="BO11">
        <f>'Monthly Data'!BO59</f>
        <v>0</v>
      </c>
      <c r="BP11">
        <f>'Monthly Data'!BP59</f>
        <v>0</v>
      </c>
      <c r="BQ11">
        <f>'Monthly Data'!BQ59</f>
        <v>0</v>
      </c>
      <c r="BR11">
        <f>'Monthly Data'!BR59</f>
        <v>1</v>
      </c>
      <c r="BS11">
        <f>'Monthly Data'!BS59</f>
        <v>1</v>
      </c>
      <c r="BT11" s="1">
        <f>'Monthly Data'!BT59</f>
        <v>58</v>
      </c>
      <c r="BU11">
        <f>'Monthly Data'!BU59</f>
        <v>31</v>
      </c>
      <c r="BV11">
        <f>'Monthly Data'!BV59</f>
        <v>22</v>
      </c>
      <c r="BW11" s="1">
        <f>'Monthly Data'!BW59</f>
        <v>1</v>
      </c>
      <c r="BX11" s="1">
        <f>'Monthly Data'!BX59</f>
        <v>0.5</v>
      </c>
      <c r="BY11" s="1">
        <f>'Monthly Data'!BY59</f>
        <v>1</v>
      </c>
      <c r="BZ11" s="1">
        <f>'Monthly Data'!BZ59</f>
        <v>0</v>
      </c>
      <c r="CA11">
        <f>'Monthly Data'!CA59</f>
        <v>216.13333333333333</v>
      </c>
      <c r="CB11">
        <f>'Monthly Data'!CB59</f>
        <v>0</v>
      </c>
      <c r="CC11">
        <f>'Monthly Data'!CC59</f>
        <v>185.13333333333333</v>
      </c>
      <c r="CD11">
        <f>'Monthly Data'!CD59</f>
        <v>0</v>
      </c>
      <c r="CE11">
        <f>'Monthly Data'!CE59</f>
        <v>154.13333333333335</v>
      </c>
      <c r="CF11">
        <f>'Monthly Data'!CF59</f>
        <v>0</v>
      </c>
      <c r="CG11">
        <f>'Monthly Data'!CG59</f>
        <v>123.35833333333333</v>
      </c>
      <c r="CH11">
        <f>'Monthly Data'!CH59</f>
        <v>0.22500000000000053</v>
      </c>
      <c r="CI11">
        <f>'Monthly Data'!CI59</f>
        <v>94.208333333333314</v>
      </c>
      <c r="CJ11">
        <f>'Monthly Data'!CJ59</f>
        <v>2.0750000000000011</v>
      </c>
      <c r="CK11">
        <f>'Monthly Data'!CK59</f>
        <v>66.150000000000006</v>
      </c>
      <c r="CL11">
        <f>'Monthly Data'!CL59</f>
        <v>5.0166666666666684</v>
      </c>
      <c r="CM11">
        <f>'Monthly Data'!CM59</f>
        <v>44.07500000000001</v>
      </c>
      <c r="CN11">
        <f>'Monthly Data'!CN59</f>
        <v>13.941666666666666</v>
      </c>
      <c r="CO11" s="14">
        <f>'Monthly Data'!CO59</f>
        <v>432.26666666666665</v>
      </c>
      <c r="CP11" s="14">
        <f>'Monthly Data'!CP59</f>
        <v>0</v>
      </c>
      <c r="CQ11" s="14">
        <f>'Monthly Data'!CQ59</f>
        <v>370.26666666666665</v>
      </c>
      <c r="CR11" s="14">
        <f>'Monthly Data'!CR59</f>
        <v>0</v>
      </c>
      <c r="CS11" s="14">
        <f>'Monthly Data'!CS59</f>
        <v>308.26666666666671</v>
      </c>
      <c r="CT11" s="14">
        <f>'Monthly Data'!CT59</f>
        <v>0</v>
      </c>
      <c r="CU11" s="14">
        <f>'Monthly Data'!CU59</f>
        <v>246.71666666666667</v>
      </c>
      <c r="CV11" s="14">
        <f>'Monthly Data'!CV59</f>
        <v>0.45000000000000107</v>
      </c>
      <c r="CW11" s="14">
        <f>'Monthly Data'!CW59</f>
        <v>188.41666666666663</v>
      </c>
      <c r="CX11" s="14">
        <f>'Monthly Data'!CX59</f>
        <v>4.1500000000000021</v>
      </c>
      <c r="CY11" s="14">
        <f>'Monthly Data'!CY59</f>
        <v>132.30000000000001</v>
      </c>
      <c r="CZ11" s="14">
        <f>'Monthly Data'!CZ59</f>
        <v>10.033333333333337</v>
      </c>
      <c r="DA11" s="14">
        <f>'Monthly Data'!DA59</f>
        <v>88.15000000000002</v>
      </c>
      <c r="DB11" s="14">
        <f>'Monthly Data'!DB59</f>
        <v>27.883333333333333</v>
      </c>
      <c r="DC11" s="72">
        <f>'Monthly Data'!DC59</f>
        <v>628.46221916104173</v>
      </c>
      <c r="DD11" s="72">
        <f>'Monthly Data'!DD59</f>
        <v>20.272974811646506</v>
      </c>
      <c r="DE11" s="71">
        <f>'Monthly Data'!DE59</f>
        <v>202648.65621721849</v>
      </c>
      <c r="DF11" s="72">
        <f>'Monthly Data'!DF59</f>
        <v>1635.062915250666</v>
      </c>
      <c r="DG11" s="72">
        <f>'Monthly Data'!DG59</f>
        <v>52.743965008086001</v>
      </c>
      <c r="DH11" s="72">
        <f>'Monthly Data'!DH59</f>
        <v>67090.323490285387</v>
      </c>
      <c r="DI11" s="72">
        <f>'Monthly Data'!DI59</f>
        <v>34316.070134853959</v>
      </c>
      <c r="DJ11" s="72">
        <f>'Monthly Data'!DJ59</f>
        <v>1106.9700043501277</v>
      </c>
      <c r="DK11" s="72">
        <f>'Monthly Data'!DK59</f>
        <v>1559.821369766089</v>
      </c>
      <c r="DL11" s="72">
        <f>'Monthly Data'!DL59</f>
        <v>166045.50065251914</v>
      </c>
      <c r="DM11" s="72">
        <f>'Monthly Data'!DM59</f>
        <v>233973.20546491334</v>
      </c>
    </row>
    <row r="12" spans="1:117">
      <c r="A12" s="93">
        <f>'Monthly Data'!A60</f>
        <v>44136</v>
      </c>
      <c r="B12" s="4">
        <f>'Monthly Data'!B60</f>
        <v>2020</v>
      </c>
      <c r="C12" s="4">
        <f>'Monthly Data'!C60</f>
        <v>11</v>
      </c>
      <c r="D12" s="56">
        <f>'Monthly Data'!D60</f>
        <v>6617422</v>
      </c>
      <c r="E12" s="56">
        <f>'Monthly Data'!E60</f>
        <v>161866.36196454227</v>
      </c>
      <c r="F12" s="56">
        <f>'Monthly Data'!F60</f>
        <v>6779288.3619645424</v>
      </c>
      <c r="G12" s="301">
        <f>'Monthly Data'!G60</f>
        <v>10001</v>
      </c>
      <c r="H12" s="56">
        <f>'Monthly Data'!H60</f>
        <v>2153940</v>
      </c>
      <c r="I12" s="56">
        <f>'Monthly Data'!I60</f>
        <v>154596.66938814783</v>
      </c>
      <c r="J12" s="56">
        <f>'Monthly Data'!J60</f>
        <v>2308536.669388148</v>
      </c>
      <c r="K12" s="6">
        <f>'Monthly Data'!K60</f>
        <v>1275</v>
      </c>
      <c r="L12" s="5">
        <f>'Monthly Data'!L60</f>
        <v>5211201</v>
      </c>
      <c r="M12" s="2">
        <f>'Monthly Data'!M60</f>
        <v>134933.13772686492</v>
      </c>
      <c r="N12" s="56">
        <f>'Monthly Data'!N60</f>
        <v>5346134.1377268648</v>
      </c>
      <c r="O12" s="5">
        <f>'Monthly Data'!O60</f>
        <v>19093</v>
      </c>
      <c r="P12" s="6">
        <f>'Monthly Data'!P60</f>
        <v>150</v>
      </c>
      <c r="Q12" s="5">
        <f>'Monthly Data'!Q60</f>
        <v>101060</v>
      </c>
      <c r="R12" s="5">
        <f>'Monthly Data'!R60</f>
        <v>236</v>
      </c>
      <c r="S12" s="6">
        <f>'Monthly Data'!S60</f>
        <v>2920</v>
      </c>
      <c r="T12" s="6">
        <f>'Monthly Data'!T60</f>
        <v>16052</v>
      </c>
      <c r="U12" s="6">
        <f>'Monthly Data'!U60</f>
        <v>43</v>
      </c>
      <c r="V12" s="6">
        <f>'Monthly Data'!V60</f>
        <v>171</v>
      </c>
      <c r="W12" s="5">
        <f>'Monthly Data'!W60</f>
        <v>52957</v>
      </c>
      <c r="X12" s="56">
        <f>'Monthly Data'!X60</f>
        <v>19</v>
      </c>
      <c r="Y12" s="56">
        <f>'Monthly Data'!Y60</f>
        <v>4040</v>
      </c>
      <c r="Z12" s="56">
        <f>'Monthly Data'!Z60</f>
        <v>5180.8</v>
      </c>
      <c r="AA12" s="56">
        <f>'Monthly Data'!AA60</f>
        <v>5207161</v>
      </c>
      <c r="AB12" s="56">
        <f>'Monthly Data'!AB60</f>
        <v>5342094.1377268648</v>
      </c>
      <c r="AC12" s="56">
        <f>'Monthly Data'!AC60</f>
        <v>13912.2</v>
      </c>
      <c r="AD12" s="111">
        <f>'Monthly Data'!AD60</f>
        <v>769942</v>
      </c>
      <c r="AE12" s="111">
        <f>'Monthly Data'!AE60</f>
        <v>797313</v>
      </c>
      <c r="AF12" s="111">
        <f>'Monthly Data'!AF60</f>
        <v>7271.8</v>
      </c>
      <c r="AG12" s="111">
        <f>'Monthly Data'!AG60</f>
        <v>7283</v>
      </c>
      <c r="AH12" s="111">
        <f>'Monthly Data'!AH60</f>
        <v>592.70000000000005</v>
      </c>
      <c r="AI12" s="111">
        <f>'Monthly Data'!AI60</f>
        <v>588.9</v>
      </c>
      <c r="AJ12" s="111">
        <f>'Monthly Data'!AJ60</f>
        <v>-186.39999999999964</v>
      </c>
      <c r="AK12" s="111">
        <f>'Monthly Data'!AK60</f>
        <v>-196.5</v>
      </c>
      <c r="AL12" s="111">
        <f>'Monthly Data'!AL60</f>
        <v>-47.199999999999932</v>
      </c>
      <c r="AM12" s="111">
        <f>'Monthly Data'!AM60</f>
        <v>-48.100000000000023</v>
      </c>
      <c r="AN12" s="111">
        <f>'Monthly Data'!AN60</f>
        <v>-37332.5</v>
      </c>
      <c r="AO12" s="111">
        <f>'Monthly Data'!AO60</f>
        <v>19019</v>
      </c>
      <c r="AP12" s="28">
        <f>'Monthly Data'!AP60</f>
        <v>2.8723611111111098</v>
      </c>
      <c r="AQ12" s="28">
        <f>'Monthly Data'!AQ60</f>
        <v>513.82916666666665</v>
      </c>
      <c r="AR12" s="28">
        <f>'Monthly Data'!AR60</f>
        <v>0</v>
      </c>
      <c r="AS12" s="28">
        <f>'Monthly Data'!AS60</f>
        <v>453.82916666666659</v>
      </c>
      <c r="AT12" s="28">
        <f>'Monthly Data'!AT60</f>
        <v>0</v>
      </c>
      <c r="AU12" s="28">
        <f>'Monthly Data'!AU60</f>
        <v>393.82916666666659</v>
      </c>
      <c r="AV12" s="28">
        <f>'Monthly Data'!AV60</f>
        <v>0</v>
      </c>
      <c r="AW12" s="28">
        <f>'Monthly Data'!AW60</f>
        <v>334.75416666666661</v>
      </c>
      <c r="AX12" s="28">
        <f>'Monthly Data'!AX60</f>
        <v>0.92499999999999893</v>
      </c>
      <c r="AY12" s="28">
        <f>'Monthly Data'!AY60</f>
        <v>278.90416666666664</v>
      </c>
      <c r="AZ12" s="28">
        <f>'Monthly Data'!AZ60</f>
        <v>5.0749999999999975</v>
      </c>
      <c r="BA12" s="28">
        <f>'Monthly Data'!BA60</f>
        <v>227.23750000000001</v>
      </c>
      <c r="BB12" s="28">
        <f>'Monthly Data'!BB60</f>
        <v>13.40833333333333</v>
      </c>
      <c r="BC12" s="28">
        <f>'Monthly Data'!BC60</f>
        <v>180.48333333333335</v>
      </c>
      <c r="BD12" s="28">
        <f>'Monthly Data'!BD60</f>
        <v>26.654166666666661</v>
      </c>
      <c r="BE12">
        <f>'Monthly Data'!BE60</f>
        <v>0</v>
      </c>
      <c r="BF12">
        <f>'Monthly Data'!BF60</f>
        <v>0</v>
      </c>
      <c r="BG12">
        <f>'Monthly Data'!BG60</f>
        <v>0</v>
      </c>
      <c r="BH12">
        <f>'Monthly Data'!BH60</f>
        <v>0</v>
      </c>
      <c r="BI12">
        <f>'Monthly Data'!BI60</f>
        <v>0</v>
      </c>
      <c r="BJ12">
        <f>'Monthly Data'!BJ60</f>
        <v>0</v>
      </c>
      <c r="BK12">
        <f>'Monthly Data'!BK60</f>
        <v>0</v>
      </c>
      <c r="BL12">
        <f>'Monthly Data'!BL60</f>
        <v>0</v>
      </c>
      <c r="BM12">
        <f>'Monthly Data'!BM60</f>
        <v>0</v>
      </c>
      <c r="BN12">
        <f>'Monthly Data'!BN60</f>
        <v>0</v>
      </c>
      <c r="BO12">
        <f>'Monthly Data'!BO60</f>
        <v>1</v>
      </c>
      <c r="BP12">
        <f>'Monthly Data'!BP60</f>
        <v>0</v>
      </c>
      <c r="BQ12">
        <f>'Monthly Data'!BQ60</f>
        <v>0</v>
      </c>
      <c r="BR12">
        <f>'Monthly Data'!BR60</f>
        <v>1</v>
      </c>
      <c r="BS12">
        <f>'Monthly Data'!BS60</f>
        <v>1</v>
      </c>
      <c r="BT12" s="1">
        <f>'Monthly Data'!BT60</f>
        <v>59</v>
      </c>
      <c r="BU12">
        <f>'Monthly Data'!BU60</f>
        <v>30</v>
      </c>
      <c r="BV12">
        <f>'Monthly Data'!BV60</f>
        <v>22</v>
      </c>
      <c r="BW12" s="1">
        <f>'Monthly Data'!BW60</f>
        <v>1</v>
      </c>
      <c r="BX12" s="1">
        <f>'Monthly Data'!BX60</f>
        <v>0.5</v>
      </c>
      <c r="BY12" s="1">
        <f>'Monthly Data'!BY60</f>
        <v>1</v>
      </c>
      <c r="BZ12" s="1">
        <f>'Monthly Data'!BZ60</f>
        <v>0</v>
      </c>
      <c r="CA12">
        <f>'Monthly Data'!CA60</f>
        <v>256.91458333333333</v>
      </c>
      <c r="CB12">
        <f>'Monthly Data'!CB60</f>
        <v>0</v>
      </c>
      <c r="CC12">
        <f>'Monthly Data'!CC60</f>
        <v>226.9145833333333</v>
      </c>
      <c r="CD12">
        <f>'Monthly Data'!CD60</f>
        <v>0</v>
      </c>
      <c r="CE12">
        <f>'Monthly Data'!CE60</f>
        <v>196.9145833333333</v>
      </c>
      <c r="CF12">
        <f>'Monthly Data'!CF60</f>
        <v>0</v>
      </c>
      <c r="CG12">
        <f>'Monthly Data'!CG60</f>
        <v>167.3770833333333</v>
      </c>
      <c r="CH12">
        <f>'Monthly Data'!CH60</f>
        <v>0.46249999999999947</v>
      </c>
      <c r="CI12">
        <f>'Monthly Data'!CI60</f>
        <v>139.45208333333332</v>
      </c>
      <c r="CJ12">
        <f>'Monthly Data'!CJ60</f>
        <v>2.5374999999999988</v>
      </c>
      <c r="CK12">
        <f>'Monthly Data'!CK60</f>
        <v>113.61875000000001</v>
      </c>
      <c r="CL12">
        <f>'Monthly Data'!CL60</f>
        <v>6.7041666666666648</v>
      </c>
      <c r="CM12">
        <f>'Monthly Data'!CM60</f>
        <v>90.241666666666674</v>
      </c>
      <c r="CN12">
        <f>'Monthly Data'!CN60</f>
        <v>13.327083333333331</v>
      </c>
      <c r="CO12" s="14">
        <f>'Monthly Data'!CO60</f>
        <v>513.82916666666665</v>
      </c>
      <c r="CP12" s="14">
        <f>'Monthly Data'!CP60</f>
        <v>0</v>
      </c>
      <c r="CQ12" s="14">
        <f>'Monthly Data'!CQ60</f>
        <v>453.82916666666659</v>
      </c>
      <c r="CR12" s="14">
        <f>'Monthly Data'!CR60</f>
        <v>0</v>
      </c>
      <c r="CS12" s="14">
        <f>'Monthly Data'!CS60</f>
        <v>393.82916666666659</v>
      </c>
      <c r="CT12" s="14">
        <f>'Monthly Data'!CT60</f>
        <v>0</v>
      </c>
      <c r="CU12" s="14">
        <f>'Monthly Data'!CU60</f>
        <v>334.75416666666661</v>
      </c>
      <c r="CV12" s="14">
        <f>'Monthly Data'!CV60</f>
        <v>0.92499999999999893</v>
      </c>
      <c r="CW12" s="14">
        <f>'Monthly Data'!CW60</f>
        <v>278.90416666666664</v>
      </c>
      <c r="CX12" s="14">
        <f>'Monthly Data'!CX60</f>
        <v>5.0749999999999975</v>
      </c>
      <c r="CY12" s="14">
        <f>'Monthly Data'!CY60</f>
        <v>227.23750000000001</v>
      </c>
      <c r="CZ12" s="14">
        <f>'Monthly Data'!CZ60</f>
        <v>13.40833333333333</v>
      </c>
      <c r="DA12" s="14">
        <f>'Monthly Data'!DA60</f>
        <v>180.48333333333335</v>
      </c>
      <c r="DB12" s="14">
        <f>'Monthly Data'!DB60</f>
        <v>26.654166666666661</v>
      </c>
      <c r="DC12" s="72">
        <f>'Monthly Data'!DC60</f>
        <v>677.86105009144512</v>
      </c>
      <c r="DD12" s="72">
        <f>'Monthly Data'!DD60</f>
        <v>22.595368336381505</v>
      </c>
      <c r="DE12" s="71">
        <f>'Monthly Data'!DE60</f>
        <v>225976.2787321514</v>
      </c>
      <c r="DF12" s="72">
        <f>'Monthly Data'!DF60</f>
        <v>1810.6169955985474</v>
      </c>
      <c r="DG12" s="72">
        <f>'Monthly Data'!DG60</f>
        <v>60.353899853284915</v>
      </c>
      <c r="DH12" s="72">
        <f>'Monthly Data'!DH60</f>
        <v>76951.222312938262</v>
      </c>
      <c r="DI12" s="72">
        <f>'Monthly Data'!DI60</f>
        <v>35640.894251512429</v>
      </c>
      <c r="DJ12" s="72">
        <f>'Monthly Data'!DJ60</f>
        <v>1188.0298083837476</v>
      </c>
      <c r="DK12" s="72">
        <f>'Monthly Data'!DK60</f>
        <v>1620.0406477960196</v>
      </c>
      <c r="DL12" s="72">
        <f>'Monthly Data'!DL60</f>
        <v>178204.47125756217</v>
      </c>
      <c r="DM12" s="72">
        <f>'Monthly Data'!DM60</f>
        <v>243006.09716940296</v>
      </c>
    </row>
    <row r="13" spans="1:117">
      <c r="A13" s="93">
        <f>'Monthly Data'!A61</f>
        <v>44166</v>
      </c>
      <c r="B13" s="4">
        <f>'Monthly Data'!B61</f>
        <v>2020</v>
      </c>
      <c r="C13" s="4">
        <f>'Monthly Data'!C61</f>
        <v>12</v>
      </c>
      <c r="D13" s="56">
        <f>'Monthly Data'!D61</f>
        <v>8621253</v>
      </c>
      <c r="E13" s="56">
        <f>'Monthly Data'!E61</f>
        <v>161868.38119531152</v>
      </c>
      <c r="F13" s="56">
        <f>'Monthly Data'!F61</f>
        <v>8783121.3811953124</v>
      </c>
      <c r="G13" s="301">
        <f>'Monthly Data'!G61</f>
        <v>10019</v>
      </c>
      <c r="H13" s="56">
        <f>'Monthly Data'!H61</f>
        <v>2603393</v>
      </c>
      <c r="I13" s="56">
        <f>'Monthly Data'!I61</f>
        <v>154212.31057744854</v>
      </c>
      <c r="J13" s="56">
        <f>'Monthly Data'!J61</f>
        <v>2757605.3105774485</v>
      </c>
      <c r="K13" s="6">
        <f>'Monthly Data'!K61</f>
        <v>1273</v>
      </c>
      <c r="L13" s="5">
        <f>'Monthly Data'!L61</f>
        <v>6193301</v>
      </c>
      <c r="M13" s="2">
        <f>'Monthly Data'!M61</f>
        <v>134802.75522563592</v>
      </c>
      <c r="N13" s="56">
        <f>'Monthly Data'!N61</f>
        <v>6328103.7552256361</v>
      </c>
      <c r="O13" s="5">
        <f>'Monthly Data'!O61</f>
        <v>19008</v>
      </c>
      <c r="P13" s="6">
        <f>'Monthly Data'!P61</f>
        <v>150</v>
      </c>
      <c r="Q13" s="5">
        <f>'Monthly Data'!Q61</f>
        <v>109459</v>
      </c>
      <c r="R13" s="5">
        <f>'Monthly Data'!R61</f>
        <v>236</v>
      </c>
      <c r="S13" s="6">
        <f>'Monthly Data'!S61</f>
        <v>2920</v>
      </c>
      <c r="T13" s="6">
        <f>'Monthly Data'!T61</f>
        <v>15752</v>
      </c>
      <c r="U13" s="6">
        <f>'Monthly Data'!U61</f>
        <v>43</v>
      </c>
      <c r="V13" s="6">
        <f>'Monthly Data'!V61</f>
        <v>171</v>
      </c>
      <c r="W13" s="5">
        <f>'Monthly Data'!W61</f>
        <v>53209</v>
      </c>
      <c r="X13" s="56">
        <f>'Monthly Data'!X61</f>
        <v>19</v>
      </c>
      <c r="Y13" s="56">
        <f>'Monthly Data'!Y61</f>
        <v>8307.2000000000007</v>
      </c>
      <c r="Z13" s="56">
        <f>'Monthly Data'!Z61</f>
        <v>4297.6000000000004</v>
      </c>
      <c r="AA13" s="56">
        <f>'Monthly Data'!AA61</f>
        <v>6184993.7999999998</v>
      </c>
      <c r="AB13" s="56">
        <f>'Monthly Data'!AB61</f>
        <v>6319796.5552256359</v>
      </c>
      <c r="AC13" s="56">
        <f>'Monthly Data'!AC61</f>
        <v>14710.4</v>
      </c>
      <c r="AD13" s="111">
        <f>'Monthly Data'!AD61</f>
        <v>769942</v>
      </c>
      <c r="AE13" s="111">
        <f>'Monthly Data'!AE61</f>
        <v>797313</v>
      </c>
      <c r="AF13" s="111">
        <f>'Monthly Data'!AF61</f>
        <v>7289.8</v>
      </c>
      <c r="AG13" s="111">
        <f>'Monthly Data'!AG61</f>
        <v>7300.6</v>
      </c>
      <c r="AH13" s="111">
        <f>'Monthly Data'!AH61</f>
        <v>596.70000000000005</v>
      </c>
      <c r="AI13" s="111">
        <f>'Monthly Data'!AI61</f>
        <v>594.4</v>
      </c>
      <c r="AJ13" s="111">
        <f>'Monthly Data'!AJ61</f>
        <v>-184.19999999999982</v>
      </c>
      <c r="AK13" s="111">
        <f>'Monthly Data'!AK61</f>
        <v>-185.19999999999982</v>
      </c>
      <c r="AL13" s="111">
        <f>'Monthly Data'!AL61</f>
        <v>-45</v>
      </c>
      <c r="AM13" s="111">
        <f>'Monthly Data'!AM61</f>
        <v>-45.899999999999977</v>
      </c>
      <c r="AN13" s="111">
        <f>'Monthly Data'!AN61</f>
        <v>-37332.5</v>
      </c>
      <c r="AO13" s="111">
        <f>'Monthly Data'!AO61</f>
        <v>19019</v>
      </c>
      <c r="AP13" s="28">
        <f>'Monthly Data'!AP61</f>
        <v>-5.029569892473118</v>
      </c>
      <c r="AQ13" s="28">
        <f>'Monthly Data'!AQ61</f>
        <v>775.91666666666674</v>
      </c>
      <c r="AR13" s="28">
        <f>'Monthly Data'!AR61</f>
        <v>0</v>
      </c>
      <c r="AS13" s="28">
        <f>'Monthly Data'!AS61</f>
        <v>713.91666666666674</v>
      </c>
      <c r="AT13" s="28">
        <f>'Monthly Data'!AT61</f>
        <v>0</v>
      </c>
      <c r="AU13" s="28">
        <f>'Monthly Data'!AU61</f>
        <v>651.91666666666674</v>
      </c>
      <c r="AV13" s="28">
        <f>'Monthly Data'!AV61</f>
        <v>0</v>
      </c>
      <c r="AW13" s="28">
        <f>'Monthly Data'!AW61</f>
        <v>589.91666666666686</v>
      </c>
      <c r="AX13" s="28">
        <f>'Monthly Data'!AX61</f>
        <v>0</v>
      </c>
      <c r="AY13" s="28">
        <f>'Monthly Data'!AY61</f>
        <v>527.91666666666674</v>
      </c>
      <c r="AZ13" s="28">
        <f>'Monthly Data'!AZ61</f>
        <v>0</v>
      </c>
      <c r="BA13" s="28">
        <f>'Monthly Data'!BA61</f>
        <v>465.91666666666669</v>
      </c>
      <c r="BB13" s="28">
        <f>'Monthly Data'!BB61</f>
        <v>0</v>
      </c>
      <c r="BC13" s="28">
        <f>'Monthly Data'!BC61</f>
        <v>403.91666666666663</v>
      </c>
      <c r="BD13" s="28">
        <f>'Monthly Data'!BD61</f>
        <v>0</v>
      </c>
      <c r="BE13">
        <f>'Monthly Data'!BE61</f>
        <v>0</v>
      </c>
      <c r="BF13">
        <f>'Monthly Data'!BF61</f>
        <v>0</v>
      </c>
      <c r="BG13">
        <f>'Monthly Data'!BG61</f>
        <v>0</v>
      </c>
      <c r="BH13">
        <f>'Monthly Data'!BH61</f>
        <v>0</v>
      </c>
      <c r="BI13">
        <f>'Monthly Data'!BI61</f>
        <v>0</v>
      </c>
      <c r="BJ13">
        <f>'Monthly Data'!BJ61</f>
        <v>0</v>
      </c>
      <c r="BK13">
        <f>'Monthly Data'!BK61</f>
        <v>0</v>
      </c>
      <c r="BL13">
        <f>'Monthly Data'!BL61</f>
        <v>0</v>
      </c>
      <c r="BM13">
        <f>'Monthly Data'!BM61</f>
        <v>0</v>
      </c>
      <c r="BN13">
        <f>'Monthly Data'!BN61</f>
        <v>0</v>
      </c>
      <c r="BO13">
        <f>'Monthly Data'!BO61</f>
        <v>0</v>
      </c>
      <c r="BP13">
        <f>'Monthly Data'!BP61</f>
        <v>1</v>
      </c>
      <c r="BQ13">
        <f>'Monthly Data'!BQ61</f>
        <v>0</v>
      </c>
      <c r="BR13">
        <f>'Monthly Data'!BR61</f>
        <v>0</v>
      </c>
      <c r="BS13">
        <f>'Monthly Data'!BS61</f>
        <v>0</v>
      </c>
      <c r="BT13" s="1">
        <f>'Monthly Data'!BT61</f>
        <v>60</v>
      </c>
      <c r="BU13">
        <f>'Monthly Data'!BU61</f>
        <v>31</v>
      </c>
      <c r="BV13">
        <f>'Monthly Data'!BV61</f>
        <v>19</v>
      </c>
      <c r="BW13" s="1">
        <f>'Monthly Data'!BW61</f>
        <v>1</v>
      </c>
      <c r="BX13" s="1">
        <f>'Monthly Data'!BX61</f>
        <v>0.5</v>
      </c>
      <c r="BY13" s="1">
        <f>'Monthly Data'!BY61</f>
        <v>1</v>
      </c>
      <c r="BZ13" s="1">
        <f>'Monthly Data'!BZ61</f>
        <v>0</v>
      </c>
      <c r="CA13">
        <f>'Monthly Data'!CA61</f>
        <v>387.95833333333337</v>
      </c>
      <c r="CB13">
        <f>'Monthly Data'!CB61</f>
        <v>0</v>
      </c>
      <c r="CC13">
        <f>'Monthly Data'!CC61</f>
        <v>356.95833333333337</v>
      </c>
      <c r="CD13">
        <f>'Monthly Data'!CD61</f>
        <v>0</v>
      </c>
      <c r="CE13">
        <f>'Monthly Data'!CE61</f>
        <v>325.95833333333337</v>
      </c>
      <c r="CF13">
        <f>'Monthly Data'!CF61</f>
        <v>0</v>
      </c>
      <c r="CG13">
        <f>'Monthly Data'!CG61</f>
        <v>294.95833333333343</v>
      </c>
      <c r="CH13">
        <f>'Monthly Data'!CH61</f>
        <v>0</v>
      </c>
      <c r="CI13">
        <f>'Monthly Data'!CI61</f>
        <v>263.95833333333337</v>
      </c>
      <c r="CJ13">
        <f>'Monthly Data'!CJ61</f>
        <v>0</v>
      </c>
      <c r="CK13">
        <f>'Monthly Data'!CK61</f>
        <v>232.95833333333334</v>
      </c>
      <c r="CL13">
        <f>'Monthly Data'!CL61</f>
        <v>0</v>
      </c>
      <c r="CM13">
        <f>'Monthly Data'!CM61</f>
        <v>201.95833333333331</v>
      </c>
      <c r="CN13">
        <f>'Monthly Data'!CN61</f>
        <v>0</v>
      </c>
      <c r="CO13" s="14">
        <f>'Monthly Data'!CO61</f>
        <v>775.91666666666674</v>
      </c>
      <c r="CP13" s="14">
        <f>'Monthly Data'!CP61</f>
        <v>0</v>
      </c>
      <c r="CQ13" s="14">
        <f>'Monthly Data'!CQ61</f>
        <v>713.91666666666674</v>
      </c>
      <c r="CR13" s="14">
        <f>'Monthly Data'!CR61</f>
        <v>0</v>
      </c>
      <c r="CS13" s="14">
        <f>'Monthly Data'!CS61</f>
        <v>651.91666666666674</v>
      </c>
      <c r="CT13" s="14">
        <f>'Monthly Data'!CT61</f>
        <v>0</v>
      </c>
      <c r="CU13" s="14">
        <f>'Monthly Data'!CU61</f>
        <v>589.91666666666686</v>
      </c>
      <c r="CV13" s="14">
        <f>'Monthly Data'!CV61</f>
        <v>0</v>
      </c>
      <c r="CW13" s="14">
        <f>'Monthly Data'!CW61</f>
        <v>527.91666666666674</v>
      </c>
      <c r="CX13" s="14">
        <f>'Monthly Data'!CX61</f>
        <v>0</v>
      </c>
      <c r="CY13" s="14">
        <f>'Monthly Data'!CY61</f>
        <v>465.91666666666669</v>
      </c>
      <c r="CZ13" s="14">
        <f>'Monthly Data'!CZ61</f>
        <v>0</v>
      </c>
      <c r="DA13" s="14">
        <f>'Monthly Data'!DA61</f>
        <v>403.91666666666663</v>
      </c>
      <c r="DB13" s="14">
        <f>'Monthly Data'!DB61</f>
        <v>0</v>
      </c>
      <c r="DC13" s="72">
        <f>'Monthly Data'!DC61</f>
        <v>876.64650975100437</v>
      </c>
      <c r="DD13" s="72">
        <f>'Monthly Data'!DD61</f>
        <v>28.278919669387239</v>
      </c>
      <c r="DE13" s="71">
        <f>'Monthly Data'!DE61</f>
        <v>283326.49616759073</v>
      </c>
      <c r="DF13" s="72">
        <f>'Monthly Data'!DF61</f>
        <v>2166.2256956617821</v>
      </c>
      <c r="DG13" s="72">
        <f>'Monthly Data'!DG61</f>
        <v>69.878248247154261</v>
      </c>
      <c r="DH13" s="72">
        <f>'Monthly Data'!DH61</f>
        <v>88955.010018627363</v>
      </c>
      <c r="DI13" s="72">
        <f>'Monthly Data'!DI61</f>
        <v>42187.358368170906</v>
      </c>
      <c r="DJ13" s="72">
        <f>'Monthly Data'!DJ61</f>
        <v>1360.882528005513</v>
      </c>
      <c r="DK13" s="72">
        <f>'Monthly Data'!DK61</f>
        <v>2220.387282535311</v>
      </c>
      <c r="DL13" s="72">
        <f>'Monthly Data'!DL61</f>
        <v>204132.37920082698</v>
      </c>
      <c r="DM13" s="72">
        <f>'Monthly Data'!DM61</f>
        <v>333058.09238029661</v>
      </c>
    </row>
    <row r="14" spans="1:117">
      <c r="A14" s="93">
        <f>'Monthly Data'!A62</f>
        <v>44197</v>
      </c>
      <c r="B14" s="4">
        <f>'Monthly Data'!B62</f>
        <v>2021</v>
      </c>
      <c r="C14" s="4">
        <f>'Monthly Data'!C62</f>
        <v>1</v>
      </c>
      <c r="D14" s="56">
        <f>'Monthly Data'!D62</f>
        <v>8785376</v>
      </c>
      <c r="E14" s="56">
        <f>'Monthly Data'!E62</f>
        <v>162318.59604257817</v>
      </c>
      <c r="F14" s="56">
        <f>'Monthly Data'!F62</f>
        <v>8947694.596042579</v>
      </c>
      <c r="G14" s="301">
        <f>'Monthly Data'!G62</f>
        <v>10021</v>
      </c>
      <c r="H14" s="56">
        <f>'Monthly Data'!H62</f>
        <v>2608498</v>
      </c>
      <c r="I14" s="56">
        <f>'Monthly Data'!I62</f>
        <v>162595.62412014045</v>
      </c>
      <c r="J14" s="56">
        <f>'Monthly Data'!J62</f>
        <v>2771093.6241201404</v>
      </c>
      <c r="K14" s="6">
        <f>'Monthly Data'!K62</f>
        <v>1276</v>
      </c>
      <c r="L14" s="5">
        <f>'Monthly Data'!L62</f>
        <v>5749753</v>
      </c>
      <c r="M14" s="2">
        <f>'Monthly Data'!M62</f>
        <v>143054.35111893041</v>
      </c>
      <c r="N14" s="56">
        <f>'Monthly Data'!N62</f>
        <v>5892807.3511189306</v>
      </c>
      <c r="O14" s="5">
        <f>'Monthly Data'!O62</f>
        <v>14526.7</v>
      </c>
      <c r="P14" s="6">
        <f>'Monthly Data'!P62</f>
        <v>150</v>
      </c>
      <c r="Q14" s="5">
        <f>'Monthly Data'!Q62</f>
        <v>106503</v>
      </c>
      <c r="R14" s="5">
        <f>'Monthly Data'!R62</f>
        <v>235.2</v>
      </c>
      <c r="S14" s="6">
        <f>'Monthly Data'!S62</f>
        <v>2920</v>
      </c>
      <c r="T14" s="6">
        <f>'Monthly Data'!T62</f>
        <v>15789</v>
      </c>
      <c r="U14" s="6">
        <f>'Monthly Data'!U62</f>
        <v>42.599999999999994</v>
      </c>
      <c r="V14" s="6">
        <f>'Monthly Data'!V62</f>
        <v>171</v>
      </c>
      <c r="W14" s="5">
        <f>'Monthly Data'!W62</f>
        <v>53335</v>
      </c>
      <c r="X14" s="56">
        <f>'Monthly Data'!X62</f>
        <v>19</v>
      </c>
      <c r="Y14" s="56">
        <f>'Monthly Data'!Y62</f>
        <v>7844</v>
      </c>
      <c r="Z14" s="56">
        <f>'Monthly Data'!Z62</f>
        <v>1104</v>
      </c>
      <c r="AA14" s="56">
        <f>'Monthly Data'!AA62</f>
        <v>5741909</v>
      </c>
      <c r="AB14" s="56">
        <f>'Monthly Data'!AB62</f>
        <v>5884963.3511189306</v>
      </c>
      <c r="AC14" s="56">
        <f>'Monthly Data'!AC62</f>
        <v>13422.7</v>
      </c>
      <c r="AD14" s="111">
        <f>'Monthly Data'!AD62</f>
        <v>817265.5</v>
      </c>
      <c r="AE14" s="111">
        <f>'Monthly Data'!AE62</f>
        <v>809994</v>
      </c>
      <c r="AF14" s="111">
        <f>'Monthly Data'!AF62</f>
        <v>7234.6</v>
      </c>
      <c r="AG14" s="111">
        <f>'Monthly Data'!AG62</f>
        <v>7207.2</v>
      </c>
      <c r="AH14" s="111">
        <f>'Monthly Data'!AH62</f>
        <v>605.20000000000005</v>
      </c>
      <c r="AI14" s="111">
        <f>'Monthly Data'!AI62</f>
        <v>598.5</v>
      </c>
      <c r="AJ14" s="111">
        <f>'Monthly Data'!AJ62</f>
        <v>-263.5</v>
      </c>
      <c r="AK14" s="111">
        <f>'Monthly Data'!AK62</f>
        <v>-257.5</v>
      </c>
      <c r="AL14" s="111">
        <f>'Monthly Data'!AL62</f>
        <v>-30.699999999999932</v>
      </c>
      <c r="AM14" s="111">
        <f>'Monthly Data'!AM62</f>
        <v>-33.100000000000023</v>
      </c>
      <c r="AN14" s="111">
        <f>'Monthly Data'!AN62</f>
        <v>47323.5</v>
      </c>
      <c r="AO14" s="111">
        <f>'Monthly Data'!AO62</f>
        <v>12681</v>
      </c>
      <c r="AP14" s="28">
        <f>'Monthly Data'!AP62</f>
        <v>-7.5153225806451642</v>
      </c>
      <c r="AQ14" s="28">
        <f>'Monthly Data'!AQ62</f>
        <v>852.97499999999991</v>
      </c>
      <c r="AR14" s="28">
        <f>'Monthly Data'!AR62</f>
        <v>0</v>
      </c>
      <c r="AS14" s="28">
        <f>'Monthly Data'!AS62</f>
        <v>790.97500000000002</v>
      </c>
      <c r="AT14" s="28">
        <f>'Monthly Data'!AT62</f>
        <v>0</v>
      </c>
      <c r="AU14" s="28">
        <f>'Monthly Data'!AU62</f>
        <v>728.97500000000002</v>
      </c>
      <c r="AV14" s="28">
        <f>'Monthly Data'!AV62</f>
        <v>0</v>
      </c>
      <c r="AW14" s="28">
        <f>'Monthly Data'!AW62</f>
        <v>666.97499999999991</v>
      </c>
      <c r="AX14" s="28">
        <f>'Monthly Data'!AX62</f>
        <v>0</v>
      </c>
      <c r="AY14" s="28">
        <f>'Monthly Data'!AY62</f>
        <v>604.97500000000002</v>
      </c>
      <c r="AZ14" s="28">
        <f>'Monthly Data'!AZ62</f>
        <v>0</v>
      </c>
      <c r="BA14" s="28">
        <f>'Monthly Data'!BA62</f>
        <v>542.97499999999991</v>
      </c>
      <c r="BB14" s="28">
        <f>'Monthly Data'!BB62</f>
        <v>0</v>
      </c>
      <c r="BC14" s="28">
        <f>'Monthly Data'!BC62</f>
        <v>480.97499999999997</v>
      </c>
      <c r="BD14" s="28">
        <f>'Monthly Data'!BD62</f>
        <v>0</v>
      </c>
      <c r="BE14">
        <f>'Monthly Data'!BE62</f>
        <v>1</v>
      </c>
      <c r="BF14">
        <f>'Monthly Data'!BF62</f>
        <v>0</v>
      </c>
      <c r="BG14">
        <f>'Monthly Data'!BG62</f>
        <v>0</v>
      </c>
      <c r="BH14">
        <f>'Monthly Data'!BH62</f>
        <v>0</v>
      </c>
      <c r="BI14">
        <f>'Monthly Data'!BI62</f>
        <v>0</v>
      </c>
      <c r="BJ14">
        <f>'Monthly Data'!BJ62</f>
        <v>0</v>
      </c>
      <c r="BK14">
        <f>'Monthly Data'!BK62</f>
        <v>0</v>
      </c>
      <c r="BL14">
        <f>'Monthly Data'!BL62</f>
        <v>0</v>
      </c>
      <c r="BM14">
        <f>'Monthly Data'!BM62</f>
        <v>0</v>
      </c>
      <c r="BN14">
        <f>'Monthly Data'!BN62</f>
        <v>0</v>
      </c>
      <c r="BO14">
        <f>'Monthly Data'!BO62</f>
        <v>0</v>
      </c>
      <c r="BP14">
        <f>'Monthly Data'!BP62</f>
        <v>0</v>
      </c>
      <c r="BQ14" s="1">
        <f>'Monthly Data'!BQ62</f>
        <v>0</v>
      </c>
      <c r="BR14" s="1">
        <f>'Monthly Data'!BR62</f>
        <v>0</v>
      </c>
      <c r="BS14" s="1">
        <f>'Monthly Data'!BS62</f>
        <v>0</v>
      </c>
      <c r="BT14" s="1">
        <f>'Monthly Data'!BT62</f>
        <v>61</v>
      </c>
      <c r="BU14">
        <f>'Monthly Data'!BU62</f>
        <v>31</v>
      </c>
      <c r="BV14">
        <f>'Monthly Data'!BV62</f>
        <v>22</v>
      </c>
      <c r="BW14" s="1">
        <f>'Monthly Data'!BW62</f>
        <v>1</v>
      </c>
      <c r="BX14" s="1">
        <f>'Monthly Data'!BX62</f>
        <v>0.5</v>
      </c>
      <c r="BY14" s="1">
        <f>'Monthly Data'!BY62</f>
        <v>0.75</v>
      </c>
      <c r="BZ14" s="1">
        <f>'Monthly Data'!BZ62</f>
        <v>0</v>
      </c>
      <c r="CA14">
        <f>'Monthly Data'!CA62</f>
        <v>426.48749999999995</v>
      </c>
      <c r="CB14">
        <f>'Monthly Data'!CB62</f>
        <v>0</v>
      </c>
      <c r="CC14">
        <f>'Monthly Data'!CC62</f>
        <v>395.48750000000001</v>
      </c>
      <c r="CD14">
        <f>'Monthly Data'!CD62</f>
        <v>0</v>
      </c>
      <c r="CE14">
        <f>'Monthly Data'!CE62</f>
        <v>364.48750000000001</v>
      </c>
      <c r="CF14">
        <f>'Monthly Data'!CF62</f>
        <v>0</v>
      </c>
      <c r="CG14">
        <f>'Monthly Data'!CG62</f>
        <v>333.48749999999995</v>
      </c>
      <c r="CH14">
        <f>'Monthly Data'!CH62</f>
        <v>0</v>
      </c>
      <c r="CI14">
        <f>'Monthly Data'!CI62</f>
        <v>302.48750000000001</v>
      </c>
      <c r="CJ14">
        <f>'Monthly Data'!CJ62</f>
        <v>0</v>
      </c>
      <c r="CK14">
        <f>'Monthly Data'!CK62</f>
        <v>271.48749999999995</v>
      </c>
      <c r="CL14">
        <f>'Monthly Data'!CL62</f>
        <v>0</v>
      </c>
      <c r="CM14">
        <f>'Monthly Data'!CM62</f>
        <v>240.48749999999998</v>
      </c>
      <c r="CN14">
        <f>'Monthly Data'!CN62</f>
        <v>0</v>
      </c>
      <c r="CO14" s="14">
        <f>'Monthly Data'!CO62</f>
        <v>639.73124999999993</v>
      </c>
      <c r="CP14" s="14">
        <f>'Monthly Data'!CP62</f>
        <v>0</v>
      </c>
      <c r="CQ14" s="14">
        <f>'Monthly Data'!CQ62</f>
        <v>593.23125000000005</v>
      </c>
      <c r="CR14" s="14">
        <f>'Monthly Data'!CR62</f>
        <v>0</v>
      </c>
      <c r="CS14" s="14">
        <f>'Monthly Data'!CS62</f>
        <v>546.73125000000005</v>
      </c>
      <c r="CT14" s="14">
        <f>'Monthly Data'!CT62</f>
        <v>0</v>
      </c>
      <c r="CU14" s="14">
        <f>'Monthly Data'!CU62</f>
        <v>500.23124999999993</v>
      </c>
      <c r="CV14" s="14">
        <f>'Monthly Data'!CV62</f>
        <v>0</v>
      </c>
      <c r="CW14" s="14">
        <f>'Monthly Data'!CW62</f>
        <v>453.73125000000005</v>
      </c>
      <c r="CX14" s="14">
        <f>'Monthly Data'!CX62</f>
        <v>0</v>
      </c>
      <c r="CY14" s="14">
        <f>'Monthly Data'!CY62</f>
        <v>407.23124999999993</v>
      </c>
      <c r="CZ14" s="14">
        <f>'Monthly Data'!CZ62</f>
        <v>0</v>
      </c>
      <c r="DA14" s="14">
        <f>'Monthly Data'!DA62</f>
        <v>360.73124999999999</v>
      </c>
      <c r="DB14" s="14">
        <f>'Monthly Data'!DB62</f>
        <v>0</v>
      </c>
      <c r="DC14" s="72">
        <f>'Monthly Data'!DC62</f>
        <v>892.89438140331094</v>
      </c>
      <c r="DD14" s="72">
        <f>'Monthly Data'!DD62</f>
        <v>28.803044561397126</v>
      </c>
      <c r="DE14" s="71">
        <f>'Monthly Data'!DE62</f>
        <v>288635.3095497606</v>
      </c>
      <c r="DF14" s="72">
        <f>'Monthly Data'!DF62</f>
        <v>2171.7034671787933</v>
      </c>
      <c r="DG14" s="72">
        <f>'Monthly Data'!DG62</f>
        <v>70.054950554154615</v>
      </c>
      <c r="DH14" s="72">
        <f>'Monthly Data'!DH62</f>
        <v>89390.116907101299</v>
      </c>
      <c r="DI14" s="72">
        <f>'Monthly Data'!DI62</f>
        <v>39285.382340792872</v>
      </c>
      <c r="DJ14" s="72">
        <f>'Monthly Data'!DJ62</f>
        <v>1267.2703980900926</v>
      </c>
      <c r="DK14" s="72">
        <f>'Monthly Data'!DK62</f>
        <v>1785.699197308767</v>
      </c>
      <c r="DL14" s="72">
        <f>'Monthly Data'!DL62</f>
        <v>190090.55971351388</v>
      </c>
      <c r="DM14" s="72">
        <f>'Monthly Data'!DM62</f>
        <v>267854.87959631503</v>
      </c>
    </row>
    <row r="15" spans="1:117">
      <c r="A15" s="93">
        <f>'Monthly Data'!A63</f>
        <v>44228</v>
      </c>
      <c r="B15" s="4">
        <f>'Monthly Data'!B63</f>
        <v>2021</v>
      </c>
      <c r="C15" s="4">
        <f>'Monthly Data'!C63</f>
        <v>2</v>
      </c>
      <c r="D15" s="56">
        <f>'Monthly Data'!D63</f>
        <v>8120445</v>
      </c>
      <c r="E15" s="56">
        <f>'Monthly Data'!E63</f>
        <v>162380.10545811115</v>
      </c>
      <c r="F15" s="56">
        <f>'Monthly Data'!F63</f>
        <v>8282825.1054581115</v>
      </c>
      <c r="G15" s="301">
        <f>'Monthly Data'!G63</f>
        <v>10032</v>
      </c>
      <c r="H15" s="56">
        <f>'Monthly Data'!H63</f>
        <v>2521210</v>
      </c>
      <c r="I15" s="56">
        <f>'Monthly Data'!I63</f>
        <v>163431.53613131988</v>
      </c>
      <c r="J15" s="56">
        <f>'Monthly Data'!J63</f>
        <v>2684641.5361313201</v>
      </c>
      <c r="K15" s="6">
        <f>'Monthly Data'!K63</f>
        <v>1274</v>
      </c>
      <c r="L15" s="5">
        <f>'Monthly Data'!L63</f>
        <v>5518701</v>
      </c>
      <c r="M15" s="2">
        <f>'Monthly Data'!M63</f>
        <v>144058.95007046842</v>
      </c>
      <c r="N15" s="56">
        <f>'Monthly Data'!N63</f>
        <v>5662759.9500704687</v>
      </c>
      <c r="O15" s="5">
        <f>'Monthly Data'!O63</f>
        <v>16001.8</v>
      </c>
      <c r="P15" s="6">
        <f>'Monthly Data'!P63</f>
        <v>151</v>
      </c>
      <c r="Q15" s="5">
        <f>'Monthly Data'!Q63</f>
        <v>88675</v>
      </c>
      <c r="R15" s="5">
        <f>'Monthly Data'!R63</f>
        <v>235.2</v>
      </c>
      <c r="S15" s="6">
        <f>'Monthly Data'!S63</f>
        <v>2920</v>
      </c>
      <c r="T15" s="6">
        <f>'Monthly Data'!T63</f>
        <v>16215</v>
      </c>
      <c r="U15" s="6">
        <f>'Monthly Data'!U63</f>
        <v>44.699999999999996</v>
      </c>
      <c r="V15" s="6">
        <f>'Monthly Data'!V63</f>
        <v>171</v>
      </c>
      <c r="W15" s="5">
        <f>'Monthly Data'!W63</f>
        <v>50185</v>
      </c>
      <c r="X15" s="56">
        <f>'Monthly Data'!X63</f>
        <v>19</v>
      </c>
      <c r="Y15" s="56">
        <f>'Monthly Data'!Y63</f>
        <v>30622.400000000001</v>
      </c>
      <c r="Z15" s="56">
        <f>'Monthly Data'!Z63</f>
        <v>1894.4</v>
      </c>
      <c r="AA15" s="56">
        <f>'Monthly Data'!AA63</f>
        <v>5488078.5999999996</v>
      </c>
      <c r="AB15" s="56">
        <f>'Monthly Data'!AB63</f>
        <v>5632137.5500704683</v>
      </c>
      <c r="AC15" s="56">
        <f>'Monthly Data'!AC63</f>
        <v>14107.4</v>
      </c>
      <c r="AD15" s="111">
        <f>'Monthly Data'!AD63</f>
        <v>817265.5</v>
      </c>
      <c r="AE15" s="111">
        <f>'Monthly Data'!AE63</f>
        <v>809994</v>
      </c>
      <c r="AF15" s="111">
        <f>'Monthly Data'!AF63</f>
        <v>7209.5</v>
      </c>
      <c r="AG15" s="111">
        <f>'Monthly Data'!AG63</f>
        <v>7151.3</v>
      </c>
      <c r="AH15" s="111">
        <f>'Monthly Data'!AH63</f>
        <v>616.4</v>
      </c>
      <c r="AI15" s="111">
        <f>'Monthly Data'!AI63</f>
        <v>610.9</v>
      </c>
      <c r="AJ15" s="111">
        <f>'Monthly Data'!AJ63</f>
        <v>-298.5</v>
      </c>
      <c r="AK15" s="111">
        <f>'Monthly Data'!AK63</f>
        <v>-287.69999999999982</v>
      </c>
      <c r="AL15" s="111">
        <f>'Monthly Data'!AL63</f>
        <v>-11.399999999999977</v>
      </c>
      <c r="AM15" s="111">
        <f>'Monthly Data'!AM63</f>
        <v>-11</v>
      </c>
      <c r="AN15" s="111">
        <f>'Monthly Data'!AN63</f>
        <v>47323.5</v>
      </c>
      <c r="AO15" s="111">
        <f>'Monthly Data'!AO63</f>
        <v>12681</v>
      </c>
      <c r="AP15" s="28">
        <f>'Monthly Data'!AP63</f>
        <v>-9.2827380952380967</v>
      </c>
      <c r="AQ15" s="28">
        <f>'Monthly Data'!AQ63</f>
        <v>819.91666666666652</v>
      </c>
      <c r="AR15" s="28">
        <f>'Monthly Data'!AR63</f>
        <v>0</v>
      </c>
      <c r="AS15" s="28">
        <f>'Monthly Data'!AS63</f>
        <v>763.91666666666652</v>
      </c>
      <c r="AT15" s="28">
        <f>'Monthly Data'!AT63</f>
        <v>0</v>
      </c>
      <c r="AU15" s="28">
        <f>'Monthly Data'!AU63</f>
        <v>707.91666666666652</v>
      </c>
      <c r="AV15" s="28">
        <f>'Monthly Data'!AV63</f>
        <v>0</v>
      </c>
      <c r="AW15" s="28">
        <f>'Monthly Data'!AW63</f>
        <v>651.9166666666664</v>
      </c>
      <c r="AX15" s="28">
        <f>'Monthly Data'!AX63</f>
        <v>0</v>
      </c>
      <c r="AY15" s="28">
        <f>'Monthly Data'!AY63</f>
        <v>595.91666666666652</v>
      </c>
      <c r="AZ15" s="28">
        <f>'Monthly Data'!AZ63</f>
        <v>0</v>
      </c>
      <c r="BA15" s="28">
        <f>'Monthly Data'!BA63</f>
        <v>539.9166666666664</v>
      </c>
      <c r="BB15" s="28">
        <f>'Monthly Data'!BB63</f>
        <v>0</v>
      </c>
      <c r="BC15" s="28">
        <f>'Monthly Data'!BC63</f>
        <v>483.91666666666657</v>
      </c>
      <c r="BD15" s="28">
        <f>'Monthly Data'!BD63</f>
        <v>0</v>
      </c>
      <c r="BE15">
        <f>'Monthly Data'!BE63</f>
        <v>0</v>
      </c>
      <c r="BF15">
        <f>'Monthly Data'!BF63</f>
        <v>1</v>
      </c>
      <c r="BG15">
        <f>'Monthly Data'!BG63</f>
        <v>0</v>
      </c>
      <c r="BH15">
        <f>'Monthly Data'!BH63</f>
        <v>0</v>
      </c>
      <c r="BI15">
        <f>'Monthly Data'!BI63</f>
        <v>0</v>
      </c>
      <c r="BJ15">
        <f>'Monthly Data'!BJ63</f>
        <v>0</v>
      </c>
      <c r="BK15">
        <f>'Monthly Data'!BK63</f>
        <v>0</v>
      </c>
      <c r="BL15">
        <f>'Monthly Data'!BL63</f>
        <v>0</v>
      </c>
      <c r="BM15">
        <f>'Monthly Data'!BM63</f>
        <v>0</v>
      </c>
      <c r="BN15">
        <f>'Monthly Data'!BN63</f>
        <v>0</v>
      </c>
      <c r="BO15">
        <f>'Monthly Data'!BO63</f>
        <v>0</v>
      </c>
      <c r="BP15">
        <f>'Monthly Data'!BP63</f>
        <v>0</v>
      </c>
      <c r="BQ15" s="1">
        <f>'Monthly Data'!BQ63</f>
        <v>0</v>
      </c>
      <c r="BR15" s="1">
        <f>'Monthly Data'!BR63</f>
        <v>0</v>
      </c>
      <c r="BS15" s="1">
        <f>'Monthly Data'!BS63</f>
        <v>0</v>
      </c>
      <c r="BT15" s="1">
        <f>'Monthly Data'!BT63</f>
        <v>62</v>
      </c>
      <c r="BU15">
        <f>'Monthly Data'!BU63</f>
        <v>28</v>
      </c>
      <c r="BV15">
        <f>'Monthly Data'!BV63</f>
        <v>19</v>
      </c>
      <c r="BW15" s="1">
        <f>'Monthly Data'!BW63</f>
        <v>1</v>
      </c>
      <c r="BX15" s="1">
        <f>'Monthly Data'!BX63</f>
        <v>0.5</v>
      </c>
      <c r="BY15" s="1">
        <f>'Monthly Data'!BY63</f>
        <v>0.75</v>
      </c>
      <c r="BZ15" s="1">
        <f>'Monthly Data'!BZ63</f>
        <v>0</v>
      </c>
      <c r="CA15">
        <f>'Monthly Data'!CA63</f>
        <v>409.95833333333326</v>
      </c>
      <c r="CB15">
        <f>'Monthly Data'!CB63</f>
        <v>0</v>
      </c>
      <c r="CC15">
        <f>'Monthly Data'!CC63</f>
        <v>381.95833333333326</v>
      </c>
      <c r="CD15">
        <f>'Monthly Data'!CD63</f>
        <v>0</v>
      </c>
      <c r="CE15">
        <f>'Monthly Data'!CE63</f>
        <v>353.95833333333326</v>
      </c>
      <c r="CF15">
        <f>'Monthly Data'!CF63</f>
        <v>0</v>
      </c>
      <c r="CG15">
        <f>'Monthly Data'!CG63</f>
        <v>325.9583333333332</v>
      </c>
      <c r="CH15">
        <f>'Monthly Data'!CH63</f>
        <v>0</v>
      </c>
      <c r="CI15">
        <f>'Monthly Data'!CI63</f>
        <v>297.95833333333326</v>
      </c>
      <c r="CJ15">
        <f>'Monthly Data'!CJ63</f>
        <v>0</v>
      </c>
      <c r="CK15">
        <f>'Monthly Data'!CK63</f>
        <v>269.9583333333332</v>
      </c>
      <c r="CL15">
        <f>'Monthly Data'!CL63</f>
        <v>0</v>
      </c>
      <c r="CM15">
        <f>'Monthly Data'!CM63</f>
        <v>241.95833333333329</v>
      </c>
      <c r="CN15">
        <f>'Monthly Data'!CN63</f>
        <v>0</v>
      </c>
      <c r="CO15" s="14">
        <f>'Monthly Data'!CO63</f>
        <v>614.93749999999989</v>
      </c>
      <c r="CP15" s="14">
        <f>'Monthly Data'!CP63</f>
        <v>0</v>
      </c>
      <c r="CQ15" s="14">
        <f>'Monthly Data'!CQ63</f>
        <v>572.93749999999989</v>
      </c>
      <c r="CR15" s="14">
        <f>'Monthly Data'!CR63</f>
        <v>0</v>
      </c>
      <c r="CS15" s="14">
        <f>'Monthly Data'!CS63</f>
        <v>530.93749999999989</v>
      </c>
      <c r="CT15" s="14">
        <f>'Monthly Data'!CT63</f>
        <v>0</v>
      </c>
      <c r="CU15" s="14">
        <f>'Monthly Data'!CU63</f>
        <v>488.93749999999977</v>
      </c>
      <c r="CV15" s="14">
        <f>'Monthly Data'!CV63</f>
        <v>0</v>
      </c>
      <c r="CW15" s="14">
        <f>'Monthly Data'!CW63</f>
        <v>446.93749999999989</v>
      </c>
      <c r="CX15" s="14">
        <f>'Monthly Data'!CX63</f>
        <v>0</v>
      </c>
      <c r="CY15" s="14">
        <f>'Monthly Data'!CY63</f>
        <v>404.93749999999977</v>
      </c>
      <c r="CZ15" s="14">
        <f>'Monthly Data'!CZ63</f>
        <v>0</v>
      </c>
      <c r="DA15" s="14">
        <f>'Monthly Data'!DA63</f>
        <v>362.93749999999994</v>
      </c>
      <c r="DB15" s="14">
        <f>'Monthly Data'!DB63</f>
        <v>0</v>
      </c>
      <c r="DC15" s="72">
        <f>'Monthly Data'!DC63</f>
        <v>825.64046107038587</v>
      </c>
      <c r="DD15" s="72">
        <f>'Monthly Data'!DD63</f>
        <v>29.487159323942354</v>
      </c>
      <c r="DE15" s="71">
        <f>'Monthly Data'!DE63</f>
        <v>295815.18233778968</v>
      </c>
      <c r="DF15" s="72">
        <f>'Monthly Data'!DF63</f>
        <v>2107.2539530073154</v>
      </c>
      <c r="DG15" s="72">
        <f>'Monthly Data'!DG63</f>
        <v>75.259069750261261</v>
      </c>
      <c r="DH15" s="72">
        <f>'Monthly Data'!DH63</f>
        <v>95880.054861832861</v>
      </c>
      <c r="DI15" s="72">
        <f>'Monthly Data'!DI63</f>
        <v>37501.721523645487</v>
      </c>
      <c r="DJ15" s="72">
        <f>'Monthly Data'!DJ63</f>
        <v>1339.3471972730531</v>
      </c>
      <c r="DK15" s="72">
        <f>'Monthly Data'!DK63</f>
        <v>1973.774817033973</v>
      </c>
      <c r="DL15" s="72">
        <f>'Monthly Data'!DL63</f>
        <v>202241.42678823104</v>
      </c>
      <c r="DM15" s="72">
        <f>'Monthly Data'!DM63</f>
        <v>298039.99737212993</v>
      </c>
    </row>
    <row r="16" spans="1:117">
      <c r="A16" s="93">
        <f>'Monthly Data'!A64</f>
        <v>44256</v>
      </c>
      <c r="B16" s="4">
        <f>'Monthly Data'!B64</f>
        <v>2021</v>
      </c>
      <c r="C16" s="4">
        <f>'Monthly Data'!C64</f>
        <v>3</v>
      </c>
      <c r="D16" s="56">
        <f>'Monthly Data'!D64</f>
        <v>7679053</v>
      </c>
      <c r="E16" s="56">
        <f>'Monthly Data'!E64</f>
        <v>162441.61487364414</v>
      </c>
      <c r="F16" s="56">
        <f>'Monthly Data'!F64</f>
        <v>7841494.614873644</v>
      </c>
      <c r="G16" s="301">
        <f>'Monthly Data'!G64</f>
        <v>10053</v>
      </c>
      <c r="H16" s="56">
        <f>'Monthly Data'!H64</f>
        <v>2523119</v>
      </c>
      <c r="I16" s="56">
        <f>'Monthly Data'!I64</f>
        <v>164267.44814249934</v>
      </c>
      <c r="J16" s="56">
        <f>'Monthly Data'!J64</f>
        <v>2687386.4481424992</v>
      </c>
      <c r="K16" s="6">
        <f>'Monthly Data'!K64</f>
        <v>1273</v>
      </c>
      <c r="L16" s="5">
        <f>'Monthly Data'!L64</f>
        <v>5685859</v>
      </c>
      <c r="M16" s="2">
        <f>'Monthly Data'!M64</f>
        <v>145063.54902200639</v>
      </c>
      <c r="N16" s="56">
        <f>'Monthly Data'!N64</f>
        <v>5830922.5490220068</v>
      </c>
      <c r="O16" s="5">
        <f>'Monthly Data'!O64</f>
        <v>14039.9</v>
      </c>
      <c r="P16" s="6">
        <f>'Monthly Data'!P64</f>
        <v>151</v>
      </c>
      <c r="Q16" s="5">
        <f>'Monthly Data'!Q64</f>
        <v>88166</v>
      </c>
      <c r="R16" s="5">
        <f>'Monthly Data'!R64</f>
        <v>235.5</v>
      </c>
      <c r="S16" s="6">
        <f>'Monthly Data'!S64</f>
        <v>2920</v>
      </c>
      <c r="T16" s="6">
        <f>'Monthly Data'!T64</f>
        <v>15388</v>
      </c>
      <c r="U16" s="6">
        <f>'Monthly Data'!U64</f>
        <v>43.300000000000004</v>
      </c>
      <c r="V16" s="6">
        <f>'Monthly Data'!V64</f>
        <v>171</v>
      </c>
      <c r="W16" s="5">
        <f>'Monthly Data'!W64</f>
        <v>52327</v>
      </c>
      <c r="X16" s="56">
        <f>'Monthly Data'!X64</f>
        <v>19</v>
      </c>
      <c r="Y16" s="56">
        <f>'Monthly Data'!Y64</f>
        <v>34111.199999999997</v>
      </c>
      <c r="Z16" s="56">
        <f>'Monthly Data'!Z64</f>
        <v>6684.8</v>
      </c>
      <c r="AA16" s="56">
        <f>'Monthly Data'!AA64</f>
        <v>5651747.7999999998</v>
      </c>
      <c r="AB16" s="56">
        <f>'Monthly Data'!AB64</f>
        <v>5796811.3490220066</v>
      </c>
      <c r="AC16" s="56">
        <f>'Monthly Data'!AC64</f>
        <v>7355.0999999999995</v>
      </c>
      <c r="AD16" s="111">
        <f>'Monthly Data'!AD64</f>
        <v>817265.5</v>
      </c>
      <c r="AE16" s="111">
        <f>'Monthly Data'!AE64</f>
        <v>809994</v>
      </c>
      <c r="AF16" s="111">
        <f>'Monthly Data'!AF64</f>
        <v>7237.4</v>
      </c>
      <c r="AG16" s="111">
        <f>'Monthly Data'!AG64</f>
        <v>7153.7</v>
      </c>
      <c r="AH16" s="111">
        <f>'Monthly Data'!AH64</f>
        <v>622.29999999999995</v>
      </c>
      <c r="AI16" s="111">
        <f>'Monthly Data'!AI64</f>
        <v>615.6</v>
      </c>
      <c r="AJ16" s="111">
        <f>'Monthly Data'!AJ64</f>
        <v>-114.20000000000073</v>
      </c>
      <c r="AK16" s="111">
        <f>'Monthly Data'!AK64</f>
        <v>-105.10000000000036</v>
      </c>
      <c r="AL16" s="111">
        <f>'Monthly Data'!AL64</f>
        <v>10.699999999999932</v>
      </c>
      <c r="AM16" s="111">
        <f>'Monthly Data'!AM64</f>
        <v>10.399999999999977</v>
      </c>
      <c r="AN16" s="111">
        <f>'Monthly Data'!AN64</f>
        <v>47323.5</v>
      </c>
      <c r="AO16" s="111">
        <f>'Monthly Data'!AO64</f>
        <v>12681</v>
      </c>
      <c r="AP16" s="28">
        <f>'Monthly Data'!AP64</f>
        <v>-1.0211021505376345</v>
      </c>
      <c r="AQ16" s="28">
        <f>'Monthly Data'!AQ64</f>
        <v>651.65416666666704</v>
      </c>
      <c r="AR16" s="28">
        <f>'Monthly Data'!AR64</f>
        <v>0</v>
      </c>
      <c r="AS16" s="28">
        <f>'Monthly Data'!AS64</f>
        <v>589.65416666666681</v>
      </c>
      <c r="AT16" s="28">
        <f>'Monthly Data'!AT64</f>
        <v>0</v>
      </c>
      <c r="AU16" s="28">
        <f>'Monthly Data'!AU64</f>
        <v>527.65416666666681</v>
      </c>
      <c r="AV16" s="28">
        <f>'Monthly Data'!AV64</f>
        <v>0</v>
      </c>
      <c r="AW16" s="28">
        <f>'Monthly Data'!AW64</f>
        <v>465.65416666666675</v>
      </c>
      <c r="AX16" s="28">
        <f>'Monthly Data'!AX64</f>
        <v>0</v>
      </c>
      <c r="AY16" s="28">
        <f>'Monthly Data'!AY64</f>
        <v>403.65416666666675</v>
      </c>
      <c r="AZ16" s="28">
        <f>'Monthly Data'!AZ64</f>
        <v>0</v>
      </c>
      <c r="BA16" s="28">
        <f>'Monthly Data'!BA64</f>
        <v>342.75416666666672</v>
      </c>
      <c r="BB16" s="28">
        <f>'Monthly Data'!BB64</f>
        <v>1.1000000000000032</v>
      </c>
      <c r="BC16" s="28">
        <f>'Monthly Data'!BC64</f>
        <v>286.89166666666665</v>
      </c>
      <c r="BD16" s="28">
        <f>'Monthly Data'!BD64</f>
        <v>7.237500000000006</v>
      </c>
      <c r="BE16">
        <f>'Monthly Data'!BE64</f>
        <v>0</v>
      </c>
      <c r="BF16">
        <f>'Monthly Data'!BF64</f>
        <v>0</v>
      </c>
      <c r="BG16">
        <f>'Monthly Data'!BG64</f>
        <v>1</v>
      </c>
      <c r="BH16">
        <f>'Monthly Data'!BH64</f>
        <v>0</v>
      </c>
      <c r="BI16">
        <f>'Monthly Data'!BI64</f>
        <v>0</v>
      </c>
      <c r="BJ16">
        <f>'Monthly Data'!BJ64</f>
        <v>0</v>
      </c>
      <c r="BK16">
        <f>'Monthly Data'!BK64</f>
        <v>0</v>
      </c>
      <c r="BL16">
        <f>'Monthly Data'!BL64</f>
        <v>0</v>
      </c>
      <c r="BM16">
        <f>'Monthly Data'!BM64</f>
        <v>0</v>
      </c>
      <c r="BN16">
        <f>'Monthly Data'!BN64</f>
        <v>0</v>
      </c>
      <c r="BO16">
        <f>'Monthly Data'!BO64</f>
        <v>0</v>
      </c>
      <c r="BP16">
        <f>'Monthly Data'!BP64</f>
        <v>0</v>
      </c>
      <c r="BQ16" s="1">
        <f>'Monthly Data'!BQ64</f>
        <v>1</v>
      </c>
      <c r="BR16" s="1">
        <f>'Monthly Data'!BR64</f>
        <v>0</v>
      </c>
      <c r="BS16" s="1">
        <f>'Monthly Data'!BS64</f>
        <v>1</v>
      </c>
      <c r="BT16" s="1">
        <f>'Monthly Data'!BT64</f>
        <v>63</v>
      </c>
      <c r="BU16">
        <f>'Monthly Data'!BU64</f>
        <v>31</v>
      </c>
      <c r="BV16">
        <f>'Monthly Data'!BV64</f>
        <v>22</v>
      </c>
      <c r="BW16" s="1">
        <f>'Monthly Data'!BW64</f>
        <v>1</v>
      </c>
      <c r="BX16" s="1">
        <f>'Monthly Data'!BX64</f>
        <v>0.5</v>
      </c>
      <c r="BY16" s="1">
        <f>'Monthly Data'!BY64</f>
        <v>0.75</v>
      </c>
      <c r="BZ16" s="1">
        <f>'Monthly Data'!BZ64</f>
        <v>0</v>
      </c>
      <c r="CA16">
        <f>'Monthly Data'!CA64</f>
        <v>325.82708333333352</v>
      </c>
      <c r="CB16">
        <f>'Monthly Data'!CB64</f>
        <v>0</v>
      </c>
      <c r="CC16">
        <f>'Monthly Data'!CC64</f>
        <v>294.82708333333341</v>
      </c>
      <c r="CD16">
        <f>'Monthly Data'!CD64</f>
        <v>0</v>
      </c>
      <c r="CE16">
        <f>'Monthly Data'!CE64</f>
        <v>263.82708333333341</v>
      </c>
      <c r="CF16">
        <f>'Monthly Data'!CF64</f>
        <v>0</v>
      </c>
      <c r="CG16">
        <f>'Monthly Data'!CG64</f>
        <v>232.82708333333338</v>
      </c>
      <c r="CH16">
        <f>'Monthly Data'!CH64</f>
        <v>0</v>
      </c>
      <c r="CI16">
        <f>'Monthly Data'!CI64</f>
        <v>201.82708333333338</v>
      </c>
      <c r="CJ16">
        <f>'Monthly Data'!CJ64</f>
        <v>0</v>
      </c>
      <c r="CK16">
        <f>'Monthly Data'!CK64</f>
        <v>171.37708333333336</v>
      </c>
      <c r="CL16">
        <f>'Monthly Data'!CL64</f>
        <v>0.5500000000000016</v>
      </c>
      <c r="CM16">
        <f>'Monthly Data'!CM64</f>
        <v>143.44583333333333</v>
      </c>
      <c r="CN16">
        <f>'Monthly Data'!CN64</f>
        <v>3.618750000000003</v>
      </c>
      <c r="CO16" s="14">
        <f>'Monthly Data'!CO64</f>
        <v>488.74062500000025</v>
      </c>
      <c r="CP16" s="14">
        <f>'Monthly Data'!CP64</f>
        <v>0</v>
      </c>
      <c r="CQ16" s="14">
        <f>'Monthly Data'!CQ64</f>
        <v>442.24062500000014</v>
      </c>
      <c r="CR16" s="14">
        <f>'Monthly Data'!CR64</f>
        <v>0</v>
      </c>
      <c r="CS16" s="14">
        <f>'Monthly Data'!CS64</f>
        <v>395.74062500000014</v>
      </c>
      <c r="CT16" s="14">
        <f>'Monthly Data'!CT64</f>
        <v>0</v>
      </c>
      <c r="CU16" s="14">
        <f>'Monthly Data'!CU64</f>
        <v>349.24062500000008</v>
      </c>
      <c r="CV16" s="14">
        <f>'Monthly Data'!CV64</f>
        <v>0</v>
      </c>
      <c r="CW16" s="14">
        <f>'Monthly Data'!CW64</f>
        <v>302.74062500000008</v>
      </c>
      <c r="CX16" s="14">
        <f>'Monthly Data'!CX64</f>
        <v>0</v>
      </c>
      <c r="CY16" s="14">
        <f>'Monthly Data'!CY64</f>
        <v>257.06562500000007</v>
      </c>
      <c r="CZ16" s="14">
        <f>'Monthly Data'!CZ64</f>
        <v>0.8250000000000024</v>
      </c>
      <c r="DA16" s="14">
        <f>'Monthly Data'!DA64</f>
        <v>215.16874999999999</v>
      </c>
      <c r="DB16" s="14">
        <f>'Monthly Data'!DB64</f>
        <v>5.428125000000005</v>
      </c>
      <c r="DC16" s="72">
        <f>'Monthly Data'!DC64</f>
        <v>780.01537997350476</v>
      </c>
      <c r="DD16" s="72">
        <f>'Monthly Data'!DD64</f>
        <v>25.161786450758218</v>
      </c>
      <c r="DE16" s="71">
        <f>'Monthly Data'!DE64</f>
        <v>252951.43918947238</v>
      </c>
      <c r="DF16" s="72">
        <f>'Monthly Data'!DF64</f>
        <v>2111.0655523507457</v>
      </c>
      <c r="DG16" s="72">
        <f>'Monthly Data'!DG64</f>
        <v>68.098888785507924</v>
      </c>
      <c r="DH16" s="72">
        <f>'Monthly Data'!DH64</f>
        <v>86689.885423951593</v>
      </c>
      <c r="DI16" s="72">
        <f>'Monthly Data'!DI64</f>
        <v>38615.381119351041</v>
      </c>
      <c r="DJ16" s="72">
        <f>'Monthly Data'!DJ64</f>
        <v>1245.6574554629367</v>
      </c>
      <c r="DK16" s="72">
        <f>'Monthly Data'!DK64</f>
        <v>1755.2445963341381</v>
      </c>
      <c r="DL16" s="72">
        <f>'Monthly Data'!DL64</f>
        <v>188094.27577490345</v>
      </c>
      <c r="DM16" s="72">
        <f>'Monthly Data'!DM64</f>
        <v>265041.93404645484</v>
      </c>
    </row>
    <row r="17" spans="1:117">
      <c r="A17" s="93">
        <f>'Monthly Data'!A65</f>
        <v>44287</v>
      </c>
      <c r="B17" s="4">
        <f>'Monthly Data'!B65</f>
        <v>2021</v>
      </c>
      <c r="C17" s="4">
        <f>'Monthly Data'!C65</f>
        <v>4</v>
      </c>
      <c r="D17" s="56">
        <f>'Monthly Data'!D65</f>
        <v>6013718</v>
      </c>
      <c r="E17" s="56">
        <f>'Monthly Data'!E65</f>
        <v>162503.12428917715</v>
      </c>
      <c r="F17" s="56">
        <f>'Monthly Data'!F65</f>
        <v>6176221.1242891774</v>
      </c>
      <c r="G17" s="301">
        <f>'Monthly Data'!G65</f>
        <v>10059</v>
      </c>
      <c r="H17" s="56">
        <f>'Monthly Data'!H65</f>
        <v>1865695</v>
      </c>
      <c r="I17" s="56">
        <f>'Monthly Data'!I65</f>
        <v>165103.36015367878</v>
      </c>
      <c r="J17" s="56">
        <f>'Monthly Data'!J65</f>
        <v>2030798.3601536788</v>
      </c>
      <c r="K17" s="6">
        <f>'Monthly Data'!K65</f>
        <v>1272</v>
      </c>
      <c r="L17" s="5">
        <f>'Monthly Data'!L65</f>
        <v>4525427.0225686142</v>
      </c>
      <c r="M17" s="2">
        <f>'Monthly Data'!M65</f>
        <v>146068.1479735444</v>
      </c>
      <c r="N17" s="56">
        <f>'Monthly Data'!N65</f>
        <v>4671495.1705421582</v>
      </c>
      <c r="O17" s="5">
        <f>'Monthly Data'!O65</f>
        <v>12393.2</v>
      </c>
      <c r="P17" s="6">
        <f>'Monthly Data'!P65</f>
        <v>151</v>
      </c>
      <c r="Q17" s="5">
        <f>'Monthly Data'!Q65</f>
        <v>74448</v>
      </c>
      <c r="R17" s="5">
        <f>'Monthly Data'!R65</f>
        <v>235.2</v>
      </c>
      <c r="S17" s="6">
        <f>'Monthly Data'!S65</f>
        <v>2920</v>
      </c>
      <c r="T17" s="6">
        <f>'Monthly Data'!T65</f>
        <v>14996.223582289374</v>
      </c>
      <c r="U17" s="6">
        <f>'Monthly Data'!U65</f>
        <v>41.8</v>
      </c>
      <c r="V17" s="6">
        <f>'Monthly Data'!V65</f>
        <v>171</v>
      </c>
      <c r="W17" s="5">
        <f>'Monthly Data'!W65</f>
        <v>49933</v>
      </c>
      <c r="X17" s="56">
        <f>'Monthly Data'!X65</f>
        <v>19</v>
      </c>
      <c r="Y17" s="56">
        <f>'Monthly Data'!Y65</f>
        <v>0</v>
      </c>
      <c r="Z17" s="56">
        <f>'Monthly Data'!Z65</f>
        <v>0</v>
      </c>
      <c r="AA17" s="56">
        <f>'Monthly Data'!AA65</f>
        <v>4525427.0225686142</v>
      </c>
      <c r="AB17" s="56">
        <f>'Monthly Data'!AB65</f>
        <v>4671495.1705421582</v>
      </c>
      <c r="AC17" s="56">
        <f>'Monthly Data'!AC65</f>
        <v>12393.2</v>
      </c>
      <c r="AD17" s="111">
        <f>'Monthly Data'!AD65</f>
        <v>817265.5</v>
      </c>
      <c r="AE17" s="111">
        <f>'Monthly Data'!AE65</f>
        <v>803585</v>
      </c>
      <c r="AF17" s="111">
        <f>'Monthly Data'!AF65</f>
        <v>7276.1</v>
      </c>
      <c r="AG17" s="111">
        <f>'Monthly Data'!AG65</f>
        <v>7213.2</v>
      </c>
      <c r="AH17" s="111">
        <f>'Monthly Data'!AH65</f>
        <v>625.70000000000005</v>
      </c>
      <c r="AI17" s="111">
        <f>'Monthly Data'!AI65</f>
        <v>623.70000000000005</v>
      </c>
      <c r="AJ17" s="111">
        <f>'Monthly Data'!AJ65</f>
        <v>314.5</v>
      </c>
      <c r="AK17" s="111">
        <f>'Monthly Data'!AK65</f>
        <v>319.5</v>
      </c>
      <c r="AL17" s="111">
        <f>'Monthly Data'!AL65</f>
        <v>40.700000000000045</v>
      </c>
      <c r="AM17" s="111">
        <f>'Monthly Data'!AM65</f>
        <v>41.300000000000068</v>
      </c>
      <c r="AN17" s="111">
        <f>'Monthly Data'!AN65</f>
        <v>47323.5</v>
      </c>
      <c r="AO17" s="111">
        <f>'Monthly Data'!AO65</f>
        <v>-6409</v>
      </c>
      <c r="AP17" s="28">
        <f>'Monthly Data'!AP65</f>
        <v>7.2934722222222224</v>
      </c>
      <c r="AQ17" s="28">
        <f>'Monthly Data'!AQ65</f>
        <v>381.19583333333338</v>
      </c>
      <c r="AR17" s="28">
        <f>'Monthly Data'!AR65</f>
        <v>0</v>
      </c>
      <c r="AS17" s="28">
        <f>'Monthly Data'!AS65</f>
        <v>321.19583333333333</v>
      </c>
      <c r="AT17" s="28">
        <f>'Monthly Data'!AT65</f>
        <v>0</v>
      </c>
      <c r="AU17" s="28">
        <f>'Monthly Data'!AU65</f>
        <v>261.19583333333333</v>
      </c>
      <c r="AV17" s="28">
        <f>'Monthly Data'!AV65</f>
        <v>0</v>
      </c>
      <c r="AW17" s="28">
        <f>'Monthly Data'!AW65</f>
        <v>203.17083333333329</v>
      </c>
      <c r="AX17" s="28">
        <f>'Monthly Data'!AX65</f>
        <v>1.9749999999999996</v>
      </c>
      <c r="AY17" s="28">
        <f>'Monthly Data'!AY65</f>
        <v>150.2833333333333</v>
      </c>
      <c r="AZ17" s="28">
        <f>'Monthly Data'!AZ65</f>
        <v>9.0875000000000004</v>
      </c>
      <c r="BA17" s="28">
        <f>'Monthly Data'!BA65</f>
        <v>108.31250000000003</v>
      </c>
      <c r="BB17" s="28">
        <f>'Monthly Data'!BB65</f>
        <v>27.116666666666667</v>
      </c>
      <c r="BC17" s="28">
        <f>'Monthly Data'!BC65</f>
        <v>71.970833333333331</v>
      </c>
      <c r="BD17" s="28">
        <f>'Monthly Data'!BD65</f>
        <v>50.774999999999999</v>
      </c>
      <c r="BE17">
        <f>'Monthly Data'!BE65</f>
        <v>0</v>
      </c>
      <c r="BF17">
        <f>'Monthly Data'!BF65</f>
        <v>0</v>
      </c>
      <c r="BG17">
        <f>'Monthly Data'!BG65</f>
        <v>0</v>
      </c>
      <c r="BH17">
        <f>'Monthly Data'!BH65</f>
        <v>1</v>
      </c>
      <c r="BI17">
        <f>'Monthly Data'!BI65</f>
        <v>0</v>
      </c>
      <c r="BJ17">
        <f>'Monthly Data'!BJ65</f>
        <v>0</v>
      </c>
      <c r="BK17">
        <f>'Monthly Data'!BK65</f>
        <v>0</v>
      </c>
      <c r="BL17">
        <f>'Monthly Data'!BL65</f>
        <v>0</v>
      </c>
      <c r="BM17">
        <f>'Monthly Data'!BM65</f>
        <v>0</v>
      </c>
      <c r="BN17">
        <f>'Monthly Data'!BN65</f>
        <v>0</v>
      </c>
      <c r="BO17">
        <f>'Monthly Data'!BO65</f>
        <v>0</v>
      </c>
      <c r="BP17">
        <f>'Monthly Data'!BP65</f>
        <v>0</v>
      </c>
      <c r="BQ17" s="1">
        <f>'Monthly Data'!BQ65</f>
        <v>1</v>
      </c>
      <c r="BR17" s="1">
        <f>'Monthly Data'!BR65</f>
        <v>0</v>
      </c>
      <c r="BS17" s="1">
        <f>'Monthly Data'!BS65</f>
        <v>1</v>
      </c>
      <c r="BT17" s="1">
        <f>'Monthly Data'!BT65</f>
        <v>64</v>
      </c>
      <c r="BU17">
        <f>'Monthly Data'!BU65</f>
        <v>30</v>
      </c>
      <c r="BV17">
        <f>'Monthly Data'!BV65</f>
        <v>21</v>
      </c>
      <c r="BW17" s="1">
        <f>'Monthly Data'!BW65</f>
        <v>1</v>
      </c>
      <c r="BX17" s="1">
        <f>'Monthly Data'!BX65</f>
        <v>0.5</v>
      </c>
      <c r="BY17" s="1">
        <f>'Monthly Data'!BY65</f>
        <v>0.75</v>
      </c>
      <c r="BZ17" s="1">
        <f>'Monthly Data'!BZ65</f>
        <v>0</v>
      </c>
      <c r="CA17">
        <f>'Monthly Data'!CA65</f>
        <v>190.59791666666669</v>
      </c>
      <c r="CB17">
        <f>'Monthly Data'!CB65</f>
        <v>0</v>
      </c>
      <c r="CC17">
        <f>'Monthly Data'!CC65</f>
        <v>160.59791666666666</v>
      </c>
      <c r="CD17">
        <f>'Monthly Data'!CD65</f>
        <v>0</v>
      </c>
      <c r="CE17">
        <f>'Monthly Data'!CE65</f>
        <v>130.59791666666666</v>
      </c>
      <c r="CF17">
        <f>'Monthly Data'!CF65</f>
        <v>0</v>
      </c>
      <c r="CG17">
        <f>'Monthly Data'!CG65</f>
        <v>101.58541666666665</v>
      </c>
      <c r="CH17">
        <f>'Monthly Data'!CH65</f>
        <v>0.98749999999999982</v>
      </c>
      <c r="CI17">
        <f>'Monthly Data'!CI65</f>
        <v>75.141666666666652</v>
      </c>
      <c r="CJ17">
        <f>'Monthly Data'!CJ65</f>
        <v>4.5437500000000002</v>
      </c>
      <c r="CK17">
        <f>'Monthly Data'!CK65</f>
        <v>54.156250000000014</v>
      </c>
      <c r="CL17">
        <f>'Monthly Data'!CL65</f>
        <v>13.558333333333334</v>
      </c>
      <c r="CM17">
        <f>'Monthly Data'!CM65</f>
        <v>35.985416666666666</v>
      </c>
      <c r="CN17">
        <f>'Monthly Data'!CN65</f>
        <v>25.387499999999999</v>
      </c>
      <c r="CO17" s="14">
        <f>'Monthly Data'!CO65</f>
        <v>285.89687500000002</v>
      </c>
      <c r="CP17" s="14">
        <f>'Monthly Data'!CP65</f>
        <v>0</v>
      </c>
      <c r="CQ17" s="14">
        <f>'Monthly Data'!CQ65</f>
        <v>240.89687499999999</v>
      </c>
      <c r="CR17" s="14">
        <f>'Monthly Data'!CR65</f>
        <v>0</v>
      </c>
      <c r="CS17" s="14">
        <f>'Monthly Data'!CS65</f>
        <v>195.89687499999999</v>
      </c>
      <c r="CT17" s="14">
        <f>'Monthly Data'!CT65</f>
        <v>0</v>
      </c>
      <c r="CU17" s="14">
        <f>'Monthly Data'!CU65</f>
        <v>152.37812499999995</v>
      </c>
      <c r="CV17" s="14">
        <f>'Monthly Data'!CV65</f>
        <v>1.4812499999999997</v>
      </c>
      <c r="CW17" s="14">
        <f>'Monthly Data'!CW65</f>
        <v>112.71249999999998</v>
      </c>
      <c r="CX17" s="14">
        <f>'Monthly Data'!CX65</f>
        <v>6.8156250000000007</v>
      </c>
      <c r="CY17" s="14">
        <f>'Monthly Data'!CY65</f>
        <v>81.234375000000028</v>
      </c>
      <c r="CZ17" s="14">
        <f>'Monthly Data'!CZ65</f>
        <v>20.337499999999999</v>
      </c>
      <c r="DA17" s="14">
        <f>'Monthly Data'!DA65</f>
        <v>53.978124999999999</v>
      </c>
      <c r="DB17" s="14">
        <f>'Monthly Data'!DB65</f>
        <v>38.081249999999997</v>
      </c>
      <c r="DC17" s="72">
        <f>'Monthly Data'!DC65</f>
        <v>613.99951528871429</v>
      </c>
      <c r="DD17" s="72">
        <f>'Monthly Data'!DD65</f>
        <v>20.466650509623811</v>
      </c>
      <c r="DE17" s="71">
        <f>'Monthly Data'!DE65</f>
        <v>205874.03747630591</v>
      </c>
      <c r="DF17" s="72">
        <f>'Monthly Data'!DF65</f>
        <v>1596.5395913157852</v>
      </c>
      <c r="DG17" s="72">
        <f>'Monthly Data'!DG65</f>
        <v>53.217986377192837</v>
      </c>
      <c r="DH17" s="72">
        <f>'Monthly Data'!DH65</f>
        <v>67693.278671789289</v>
      </c>
      <c r="DI17" s="72">
        <f>'Monthly Data'!DI65</f>
        <v>30937.054109550718</v>
      </c>
      <c r="DJ17" s="72">
        <f>'Monthly Data'!DJ65</f>
        <v>1031.2351369850239</v>
      </c>
      <c r="DK17" s="72">
        <f>'Monthly Data'!DK65</f>
        <v>1473.1930528357484</v>
      </c>
      <c r="DL17" s="72">
        <f>'Monthly Data'!DL65</f>
        <v>155716.5056847386</v>
      </c>
      <c r="DM17" s="72">
        <f>'Monthly Data'!DM65</f>
        <v>222452.15097819801</v>
      </c>
    </row>
    <row r="18" spans="1:117">
      <c r="A18" s="93">
        <f>'Monthly Data'!A66</f>
        <v>44317</v>
      </c>
      <c r="B18" s="4">
        <f>'Monthly Data'!B66</f>
        <v>2021</v>
      </c>
      <c r="C18" s="4">
        <f>'Monthly Data'!C66</f>
        <v>5</v>
      </c>
      <c r="D18" s="56">
        <f>'Monthly Data'!D66</f>
        <v>6083974</v>
      </c>
      <c r="E18" s="56">
        <f>'Monthly Data'!E66</f>
        <v>162564.63370471014</v>
      </c>
      <c r="F18" s="56">
        <f>'Monthly Data'!F66</f>
        <v>6246538.6337047098</v>
      </c>
      <c r="G18" s="301">
        <f>'Monthly Data'!G66</f>
        <v>10066</v>
      </c>
      <c r="H18" s="56">
        <f>'Monthly Data'!H66</f>
        <v>1895909</v>
      </c>
      <c r="I18" s="56">
        <f>'Monthly Data'!I66</f>
        <v>165939.27216485824</v>
      </c>
      <c r="J18" s="56">
        <f>'Monthly Data'!J66</f>
        <v>2061848.2721648582</v>
      </c>
      <c r="K18" s="6">
        <f>'Monthly Data'!K66</f>
        <v>1272</v>
      </c>
      <c r="L18" s="5">
        <f>'Monthly Data'!L66</f>
        <v>4820904.4092952088</v>
      </c>
      <c r="M18" s="2">
        <f>'Monthly Data'!M66</f>
        <v>147072.74692508238</v>
      </c>
      <c r="N18" s="56">
        <f>'Monthly Data'!N66</f>
        <v>4967977.1562202908</v>
      </c>
      <c r="O18" s="5">
        <f>'Monthly Data'!O66</f>
        <v>15080.25</v>
      </c>
      <c r="P18" s="6">
        <f>'Monthly Data'!P66</f>
        <v>151</v>
      </c>
      <c r="Q18" s="5">
        <f>'Monthly Data'!Q66</f>
        <v>67648</v>
      </c>
      <c r="R18" s="5">
        <f>'Monthly Data'!R66</f>
        <v>235.2</v>
      </c>
      <c r="S18" s="6">
        <f>'Monthly Data'!S66</f>
        <v>2920</v>
      </c>
      <c r="T18" s="6">
        <f>'Monthly Data'!T66</f>
        <v>14994.223582289374</v>
      </c>
      <c r="U18" s="6">
        <f>'Monthly Data'!U66</f>
        <v>41.800000000000004</v>
      </c>
      <c r="V18" s="6">
        <f>'Monthly Data'!V66</f>
        <v>171</v>
      </c>
      <c r="W18" s="5">
        <f>'Monthly Data'!W66</f>
        <v>50521</v>
      </c>
      <c r="X18" s="56">
        <f>'Monthly Data'!X66</f>
        <v>19</v>
      </c>
      <c r="Y18" s="56">
        <f>'Monthly Data'!Y66</f>
        <v>1284</v>
      </c>
      <c r="Z18" s="56">
        <f>'Monthly Data'!Z66</f>
        <v>2643</v>
      </c>
      <c r="AA18" s="56">
        <f>'Monthly Data'!AA66</f>
        <v>4819620.4092952088</v>
      </c>
      <c r="AB18" s="56">
        <f>'Monthly Data'!AB66</f>
        <v>4966693.1562202908</v>
      </c>
      <c r="AC18" s="56">
        <f>'Monthly Data'!AC66</f>
        <v>12437.25</v>
      </c>
      <c r="AD18" s="111">
        <f>'Monthly Data'!AD66</f>
        <v>817265.5</v>
      </c>
      <c r="AE18" s="111">
        <f>'Monthly Data'!AE66</f>
        <v>803585</v>
      </c>
      <c r="AF18" s="111">
        <f>'Monthly Data'!AF66</f>
        <v>7265.7</v>
      </c>
      <c r="AG18" s="111">
        <f>'Monthly Data'!AG66</f>
        <v>7247.3</v>
      </c>
      <c r="AH18" s="111">
        <f>'Monthly Data'!AH66</f>
        <v>626.1</v>
      </c>
      <c r="AI18" s="111">
        <f>'Monthly Data'!AI66</f>
        <v>625.1</v>
      </c>
      <c r="AJ18" s="111">
        <f>'Monthly Data'!AJ66</f>
        <v>693.09999999999945</v>
      </c>
      <c r="AK18" s="111">
        <f>'Monthly Data'!AK66</f>
        <v>696.40000000000055</v>
      </c>
      <c r="AL18" s="111">
        <f>'Monthly Data'!AL66</f>
        <v>61.899999999999977</v>
      </c>
      <c r="AM18" s="111">
        <f>'Monthly Data'!AM66</f>
        <v>60.600000000000023</v>
      </c>
      <c r="AN18" s="111">
        <f>'Monthly Data'!AN66</f>
        <v>47323.5</v>
      </c>
      <c r="AO18" s="111">
        <f>'Monthly Data'!AO66</f>
        <v>-6409</v>
      </c>
      <c r="AP18" s="28">
        <f>'Monthly Data'!AP66</f>
        <v>12.099731182795697</v>
      </c>
      <c r="AQ18" s="28">
        <f>'Monthly Data'!AQ66</f>
        <v>251.67499999999995</v>
      </c>
      <c r="AR18" s="28">
        <f>'Monthly Data'!AR66</f>
        <v>6.7666666666666657</v>
      </c>
      <c r="AS18" s="28">
        <f>'Monthly Data'!AS66</f>
        <v>201.67500000000001</v>
      </c>
      <c r="AT18" s="28">
        <f>'Monthly Data'!AT66</f>
        <v>18.766666666666666</v>
      </c>
      <c r="AU18" s="28">
        <f>'Monthly Data'!AU66</f>
        <v>153.41666666666669</v>
      </c>
      <c r="AV18" s="28">
        <f>'Monthly Data'!AV66</f>
        <v>32.508333333333333</v>
      </c>
      <c r="AW18" s="28">
        <f>'Monthly Data'!AW66</f>
        <v>110.93750000000001</v>
      </c>
      <c r="AX18" s="28">
        <f>'Monthly Data'!AX66</f>
        <v>52.029166666666661</v>
      </c>
      <c r="AY18" s="28">
        <f>'Monthly Data'!AY66</f>
        <v>75.95</v>
      </c>
      <c r="AZ18" s="28">
        <f>'Monthly Data'!AZ66</f>
        <v>79.041666666666686</v>
      </c>
      <c r="BA18" s="28">
        <f>'Monthly Data'!BA66</f>
        <v>44.94166666666667</v>
      </c>
      <c r="BB18" s="28">
        <f>'Monthly Data'!BB66</f>
        <v>110.03333333333333</v>
      </c>
      <c r="BC18" s="28">
        <f>'Monthly Data'!BC66</f>
        <v>18.94166666666667</v>
      </c>
      <c r="BD18" s="28">
        <f>'Monthly Data'!BD66</f>
        <v>146.03333333333333</v>
      </c>
      <c r="BE18">
        <f>'Monthly Data'!BE66</f>
        <v>0</v>
      </c>
      <c r="BF18">
        <f>'Monthly Data'!BF66</f>
        <v>0</v>
      </c>
      <c r="BG18">
        <f>'Monthly Data'!BG66</f>
        <v>0</v>
      </c>
      <c r="BH18">
        <f>'Monthly Data'!BH66</f>
        <v>0</v>
      </c>
      <c r="BI18">
        <f>'Monthly Data'!BI66</f>
        <v>1</v>
      </c>
      <c r="BJ18">
        <f>'Monthly Data'!BJ66</f>
        <v>0</v>
      </c>
      <c r="BK18">
        <f>'Monthly Data'!BK66</f>
        <v>0</v>
      </c>
      <c r="BL18">
        <f>'Monthly Data'!BL66</f>
        <v>0</v>
      </c>
      <c r="BM18">
        <f>'Monthly Data'!BM66</f>
        <v>0</v>
      </c>
      <c r="BN18">
        <f>'Monthly Data'!BN66</f>
        <v>0</v>
      </c>
      <c r="BO18">
        <f>'Monthly Data'!BO66</f>
        <v>0</v>
      </c>
      <c r="BP18">
        <f>'Monthly Data'!BP66</f>
        <v>0</v>
      </c>
      <c r="BQ18" s="1">
        <f>'Monthly Data'!BQ66</f>
        <v>1</v>
      </c>
      <c r="BR18" s="1">
        <f>'Monthly Data'!BR66</f>
        <v>0</v>
      </c>
      <c r="BS18" s="1">
        <f>'Monthly Data'!BS66</f>
        <v>1</v>
      </c>
      <c r="BT18" s="1">
        <f>'Monthly Data'!BT66</f>
        <v>65</v>
      </c>
      <c r="BU18">
        <f>'Monthly Data'!BU66</f>
        <v>31</v>
      </c>
      <c r="BV18">
        <f>'Monthly Data'!BV66</f>
        <v>20</v>
      </c>
      <c r="BW18" s="1">
        <f>'Monthly Data'!BW66</f>
        <v>1</v>
      </c>
      <c r="BX18" s="1">
        <f>'Monthly Data'!BX66</f>
        <v>0.5</v>
      </c>
      <c r="BY18" s="1">
        <f>'Monthly Data'!BY66</f>
        <v>0.75</v>
      </c>
      <c r="BZ18" s="1">
        <f>'Monthly Data'!BZ66</f>
        <v>0</v>
      </c>
      <c r="CA18">
        <f>'Monthly Data'!CA66</f>
        <v>125.83749999999998</v>
      </c>
      <c r="CB18">
        <f>'Monthly Data'!CB66</f>
        <v>3.3833333333333329</v>
      </c>
      <c r="CC18">
        <f>'Monthly Data'!CC66</f>
        <v>100.83750000000001</v>
      </c>
      <c r="CD18">
        <f>'Monthly Data'!CD66</f>
        <v>9.3833333333333329</v>
      </c>
      <c r="CE18">
        <f>'Monthly Data'!CE66</f>
        <v>76.708333333333343</v>
      </c>
      <c r="CF18">
        <f>'Monthly Data'!CF66</f>
        <v>16.254166666666666</v>
      </c>
      <c r="CG18">
        <f>'Monthly Data'!CG66</f>
        <v>55.468750000000007</v>
      </c>
      <c r="CH18">
        <f>'Monthly Data'!CH66</f>
        <v>26.014583333333331</v>
      </c>
      <c r="CI18">
        <f>'Monthly Data'!CI66</f>
        <v>37.975000000000001</v>
      </c>
      <c r="CJ18">
        <f>'Monthly Data'!CJ66</f>
        <v>39.520833333333343</v>
      </c>
      <c r="CK18">
        <f>'Monthly Data'!CK66</f>
        <v>22.470833333333335</v>
      </c>
      <c r="CL18">
        <f>'Monthly Data'!CL66</f>
        <v>55.016666666666666</v>
      </c>
      <c r="CM18">
        <f>'Monthly Data'!CM66</f>
        <v>9.470833333333335</v>
      </c>
      <c r="CN18">
        <f>'Monthly Data'!CN66</f>
        <v>73.016666666666666</v>
      </c>
      <c r="CO18" s="14">
        <f>'Monthly Data'!CO66</f>
        <v>188.75624999999997</v>
      </c>
      <c r="CP18" s="14">
        <f>'Monthly Data'!CP66</f>
        <v>5.0749999999999993</v>
      </c>
      <c r="CQ18" s="14">
        <f>'Monthly Data'!CQ66</f>
        <v>151.25625000000002</v>
      </c>
      <c r="CR18" s="14">
        <f>'Monthly Data'!CR66</f>
        <v>14.074999999999999</v>
      </c>
      <c r="CS18" s="14">
        <f>'Monthly Data'!CS66</f>
        <v>115.06250000000001</v>
      </c>
      <c r="CT18" s="14">
        <f>'Monthly Data'!CT66</f>
        <v>24.381250000000001</v>
      </c>
      <c r="CU18" s="14">
        <f>'Monthly Data'!CU66</f>
        <v>83.203125000000014</v>
      </c>
      <c r="CV18" s="14">
        <f>'Monthly Data'!CV66</f>
        <v>39.021874999999994</v>
      </c>
      <c r="CW18" s="14">
        <f>'Monthly Data'!CW66</f>
        <v>56.962500000000006</v>
      </c>
      <c r="CX18" s="14">
        <f>'Monthly Data'!CX66</f>
        <v>59.281250000000014</v>
      </c>
      <c r="CY18" s="14">
        <f>'Monthly Data'!CY66</f>
        <v>33.706250000000004</v>
      </c>
      <c r="CZ18" s="14">
        <f>'Monthly Data'!CZ66</f>
        <v>82.525000000000006</v>
      </c>
      <c r="DA18" s="14">
        <f>'Monthly Data'!DA66</f>
        <v>14.206250000000002</v>
      </c>
      <c r="DB18" s="14">
        <f>'Monthly Data'!DB66</f>
        <v>109.52500000000001</v>
      </c>
      <c r="DC18" s="72">
        <f>'Monthly Data'!DC66</f>
        <v>620.5581793865199</v>
      </c>
      <c r="DD18" s="72">
        <f>'Monthly Data'!DD66</f>
        <v>20.018005786661931</v>
      </c>
      <c r="DE18" s="71">
        <f>'Monthly Data'!DE66</f>
        <v>201501.24624853901</v>
      </c>
      <c r="DF18" s="72">
        <f>'Monthly Data'!DF66</f>
        <v>1620.9498995006747</v>
      </c>
      <c r="DG18" s="72">
        <f>'Monthly Data'!DG66</f>
        <v>52.288706435505638</v>
      </c>
      <c r="DH18" s="72">
        <f>'Monthly Data'!DH66</f>
        <v>66511.23458596316</v>
      </c>
      <c r="DI18" s="72">
        <f>'Monthly Data'!DI66</f>
        <v>32900.510968346294</v>
      </c>
      <c r="DJ18" s="72">
        <f>'Monthly Data'!DJ66</f>
        <v>1061.3068054305256</v>
      </c>
      <c r="DK18" s="72">
        <f>'Monthly Data'!DK66</f>
        <v>1645.0255484173147</v>
      </c>
      <c r="DL18" s="72">
        <f>'Monthly Data'!DL66</f>
        <v>160257.32762000937</v>
      </c>
      <c r="DM18" s="72">
        <f>'Monthly Data'!DM66</f>
        <v>248398.85781101455</v>
      </c>
    </row>
    <row r="19" spans="1:117">
      <c r="A19" s="93">
        <f>'Monthly Data'!A67</f>
        <v>44348</v>
      </c>
      <c r="B19" s="4">
        <f>'Monthly Data'!B67</f>
        <v>2021</v>
      </c>
      <c r="C19" s="4">
        <f>'Monthly Data'!C67</f>
        <v>6</v>
      </c>
      <c r="D19" s="56">
        <f>'Monthly Data'!D67</f>
        <v>6848419</v>
      </c>
      <c r="E19" s="56">
        <f>'Monthly Data'!E67</f>
        <v>162626.14312024313</v>
      </c>
      <c r="F19" s="56">
        <f>'Monthly Data'!F67</f>
        <v>7011045.1431202432</v>
      </c>
      <c r="G19" s="301">
        <f>'Monthly Data'!G67</f>
        <v>10064</v>
      </c>
      <c r="H19" s="56">
        <f>'Monthly Data'!H67</f>
        <v>2035592</v>
      </c>
      <c r="I19" s="56">
        <f>'Monthly Data'!I67</f>
        <v>166775.18417603767</v>
      </c>
      <c r="J19" s="56">
        <f>'Monthly Data'!J67</f>
        <v>2202367.1841760376</v>
      </c>
      <c r="K19" s="6">
        <f>'Monthly Data'!K67</f>
        <v>1285</v>
      </c>
      <c r="L19" s="5">
        <f>'Monthly Data'!L67</f>
        <v>5238853.8109400403</v>
      </c>
      <c r="M19" s="2">
        <f>'Monthly Data'!M67</f>
        <v>148077.34587662035</v>
      </c>
      <c r="N19" s="56">
        <f>'Monthly Data'!N67</f>
        <v>5386931.1568166604</v>
      </c>
      <c r="O19" s="5">
        <f>'Monthly Data'!O67</f>
        <v>14816.5</v>
      </c>
      <c r="P19" s="6">
        <f>'Monthly Data'!P67</f>
        <v>139</v>
      </c>
      <c r="Q19" s="5">
        <f>'Monthly Data'!Q67</f>
        <v>60965</v>
      </c>
      <c r="R19" s="5">
        <f>'Monthly Data'!R67</f>
        <v>235.2</v>
      </c>
      <c r="S19" s="6">
        <f>'Monthly Data'!S67</f>
        <v>2920</v>
      </c>
      <c r="T19" s="6">
        <f>'Monthly Data'!T67</f>
        <v>14995.223582289374</v>
      </c>
      <c r="U19" s="6">
        <f>'Monthly Data'!U67</f>
        <v>39.699999999999996</v>
      </c>
      <c r="V19" s="6">
        <f>'Monthly Data'!V67</f>
        <v>171</v>
      </c>
      <c r="W19" s="5">
        <f>'Monthly Data'!W67</f>
        <v>50269</v>
      </c>
      <c r="X19" s="56">
        <f>'Monthly Data'!X67</f>
        <v>19</v>
      </c>
      <c r="Y19" s="56">
        <f>'Monthly Data'!Y67</f>
        <v>2261.6</v>
      </c>
      <c r="Z19" s="56">
        <f>'Monthly Data'!Z67</f>
        <v>537.6</v>
      </c>
      <c r="AA19" s="56">
        <f>'Monthly Data'!AA67</f>
        <v>5236592.2109400406</v>
      </c>
      <c r="AB19" s="56">
        <f>'Monthly Data'!AB67</f>
        <v>5384669.5568166608</v>
      </c>
      <c r="AC19" s="56">
        <f>'Monthly Data'!AC67</f>
        <v>14278.9</v>
      </c>
      <c r="AD19" s="111">
        <f>'Monthly Data'!AD67</f>
        <v>817265.5</v>
      </c>
      <c r="AE19" s="111">
        <f>'Monthly Data'!AE67</f>
        <v>803585</v>
      </c>
      <c r="AF19" s="111">
        <f>'Monthly Data'!AF67</f>
        <v>7250</v>
      </c>
      <c r="AG19" s="111">
        <f>'Monthly Data'!AG67</f>
        <v>7295.8</v>
      </c>
      <c r="AH19" s="111">
        <f>'Monthly Data'!AH67</f>
        <v>628.20000000000005</v>
      </c>
      <c r="AI19" s="111">
        <f>'Monthly Data'!AI67</f>
        <v>632.6</v>
      </c>
      <c r="AJ19" s="111">
        <f>'Monthly Data'!AJ67</f>
        <v>772.60000000000036</v>
      </c>
      <c r="AK19" s="111">
        <f>'Monthly Data'!AK67</f>
        <v>780.19999999999982</v>
      </c>
      <c r="AL19" s="111">
        <f>'Monthly Data'!AL67</f>
        <v>72.5</v>
      </c>
      <c r="AM19" s="111">
        <f>'Monthly Data'!AM67</f>
        <v>72.5</v>
      </c>
      <c r="AN19" s="111">
        <f>'Monthly Data'!AN67</f>
        <v>47323.5</v>
      </c>
      <c r="AO19" s="111">
        <f>'Monthly Data'!AO67</f>
        <v>-6409</v>
      </c>
      <c r="AP19" s="28">
        <f>'Monthly Data'!AP67</f>
        <v>19.186944444444446</v>
      </c>
      <c r="AQ19" s="28">
        <f>'Monthly Data'!AQ67</f>
        <v>55.149999999999991</v>
      </c>
      <c r="AR19" s="28">
        <f>'Monthly Data'!AR67</f>
        <v>30.758333333333322</v>
      </c>
      <c r="AS19" s="28">
        <f>'Monthly Data'!AS67</f>
        <v>25.162499999999994</v>
      </c>
      <c r="AT19" s="28">
        <f>'Monthly Data'!AT67</f>
        <v>60.770833333333329</v>
      </c>
      <c r="AU19" s="28">
        <f>'Monthly Data'!AU67</f>
        <v>8.6749999999999989</v>
      </c>
      <c r="AV19" s="28">
        <f>'Monthly Data'!AV67</f>
        <v>104.28333333333333</v>
      </c>
      <c r="AW19" s="28">
        <f>'Monthly Data'!AW67</f>
        <v>2.4833333333333325</v>
      </c>
      <c r="AX19" s="28">
        <f>'Monthly Data'!AX67</f>
        <v>158.0916666666667</v>
      </c>
      <c r="AY19" s="28">
        <f>'Monthly Data'!AY67</f>
        <v>0.4833333333333325</v>
      </c>
      <c r="AZ19" s="28">
        <f>'Monthly Data'!AZ67</f>
        <v>216.09166666666664</v>
      </c>
      <c r="BA19" s="28">
        <f>'Monthly Data'!BA67</f>
        <v>0</v>
      </c>
      <c r="BB19" s="28">
        <f>'Monthly Data'!BB67</f>
        <v>275.60833333333329</v>
      </c>
      <c r="BC19" s="28">
        <f>'Monthly Data'!BC67</f>
        <v>0</v>
      </c>
      <c r="BD19" s="28">
        <f>'Monthly Data'!BD67</f>
        <v>335.60833333333329</v>
      </c>
      <c r="BE19">
        <f>'Monthly Data'!BE67</f>
        <v>0</v>
      </c>
      <c r="BF19">
        <f>'Monthly Data'!BF67</f>
        <v>0</v>
      </c>
      <c r="BG19">
        <f>'Monthly Data'!BG67</f>
        <v>0</v>
      </c>
      <c r="BH19">
        <f>'Monthly Data'!BH67</f>
        <v>0</v>
      </c>
      <c r="BI19">
        <f>'Monthly Data'!BI67</f>
        <v>0</v>
      </c>
      <c r="BJ19">
        <f>'Monthly Data'!BJ67</f>
        <v>1</v>
      </c>
      <c r="BK19">
        <f>'Monthly Data'!BK67</f>
        <v>0</v>
      </c>
      <c r="BL19">
        <f>'Monthly Data'!BL67</f>
        <v>0</v>
      </c>
      <c r="BM19">
        <f>'Monthly Data'!BM67</f>
        <v>0</v>
      </c>
      <c r="BN19">
        <f>'Monthly Data'!BN67</f>
        <v>0</v>
      </c>
      <c r="BO19">
        <f>'Monthly Data'!BO67</f>
        <v>0</v>
      </c>
      <c r="BP19">
        <f>'Monthly Data'!BP67</f>
        <v>0</v>
      </c>
      <c r="BQ19" s="1">
        <f>'Monthly Data'!BQ67</f>
        <v>0</v>
      </c>
      <c r="BR19" s="1">
        <f>'Monthly Data'!BR67</f>
        <v>0</v>
      </c>
      <c r="BS19" s="1">
        <f>'Monthly Data'!BS67</f>
        <v>0</v>
      </c>
      <c r="BT19" s="1">
        <f>'Monthly Data'!BT67</f>
        <v>66</v>
      </c>
      <c r="BU19">
        <f>'Monthly Data'!BU67</f>
        <v>30</v>
      </c>
      <c r="BV19">
        <f>'Monthly Data'!BV67</f>
        <v>22</v>
      </c>
      <c r="BW19" s="1">
        <f>'Monthly Data'!BW67</f>
        <v>1</v>
      </c>
      <c r="BX19" s="1">
        <f>'Monthly Data'!BX67</f>
        <v>0.5</v>
      </c>
      <c r="BY19" s="1">
        <f>'Monthly Data'!BY67</f>
        <v>0.75</v>
      </c>
      <c r="BZ19" s="1">
        <f>'Monthly Data'!BZ67</f>
        <v>0</v>
      </c>
      <c r="CA19">
        <f>'Monthly Data'!CA67</f>
        <v>27.574999999999996</v>
      </c>
      <c r="CB19">
        <f>'Monthly Data'!CB67</f>
        <v>15.379166666666661</v>
      </c>
      <c r="CC19">
        <f>'Monthly Data'!CC67</f>
        <v>12.581249999999997</v>
      </c>
      <c r="CD19">
        <f>'Monthly Data'!CD67</f>
        <v>30.385416666666664</v>
      </c>
      <c r="CE19">
        <f>'Monthly Data'!CE67</f>
        <v>4.3374999999999995</v>
      </c>
      <c r="CF19">
        <f>'Monthly Data'!CF67</f>
        <v>52.141666666666666</v>
      </c>
      <c r="CG19">
        <f>'Monthly Data'!CG67</f>
        <v>1.2416666666666663</v>
      </c>
      <c r="CH19">
        <f>'Monthly Data'!CH67</f>
        <v>79.045833333333348</v>
      </c>
      <c r="CI19">
        <f>'Monthly Data'!CI67</f>
        <v>0.24166666666666625</v>
      </c>
      <c r="CJ19">
        <f>'Monthly Data'!CJ67</f>
        <v>108.04583333333332</v>
      </c>
      <c r="CK19">
        <f>'Monthly Data'!CK67</f>
        <v>0</v>
      </c>
      <c r="CL19">
        <f>'Monthly Data'!CL67</f>
        <v>137.80416666666665</v>
      </c>
      <c r="CM19">
        <f>'Monthly Data'!CM67</f>
        <v>0</v>
      </c>
      <c r="CN19">
        <f>'Monthly Data'!CN67</f>
        <v>167.80416666666665</v>
      </c>
      <c r="CO19" s="14">
        <f>'Monthly Data'!CO67</f>
        <v>41.362499999999997</v>
      </c>
      <c r="CP19" s="14">
        <f>'Monthly Data'!CP67</f>
        <v>23.068749999999991</v>
      </c>
      <c r="CQ19" s="14">
        <f>'Monthly Data'!CQ67</f>
        <v>18.871874999999996</v>
      </c>
      <c r="CR19" s="14">
        <f>'Monthly Data'!CR67</f>
        <v>45.578125</v>
      </c>
      <c r="CS19" s="14">
        <f>'Monthly Data'!CS67</f>
        <v>6.5062499999999996</v>
      </c>
      <c r="CT19" s="14">
        <f>'Monthly Data'!CT67</f>
        <v>78.212500000000006</v>
      </c>
      <c r="CU19" s="14">
        <f>'Monthly Data'!CU67</f>
        <v>1.8624999999999994</v>
      </c>
      <c r="CV19" s="14">
        <f>'Monthly Data'!CV67</f>
        <v>118.56875000000002</v>
      </c>
      <c r="CW19" s="14">
        <f>'Monthly Data'!CW67</f>
        <v>0.36249999999999938</v>
      </c>
      <c r="CX19" s="14">
        <f>'Monthly Data'!CX67</f>
        <v>162.06874999999997</v>
      </c>
      <c r="CY19" s="14">
        <f>'Monthly Data'!CY67</f>
        <v>0</v>
      </c>
      <c r="CZ19" s="14">
        <f>'Monthly Data'!CZ67</f>
        <v>206.70624999999995</v>
      </c>
      <c r="DA19" s="14">
        <f>'Monthly Data'!DA67</f>
        <v>0</v>
      </c>
      <c r="DB19" s="14">
        <f>'Monthly Data'!DB67</f>
        <v>251.70624999999995</v>
      </c>
      <c r="DC19" s="72">
        <f>'Monthly Data'!DC67</f>
        <v>696.64598003976982</v>
      </c>
      <c r="DD19" s="72">
        <f>'Monthly Data'!DD67</f>
        <v>23.221532667992328</v>
      </c>
      <c r="DE19" s="71">
        <f>'Monthly Data'!DE67</f>
        <v>233701.50477067477</v>
      </c>
      <c r="DF19" s="72">
        <f>'Monthly Data'!DF67</f>
        <v>1713.9044234832977</v>
      </c>
      <c r="DG19" s="72">
        <f>'Monthly Data'!DG67</f>
        <v>57.130147449443257</v>
      </c>
      <c r="DH19" s="72">
        <f>'Monthly Data'!DH67</f>
        <v>73412.23947253458</v>
      </c>
      <c r="DI19" s="72">
        <f>'Monthly Data'!DI67</f>
        <v>38754.900408752954</v>
      </c>
      <c r="DJ19" s="72">
        <f>'Monthly Data'!DJ67</f>
        <v>1291.8300136250984</v>
      </c>
      <c r="DK19" s="72">
        <f>'Monthly Data'!DK67</f>
        <v>1761.5863822160434</v>
      </c>
      <c r="DL19" s="72">
        <f>'Monthly Data'!DL67</f>
        <v>179564.37189388869</v>
      </c>
      <c r="DM19" s="72">
        <f>'Monthly Data'!DM67</f>
        <v>244860.50712803003</v>
      </c>
    </row>
    <row r="20" spans="1:117">
      <c r="A20" s="93">
        <f>'Monthly Data'!A68</f>
        <v>44378</v>
      </c>
      <c r="B20" s="4">
        <f>'Monthly Data'!B68</f>
        <v>2021</v>
      </c>
      <c r="C20" s="4">
        <f>'Monthly Data'!C68</f>
        <v>7</v>
      </c>
      <c r="D20" s="56">
        <f>'Monthly Data'!D68</f>
        <v>6984979</v>
      </c>
      <c r="E20" s="56">
        <f>'Monthly Data'!E68</f>
        <v>162687.65253577611</v>
      </c>
      <c r="F20" s="56">
        <f>'Monthly Data'!F68</f>
        <v>7147666.6525357757</v>
      </c>
      <c r="G20" s="301">
        <f>'Monthly Data'!G68</f>
        <v>10086</v>
      </c>
      <c r="H20" s="56">
        <f>'Monthly Data'!H68</f>
        <v>2136408</v>
      </c>
      <c r="I20" s="56">
        <f>'Monthly Data'!I68</f>
        <v>167611.09618721713</v>
      </c>
      <c r="J20" s="56">
        <f>'Monthly Data'!J68</f>
        <v>2304019.0961872172</v>
      </c>
      <c r="K20" s="6">
        <f>'Monthly Data'!K68</f>
        <v>1284</v>
      </c>
      <c r="L20" s="5">
        <f>'Monthly Data'!L68</f>
        <v>5356667.9970354782</v>
      </c>
      <c r="M20" s="2">
        <f>'Monthly Data'!M68</f>
        <v>149081.94482815836</v>
      </c>
      <c r="N20" s="56">
        <f>'Monthly Data'!N68</f>
        <v>5505749.9418636365</v>
      </c>
      <c r="O20" s="5">
        <f>'Monthly Data'!O68</f>
        <v>17790.900000000001</v>
      </c>
      <c r="P20" s="6">
        <f>'Monthly Data'!P68</f>
        <v>139</v>
      </c>
      <c r="Q20" s="5">
        <f>'Monthly Data'!Q68</f>
        <v>65375</v>
      </c>
      <c r="R20" s="5">
        <f>'Monthly Data'!R68</f>
        <v>235.2</v>
      </c>
      <c r="S20" s="6">
        <f>'Monthly Data'!S68</f>
        <v>2920</v>
      </c>
      <c r="T20" s="6">
        <f>'Monthly Data'!T68</f>
        <v>15787.228937553791</v>
      </c>
      <c r="U20" s="6">
        <f>'Monthly Data'!U68</f>
        <v>41.8</v>
      </c>
      <c r="V20" s="6">
        <f>'Monthly Data'!V68</f>
        <v>171</v>
      </c>
      <c r="W20" s="5">
        <f>'Monthly Data'!W68</f>
        <v>52453</v>
      </c>
      <c r="X20" s="56">
        <f>'Monthly Data'!X68</f>
        <v>19</v>
      </c>
      <c r="Y20" s="56">
        <f>'Monthly Data'!Y68</f>
        <v>16538.240000000002</v>
      </c>
      <c r="Z20" s="56">
        <f>'Monthly Data'!Z68</f>
        <v>3885.4</v>
      </c>
      <c r="AA20" s="56">
        <f>'Monthly Data'!AA68</f>
        <v>5340129.757035478</v>
      </c>
      <c r="AB20" s="56">
        <f>'Monthly Data'!AB68</f>
        <v>5489211.7018636363</v>
      </c>
      <c r="AC20" s="56">
        <f>'Monthly Data'!AC68</f>
        <v>13905.500000000002</v>
      </c>
      <c r="AD20" s="111">
        <f>'Monthly Data'!AD68</f>
        <v>817265.5</v>
      </c>
      <c r="AE20" s="111">
        <f>'Monthly Data'!AE68</f>
        <v>821006</v>
      </c>
      <c r="AF20" s="111">
        <f>'Monthly Data'!AF68</f>
        <v>7317</v>
      </c>
      <c r="AG20" s="111">
        <f>'Monthly Data'!AG68</f>
        <v>7392.6</v>
      </c>
      <c r="AH20" s="111">
        <f>'Monthly Data'!AH68</f>
        <v>630.5</v>
      </c>
      <c r="AI20" s="111">
        <f>'Monthly Data'!AI68</f>
        <v>639.6</v>
      </c>
      <c r="AJ20" s="111">
        <f>'Monthly Data'!AJ68</f>
        <v>650.60000000000036</v>
      </c>
      <c r="AK20" s="111">
        <f>'Monthly Data'!AK68</f>
        <v>661.70000000000073</v>
      </c>
      <c r="AL20" s="111">
        <f>'Monthly Data'!AL68</f>
        <v>63.399999999999977</v>
      </c>
      <c r="AM20" s="111">
        <f>'Monthly Data'!AM68</f>
        <v>63.899999999999977</v>
      </c>
      <c r="AN20" s="111">
        <f>'Monthly Data'!AN68</f>
        <v>47323.5</v>
      </c>
      <c r="AO20" s="111">
        <f>'Monthly Data'!AO68</f>
        <v>17421</v>
      </c>
      <c r="AP20" s="28">
        <f>'Monthly Data'!AP68</f>
        <v>18.637903225806447</v>
      </c>
      <c r="AQ20" s="28">
        <f>'Monthly Data'!AQ68</f>
        <v>58.799999999999976</v>
      </c>
      <c r="AR20" s="28">
        <f>'Monthly Data'!AR68</f>
        <v>16.575000000000003</v>
      </c>
      <c r="AS20" s="28">
        <f>'Monthly Data'!AS68</f>
        <v>23.458333333333329</v>
      </c>
      <c r="AT20" s="28">
        <f>'Monthly Data'!AT68</f>
        <v>43.233333333333348</v>
      </c>
      <c r="AU20" s="28">
        <f>'Monthly Data'!AU68</f>
        <v>7.3083333333333336</v>
      </c>
      <c r="AV20" s="28">
        <f>'Monthly Data'!AV68</f>
        <v>89.083333333333343</v>
      </c>
      <c r="AW20" s="28">
        <f>'Monthly Data'!AW68</f>
        <v>0.32916666666666394</v>
      </c>
      <c r="AX20" s="28">
        <f>'Monthly Data'!AX68</f>
        <v>144.10416666666671</v>
      </c>
      <c r="AY20" s="28">
        <f>'Monthly Data'!AY68</f>
        <v>0</v>
      </c>
      <c r="AZ20" s="28">
        <f>'Monthly Data'!AZ68</f>
        <v>205.77500000000006</v>
      </c>
      <c r="BA20" s="28">
        <f>'Monthly Data'!BA68</f>
        <v>0</v>
      </c>
      <c r="BB20" s="28">
        <f>'Monthly Data'!BB68</f>
        <v>267.77500000000009</v>
      </c>
      <c r="BC20" s="28">
        <f>'Monthly Data'!BC68</f>
        <v>0</v>
      </c>
      <c r="BD20" s="28">
        <f>'Monthly Data'!BD68</f>
        <v>329.77500000000009</v>
      </c>
      <c r="BE20">
        <f>'Monthly Data'!BE68</f>
        <v>0</v>
      </c>
      <c r="BF20">
        <f>'Monthly Data'!BF68</f>
        <v>0</v>
      </c>
      <c r="BG20">
        <f>'Monthly Data'!BG68</f>
        <v>0</v>
      </c>
      <c r="BH20">
        <f>'Monthly Data'!BH68</f>
        <v>0</v>
      </c>
      <c r="BI20">
        <f>'Monthly Data'!BI68</f>
        <v>0</v>
      </c>
      <c r="BJ20">
        <f>'Monthly Data'!BJ68</f>
        <v>0</v>
      </c>
      <c r="BK20">
        <f>'Monthly Data'!BK68</f>
        <v>1</v>
      </c>
      <c r="BL20">
        <f>'Monthly Data'!BL68</f>
        <v>0</v>
      </c>
      <c r="BM20">
        <f>'Monthly Data'!BM68</f>
        <v>0</v>
      </c>
      <c r="BN20">
        <f>'Monthly Data'!BN68</f>
        <v>0</v>
      </c>
      <c r="BO20">
        <f>'Monthly Data'!BO68</f>
        <v>0</v>
      </c>
      <c r="BP20">
        <f>'Monthly Data'!BP68</f>
        <v>0</v>
      </c>
      <c r="BQ20" s="1">
        <f>'Monthly Data'!BQ68</f>
        <v>0</v>
      </c>
      <c r="BR20" s="1">
        <f>'Monthly Data'!BR68</f>
        <v>0</v>
      </c>
      <c r="BS20" s="1">
        <f>'Monthly Data'!BS68</f>
        <v>0</v>
      </c>
      <c r="BT20" s="1">
        <f>'Monthly Data'!BT68</f>
        <v>67</v>
      </c>
      <c r="BU20">
        <f>'Monthly Data'!BU68</f>
        <v>31</v>
      </c>
      <c r="BV20">
        <f>'Monthly Data'!BV68</f>
        <v>22</v>
      </c>
      <c r="BW20" s="1">
        <f>'Monthly Data'!BW68</f>
        <v>1</v>
      </c>
      <c r="BX20" s="1">
        <f>'Monthly Data'!BX68</f>
        <v>0.5</v>
      </c>
      <c r="BY20" s="1">
        <f>'Monthly Data'!BY68</f>
        <v>0.75</v>
      </c>
      <c r="BZ20" s="1">
        <f>'Monthly Data'!BZ68</f>
        <v>0</v>
      </c>
      <c r="CA20">
        <f>'Monthly Data'!CA68</f>
        <v>29.399999999999988</v>
      </c>
      <c r="CB20">
        <f>'Monthly Data'!CB68</f>
        <v>8.2875000000000014</v>
      </c>
      <c r="CC20">
        <f>'Monthly Data'!CC68</f>
        <v>11.729166666666664</v>
      </c>
      <c r="CD20">
        <f>'Monthly Data'!CD68</f>
        <v>21.616666666666674</v>
      </c>
      <c r="CE20">
        <f>'Monthly Data'!CE68</f>
        <v>3.6541666666666668</v>
      </c>
      <c r="CF20">
        <f>'Monthly Data'!CF68</f>
        <v>44.541666666666671</v>
      </c>
      <c r="CG20">
        <f>'Monthly Data'!CG68</f>
        <v>0.16458333333333197</v>
      </c>
      <c r="CH20">
        <f>'Monthly Data'!CH68</f>
        <v>72.052083333333357</v>
      </c>
      <c r="CI20">
        <f>'Monthly Data'!CI68</f>
        <v>0</v>
      </c>
      <c r="CJ20">
        <f>'Monthly Data'!CJ68</f>
        <v>102.88750000000003</v>
      </c>
      <c r="CK20">
        <f>'Monthly Data'!CK68</f>
        <v>0</v>
      </c>
      <c r="CL20">
        <f>'Monthly Data'!CL68</f>
        <v>133.88750000000005</v>
      </c>
      <c r="CM20">
        <f>'Monthly Data'!CM68</f>
        <v>0</v>
      </c>
      <c r="CN20">
        <f>'Monthly Data'!CN68</f>
        <v>164.88750000000005</v>
      </c>
      <c r="CO20" s="14">
        <f>'Monthly Data'!CO68</f>
        <v>44.09999999999998</v>
      </c>
      <c r="CP20" s="14">
        <f>'Monthly Data'!CP68</f>
        <v>12.431250000000002</v>
      </c>
      <c r="CQ20" s="14">
        <f>'Monthly Data'!CQ68</f>
        <v>17.593749999999996</v>
      </c>
      <c r="CR20" s="14">
        <f>'Monthly Data'!CR68</f>
        <v>32.425000000000011</v>
      </c>
      <c r="CS20" s="14">
        <f>'Monthly Data'!CS68</f>
        <v>5.4812500000000002</v>
      </c>
      <c r="CT20" s="14">
        <f>'Monthly Data'!CT68</f>
        <v>66.8125</v>
      </c>
      <c r="CU20" s="14">
        <f>'Monthly Data'!CU68</f>
        <v>0.24687499999999796</v>
      </c>
      <c r="CV20" s="14">
        <f>'Monthly Data'!CV68</f>
        <v>108.07812500000003</v>
      </c>
      <c r="CW20" s="14">
        <f>'Monthly Data'!CW68</f>
        <v>0</v>
      </c>
      <c r="CX20" s="14">
        <f>'Monthly Data'!CX68</f>
        <v>154.33125000000004</v>
      </c>
      <c r="CY20" s="14">
        <f>'Monthly Data'!CY68</f>
        <v>0</v>
      </c>
      <c r="CZ20" s="14">
        <f>'Monthly Data'!CZ68</f>
        <v>200.83125000000007</v>
      </c>
      <c r="DA20" s="14">
        <f>'Monthly Data'!DA68</f>
        <v>0</v>
      </c>
      <c r="DB20" s="14">
        <f>'Monthly Data'!DB68</f>
        <v>247.33125000000007</v>
      </c>
      <c r="DC20" s="72">
        <f>'Monthly Data'!DC68</f>
        <v>708.67208531982703</v>
      </c>
      <c r="DD20" s="72">
        <f>'Monthly Data'!DD68</f>
        <v>22.860389849026678</v>
      </c>
      <c r="DE20" s="71">
        <f>'Monthly Data'!DE68</f>
        <v>230569.8920172831</v>
      </c>
      <c r="DF20" s="72">
        <f>'Monthly Data'!DF68</f>
        <v>1794.4073957844371</v>
      </c>
      <c r="DG20" s="72">
        <f>'Monthly Data'!DG68</f>
        <v>57.884109541433453</v>
      </c>
      <c r="DH20" s="72">
        <f>'Monthly Data'!DH68</f>
        <v>74323.19665120056</v>
      </c>
      <c r="DI20" s="72">
        <f>'Monthly Data'!DI68</f>
        <v>39609.711811968606</v>
      </c>
      <c r="DJ20" s="72">
        <f>'Monthly Data'!DJ68</f>
        <v>1277.7326390957614</v>
      </c>
      <c r="DK20" s="72">
        <f>'Monthly Data'!DK68</f>
        <v>1800.441445998573</v>
      </c>
      <c r="DL20" s="72">
        <f>'Monthly Data'!DL68</f>
        <v>177604.83683431085</v>
      </c>
      <c r="DM20" s="72">
        <f>'Monthly Data'!DM68</f>
        <v>250261.36099380165</v>
      </c>
    </row>
    <row r="21" spans="1:117">
      <c r="A21" s="93">
        <f>'Monthly Data'!A69</f>
        <v>44409</v>
      </c>
      <c r="B21" s="4">
        <f>'Monthly Data'!B69</f>
        <v>2021</v>
      </c>
      <c r="C21" s="4">
        <f>'Monthly Data'!C69</f>
        <v>8</v>
      </c>
      <c r="D21" s="56">
        <f>'Monthly Data'!D69</f>
        <v>8202587</v>
      </c>
      <c r="E21" s="56">
        <f>'Monthly Data'!E69</f>
        <v>162749.1619513091</v>
      </c>
      <c r="F21" s="56">
        <f>'Monthly Data'!F69</f>
        <v>8365336.1619513091</v>
      </c>
      <c r="G21" s="301">
        <f>'Monthly Data'!G69</f>
        <v>10096</v>
      </c>
      <c r="H21" s="56">
        <f>'Monthly Data'!H69</f>
        <v>2418277</v>
      </c>
      <c r="I21" s="56">
        <f>'Monthly Data'!I69</f>
        <v>168447.00819839659</v>
      </c>
      <c r="J21" s="56">
        <f>'Monthly Data'!J69</f>
        <v>2586724.0081983968</v>
      </c>
      <c r="K21" s="6">
        <f>'Monthly Data'!K69</f>
        <v>1283</v>
      </c>
      <c r="L21" s="5">
        <f>'Monthly Data'!L69</f>
        <v>7370478.2650855882</v>
      </c>
      <c r="M21" s="2">
        <f>'Monthly Data'!M69</f>
        <v>150086.54377969634</v>
      </c>
      <c r="N21" s="56">
        <f>'Monthly Data'!N69</f>
        <v>7520564.8088652845</v>
      </c>
      <c r="O21" s="5">
        <f>'Monthly Data'!O69</f>
        <v>17684.349999999999</v>
      </c>
      <c r="P21" s="6">
        <f>'Monthly Data'!P69</f>
        <v>140</v>
      </c>
      <c r="Q21" s="5">
        <f>'Monthly Data'!Q69</f>
        <v>73605</v>
      </c>
      <c r="R21" s="5">
        <f>'Monthly Data'!R69</f>
        <v>235.2</v>
      </c>
      <c r="S21" s="6">
        <f>'Monthly Data'!S69</f>
        <v>2920</v>
      </c>
      <c r="T21" s="6">
        <f>'Monthly Data'!T69</f>
        <v>15500.228937553791</v>
      </c>
      <c r="U21" s="6">
        <f>'Monthly Data'!U69</f>
        <v>41.8</v>
      </c>
      <c r="V21" s="6">
        <f>'Monthly Data'!V69</f>
        <v>171</v>
      </c>
      <c r="W21" s="5">
        <f>'Monthly Data'!W69</f>
        <v>51739</v>
      </c>
      <c r="X21" s="56">
        <f>'Monthly Data'!X69</f>
        <v>19</v>
      </c>
      <c r="Y21" s="56">
        <f>'Monthly Data'!Y69</f>
        <v>0.48</v>
      </c>
      <c r="Z21" s="56">
        <f>'Monthly Data'!Z69</f>
        <v>1.9</v>
      </c>
      <c r="AA21" s="56">
        <f>'Monthly Data'!AA69</f>
        <v>7370477.7850855878</v>
      </c>
      <c r="AB21" s="56">
        <f>'Monthly Data'!AB69</f>
        <v>7520564.3288652841</v>
      </c>
      <c r="AC21" s="56">
        <f>'Monthly Data'!AC69</f>
        <v>17682.449999999997</v>
      </c>
      <c r="AD21" s="111">
        <f>'Monthly Data'!AD69</f>
        <v>817265.5</v>
      </c>
      <c r="AE21" s="111">
        <f>'Monthly Data'!AE69</f>
        <v>821006</v>
      </c>
      <c r="AF21" s="111">
        <f>'Monthly Data'!AF69</f>
        <v>7405.9</v>
      </c>
      <c r="AG21" s="111">
        <f>'Monthly Data'!AG69</f>
        <v>7474.7</v>
      </c>
      <c r="AH21" s="111">
        <f>'Monthly Data'!AH69</f>
        <v>625.20000000000005</v>
      </c>
      <c r="AI21" s="111">
        <f>'Monthly Data'!AI69</f>
        <v>632.4</v>
      </c>
      <c r="AJ21" s="111">
        <f>'Monthly Data'!AJ69</f>
        <v>501.59999999999945</v>
      </c>
      <c r="AK21" s="111">
        <f>'Monthly Data'!AK69</f>
        <v>503.19999999999982</v>
      </c>
      <c r="AL21" s="111">
        <f>'Monthly Data'!AL69</f>
        <v>46</v>
      </c>
      <c r="AM21" s="111">
        <f>'Monthly Data'!AM69</f>
        <v>45.799999999999955</v>
      </c>
      <c r="AN21" s="111">
        <f>'Monthly Data'!AN69</f>
        <v>47323.5</v>
      </c>
      <c r="AO21" s="111">
        <f>'Monthly Data'!AO69</f>
        <v>17421</v>
      </c>
      <c r="AP21" s="28">
        <f>'Monthly Data'!AP69</f>
        <v>21.164650537634408</v>
      </c>
      <c r="AQ21" s="28">
        <f>'Monthly Data'!AQ69</f>
        <v>27.104166666666682</v>
      </c>
      <c r="AR21" s="28">
        <f>'Monthly Data'!AR69</f>
        <v>63.208333333333329</v>
      </c>
      <c r="AS21" s="28">
        <f>'Monthly Data'!AS69</f>
        <v>8.2208333333333385</v>
      </c>
      <c r="AT21" s="28">
        <f>'Monthly Data'!AT69</f>
        <v>106.32499999999999</v>
      </c>
      <c r="AU21" s="28">
        <f>'Monthly Data'!AU69</f>
        <v>0.98333333333333428</v>
      </c>
      <c r="AV21" s="28">
        <f>'Monthly Data'!AV69</f>
        <v>161.08749999999998</v>
      </c>
      <c r="AW21" s="28">
        <f>'Monthly Data'!AW69</f>
        <v>0</v>
      </c>
      <c r="AX21" s="28">
        <f>'Monthly Data'!AX69</f>
        <v>222.10416666666663</v>
      </c>
      <c r="AY21" s="28">
        <f>'Monthly Data'!AY69</f>
        <v>0</v>
      </c>
      <c r="AZ21" s="28">
        <f>'Monthly Data'!AZ69</f>
        <v>284.10416666666663</v>
      </c>
      <c r="BA21" s="28">
        <f>'Monthly Data'!BA69</f>
        <v>0</v>
      </c>
      <c r="BB21" s="28">
        <f>'Monthly Data'!BB69</f>
        <v>346.10416666666663</v>
      </c>
      <c r="BC21" s="28">
        <f>'Monthly Data'!BC69</f>
        <v>0</v>
      </c>
      <c r="BD21" s="28">
        <f>'Monthly Data'!BD69</f>
        <v>408.10416666666663</v>
      </c>
      <c r="BE21">
        <f>'Monthly Data'!BE69</f>
        <v>0</v>
      </c>
      <c r="BF21">
        <f>'Monthly Data'!BF69</f>
        <v>0</v>
      </c>
      <c r="BG21">
        <f>'Monthly Data'!BG69</f>
        <v>0</v>
      </c>
      <c r="BH21">
        <f>'Monthly Data'!BH69</f>
        <v>0</v>
      </c>
      <c r="BI21">
        <f>'Monthly Data'!BI69</f>
        <v>0</v>
      </c>
      <c r="BJ21">
        <f>'Monthly Data'!BJ69</f>
        <v>0</v>
      </c>
      <c r="BK21">
        <f>'Monthly Data'!BK69</f>
        <v>0</v>
      </c>
      <c r="BL21">
        <f>'Monthly Data'!BL69</f>
        <v>1</v>
      </c>
      <c r="BM21">
        <f>'Monthly Data'!BM69</f>
        <v>0</v>
      </c>
      <c r="BN21">
        <f>'Monthly Data'!BN69</f>
        <v>0</v>
      </c>
      <c r="BO21">
        <f>'Monthly Data'!BO69</f>
        <v>0</v>
      </c>
      <c r="BP21">
        <f>'Monthly Data'!BP69</f>
        <v>0</v>
      </c>
      <c r="BQ21" s="1">
        <f>'Monthly Data'!BQ69</f>
        <v>0</v>
      </c>
      <c r="BR21" s="1">
        <f>'Monthly Data'!BR69</f>
        <v>0</v>
      </c>
      <c r="BS21" s="1">
        <f>'Monthly Data'!BS69</f>
        <v>0</v>
      </c>
      <c r="BT21" s="1">
        <f>'Monthly Data'!BT69</f>
        <v>68</v>
      </c>
      <c r="BU21">
        <f>'Monthly Data'!BU69</f>
        <v>31</v>
      </c>
      <c r="BV21">
        <f>'Monthly Data'!BV69</f>
        <v>20</v>
      </c>
      <c r="BW21" s="1">
        <f>'Monthly Data'!BW69</f>
        <v>1</v>
      </c>
      <c r="BX21" s="1">
        <f>'Monthly Data'!BX69</f>
        <v>0.5</v>
      </c>
      <c r="BY21" s="1">
        <f>'Monthly Data'!BY69</f>
        <v>0.75</v>
      </c>
      <c r="BZ21" s="1">
        <f>'Monthly Data'!BZ69</f>
        <v>0</v>
      </c>
      <c r="CA21">
        <f>'Monthly Data'!CA69</f>
        <v>13.552083333333341</v>
      </c>
      <c r="CB21">
        <f>'Monthly Data'!CB69</f>
        <v>31.604166666666664</v>
      </c>
      <c r="CC21">
        <f>'Monthly Data'!CC69</f>
        <v>4.1104166666666693</v>
      </c>
      <c r="CD21">
        <f>'Monthly Data'!CD69</f>
        <v>53.162499999999994</v>
      </c>
      <c r="CE21">
        <f>'Monthly Data'!CE69</f>
        <v>0.49166666666666714</v>
      </c>
      <c r="CF21">
        <f>'Monthly Data'!CF69</f>
        <v>80.543749999999989</v>
      </c>
      <c r="CG21">
        <f>'Monthly Data'!CG69</f>
        <v>0</v>
      </c>
      <c r="CH21">
        <f>'Monthly Data'!CH69</f>
        <v>111.05208333333331</v>
      </c>
      <c r="CI21">
        <f>'Monthly Data'!CI69</f>
        <v>0</v>
      </c>
      <c r="CJ21">
        <f>'Monthly Data'!CJ69</f>
        <v>142.05208333333331</v>
      </c>
      <c r="CK21">
        <f>'Monthly Data'!CK69</f>
        <v>0</v>
      </c>
      <c r="CL21">
        <f>'Monthly Data'!CL69</f>
        <v>173.05208333333331</v>
      </c>
      <c r="CM21">
        <f>'Monthly Data'!CM69</f>
        <v>0</v>
      </c>
      <c r="CN21">
        <f>'Monthly Data'!CN69</f>
        <v>204.05208333333331</v>
      </c>
      <c r="CO21" s="14">
        <f>'Monthly Data'!CO69</f>
        <v>20.328125000000011</v>
      </c>
      <c r="CP21" s="14">
        <f>'Monthly Data'!CP69</f>
        <v>47.40625</v>
      </c>
      <c r="CQ21" s="14">
        <f>'Monthly Data'!CQ69</f>
        <v>6.1656250000000039</v>
      </c>
      <c r="CR21" s="14">
        <f>'Monthly Data'!CR69</f>
        <v>79.743749999999991</v>
      </c>
      <c r="CS21" s="14">
        <f>'Monthly Data'!CS69</f>
        <v>0.73750000000000071</v>
      </c>
      <c r="CT21" s="14">
        <f>'Monthly Data'!CT69</f>
        <v>120.81562499999998</v>
      </c>
      <c r="CU21" s="14">
        <f>'Monthly Data'!CU69</f>
        <v>0</v>
      </c>
      <c r="CV21" s="14">
        <f>'Monthly Data'!CV69</f>
        <v>166.57812499999997</v>
      </c>
      <c r="CW21" s="14">
        <f>'Monthly Data'!CW69</f>
        <v>0</v>
      </c>
      <c r="CX21" s="14">
        <f>'Monthly Data'!CX69</f>
        <v>213.07812499999997</v>
      </c>
      <c r="CY21" s="14">
        <f>'Monthly Data'!CY69</f>
        <v>0</v>
      </c>
      <c r="CZ21" s="14">
        <f>'Monthly Data'!CZ69</f>
        <v>259.578125</v>
      </c>
      <c r="DA21" s="14">
        <f>'Monthly Data'!DA69</f>
        <v>0</v>
      </c>
      <c r="DB21" s="14">
        <f>'Monthly Data'!DB69</f>
        <v>306.078125</v>
      </c>
      <c r="DC21" s="72">
        <f>'Monthly Data'!DC69</f>
        <v>828.57925534383014</v>
      </c>
      <c r="DD21" s="72">
        <f>'Monthly Data'!DD69</f>
        <v>26.728363075607422</v>
      </c>
      <c r="DE21" s="71">
        <f>'Monthly Data'!DE69</f>
        <v>269849.55361133255</v>
      </c>
      <c r="DF21" s="72">
        <f>'Monthly Data'!DF69</f>
        <v>2016.1527733424759</v>
      </c>
      <c r="DG21" s="72">
        <f>'Monthly Data'!DG69</f>
        <v>65.037186236854069</v>
      </c>
      <c r="DH21" s="72">
        <f>'Monthly Data'!DH69</f>
        <v>83442.709941883761</v>
      </c>
      <c r="DI21" s="72">
        <f>'Monthly Data'!DI69</f>
        <v>53718.320063323459</v>
      </c>
      <c r="DJ21" s="72">
        <f>'Monthly Data'!DJ69</f>
        <v>1732.8490343007568</v>
      </c>
      <c r="DK21" s="72">
        <f>'Monthly Data'!DK69</f>
        <v>2685.9160031661731</v>
      </c>
      <c r="DL21" s="72">
        <f>'Monthly Data'!DL69</f>
        <v>242598.86480210596</v>
      </c>
      <c r="DM21" s="72">
        <f>'Monthly Data'!DM69</f>
        <v>376028.24044326425</v>
      </c>
    </row>
    <row r="22" spans="1:117">
      <c r="A22" s="93">
        <f>'Monthly Data'!A70</f>
        <v>44440</v>
      </c>
      <c r="B22" s="4">
        <f>'Monthly Data'!B70</f>
        <v>2021</v>
      </c>
      <c r="C22" s="4">
        <f>'Monthly Data'!C70</f>
        <v>9</v>
      </c>
      <c r="D22" s="56">
        <f>'Monthly Data'!D70</f>
        <v>5475601</v>
      </c>
      <c r="E22" s="56">
        <f>'Monthly Data'!E70</f>
        <v>162810.67136684209</v>
      </c>
      <c r="F22" s="56">
        <f>'Monthly Data'!F70</f>
        <v>5638411.6713668425</v>
      </c>
      <c r="G22" s="301">
        <f>'Monthly Data'!G70</f>
        <v>10107</v>
      </c>
      <c r="H22" s="56">
        <f>'Monthly Data'!H70</f>
        <v>1914965</v>
      </c>
      <c r="I22" s="56">
        <f>'Monthly Data'!I70</f>
        <v>169282.92020957603</v>
      </c>
      <c r="J22" s="56">
        <f>'Monthly Data'!J70</f>
        <v>2084247.9202095759</v>
      </c>
      <c r="K22" s="6">
        <f>'Monthly Data'!K70</f>
        <v>1282</v>
      </c>
      <c r="L22" s="5">
        <f>'Monthly Data'!L70</f>
        <v>6987412.2450033473</v>
      </c>
      <c r="M22" s="2">
        <f>'Monthly Data'!M70</f>
        <v>151091.14273123434</v>
      </c>
      <c r="N22" s="56">
        <f>'Monthly Data'!N70</f>
        <v>7138503.3877345817</v>
      </c>
      <c r="O22" s="5">
        <f>'Monthly Data'!O70</f>
        <v>11665.05</v>
      </c>
      <c r="P22" s="6">
        <f>'Monthly Data'!P70</f>
        <v>140</v>
      </c>
      <c r="Q22" s="5">
        <f>'Monthly Data'!Q70</f>
        <v>81268</v>
      </c>
      <c r="R22" s="5">
        <f>'Monthly Data'!R70</f>
        <v>235.2</v>
      </c>
      <c r="S22" s="6">
        <f>'Monthly Data'!S70</f>
        <v>2920</v>
      </c>
      <c r="T22" s="6">
        <f>'Monthly Data'!T70</f>
        <v>17588.246724682031</v>
      </c>
      <c r="U22" s="6">
        <f>'Monthly Data'!U70</f>
        <v>41.900000000000006</v>
      </c>
      <c r="V22" s="6">
        <f>'Monthly Data'!V70</f>
        <v>171</v>
      </c>
      <c r="W22" s="5">
        <f>'Monthly Data'!W70</f>
        <v>49597</v>
      </c>
      <c r="X22" s="56">
        <f>'Monthly Data'!X70</f>
        <v>19</v>
      </c>
      <c r="Y22" s="56">
        <f>'Monthly Data'!Y70</f>
        <v>10168.959999999999</v>
      </c>
      <c r="Z22" s="56">
        <f>'Monthly Data'!Z70</f>
        <v>1680</v>
      </c>
      <c r="AA22" s="56">
        <f>'Monthly Data'!AA70</f>
        <v>6977243.2850033473</v>
      </c>
      <c r="AB22" s="56">
        <f>'Monthly Data'!AB70</f>
        <v>7128334.4277345818</v>
      </c>
      <c r="AC22" s="56">
        <f>'Monthly Data'!AC70</f>
        <v>9985.0499999999993</v>
      </c>
      <c r="AD22" s="111">
        <f>'Monthly Data'!AD70</f>
        <v>817265.5</v>
      </c>
      <c r="AE22" s="111">
        <f>'Monthly Data'!AE70</f>
        <v>821006</v>
      </c>
      <c r="AF22" s="111">
        <f>'Monthly Data'!AF70</f>
        <v>7482</v>
      </c>
      <c r="AG22" s="111">
        <f>'Monthly Data'!AG70</f>
        <v>7507</v>
      </c>
      <c r="AH22" s="111">
        <f>'Monthly Data'!AH70</f>
        <v>617.79999999999995</v>
      </c>
      <c r="AI22" s="111">
        <f>'Monthly Data'!AI70</f>
        <v>619.9</v>
      </c>
      <c r="AJ22" s="111">
        <f>'Monthly Data'!AJ70</f>
        <v>416.80000000000018</v>
      </c>
      <c r="AK22" s="111">
        <f>'Monthly Data'!AK70</f>
        <v>408.19999999999982</v>
      </c>
      <c r="AL22" s="111">
        <f>'Monthly Data'!AL70</f>
        <v>28.199999999999932</v>
      </c>
      <c r="AM22" s="111">
        <f>'Monthly Data'!AM70</f>
        <v>27.899999999999977</v>
      </c>
      <c r="AN22" s="111">
        <f>'Monthly Data'!AN70</f>
        <v>47323.5</v>
      </c>
      <c r="AO22" s="111">
        <f>'Monthly Data'!AO70</f>
        <v>17421</v>
      </c>
      <c r="AP22" s="28">
        <f>'Monthly Data'!AP70</f>
        <v>14.518333333333336</v>
      </c>
      <c r="AQ22" s="28">
        <f>'Monthly Data'!AQ70</f>
        <v>164.45000000000005</v>
      </c>
      <c r="AR22" s="28">
        <f>'Monthly Data'!AR70</f>
        <v>0</v>
      </c>
      <c r="AS22" s="28">
        <f>'Monthly Data'!AS70</f>
        <v>105.07500000000002</v>
      </c>
      <c r="AT22" s="28">
        <f>'Monthly Data'!AT70</f>
        <v>0.625</v>
      </c>
      <c r="AU22" s="28">
        <f>'Monthly Data'!AU70</f>
        <v>56.5625</v>
      </c>
      <c r="AV22" s="28">
        <f>'Monthly Data'!AV70</f>
        <v>12.112499999999997</v>
      </c>
      <c r="AW22" s="28">
        <f>'Monthly Data'!AW70</f>
        <v>23.820833333333333</v>
      </c>
      <c r="AX22" s="28">
        <f>'Monthly Data'!AX70</f>
        <v>39.370833333333316</v>
      </c>
      <c r="AY22" s="28">
        <f>'Monthly Data'!AY70</f>
        <v>8.1916666666666629</v>
      </c>
      <c r="AZ22" s="28">
        <f>'Monthly Data'!AZ70</f>
        <v>83.741666666666646</v>
      </c>
      <c r="BA22" s="28">
        <f>'Monthly Data'!BA70</f>
        <v>0.7958333333333325</v>
      </c>
      <c r="BB22" s="28">
        <f>'Monthly Data'!BB70</f>
        <v>136.3458333333333</v>
      </c>
      <c r="BC22" s="28">
        <f>'Monthly Data'!BC70</f>
        <v>0</v>
      </c>
      <c r="BD22" s="28">
        <f>'Monthly Data'!BD70</f>
        <v>195.54999999999995</v>
      </c>
      <c r="BE22">
        <f>'Monthly Data'!BE70</f>
        <v>0</v>
      </c>
      <c r="BF22">
        <f>'Monthly Data'!BF70</f>
        <v>0</v>
      </c>
      <c r="BG22">
        <f>'Monthly Data'!BG70</f>
        <v>0</v>
      </c>
      <c r="BH22">
        <f>'Monthly Data'!BH70</f>
        <v>0</v>
      </c>
      <c r="BI22">
        <f>'Monthly Data'!BI70</f>
        <v>0</v>
      </c>
      <c r="BJ22">
        <f>'Monthly Data'!BJ70</f>
        <v>0</v>
      </c>
      <c r="BK22">
        <f>'Monthly Data'!BK70</f>
        <v>0</v>
      </c>
      <c r="BL22">
        <f>'Monthly Data'!BL70</f>
        <v>0</v>
      </c>
      <c r="BM22">
        <f>'Monthly Data'!BM70</f>
        <v>1</v>
      </c>
      <c r="BN22">
        <f>'Monthly Data'!BN70</f>
        <v>0</v>
      </c>
      <c r="BO22">
        <f>'Monthly Data'!BO70</f>
        <v>0</v>
      </c>
      <c r="BP22">
        <f>'Monthly Data'!BP70</f>
        <v>0</v>
      </c>
      <c r="BQ22" s="1">
        <f>'Monthly Data'!BQ70</f>
        <v>0</v>
      </c>
      <c r="BR22" s="1">
        <f>'Monthly Data'!BR70</f>
        <v>1</v>
      </c>
      <c r="BS22" s="1">
        <f>'Monthly Data'!BS70</f>
        <v>1</v>
      </c>
      <c r="BT22" s="1">
        <f>'Monthly Data'!BT70</f>
        <v>69</v>
      </c>
      <c r="BU22">
        <f>'Monthly Data'!BU70</f>
        <v>30</v>
      </c>
      <c r="BV22">
        <f>'Monthly Data'!BV70</f>
        <v>21</v>
      </c>
      <c r="BW22" s="1">
        <f>'Monthly Data'!BW70</f>
        <v>1</v>
      </c>
      <c r="BX22" s="1">
        <f>'Monthly Data'!BX70</f>
        <v>0.5</v>
      </c>
      <c r="BY22" s="1">
        <f>'Monthly Data'!BY70</f>
        <v>0.75</v>
      </c>
      <c r="BZ22" s="1">
        <f>'Monthly Data'!BZ70</f>
        <v>0</v>
      </c>
      <c r="CA22">
        <f>'Monthly Data'!CA70</f>
        <v>82.225000000000023</v>
      </c>
      <c r="CB22">
        <f>'Monthly Data'!CB70</f>
        <v>0</v>
      </c>
      <c r="CC22">
        <f>'Monthly Data'!CC70</f>
        <v>52.537500000000009</v>
      </c>
      <c r="CD22">
        <f>'Monthly Data'!CD70</f>
        <v>0.3125</v>
      </c>
      <c r="CE22">
        <f>'Monthly Data'!CE70</f>
        <v>28.28125</v>
      </c>
      <c r="CF22">
        <f>'Monthly Data'!CF70</f>
        <v>6.0562499999999986</v>
      </c>
      <c r="CG22">
        <f>'Monthly Data'!CG70</f>
        <v>11.910416666666666</v>
      </c>
      <c r="CH22">
        <f>'Monthly Data'!CH70</f>
        <v>19.685416666666658</v>
      </c>
      <c r="CI22">
        <f>'Monthly Data'!CI70</f>
        <v>4.0958333333333314</v>
      </c>
      <c r="CJ22">
        <f>'Monthly Data'!CJ70</f>
        <v>41.870833333333323</v>
      </c>
      <c r="CK22">
        <f>'Monthly Data'!CK70</f>
        <v>0.39791666666666625</v>
      </c>
      <c r="CL22">
        <f>'Monthly Data'!CL70</f>
        <v>68.172916666666652</v>
      </c>
      <c r="CM22">
        <f>'Monthly Data'!CM70</f>
        <v>0</v>
      </c>
      <c r="CN22">
        <f>'Monthly Data'!CN70</f>
        <v>97.774999999999977</v>
      </c>
      <c r="CO22" s="14">
        <f>'Monthly Data'!CO70</f>
        <v>123.33750000000003</v>
      </c>
      <c r="CP22" s="14">
        <f>'Monthly Data'!CP70</f>
        <v>0</v>
      </c>
      <c r="CQ22" s="14">
        <f>'Monthly Data'!CQ70</f>
        <v>78.806250000000006</v>
      </c>
      <c r="CR22" s="14">
        <f>'Monthly Data'!CR70</f>
        <v>0.46875</v>
      </c>
      <c r="CS22" s="14">
        <f>'Monthly Data'!CS70</f>
        <v>42.421875</v>
      </c>
      <c r="CT22" s="14">
        <f>'Monthly Data'!CT70</f>
        <v>9.0843749999999979</v>
      </c>
      <c r="CU22" s="14">
        <f>'Monthly Data'!CU70</f>
        <v>17.865625000000001</v>
      </c>
      <c r="CV22" s="14">
        <f>'Monthly Data'!CV70</f>
        <v>29.528124999999989</v>
      </c>
      <c r="CW22" s="14">
        <f>'Monthly Data'!CW70</f>
        <v>6.1437499999999972</v>
      </c>
      <c r="CX22" s="14">
        <f>'Monthly Data'!CX70</f>
        <v>62.806249999999984</v>
      </c>
      <c r="CY22" s="14">
        <f>'Monthly Data'!CY70</f>
        <v>0.59687499999999938</v>
      </c>
      <c r="CZ22" s="14">
        <f>'Monthly Data'!CZ70</f>
        <v>102.25937499999998</v>
      </c>
      <c r="DA22" s="14">
        <f>'Monthly Data'!DA70</f>
        <v>0</v>
      </c>
      <c r="DB22" s="14">
        <f>'Monthly Data'!DB70</f>
        <v>146.66249999999997</v>
      </c>
      <c r="DC22" s="72">
        <f>'Monthly Data'!DC70</f>
        <v>557.87193740643534</v>
      </c>
      <c r="DD22" s="72">
        <f>'Monthly Data'!DD70</f>
        <v>18.595731246881179</v>
      </c>
      <c r="DE22" s="71">
        <f>'Monthly Data'!DE70</f>
        <v>187947.05571222809</v>
      </c>
      <c r="DF22" s="72">
        <f>'Monthly Data'!DF70</f>
        <v>1625.7784088998253</v>
      </c>
      <c r="DG22" s="72">
        <f>'Monthly Data'!DG70</f>
        <v>54.192613629994177</v>
      </c>
      <c r="DH22" s="72">
        <f>'Monthly Data'!DH70</f>
        <v>69474.930673652532</v>
      </c>
      <c r="DI22" s="72">
        <f>'Monthly Data'!DI70</f>
        <v>50989.309912389872</v>
      </c>
      <c r="DJ22" s="72">
        <f>'Monthly Data'!DJ70</f>
        <v>1699.6436637463291</v>
      </c>
      <c r="DK22" s="72">
        <f>'Monthly Data'!DK70</f>
        <v>2428.06237678047</v>
      </c>
      <c r="DL22" s="72">
        <f>'Monthly Data'!DL70</f>
        <v>237950.11292448605</v>
      </c>
      <c r="DM22" s="72">
        <f>'Monthly Data'!DM70</f>
        <v>339928.73274926579</v>
      </c>
    </row>
    <row r="23" spans="1:117">
      <c r="A23" s="93">
        <f>'Monthly Data'!A71</f>
        <v>44470</v>
      </c>
      <c r="B23" s="4">
        <f>'Monthly Data'!B71</f>
        <v>2021</v>
      </c>
      <c r="C23" s="4">
        <f>'Monthly Data'!C71</f>
        <v>10</v>
      </c>
      <c r="D23" s="56">
        <f>'Monthly Data'!D71</f>
        <v>5828517</v>
      </c>
      <c r="E23" s="56">
        <f>'Monthly Data'!E71</f>
        <v>162872.1807823751</v>
      </c>
      <c r="F23" s="56">
        <f>'Monthly Data'!F71</f>
        <v>5991389.1807823749</v>
      </c>
      <c r="G23" s="301">
        <f>'Monthly Data'!G71</f>
        <v>10112</v>
      </c>
      <c r="H23" s="56">
        <f>'Monthly Data'!H71</f>
        <v>1980105</v>
      </c>
      <c r="I23" s="56">
        <f>'Monthly Data'!I71</f>
        <v>170118.83222075549</v>
      </c>
      <c r="J23" s="56">
        <f>'Monthly Data'!J71</f>
        <v>2150223.8322207555</v>
      </c>
      <c r="K23" s="6">
        <f>'Monthly Data'!K71</f>
        <v>1280</v>
      </c>
      <c r="L23" s="5">
        <f>'Monthly Data'!L71</f>
        <v>5384511.6330687581</v>
      </c>
      <c r="M23" s="2">
        <f>'Monthly Data'!M71</f>
        <v>152095.74168277232</v>
      </c>
      <c r="N23" s="56">
        <f>'Monthly Data'!N71</f>
        <v>5536607.3747515306</v>
      </c>
      <c r="O23" s="5">
        <f>'Monthly Data'!O71</f>
        <v>12860.150000000001</v>
      </c>
      <c r="P23" s="6">
        <f>'Monthly Data'!P71</f>
        <v>141</v>
      </c>
      <c r="Q23" s="5">
        <f>'Monthly Data'!Q71</f>
        <v>94750</v>
      </c>
      <c r="R23" s="5">
        <f>'Monthly Data'!R71</f>
        <v>235.2</v>
      </c>
      <c r="S23" s="6">
        <f>'Monthly Data'!S71</f>
        <v>2920</v>
      </c>
      <c r="T23" s="6">
        <f>'Monthly Data'!T71</f>
        <v>16879.313187338626</v>
      </c>
      <c r="U23" s="6">
        <f>'Monthly Data'!U71</f>
        <v>44.400000000000006</v>
      </c>
      <c r="V23" s="6">
        <f>'Monthly Data'!V71</f>
        <v>171</v>
      </c>
      <c r="W23" s="5">
        <f>'Monthly Data'!W71</f>
        <v>50605</v>
      </c>
      <c r="X23" s="56">
        <f>'Monthly Data'!X71</f>
        <v>19</v>
      </c>
      <c r="Y23" s="56">
        <f>'Monthly Data'!Y71</f>
        <v>1736</v>
      </c>
      <c r="Z23" s="56">
        <f>'Monthly Data'!Z71</f>
        <v>3115.5</v>
      </c>
      <c r="AA23" s="56">
        <f>'Monthly Data'!AA71</f>
        <v>5382775.6330687581</v>
      </c>
      <c r="AB23" s="56">
        <f>'Monthly Data'!AB71</f>
        <v>5534871.3747515306</v>
      </c>
      <c r="AC23" s="56">
        <f>'Monthly Data'!AC71</f>
        <v>9744.6500000000015</v>
      </c>
      <c r="AD23" s="111">
        <f>'Monthly Data'!AD71</f>
        <v>817265.5</v>
      </c>
      <c r="AE23" s="111">
        <f>'Monthly Data'!AE71</f>
        <v>840399</v>
      </c>
      <c r="AF23" s="111">
        <f>'Monthly Data'!AF71</f>
        <v>7537.7</v>
      </c>
      <c r="AG23" s="111">
        <f>'Monthly Data'!AG71</f>
        <v>7547.1</v>
      </c>
      <c r="AH23" s="111">
        <f>'Monthly Data'!AH71</f>
        <v>613.5</v>
      </c>
      <c r="AI23" s="111">
        <f>'Monthly Data'!AI71</f>
        <v>610.29999999999995</v>
      </c>
      <c r="AJ23" s="111">
        <f>'Monthly Data'!AJ71</f>
        <v>351.09999999999945</v>
      </c>
      <c r="AK23" s="111">
        <f>'Monthly Data'!AK71</f>
        <v>336.40000000000055</v>
      </c>
      <c r="AL23" s="111">
        <f>'Monthly Data'!AL71</f>
        <v>22.299999999999955</v>
      </c>
      <c r="AM23" s="111">
        <f>'Monthly Data'!AM71</f>
        <v>22</v>
      </c>
      <c r="AN23" s="111">
        <f>'Monthly Data'!AN71</f>
        <v>47323.5</v>
      </c>
      <c r="AO23" s="111">
        <f>'Monthly Data'!AO71</f>
        <v>19393</v>
      </c>
      <c r="AP23" s="28">
        <f>'Monthly Data'!AP71</f>
        <v>10.492607526881724</v>
      </c>
      <c r="AQ23" s="28">
        <f>'Monthly Data'!AQ71</f>
        <v>294.72916666666663</v>
      </c>
      <c r="AR23" s="28">
        <f>'Monthly Data'!AR71</f>
        <v>0</v>
      </c>
      <c r="AS23" s="28">
        <f>'Monthly Data'!AS71</f>
        <v>232.72916666666669</v>
      </c>
      <c r="AT23" s="28">
        <f>'Monthly Data'!AT71</f>
        <v>0</v>
      </c>
      <c r="AU23" s="28">
        <f>'Monthly Data'!AU71</f>
        <v>177.0291666666667</v>
      </c>
      <c r="AV23" s="28">
        <f>'Monthly Data'!AV71</f>
        <v>6.2999999999999972</v>
      </c>
      <c r="AW23" s="28">
        <f>'Monthly Data'!AW71</f>
        <v>126.50000000000001</v>
      </c>
      <c r="AX23" s="28">
        <f>'Monthly Data'!AX71</f>
        <v>17.770833333333329</v>
      </c>
      <c r="AY23" s="28">
        <f>'Monthly Data'!AY71</f>
        <v>84.862500000000026</v>
      </c>
      <c r="AZ23" s="28">
        <f>'Monthly Data'!AZ71</f>
        <v>38.133333333333326</v>
      </c>
      <c r="BA23" s="28">
        <f>'Monthly Data'!BA71</f>
        <v>54.908333333333339</v>
      </c>
      <c r="BB23" s="28">
        <f>'Monthly Data'!BB71</f>
        <v>70.17916666666666</v>
      </c>
      <c r="BC23" s="28">
        <f>'Monthly Data'!BC71</f>
        <v>30.704166666666669</v>
      </c>
      <c r="BD23" s="28">
        <f>'Monthly Data'!BD71</f>
        <v>107.97499999999998</v>
      </c>
      <c r="BE23">
        <f>'Monthly Data'!BE71</f>
        <v>0</v>
      </c>
      <c r="BF23">
        <f>'Monthly Data'!BF71</f>
        <v>0</v>
      </c>
      <c r="BG23">
        <f>'Monthly Data'!BG71</f>
        <v>0</v>
      </c>
      <c r="BH23">
        <f>'Monthly Data'!BH71</f>
        <v>0</v>
      </c>
      <c r="BI23">
        <f>'Monthly Data'!BI71</f>
        <v>0</v>
      </c>
      <c r="BJ23">
        <f>'Monthly Data'!BJ71</f>
        <v>0</v>
      </c>
      <c r="BK23">
        <f>'Monthly Data'!BK71</f>
        <v>0</v>
      </c>
      <c r="BL23">
        <f>'Monthly Data'!BL71</f>
        <v>0</v>
      </c>
      <c r="BM23">
        <f>'Monthly Data'!BM71</f>
        <v>0</v>
      </c>
      <c r="BN23">
        <f>'Monthly Data'!BN71</f>
        <v>1</v>
      </c>
      <c r="BO23">
        <f>'Monthly Data'!BO71</f>
        <v>0</v>
      </c>
      <c r="BP23">
        <f>'Monthly Data'!BP71</f>
        <v>0</v>
      </c>
      <c r="BQ23" s="1">
        <f>'Monthly Data'!BQ71</f>
        <v>0</v>
      </c>
      <c r="BR23" s="1">
        <f>'Monthly Data'!BR71</f>
        <v>1</v>
      </c>
      <c r="BS23" s="1">
        <f>'Monthly Data'!BS71</f>
        <v>1</v>
      </c>
      <c r="BT23" s="1">
        <f>'Monthly Data'!BT71</f>
        <v>70</v>
      </c>
      <c r="BU23">
        <f>'Monthly Data'!BU71</f>
        <v>31</v>
      </c>
      <c r="BV23">
        <f>'Monthly Data'!BV71</f>
        <v>21</v>
      </c>
      <c r="BW23" s="1">
        <f>'Monthly Data'!BW71</f>
        <v>1</v>
      </c>
      <c r="BX23" s="1">
        <f>'Monthly Data'!BX71</f>
        <v>0.5</v>
      </c>
      <c r="BY23" s="1">
        <f>'Monthly Data'!BY71</f>
        <v>0.75</v>
      </c>
      <c r="BZ23" s="1">
        <f>'Monthly Data'!BZ71</f>
        <v>0</v>
      </c>
      <c r="CA23">
        <f>'Monthly Data'!CA71</f>
        <v>147.36458333333331</v>
      </c>
      <c r="CB23">
        <f>'Monthly Data'!CB71</f>
        <v>0</v>
      </c>
      <c r="CC23">
        <f>'Monthly Data'!CC71</f>
        <v>116.36458333333334</v>
      </c>
      <c r="CD23">
        <f>'Monthly Data'!CD71</f>
        <v>0</v>
      </c>
      <c r="CE23">
        <f>'Monthly Data'!CE71</f>
        <v>88.514583333333348</v>
      </c>
      <c r="CF23">
        <f>'Monthly Data'!CF71</f>
        <v>3.1499999999999986</v>
      </c>
      <c r="CG23">
        <f>'Monthly Data'!CG71</f>
        <v>63.250000000000007</v>
      </c>
      <c r="CH23">
        <f>'Monthly Data'!CH71</f>
        <v>8.8854166666666643</v>
      </c>
      <c r="CI23">
        <f>'Monthly Data'!CI71</f>
        <v>42.431250000000013</v>
      </c>
      <c r="CJ23">
        <f>'Monthly Data'!CJ71</f>
        <v>19.066666666666663</v>
      </c>
      <c r="CK23">
        <f>'Monthly Data'!CK71</f>
        <v>27.454166666666669</v>
      </c>
      <c r="CL23">
        <f>'Monthly Data'!CL71</f>
        <v>35.08958333333333</v>
      </c>
      <c r="CM23">
        <f>'Monthly Data'!CM71</f>
        <v>15.352083333333335</v>
      </c>
      <c r="CN23">
        <f>'Monthly Data'!CN71</f>
        <v>53.98749999999999</v>
      </c>
      <c r="CO23" s="14">
        <f>'Monthly Data'!CO71</f>
        <v>221.04687499999997</v>
      </c>
      <c r="CP23" s="14">
        <f>'Monthly Data'!CP71</f>
        <v>0</v>
      </c>
      <c r="CQ23" s="14">
        <f>'Monthly Data'!CQ71</f>
        <v>174.546875</v>
      </c>
      <c r="CR23" s="14">
        <f>'Monthly Data'!CR71</f>
        <v>0</v>
      </c>
      <c r="CS23" s="14">
        <f>'Monthly Data'!CS71</f>
        <v>132.77187500000002</v>
      </c>
      <c r="CT23" s="14">
        <f>'Monthly Data'!CT71</f>
        <v>4.7249999999999979</v>
      </c>
      <c r="CU23" s="14">
        <f>'Monthly Data'!CU71</f>
        <v>94.875000000000014</v>
      </c>
      <c r="CV23" s="14">
        <f>'Monthly Data'!CV71</f>
        <v>13.328124999999996</v>
      </c>
      <c r="CW23" s="14">
        <f>'Monthly Data'!CW71</f>
        <v>63.646875000000023</v>
      </c>
      <c r="CX23" s="14">
        <f>'Monthly Data'!CX71</f>
        <v>28.599999999999994</v>
      </c>
      <c r="CY23" s="14">
        <f>'Monthly Data'!CY71</f>
        <v>41.181250000000006</v>
      </c>
      <c r="CZ23" s="14">
        <f>'Monthly Data'!CZ71</f>
        <v>52.634374999999991</v>
      </c>
      <c r="DA23" s="14">
        <f>'Monthly Data'!DA71</f>
        <v>23.028125000000003</v>
      </c>
      <c r="DB23" s="14">
        <f>'Monthly Data'!DB71</f>
        <v>80.981249999999989</v>
      </c>
      <c r="DC23" s="72">
        <f>'Monthly Data'!DC71</f>
        <v>592.50288575775073</v>
      </c>
      <c r="DD23" s="72">
        <f>'Monthly Data'!DD71</f>
        <v>19.112996314766153</v>
      </c>
      <c r="DE23" s="71">
        <f>'Monthly Data'!DE71</f>
        <v>193270.61873491533</v>
      </c>
      <c r="DF23" s="72">
        <f>'Monthly Data'!DF71</f>
        <v>1679.8623689224653</v>
      </c>
      <c r="DG23" s="72">
        <f>'Monthly Data'!DG71</f>
        <v>54.189108674918238</v>
      </c>
      <c r="DH23" s="72">
        <f>'Monthly Data'!DH71</f>
        <v>69362.059103895343</v>
      </c>
      <c r="DI23" s="72">
        <f>'Monthly Data'!DI71</f>
        <v>39266.718969869013</v>
      </c>
      <c r="DJ23" s="72">
        <f>'Monthly Data'!DJ71</f>
        <v>1266.6683538667423</v>
      </c>
      <c r="DK23" s="72">
        <f>'Monthly Data'!DK71</f>
        <v>1869.8437604699529</v>
      </c>
      <c r="DL23" s="72">
        <f>'Monthly Data'!DL71</f>
        <v>178600.23789521065</v>
      </c>
      <c r="DM23" s="72">
        <f>'Monthly Data'!DM71</f>
        <v>263647.97022626334</v>
      </c>
    </row>
    <row r="24" spans="1:117">
      <c r="A24" s="93">
        <f>'Monthly Data'!A72</f>
        <v>44501</v>
      </c>
      <c r="B24" s="4">
        <f>'Monthly Data'!B72</f>
        <v>2021</v>
      </c>
      <c r="C24" s="4">
        <f>'Monthly Data'!C72</f>
        <v>11</v>
      </c>
      <c r="D24" s="56">
        <f>'Monthly Data'!D72</f>
        <v>6840196</v>
      </c>
      <c r="E24" s="56">
        <f>'Monthly Data'!E72</f>
        <v>162933.69019790809</v>
      </c>
      <c r="F24" s="56">
        <f>'Monthly Data'!F72</f>
        <v>7003129.6901979083</v>
      </c>
      <c r="G24" s="301">
        <f>'Monthly Data'!G72</f>
        <v>10114</v>
      </c>
      <c r="H24" s="56">
        <f>'Monthly Data'!H72</f>
        <v>2325439</v>
      </c>
      <c r="I24" s="56">
        <f>'Monthly Data'!I72</f>
        <v>170954.74423193492</v>
      </c>
      <c r="J24" s="56">
        <f>'Monthly Data'!J72</f>
        <v>2496393.7442319351</v>
      </c>
      <c r="K24" s="6">
        <f>'Monthly Data'!K72</f>
        <v>1279</v>
      </c>
      <c r="L24" s="5">
        <f>'Monthly Data'!L72</f>
        <v>5436796</v>
      </c>
      <c r="M24" s="2">
        <f>'Monthly Data'!M72</f>
        <v>153100.34063431033</v>
      </c>
      <c r="N24" s="56">
        <f>'Monthly Data'!N72</f>
        <v>5589896.3406343106</v>
      </c>
      <c r="O24" s="5">
        <f>'Monthly Data'!O72</f>
        <v>17997.599999999999</v>
      </c>
      <c r="P24" s="6">
        <f>'Monthly Data'!P72</f>
        <v>141</v>
      </c>
      <c r="Q24" s="5">
        <f>'Monthly Data'!Q72</f>
        <v>100923</v>
      </c>
      <c r="R24" s="5">
        <f>'Monthly Data'!R72</f>
        <v>235.2</v>
      </c>
      <c r="S24" s="6">
        <f>'Monthly Data'!S72</f>
        <v>2920</v>
      </c>
      <c r="T24" s="6">
        <f>'Monthly Data'!T72</f>
        <v>15893.188390551783</v>
      </c>
      <c r="U24" s="6">
        <f>'Monthly Data'!U72</f>
        <v>44.1</v>
      </c>
      <c r="V24" s="6">
        <f>'Monthly Data'!V72</f>
        <v>171</v>
      </c>
      <c r="W24" s="5">
        <f>'Monthly Data'!W72</f>
        <v>50101</v>
      </c>
      <c r="X24" s="56">
        <f>'Monthly Data'!X72</f>
        <v>19</v>
      </c>
      <c r="Y24" s="56">
        <f>'Monthly Data'!Y72</f>
        <v>50588.800000000003</v>
      </c>
      <c r="Z24" s="56">
        <f>'Monthly Data'!Z72</f>
        <v>4483.2</v>
      </c>
      <c r="AA24" s="56">
        <f>'Monthly Data'!AA72</f>
        <v>5386207.2000000002</v>
      </c>
      <c r="AB24" s="56">
        <f>'Monthly Data'!AB72</f>
        <v>5539307.5406343108</v>
      </c>
      <c r="AC24" s="56">
        <f>'Monthly Data'!AC72</f>
        <v>13514.399999999998</v>
      </c>
      <c r="AD24" s="111">
        <f>'Monthly Data'!AD72</f>
        <v>817265.5</v>
      </c>
      <c r="AE24" s="111">
        <f>'Monthly Data'!AE72</f>
        <v>840399</v>
      </c>
      <c r="AF24" s="111">
        <f>'Monthly Data'!AF72</f>
        <v>7604</v>
      </c>
      <c r="AG24" s="111">
        <f>'Monthly Data'!AG72</f>
        <v>7604.8</v>
      </c>
      <c r="AH24" s="111">
        <f>'Monthly Data'!AH72</f>
        <v>614.20000000000005</v>
      </c>
      <c r="AI24" s="111">
        <f>'Monthly Data'!AI72</f>
        <v>610</v>
      </c>
      <c r="AJ24" s="111">
        <f>'Monthly Data'!AJ72</f>
        <v>332.19999999999982</v>
      </c>
      <c r="AK24" s="111">
        <f>'Monthly Data'!AK72</f>
        <v>321.80000000000018</v>
      </c>
      <c r="AL24" s="111">
        <f>'Monthly Data'!AL72</f>
        <v>21.5</v>
      </c>
      <c r="AM24" s="111">
        <f>'Monthly Data'!AM72</f>
        <v>21.100000000000023</v>
      </c>
      <c r="AN24" s="111">
        <f>'Monthly Data'!AN72</f>
        <v>47323.5</v>
      </c>
      <c r="AO24" s="111">
        <f>'Monthly Data'!AO72</f>
        <v>19393</v>
      </c>
      <c r="AP24" s="28">
        <f>'Monthly Data'!AP72</f>
        <v>0.52263888888888899</v>
      </c>
      <c r="AQ24" s="28">
        <f>'Monthly Data'!AQ72</f>
        <v>584.32083333333333</v>
      </c>
      <c r="AR24" s="28">
        <f>'Monthly Data'!AR72</f>
        <v>0</v>
      </c>
      <c r="AS24" s="28">
        <f>'Monthly Data'!AS72</f>
        <v>524.32083333333333</v>
      </c>
      <c r="AT24" s="28">
        <f>'Monthly Data'!AT72</f>
        <v>0</v>
      </c>
      <c r="AU24" s="28">
        <f>'Monthly Data'!AU72</f>
        <v>464.32083333333333</v>
      </c>
      <c r="AV24" s="28">
        <f>'Monthly Data'!AV72</f>
        <v>0</v>
      </c>
      <c r="AW24" s="28">
        <f>'Monthly Data'!AW72</f>
        <v>404.32083333333333</v>
      </c>
      <c r="AX24" s="28">
        <f>'Monthly Data'!AX72</f>
        <v>0</v>
      </c>
      <c r="AY24" s="28">
        <f>'Monthly Data'!AY72</f>
        <v>344.32083333333333</v>
      </c>
      <c r="AZ24" s="28">
        <f>'Monthly Data'!AZ72</f>
        <v>0</v>
      </c>
      <c r="BA24" s="28">
        <f>'Monthly Data'!BA72</f>
        <v>284.32083333333327</v>
      </c>
      <c r="BB24" s="28">
        <f>'Monthly Data'!BB72</f>
        <v>0</v>
      </c>
      <c r="BC24" s="28">
        <f>'Monthly Data'!BC72</f>
        <v>224.32083333333335</v>
      </c>
      <c r="BD24" s="28">
        <f>'Monthly Data'!BD72</f>
        <v>0</v>
      </c>
      <c r="BE24">
        <f>'Monthly Data'!BE72</f>
        <v>0</v>
      </c>
      <c r="BF24">
        <f>'Monthly Data'!BF72</f>
        <v>0</v>
      </c>
      <c r="BG24">
        <f>'Monthly Data'!BG72</f>
        <v>0</v>
      </c>
      <c r="BH24">
        <f>'Monthly Data'!BH72</f>
        <v>0</v>
      </c>
      <c r="BI24">
        <f>'Monthly Data'!BI72</f>
        <v>0</v>
      </c>
      <c r="BJ24">
        <f>'Monthly Data'!BJ72</f>
        <v>0</v>
      </c>
      <c r="BK24">
        <f>'Monthly Data'!BK72</f>
        <v>0</v>
      </c>
      <c r="BL24">
        <f>'Monthly Data'!BL72</f>
        <v>0</v>
      </c>
      <c r="BM24">
        <f>'Monthly Data'!BM72</f>
        <v>0</v>
      </c>
      <c r="BN24">
        <f>'Monthly Data'!BN72</f>
        <v>0</v>
      </c>
      <c r="BO24">
        <f>'Monthly Data'!BO72</f>
        <v>1</v>
      </c>
      <c r="BP24">
        <f>'Monthly Data'!BP72</f>
        <v>0</v>
      </c>
      <c r="BQ24" s="1">
        <f>'Monthly Data'!BQ72</f>
        <v>0</v>
      </c>
      <c r="BR24" s="1">
        <f>'Monthly Data'!BR72</f>
        <v>1</v>
      </c>
      <c r="BS24" s="1">
        <f>'Monthly Data'!BS72</f>
        <v>1</v>
      </c>
      <c r="BT24" s="1">
        <f>'Monthly Data'!BT72</f>
        <v>71</v>
      </c>
      <c r="BU24">
        <f>'Monthly Data'!BU72</f>
        <v>30</v>
      </c>
      <c r="BV24">
        <f>'Monthly Data'!BV72</f>
        <v>21</v>
      </c>
      <c r="BW24" s="1">
        <f>'Monthly Data'!BW72</f>
        <v>1</v>
      </c>
      <c r="BX24" s="1">
        <f>'Monthly Data'!BX72</f>
        <v>0.5</v>
      </c>
      <c r="BY24" s="1">
        <f>'Monthly Data'!BY72</f>
        <v>0.75</v>
      </c>
      <c r="BZ24" s="1">
        <f>'Monthly Data'!BZ72</f>
        <v>0</v>
      </c>
      <c r="CA24">
        <f>'Monthly Data'!CA72</f>
        <v>292.16041666666666</v>
      </c>
      <c r="CB24">
        <f>'Monthly Data'!CB72</f>
        <v>0</v>
      </c>
      <c r="CC24">
        <f>'Monthly Data'!CC72</f>
        <v>262.16041666666666</v>
      </c>
      <c r="CD24">
        <f>'Monthly Data'!CD72</f>
        <v>0</v>
      </c>
      <c r="CE24">
        <f>'Monthly Data'!CE72</f>
        <v>232.16041666666666</v>
      </c>
      <c r="CF24">
        <f>'Monthly Data'!CF72</f>
        <v>0</v>
      </c>
      <c r="CG24">
        <f>'Monthly Data'!CG72</f>
        <v>202.16041666666666</v>
      </c>
      <c r="CH24">
        <f>'Monthly Data'!CH72</f>
        <v>0</v>
      </c>
      <c r="CI24">
        <f>'Monthly Data'!CI72</f>
        <v>172.16041666666666</v>
      </c>
      <c r="CJ24">
        <f>'Monthly Data'!CJ72</f>
        <v>0</v>
      </c>
      <c r="CK24">
        <f>'Monthly Data'!CK72</f>
        <v>142.16041666666663</v>
      </c>
      <c r="CL24">
        <f>'Monthly Data'!CL72</f>
        <v>0</v>
      </c>
      <c r="CM24">
        <f>'Monthly Data'!CM72</f>
        <v>112.16041666666668</v>
      </c>
      <c r="CN24">
        <f>'Monthly Data'!CN72</f>
        <v>0</v>
      </c>
      <c r="CO24" s="14">
        <f>'Monthly Data'!CO72</f>
        <v>438.24062500000002</v>
      </c>
      <c r="CP24" s="14">
        <f>'Monthly Data'!CP72</f>
        <v>0</v>
      </c>
      <c r="CQ24" s="14">
        <f>'Monthly Data'!CQ72</f>
        <v>393.24062500000002</v>
      </c>
      <c r="CR24" s="14">
        <f>'Monthly Data'!CR72</f>
        <v>0</v>
      </c>
      <c r="CS24" s="14">
        <f>'Monthly Data'!CS72</f>
        <v>348.24062500000002</v>
      </c>
      <c r="CT24" s="14">
        <f>'Monthly Data'!CT72</f>
        <v>0</v>
      </c>
      <c r="CU24" s="14">
        <f>'Monthly Data'!CU72</f>
        <v>303.24062500000002</v>
      </c>
      <c r="CV24" s="14">
        <f>'Monthly Data'!CV72</f>
        <v>0</v>
      </c>
      <c r="CW24" s="14">
        <f>'Monthly Data'!CW72</f>
        <v>258.24062500000002</v>
      </c>
      <c r="CX24" s="14">
        <f>'Monthly Data'!CX72</f>
        <v>0</v>
      </c>
      <c r="CY24" s="14">
        <f>'Monthly Data'!CY72</f>
        <v>213.24062499999997</v>
      </c>
      <c r="CZ24" s="14">
        <f>'Monthly Data'!CZ72</f>
        <v>0</v>
      </c>
      <c r="DA24" s="14">
        <f>'Monthly Data'!DA72</f>
        <v>168.24062500000002</v>
      </c>
      <c r="DB24" s="14">
        <f>'Monthly Data'!DB72</f>
        <v>0</v>
      </c>
      <c r="DC24" s="72">
        <f>'Monthly Data'!DC72</f>
        <v>692.41938799662921</v>
      </c>
      <c r="DD24" s="72">
        <f>'Monthly Data'!DD72</f>
        <v>23.080646266554307</v>
      </c>
      <c r="DE24" s="71">
        <f>'Monthly Data'!DE72</f>
        <v>233437.65633993028</v>
      </c>
      <c r="DF24" s="72">
        <f>'Monthly Data'!DF72</f>
        <v>1951.8324818076114</v>
      </c>
      <c r="DG24" s="72">
        <f>'Monthly Data'!DG72</f>
        <v>65.061082726920375</v>
      </c>
      <c r="DH24" s="72">
        <f>'Monthly Data'!DH72</f>
        <v>83213.124807731176</v>
      </c>
      <c r="DI24" s="72">
        <f>'Monthly Data'!DI72</f>
        <v>39644.654898115681</v>
      </c>
      <c r="DJ24" s="72">
        <f>'Monthly Data'!DJ72</f>
        <v>1321.488496603856</v>
      </c>
      <c r="DK24" s="72">
        <f>'Monthly Data'!DK72</f>
        <v>1887.8407094340801</v>
      </c>
      <c r="DL24" s="72">
        <f>'Monthly Data'!DL72</f>
        <v>186329.8780211437</v>
      </c>
      <c r="DM24" s="72">
        <f>'Monthly Data'!DM72</f>
        <v>266185.54003020527</v>
      </c>
    </row>
    <row r="25" spans="1:117">
      <c r="A25" s="93">
        <f>'Monthly Data'!A73</f>
        <v>44531</v>
      </c>
      <c r="B25" s="4">
        <f>'Monthly Data'!B73</f>
        <v>2021</v>
      </c>
      <c r="C25" s="4">
        <f>'Monthly Data'!C73</f>
        <v>12</v>
      </c>
      <c r="D25" s="56">
        <f>'Monthly Data'!D73</f>
        <v>8470209.6400000006</v>
      </c>
      <c r="E25" s="56">
        <f>'Monthly Data'!E73</f>
        <v>162995.19961344107</v>
      </c>
      <c r="F25" s="56">
        <f>'Monthly Data'!F73</f>
        <v>8633204.8396134414</v>
      </c>
      <c r="G25" s="301">
        <f>'Monthly Data'!G73</f>
        <v>10127</v>
      </c>
      <c r="H25" s="56">
        <f>'Monthly Data'!H73</f>
        <v>2777821.65</v>
      </c>
      <c r="I25" s="56">
        <f>'Monthly Data'!I73</f>
        <v>171790.65624311438</v>
      </c>
      <c r="J25" s="56">
        <f>'Monthly Data'!J73</f>
        <v>2949612.3062431142</v>
      </c>
      <c r="K25" s="6">
        <f>'Monthly Data'!K73</f>
        <v>1281</v>
      </c>
      <c r="L25" s="5">
        <f>'Monthly Data'!L73</f>
        <v>5885929.4399999995</v>
      </c>
      <c r="M25" s="2">
        <f>'Monthly Data'!M73</f>
        <v>154104.9395858483</v>
      </c>
      <c r="N25" s="56">
        <f>'Monthly Data'!N73</f>
        <v>6040034.3795858482</v>
      </c>
      <c r="O25" s="5">
        <f>'Monthly Data'!O73</f>
        <v>19484</v>
      </c>
      <c r="P25" s="6">
        <f>'Monthly Data'!P73</f>
        <v>141</v>
      </c>
      <c r="Q25" s="5">
        <f>'Monthly Data'!Q73</f>
        <v>109309.55</v>
      </c>
      <c r="R25" s="5">
        <f>'Monthly Data'!R73</f>
        <v>235.2</v>
      </c>
      <c r="S25" s="6">
        <f>'Monthly Data'!S73</f>
        <v>2920</v>
      </c>
      <c r="T25" s="6">
        <f>'Monthly Data'!T73</f>
        <v>15783.54</v>
      </c>
      <c r="U25" s="6">
        <f>'Monthly Data'!U73</f>
        <v>44.1</v>
      </c>
      <c r="V25" s="6">
        <f>'Monthly Data'!V73</f>
        <v>171</v>
      </c>
      <c r="W25" s="5">
        <f>'Monthly Data'!W73</f>
        <v>52578.61</v>
      </c>
      <c r="X25" s="56">
        <f>'Monthly Data'!X73</f>
        <v>19</v>
      </c>
      <c r="Y25" s="56">
        <f>'Monthly Data'!Y73</f>
        <v>19046.72</v>
      </c>
      <c r="Z25" s="56">
        <f>'Monthly Data'!Z73</f>
        <v>8870.4</v>
      </c>
      <c r="AA25" s="56">
        <f>'Monthly Data'!AA73</f>
        <v>5866882.7199999997</v>
      </c>
      <c r="AB25" s="56">
        <f>'Monthly Data'!AB73</f>
        <v>6020987.6595858485</v>
      </c>
      <c r="AC25" s="56">
        <f>'Monthly Data'!AC73</f>
        <v>10613.6</v>
      </c>
      <c r="AD25" s="111">
        <f>'Monthly Data'!AD73</f>
        <v>817265.5</v>
      </c>
      <c r="AE25" s="111">
        <f>'Monthly Data'!AE73</f>
        <v>840399</v>
      </c>
      <c r="AF25" s="111">
        <f>'Monthly Data'!AF73</f>
        <v>7658.5</v>
      </c>
      <c r="AG25" s="111">
        <f>'Monthly Data'!AG73</f>
        <v>7662.8</v>
      </c>
      <c r="AH25" s="111">
        <f>'Monthly Data'!AH73</f>
        <v>616.4</v>
      </c>
      <c r="AI25" s="111">
        <f>'Monthly Data'!AI73</f>
        <v>613.20000000000005</v>
      </c>
      <c r="AJ25" s="111">
        <f>'Monthly Data'!AJ73</f>
        <v>368.69999999999982</v>
      </c>
      <c r="AK25" s="111">
        <f>'Monthly Data'!AK73</f>
        <v>362.19999999999982</v>
      </c>
      <c r="AL25" s="111">
        <f>'Monthly Data'!AL73</f>
        <v>19.699999999999932</v>
      </c>
      <c r="AM25" s="111">
        <f>'Monthly Data'!AM73</f>
        <v>18.800000000000068</v>
      </c>
      <c r="AN25" s="111">
        <f>'Monthly Data'!AN73</f>
        <v>47323.5</v>
      </c>
      <c r="AO25" s="111">
        <f>'Monthly Data'!AO73</f>
        <v>19393</v>
      </c>
      <c r="AP25" s="28">
        <f>'Monthly Data'!AP73</f>
        <v>-4.6518145161290319</v>
      </c>
      <c r="AQ25" s="28">
        <f>'Monthly Data'!AQ73</f>
        <v>764.20624999999995</v>
      </c>
      <c r="AR25" s="28">
        <f>'Monthly Data'!AR73</f>
        <v>0</v>
      </c>
      <c r="AS25" s="28">
        <f>'Monthly Data'!AS73</f>
        <v>702.20624999999995</v>
      </c>
      <c r="AT25" s="28">
        <f>'Monthly Data'!AT73</f>
        <v>0</v>
      </c>
      <c r="AU25" s="28">
        <f>'Monthly Data'!AU73</f>
        <v>640.20625000000007</v>
      </c>
      <c r="AV25" s="28">
        <f>'Monthly Data'!AV73</f>
        <v>0</v>
      </c>
      <c r="AW25" s="28">
        <f>'Monthly Data'!AW73</f>
        <v>578.20625000000007</v>
      </c>
      <c r="AX25" s="28">
        <f>'Monthly Data'!AX73</f>
        <v>0</v>
      </c>
      <c r="AY25" s="28">
        <f>'Monthly Data'!AY73</f>
        <v>516.20625000000018</v>
      </c>
      <c r="AZ25" s="28">
        <f>'Monthly Data'!AZ73</f>
        <v>0</v>
      </c>
      <c r="BA25" s="28">
        <f>'Monthly Data'!BA73</f>
        <v>454.20625000000007</v>
      </c>
      <c r="BB25" s="28">
        <f>'Monthly Data'!BB73</f>
        <v>0</v>
      </c>
      <c r="BC25" s="28">
        <f>'Monthly Data'!BC73</f>
        <v>392.36101190476188</v>
      </c>
      <c r="BD25" s="28">
        <f>'Monthly Data'!BD73</f>
        <v>0.15476190476190332</v>
      </c>
      <c r="BE25">
        <f>'Monthly Data'!BE73</f>
        <v>0</v>
      </c>
      <c r="BF25">
        <f>'Monthly Data'!BF73</f>
        <v>0</v>
      </c>
      <c r="BG25">
        <f>'Monthly Data'!BG73</f>
        <v>0</v>
      </c>
      <c r="BH25">
        <f>'Monthly Data'!BH73</f>
        <v>0</v>
      </c>
      <c r="BI25">
        <f>'Monthly Data'!BI73</f>
        <v>0</v>
      </c>
      <c r="BJ25">
        <f>'Monthly Data'!BJ73</f>
        <v>0</v>
      </c>
      <c r="BK25">
        <f>'Monthly Data'!BK73</f>
        <v>0</v>
      </c>
      <c r="BL25">
        <f>'Monthly Data'!BL73</f>
        <v>0</v>
      </c>
      <c r="BM25">
        <f>'Monthly Data'!BM73</f>
        <v>0</v>
      </c>
      <c r="BN25">
        <f>'Monthly Data'!BN73</f>
        <v>0</v>
      </c>
      <c r="BO25">
        <f>'Monthly Data'!BO73</f>
        <v>0</v>
      </c>
      <c r="BP25">
        <f>'Monthly Data'!BP73</f>
        <v>1</v>
      </c>
      <c r="BQ25" s="1">
        <f>'Monthly Data'!BQ73</f>
        <v>0</v>
      </c>
      <c r="BR25" s="1">
        <f>'Monthly Data'!BR73</f>
        <v>0</v>
      </c>
      <c r="BS25" s="1">
        <f>'Monthly Data'!BS73</f>
        <v>0</v>
      </c>
      <c r="BT25" s="1">
        <f>'Monthly Data'!BT73</f>
        <v>72</v>
      </c>
      <c r="BU25">
        <f>'Monthly Data'!BU73</f>
        <v>31</v>
      </c>
      <c r="BV25">
        <f>'Monthly Data'!BV73</f>
        <v>21</v>
      </c>
      <c r="BW25" s="1">
        <f>'Monthly Data'!BW73</f>
        <v>1</v>
      </c>
      <c r="BX25" s="1">
        <f>'Monthly Data'!BX73</f>
        <v>0.5</v>
      </c>
      <c r="BY25" s="1">
        <f>'Monthly Data'!BY73</f>
        <v>0.75</v>
      </c>
      <c r="BZ25" s="1">
        <f>'Monthly Data'!BZ73</f>
        <v>0</v>
      </c>
      <c r="CA25">
        <f>'Monthly Data'!CA73</f>
        <v>382.10312499999998</v>
      </c>
      <c r="CB25">
        <f>'Monthly Data'!CB73</f>
        <v>0</v>
      </c>
      <c r="CC25">
        <f>'Monthly Data'!CC73</f>
        <v>351.10312499999998</v>
      </c>
      <c r="CD25">
        <f>'Monthly Data'!CD73</f>
        <v>0</v>
      </c>
      <c r="CE25">
        <f>'Monthly Data'!CE73</f>
        <v>320.10312500000003</v>
      </c>
      <c r="CF25">
        <f>'Monthly Data'!CF73</f>
        <v>0</v>
      </c>
      <c r="CG25">
        <f>'Monthly Data'!CG73</f>
        <v>289.10312500000003</v>
      </c>
      <c r="CH25">
        <f>'Monthly Data'!CH73</f>
        <v>0</v>
      </c>
      <c r="CI25">
        <f>'Monthly Data'!CI73</f>
        <v>258.10312500000009</v>
      </c>
      <c r="CJ25">
        <f>'Monthly Data'!CJ73</f>
        <v>0</v>
      </c>
      <c r="CK25">
        <f>'Monthly Data'!CK73</f>
        <v>227.10312500000003</v>
      </c>
      <c r="CL25">
        <f>'Monthly Data'!CL73</f>
        <v>0</v>
      </c>
      <c r="CM25">
        <f>'Monthly Data'!CM73</f>
        <v>196.18050595238094</v>
      </c>
      <c r="CN25">
        <f>'Monthly Data'!CN73</f>
        <v>7.7380952380951662E-2</v>
      </c>
      <c r="CO25" s="14">
        <f>'Monthly Data'!CO73</f>
        <v>573.15468749999991</v>
      </c>
      <c r="CP25" s="14">
        <f>'Monthly Data'!CP73</f>
        <v>0</v>
      </c>
      <c r="CQ25" s="14">
        <f>'Monthly Data'!CQ73</f>
        <v>526.65468749999991</v>
      </c>
      <c r="CR25" s="14">
        <f>'Monthly Data'!CR73</f>
        <v>0</v>
      </c>
      <c r="CS25" s="14">
        <f>'Monthly Data'!CS73</f>
        <v>480.15468750000002</v>
      </c>
      <c r="CT25" s="14">
        <f>'Monthly Data'!CT73</f>
        <v>0</v>
      </c>
      <c r="CU25" s="14">
        <f>'Monthly Data'!CU73</f>
        <v>433.65468750000002</v>
      </c>
      <c r="CV25" s="14">
        <f>'Monthly Data'!CV73</f>
        <v>0</v>
      </c>
      <c r="CW25" s="14">
        <f>'Monthly Data'!CW73</f>
        <v>387.15468750000014</v>
      </c>
      <c r="CX25" s="14">
        <f>'Monthly Data'!CX73</f>
        <v>0</v>
      </c>
      <c r="CY25" s="14">
        <f>'Monthly Data'!CY73</f>
        <v>340.65468750000002</v>
      </c>
      <c r="CZ25" s="14">
        <f>'Monthly Data'!CZ73</f>
        <v>0</v>
      </c>
      <c r="DA25" s="14">
        <f>'Monthly Data'!DA73</f>
        <v>294.27075892857141</v>
      </c>
      <c r="DB25" s="14">
        <f>'Monthly Data'!DB73</f>
        <v>0.11607142857142749</v>
      </c>
      <c r="DC25" s="72">
        <f>'Monthly Data'!DC73</f>
        <v>852.49381254206003</v>
      </c>
      <c r="DD25" s="72">
        <f>'Monthly Data'!DD73</f>
        <v>27.499800404582583</v>
      </c>
      <c r="DE25" s="71">
        <f>'Monthly Data'!DE73</f>
        <v>278490.47869720781</v>
      </c>
      <c r="DF25" s="72">
        <f>'Monthly Data'!DF73</f>
        <v>2302.5857191593395</v>
      </c>
      <c r="DG25" s="72">
        <f>'Monthly Data'!DG73</f>
        <v>74.276958682559339</v>
      </c>
      <c r="DH25" s="72">
        <f>'Monthly Data'!DH73</f>
        <v>95148.784072358525</v>
      </c>
      <c r="DI25" s="72">
        <f>'Monthly Data'!DI73</f>
        <v>42837.123259474101</v>
      </c>
      <c r="DJ25" s="72">
        <f>'Monthly Data'!DJ73</f>
        <v>1381.8426857894872</v>
      </c>
      <c r="DK25" s="72">
        <f>'Monthly Data'!DK73</f>
        <v>2039.8630123559096</v>
      </c>
      <c r="DL25" s="72">
        <f>'Monthly Data'!DL73</f>
        <v>194839.81869631767</v>
      </c>
      <c r="DM25" s="72">
        <f>'Monthly Data'!DM73</f>
        <v>287620.68474218325</v>
      </c>
    </row>
    <row r="26" spans="1:117">
      <c r="A26" s="93">
        <f>'Monthly Data'!A74</f>
        <v>44562</v>
      </c>
      <c r="B26" s="4">
        <f>'Monthly Data'!B74</f>
        <v>2022</v>
      </c>
      <c r="C26" s="4">
        <f>'Monthly Data'!C74</f>
        <v>1</v>
      </c>
      <c r="D26" s="56">
        <f>'Monthly Data'!D74</f>
        <v>10369340</v>
      </c>
      <c r="E26" s="56">
        <f>'Monthly Data'!E74</f>
        <v>163485.52869705902</v>
      </c>
      <c r="F26" s="56">
        <f>'Monthly Data'!F74</f>
        <v>10532825.528697059</v>
      </c>
      <c r="G26" s="301">
        <f>'Monthly Data'!G74</f>
        <v>10147</v>
      </c>
      <c r="H26" s="56">
        <f>'Monthly Data'!H74</f>
        <v>3325611</v>
      </c>
      <c r="I26" s="56">
        <f>'Monthly Data'!I74</f>
        <v>186815.4695312783</v>
      </c>
      <c r="J26" s="56">
        <f>'Monthly Data'!J74</f>
        <v>3512426.4695312781</v>
      </c>
      <c r="K26" s="6">
        <f>'Monthly Data'!K74</f>
        <v>1283</v>
      </c>
      <c r="L26" s="5">
        <f>'Monthly Data'!L74</f>
        <v>6999063</v>
      </c>
      <c r="M26" s="2">
        <f>'Monthly Data'!M74</f>
        <v>169508.61083325406</v>
      </c>
      <c r="N26" s="56">
        <f>'Monthly Data'!N74</f>
        <v>7168571.6108332537</v>
      </c>
      <c r="O26" s="5">
        <f>'Monthly Data'!O74</f>
        <v>19204.8</v>
      </c>
      <c r="P26" s="6">
        <f>'Monthly Data'!P74</f>
        <v>141</v>
      </c>
      <c r="Q26" s="5">
        <f>'Monthly Data'!Q74</f>
        <v>106508</v>
      </c>
      <c r="R26" s="5">
        <f>'Monthly Data'!R74</f>
        <v>235.2</v>
      </c>
      <c r="S26" s="6">
        <f>'Monthly Data'!S74</f>
        <v>2920</v>
      </c>
      <c r="T26" s="6">
        <f>'Monthly Data'!T74</f>
        <v>16295</v>
      </c>
      <c r="U26" s="6">
        <f>'Monthly Data'!U74</f>
        <v>45.1</v>
      </c>
      <c r="V26" s="6">
        <f>'Monthly Data'!V74</f>
        <v>177</v>
      </c>
      <c r="W26" s="5">
        <f>'Monthly Data'!W74</f>
        <v>50605</v>
      </c>
      <c r="X26" s="56">
        <f>'Monthly Data'!X74</f>
        <v>19</v>
      </c>
      <c r="Y26" s="56">
        <f>'Monthly Data'!Y74</f>
        <v>551178.4</v>
      </c>
      <c r="Z26" s="56">
        <f>'Monthly Data'!Z74</f>
        <v>4608</v>
      </c>
      <c r="AA26" s="56">
        <f>'Monthly Data'!AA74</f>
        <v>6447884.5999999996</v>
      </c>
      <c r="AB26" s="56">
        <f>'Monthly Data'!AB74</f>
        <v>6617393.2108332533</v>
      </c>
      <c r="AC26" s="56">
        <f>'Monthly Data'!AC74</f>
        <v>14596.8</v>
      </c>
      <c r="AD26" s="111">
        <f>'Monthly Data'!AD74</f>
        <v>850461.9</v>
      </c>
      <c r="AE26" s="111">
        <f>'Monthly Data'!AE74</f>
        <v>847546</v>
      </c>
      <c r="AF26" s="111">
        <f>'Monthly Data'!AF74</f>
        <v>7643.6</v>
      </c>
      <c r="AG26" s="111">
        <f>'Monthly Data'!AG74</f>
        <v>7611.7</v>
      </c>
      <c r="AH26" s="111">
        <f>'Monthly Data'!AH74</f>
        <v>618.20000000000005</v>
      </c>
      <c r="AI26" s="111">
        <f>'Monthly Data'!AI74</f>
        <v>610.20000000000005</v>
      </c>
      <c r="AJ26" s="111">
        <f>'Monthly Data'!AJ74</f>
        <v>409</v>
      </c>
      <c r="AK26" s="111">
        <f>'Monthly Data'!AK74</f>
        <v>404.5</v>
      </c>
      <c r="AL26" s="111">
        <f>'Monthly Data'!AL74</f>
        <v>13</v>
      </c>
      <c r="AM26" s="111">
        <f>'Monthly Data'!AM74</f>
        <v>11.700000000000045</v>
      </c>
      <c r="AN26" s="111">
        <f>'Monthly Data'!AN74</f>
        <v>33196.400000000023</v>
      </c>
      <c r="AO26" s="111">
        <f>'Monthly Data'!AO74</f>
        <v>7147</v>
      </c>
      <c r="AP26" s="28">
        <f>'Monthly Data'!AP74</f>
        <v>-16.084946236559141</v>
      </c>
      <c r="AQ26" s="28">
        <f>'Monthly Data'!AQ74</f>
        <v>1118.6333333333332</v>
      </c>
      <c r="AR26" s="28">
        <f>'Monthly Data'!AR74</f>
        <v>0</v>
      </c>
      <c r="AS26" s="28">
        <f>'Monthly Data'!AS74</f>
        <v>1056.6333333333332</v>
      </c>
      <c r="AT26" s="28">
        <f>'Monthly Data'!AT74</f>
        <v>0</v>
      </c>
      <c r="AU26" s="28">
        <f>'Monthly Data'!AU74</f>
        <v>994.63333333333333</v>
      </c>
      <c r="AV26" s="28">
        <f>'Monthly Data'!AV74</f>
        <v>0</v>
      </c>
      <c r="AW26" s="28">
        <f>'Monthly Data'!AW74</f>
        <v>932.63333333333333</v>
      </c>
      <c r="AX26" s="28">
        <f>'Monthly Data'!AX74</f>
        <v>0</v>
      </c>
      <c r="AY26" s="28">
        <f>'Monthly Data'!AY74</f>
        <v>870.63333333333344</v>
      </c>
      <c r="AZ26" s="28">
        <f>'Monthly Data'!AZ74</f>
        <v>0</v>
      </c>
      <c r="BA26" s="28">
        <f>'Monthly Data'!BA74</f>
        <v>808.63333333333333</v>
      </c>
      <c r="BB26" s="28">
        <f>'Monthly Data'!BB74</f>
        <v>0</v>
      </c>
      <c r="BC26" s="28">
        <f>'Monthly Data'!BC74</f>
        <v>746.63333333333333</v>
      </c>
      <c r="BD26" s="28">
        <f>'Monthly Data'!BD74</f>
        <v>0</v>
      </c>
      <c r="BE26">
        <f>'Monthly Data'!BE74</f>
        <v>1</v>
      </c>
      <c r="BF26">
        <f>'Monthly Data'!BF74</f>
        <v>0</v>
      </c>
      <c r="BG26">
        <f>'Monthly Data'!BG74</f>
        <v>0</v>
      </c>
      <c r="BH26">
        <f>'Monthly Data'!BH74</f>
        <v>0</v>
      </c>
      <c r="BI26">
        <f>'Monthly Data'!BI74</f>
        <v>0</v>
      </c>
      <c r="BJ26">
        <f>'Monthly Data'!BJ74</f>
        <v>0</v>
      </c>
      <c r="BK26">
        <f>'Monthly Data'!BK74</f>
        <v>0</v>
      </c>
      <c r="BL26">
        <f>'Monthly Data'!BL74</f>
        <v>0</v>
      </c>
      <c r="BM26">
        <f>'Monthly Data'!BM74</f>
        <v>0</v>
      </c>
      <c r="BN26">
        <f>'Monthly Data'!BN74</f>
        <v>0</v>
      </c>
      <c r="BO26">
        <f>'Monthly Data'!BO74</f>
        <v>0</v>
      </c>
      <c r="BP26">
        <f>'Monthly Data'!BP74</f>
        <v>0</v>
      </c>
      <c r="BQ26" s="1">
        <f>'Monthly Data'!BQ74</f>
        <v>0</v>
      </c>
      <c r="BR26" s="1">
        <f>'Monthly Data'!BR74</f>
        <v>0</v>
      </c>
      <c r="BS26" s="1">
        <f>'Monthly Data'!BS74</f>
        <v>0</v>
      </c>
      <c r="BT26" s="1">
        <f>'Monthly Data'!BT74</f>
        <v>73</v>
      </c>
      <c r="BU26">
        <f>'Monthly Data'!BU74</f>
        <v>31</v>
      </c>
      <c r="BV26" s="1">
        <f>'Monthly Data'!BV74</f>
        <v>22</v>
      </c>
      <c r="BW26" s="1">
        <f>'Monthly Data'!BW74</f>
        <v>0.5</v>
      </c>
      <c r="BX26" s="1">
        <f>'Monthly Data'!BX74</f>
        <v>0.25</v>
      </c>
      <c r="BY26" s="1">
        <f>'Monthly Data'!BY74</f>
        <v>0.5</v>
      </c>
      <c r="BZ26" s="1">
        <f>'Monthly Data'!BZ74</f>
        <v>0</v>
      </c>
      <c r="CA26">
        <f>'Monthly Data'!CA74</f>
        <v>279.6583333333333</v>
      </c>
      <c r="CB26">
        <f>'Monthly Data'!CB74</f>
        <v>0</v>
      </c>
      <c r="CC26">
        <f>'Monthly Data'!CC74</f>
        <v>264.1583333333333</v>
      </c>
      <c r="CD26">
        <f>'Monthly Data'!CD74</f>
        <v>0</v>
      </c>
      <c r="CE26">
        <f>'Monthly Data'!CE74</f>
        <v>248.65833333333333</v>
      </c>
      <c r="CF26">
        <f>'Monthly Data'!CF74</f>
        <v>0</v>
      </c>
      <c r="CG26">
        <f>'Monthly Data'!CG74</f>
        <v>233.15833333333333</v>
      </c>
      <c r="CH26">
        <f>'Monthly Data'!CH74</f>
        <v>0</v>
      </c>
      <c r="CI26">
        <f>'Monthly Data'!CI74</f>
        <v>217.65833333333336</v>
      </c>
      <c r="CJ26">
        <f>'Monthly Data'!CJ74</f>
        <v>0</v>
      </c>
      <c r="CK26">
        <f>'Monthly Data'!CK74</f>
        <v>202.15833333333333</v>
      </c>
      <c r="CL26">
        <f>'Monthly Data'!CL74</f>
        <v>0</v>
      </c>
      <c r="CM26">
        <f>'Monthly Data'!CM74</f>
        <v>186.65833333333333</v>
      </c>
      <c r="CN26">
        <f>'Monthly Data'!CN74</f>
        <v>0</v>
      </c>
      <c r="CO26" s="14">
        <f>'Monthly Data'!CO74</f>
        <v>559.31666666666661</v>
      </c>
      <c r="CP26" s="14">
        <f>'Monthly Data'!CP74</f>
        <v>0</v>
      </c>
      <c r="CQ26" s="14">
        <f>'Monthly Data'!CQ74</f>
        <v>528.31666666666661</v>
      </c>
      <c r="CR26" s="14">
        <f>'Monthly Data'!CR74</f>
        <v>0</v>
      </c>
      <c r="CS26" s="14">
        <f>'Monthly Data'!CS74</f>
        <v>497.31666666666666</v>
      </c>
      <c r="CT26" s="14">
        <f>'Monthly Data'!CT74</f>
        <v>0</v>
      </c>
      <c r="CU26" s="14">
        <f>'Monthly Data'!CU74</f>
        <v>466.31666666666666</v>
      </c>
      <c r="CV26" s="14">
        <f>'Monthly Data'!CV74</f>
        <v>0</v>
      </c>
      <c r="CW26" s="14">
        <f>'Monthly Data'!CW74</f>
        <v>435.31666666666672</v>
      </c>
      <c r="CX26" s="14">
        <f>'Monthly Data'!CX74</f>
        <v>0</v>
      </c>
      <c r="CY26" s="14">
        <f>'Monthly Data'!CY74</f>
        <v>404.31666666666666</v>
      </c>
      <c r="CZ26" s="14">
        <f>'Monthly Data'!CZ74</f>
        <v>0</v>
      </c>
      <c r="DA26" s="14">
        <f>'Monthly Data'!DA74</f>
        <v>373.31666666666666</v>
      </c>
      <c r="DB26" s="14">
        <f>'Monthly Data'!DB74</f>
        <v>0</v>
      </c>
      <c r="DC26" s="72">
        <f>'Monthly Data'!DC74</f>
        <v>1038.0236058635123</v>
      </c>
      <c r="DD26" s="72">
        <f>'Monthly Data'!DD74</f>
        <v>33.484632447210075</v>
      </c>
      <c r="DE26" s="71">
        <f>'Monthly Data'!DE74</f>
        <v>339768.56544184062</v>
      </c>
      <c r="DF26" s="72">
        <f>'Monthly Data'!DF74</f>
        <v>2737.6667728225084</v>
      </c>
      <c r="DG26" s="72">
        <f>'Monthly Data'!DG74</f>
        <v>88.311831381371235</v>
      </c>
      <c r="DH26" s="72">
        <f>'Monthly Data'!DH74</f>
        <v>113304.07966229929</v>
      </c>
      <c r="DI26" s="72">
        <f>'Monthly Data'!DI74</f>
        <v>50840.933410164922</v>
      </c>
      <c r="DJ26" s="72">
        <f>'Monthly Data'!DJ74</f>
        <v>1640.03011000532</v>
      </c>
      <c r="DK26" s="72">
        <f>'Monthly Data'!DK74</f>
        <v>2310.9515186438603</v>
      </c>
      <c r="DL26" s="72">
        <f>'Monthly Data'!DL74</f>
        <v>231244.24551075013</v>
      </c>
      <c r="DM26" s="72">
        <f>'Monthly Data'!DM74</f>
        <v>325844.16412878426</v>
      </c>
    </row>
    <row r="27" spans="1:117">
      <c r="A27" s="93">
        <f>'Monthly Data'!A75</f>
        <v>44593</v>
      </c>
      <c r="B27" s="4">
        <f>'Monthly Data'!B75</f>
        <v>2022</v>
      </c>
      <c r="C27" s="4">
        <f>'Monthly Data'!C75</f>
        <v>2</v>
      </c>
      <c r="D27" s="56">
        <f>'Monthly Data'!D75</f>
        <v>8422722</v>
      </c>
      <c r="E27" s="56">
        <f>'Monthly Data'!E75</f>
        <v>163596.01281293228</v>
      </c>
      <c r="F27" s="56">
        <f>'Monthly Data'!F75</f>
        <v>8586318.012812933</v>
      </c>
      <c r="G27" s="301">
        <f>'Monthly Data'!G75</f>
        <v>10147</v>
      </c>
      <c r="H27" s="56">
        <f>'Monthly Data'!H75</f>
        <v>2875971</v>
      </c>
      <c r="I27" s="56">
        <f>'Monthly Data'!I75</f>
        <v>189431.78011123175</v>
      </c>
      <c r="J27" s="56">
        <f>'Monthly Data'!J75</f>
        <v>3065402.7801112318</v>
      </c>
      <c r="K27" s="6">
        <f>'Monthly Data'!K75</f>
        <v>1283</v>
      </c>
      <c r="L27" s="5">
        <f>'Monthly Data'!L75</f>
        <v>6347335</v>
      </c>
      <c r="M27" s="2">
        <f>'Monthly Data'!M75</f>
        <v>172299.13956403604</v>
      </c>
      <c r="N27" s="56">
        <f>'Monthly Data'!N75</f>
        <v>6519634.1395640364</v>
      </c>
      <c r="O27" s="5">
        <f>'Monthly Data'!O75</f>
        <v>21259.399999999998</v>
      </c>
      <c r="P27" s="6">
        <f>'Monthly Data'!P75</f>
        <v>142</v>
      </c>
      <c r="Q27" s="5">
        <f>'Monthly Data'!Q75</f>
        <v>88675</v>
      </c>
      <c r="R27" s="5">
        <f>'Monthly Data'!R75</f>
        <v>235.10000000000002</v>
      </c>
      <c r="S27" s="6">
        <f>'Monthly Data'!S75</f>
        <v>2920</v>
      </c>
      <c r="T27" s="6">
        <f>'Monthly Data'!T75</f>
        <v>15789</v>
      </c>
      <c r="U27" s="6">
        <f>'Monthly Data'!U75</f>
        <v>43.400000000000006</v>
      </c>
      <c r="V27" s="6">
        <f>'Monthly Data'!V75</f>
        <v>177</v>
      </c>
      <c r="W27" s="5">
        <f>'Monthly Data'!W75</f>
        <v>46196</v>
      </c>
      <c r="X27" s="56">
        <f>'Monthly Data'!X75</f>
        <v>19</v>
      </c>
      <c r="Y27" s="56">
        <f>'Monthly Data'!Y75</f>
        <v>642655.19999999995</v>
      </c>
      <c r="Z27" s="56">
        <f>'Monthly Data'!Z75</f>
        <v>7171.2</v>
      </c>
      <c r="AA27" s="56">
        <f>'Monthly Data'!AA75</f>
        <v>5704679.7999999998</v>
      </c>
      <c r="AB27" s="56">
        <f>'Monthly Data'!AB75</f>
        <v>5876978.9395640362</v>
      </c>
      <c r="AC27" s="56">
        <f>'Monthly Data'!AC75</f>
        <v>14088.199999999997</v>
      </c>
      <c r="AD27" s="111">
        <f>'Monthly Data'!AD75</f>
        <v>850461.9</v>
      </c>
      <c r="AE27" s="111">
        <f>'Monthly Data'!AE75</f>
        <v>847546</v>
      </c>
      <c r="AF27" s="111">
        <f>'Monthly Data'!AF75</f>
        <v>7668.9</v>
      </c>
      <c r="AG27" s="111">
        <f>'Monthly Data'!AG75</f>
        <v>7606.7</v>
      </c>
      <c r="AH27" s="111">
        <f>'Monthly Data'!AH75</f>
        <v>623.29999999999995</v>
      </c>
      <c r="AI27" s="111">
        <f>'Monthly Data'!AI75</f>
        <v>616.5</v>
      </c>
      <c r="AJ27" s="111">
        <f>'Monthly Data'!AJ75</f>
        <v>459.39999999999964</v>
      </c>
      <c r="AK27" s="111">
        <f>'Monthly Data'!AK75</f>
        <v>455.39999999999964</v>
      </c>
      <c r="AL27" s="111">
        <f>'Monthly Data'!AL75</f>
        <v>6.8999999999999773</v>
      </c>
      <c r="AM27" s="111">
        <f>'Monthly Data'!AM75</f>
        <v>5.6000000000000227</v>
      </c>
      <c r="AN27" s="111">
        <f>'Monthly Data'!AN75</f>
        <v>33196.400000000023</v>
      </c>
      <c r="AO27" s="111">
        <f>'Monthly Data'!AO75</f>
        <v>7147</v>
      </c>
      <c r="AP27" s="28">
        <f>'Monthly Data'!AP75</f>
        <v>-10.063095238095238</v>
      </c>
      <c r="AQ27" s="28">
        <f>'Monthly Data'!AQ75</f>
        <v>841.76666666666654</v>
      </c>
      <c r="AR27" s="28">
        <f>'Monthly Data'!AR75</f>
        <v>0</v>
      </c>
      <c r="AS27" s="28">
        <f>'Monthly Data'!AS75</f>
        <v>785.76666666666654</v>
      </c>
      <c r="AT27" s="28">
        <f>'Monthly Data'!AT75</f>
        <v>0</v>
      </c>
      <c r="AU27" s="28">
        <f>'Monthly Data'!AU75</f>
        <v>729.76666666666654</v>
      </c>
      <c r="AV27" s="28">
        <f>'Monthly Data'!AV75</f>
        <v>0</v>
      </c>
      <c r="AW27" s="28">
        <f>'Monthly Data'!AW75</f>
        <v>673.76666666666665</v>
      </c>
      <c r="AX27" s="28">
        <f>'Monthly Data'!AX75</f>
        <v>0</v>
      </c>
      <c r="AY27" s="28">
        <f>'Monthly Data'!AY75</f>
        <v>617.76666666666665</v>
      </c>
      <c r="AZ27" s="28">
        <f>'Monthly Data'!AZ75</f>
        <v>0</v>
      </c>
      <c r="BA27" s="28">
        <f>'Monthly Data'!BA75</f>
        <v>561.76666666666665</v>
      </c>
      <c r="BB27" s="28">
        <f>'Monthly Data'!BB75</f>
        <v>0</v>
      </c>
      <c r="BC27" s="28">
        <f>'Monthly Data'!BC75</f>
        <v>505.76666666666682</v>
      </c>
      <c r="BD27" s="28">
        <f>'Monthly Data'!BD75</f>
        <v>0</v>
      </c>
      <c r="BE27">
        <f>'Monthly Data'!BE75</f>
        <v>0</v>
      </c>
      <c r="BF27">
        <f>'Monthly Data'!BF75</f>
        <v>1</v>
      </c>
      <c r="BG27">
        <f>'Monthly Data'!BG75</f>
        <v>0</v>
      </c>
      <c r="BH27">
        <f>'Monthly Data'!BH75</f>
        <v>0</v>
      </c>
      <c r="BI27">
        <f>'Monthly Data'!BI75</f>
        <v>0</v>
      </c>
      <c r="BJ27">
        <f>'Monthly Data'!BJ75</f>
        <v>0</v>
      </c>
      <c r="BK27">
        <f>'Monthly Data'!BK75</f>
        <v>0</v>
      </c>
      <c r="BL27">
        <f>'Monthly Data'!BL75</f>
        <v>0</v>
      </c>
      <c r="BM27">
        <f>'Monthly Data'!BM75</f>
        <v>0</v>
      </c>
      <c r="BN27">
        <f>'Monthly Data'!BN75</f>
        <v>0</v>
      </c>
      <c r="BO27">
        <f>'Monthly Data'!BO75</f>
        <v>0</v>
      </c>
      <c r="BP27">
        <f>'Monthly Data'!BP75</f>
        <v>0</v>
      </c>
      <c r="BQ27" s="1">
        <f>'Monthly Data'!BQ75</f>
        <v>0</v>
      </c>
      <c r="BR27" s="1">
        <f>'Monthly Data'!BR75</f>
        <v>0</v>
      </c>
      <c r="BS27" s="1">
        <f>'Monthly Data'!BS75</f>
        <v>0</v>
      </c>
      <c r="BT27" s="1">
        <f>'Monthly Data'!BT75</f>
        <v>74</v>
      </c>
      <c r="BU27">
        <f>'Monthly Data'!BU75</f>
        <v>29</v>
      </c>
      <c r="BV27" s="1">
        <f>'Monthly Data'!BV75</f>
        <v>19</v>
      </c>
      <c r="BW27" s="1">
        <f>'Monthly Data'!BW75</f>
        <v>0.5</v>
      </c>
      <c r="BX27" s="1">
        <f>'Monthly Data'!BX75</f>
        <v>0.25</v>
      </c>
      <c r="BY27" s="1">
        <f>'Monthly Data'!BY75</f>
        <v>0.5</v>
      </c>
      <c r="BZ27" s="1">
        <f>'Monthly Data'!BZ75</f>
        <v>0</v>
      </c>
      <c r="CA27">
        <f>'Monthly Data'!CA75</f>
        <v>210.44166666666663</v>
      </c>
      <c r="CB27">
        <f>'Monthly Data'!CB75</f>
        <v>0</v>
      </c>
      <c r="CC27">
        <f>'Monthly Data'!CC75</f>
        <v>196.44166666666663</v>
      </c>
      <c r="CD27">
        <f>'Monthly Data'!CD75</f>
        <v>0</v>
      </c>
      <c r="CE27">
        <f>'Monthly Data'!CE75</f>
        <v>182.44166666666663</v>
      </c>
      <c r="CF27">
        <f>'Monthly Data'!CF75</f>
        <v>0</v>
      </c>
      <c r="CG27">
        <f>'Monthly Data'!CG75</f>
        <v>168.44166666666666</v>
      </c>
      <c r="CH27">
        <f>'Monthly Data'!CH75</f>
        <v>0</v>
      </c>
      <c r="CI27">
        <f>'Monthly Data'!CI75</f>
        <v>154.44166666666666</v>
      </c>
      <c r="CJ27">
        <f>'Monthly Data'!CJ75</f>
        <v>0</v>
      </c>
      <c r="CK27">
        <f>'Monthly Data'!CK75</f>
        <v>140.44166666666666</v>
      </c>
      <c r="CL27">
        <f>'Monthly Data'!CL75</f>
        <v>0</v>
      </c>
      <c r="CM27">
        <f>'Monthly Data'!CM75</f>
        <v>126.44166666666671</v>
      </c>
      <c r="CN27">
        <f>'Monthly Data'!CN75</f>
        <v>0</v>
      </c>
      <c r="CO27" s="14">
        <f>'Monthly Data'!CO75</f>
        <v>420.88333333333327</v>
      </c>
      <c r="CP27" s="14">
        <f>'Monthly Data'!CP75</f>
        <v>0</v>
      </c>
      <c r="CQ27" s="14">
        <f>'Monthly Data'!CQ75</f>
        <v>392.88333333333327</v>
      </c>
      <c r="CR27" s="14">
        <f>'Monthly Data'!CR75</f>
        <v>0</v>
      </c>
      <c r="CS27" s="14">
        <f>'Monthly Data'!CS75</f>
        <v>364.88333333333327</v>
      </c>
      <c r="CT27" s="14">
        <f>'Monthly Data'!CT75</f>
        <v>0</v>
      </c>
      <c r="CU27" s="14">
        <f>'Monthly Data'!CU75</f>
        <v>336.88333333333333</v>
      </c>
      <c r="CV27" s="14">
        <f>'Monthly Data'!CV75</f>
        <v>0</v>
      </c>
      <c r="CW27" s="14">
        <f>'Monthly Data'!CW75</f>
        <v>308.88333333333333</v>
      </c>
      <c r="CX27" s="14">
        <f>'Monthly Data'!CX75</f>
        <v>0</v>
      </c>
      <c r="CY27" s="14">
        <f>'Monthly Data'!CY75</f>
        <v>280.88333333333333</v>
      </c>
      <c r="CZ27" s="14">
        <f>'Monthly Data'!CZ75</f>
        <v>0</v>
      </c>
      <c r="DA27" s="14">
        <f>'Monthly Data'!DA75</f>
        <v>252.88333333333341</v>
      </c>
      <c r="DB27" s="14">
        <f>'Monthly Data'!DB75</f>
        <v>0</v>
      </c>
      <c r="DC27" s="72">
        <f>'Monthly Data'!DC75</f>
        <v>846.19276759760839</v>
      </c>
      <c r="DD27" s="72">
        <f>'Monthly Data'!DD75</f>
        <v>29.17906095164167</v>
      </c>
      <c r="DE27" s="71">
        <f>'Monthly Data'!DE75</f>
        <v>296079.93147630803</v>
      </c>
      <c r="DF27" s="72">
        <f>'Monthly Data'!DF75</f>
        <v>2389.2461263532596</v>
      </c>
      <c r="DG27" s="72">
        <f>'Monthly Data'!DG75</f>
        <v>82.387797460457222</v>
      </c>
      <c r="DH27" s="72">
        <f>'Monthly Data'!DH75</f>
        <v>105703.54414176662</v>
      </c>
      <c r="DI27" s="72">
        <f>'Monthly Data'!DI75</f>
        <v>45912.916475803075</v>
      </c>
      <c r="DJ27" s="72">
        <f>'Monthly Data'!DJ75</f>
        <v>1583.2040164070027</v>
      </c>
      <c r="DK27" s="72">
        <f>'Monthly Data'!DK75</f>
        <v>2416.4692882001618</v>
      </c>
      <c r="DL27" s="72">
        <f>'Monthly Data'!DL75</f>
        <v>224814.97032979436</v>
      </c>
      <c r="DM27" s="72">
        <f>'Monthly Data'!DM75</f>
        <v>343138.63892442296</v>
      </c>
    </row>
    <row r="28" spans="1:117">
      <c r="A28" s="93">
        <f>'Monthly Data'!A76</f>
        <v>44621</v>
      </c>
      <c r="B28" s="4">
        <f>'Monthly Data'!B76</f>
        <v>2022</v>
      </c>
      <c r="C28" s="4">
        <f>'Monthly Data'!C76</f>
        <v>3</v>
      </c>
      <c r="D28" s="56">
        <f>'Monthly Data'!D76</f>
        <v>7906665</v>
      </c>
      <c r="E28" s="56">
        <f>'Monthly Data'!E76</f>
        <v>163706.49692880551</v>
      </c>
      <c r="F28" s="56">
        <f>'Monthly Data'!F76</f>
        <v>8070371.4969288055</v>
      </c>
      <c r="G28" s="301">
        <f>'Monthly Data'!G76</f>
        <v>10148</v>
      </c>
      <c r="H28" s="56">
        <f>'Monthly Data'!H76</f>
        <v>2798112</v>
      </c>
      <c r="I28" s="56">
        <f>'Monthly Data'!I76</f>
        <v>192048.09069118521</v>
      </c>
      <c r="J28" s="56">
        <f>'Monthly Data'!J76</f>
        <v>2990160.0906911851</v>
      </c>
      <c r="K28" s="6">
        <f>'Monthly Data'!K76</f>
        <v>1281</v>
      </c>
      <c r="L28" s="5">
        <f>'Monthly Data'!L76</f>
        <v>5854399</v>
      </c>
      <c r="M28" s="2">
        <f>'Monthly Data'!M76</f>
        <v>175089.668294818</v>
      </c>
      <c r="N28" s="56">
        <f>'Monthly Data'!N76</f>
        <v>6029488.6682948181</v>
      </c>
      <c r="O28" s="5">
        <f>'Monthly Data'!O76</f>
        <v>16225.3</v>
      </c>
      <c r="P28" s="6">
        <f>'Monthly Data'!P76</f>
        <v>142</v>
      </c>
      <c r="Q28" s="5">
        <f>'Monthly Data'!Q76</f>
        <v>88166</v>
      </c>
      <c r="R28" s="5">
        <f>'Monthly Data'!R76</f>
        <v>235.2</v>
      </c>
      <c r="S28" s="6">
        <f>'Monthly Data'!S76</f>
        <v>2920</v>
      </c>
      <c r="T28" s="6">
        <f>'Monthly Data'!T76</f>
        <v>16008</v>
      </c>
      <c r="U28" s="6">
        <f>'Monthly Data'!U76</f>
        <v>44</v>
      </c>
      <c r="V28" s="6">
        <f>'Monthly Data'!V76</f>
        <v>177</v>
      </c>
      <c r="W28" s="5">
        <f>'Monthly Data'!W76</f>
        <v>49219</v>
      </c>
      <c r="X28" s="56">
        <f>'Monthly Data'!X76</f>
        <v>19</v>
      </c>
      <c r="Y28" s="56">
        <f>'Monthly Data'!Y76</f>
        <v>14180.8</v>
      </c>
      <c r="Z28" s="56">
        <f>'Monthly Data'!Z76</f>
        <v>2249.6</v>
      </c>
      <c r="AA28" s="56">
        <f>'Monthly Data'!AA76</f>
        <v>5840218.2000000002</v>
      </c>
      <c r="AB28" s="56">
        <f>'Monthly Data'!AB76</f>
        <v>6015307.8682948183</v>
      </c>
      <c r="AC28" s="56">
        <f>'Monthly Data'!AC76</f>
        <v>13975.699999999999</v>
      </c>
      <c r="AD28" s="111">
        <f>'Monthly Data'!AD76</f>
        <v>850461.9</v>
      </c>
      <c r="AE28" s="111">
        <f>'Monthly Data'!AE76</f>
        <v>847546</v>
      </c>
      <c r="AF28" s="111">
        <f>'Monthly Data'!AF76</f>
        <v>7681.1</v>
      </c>
      <c r="AG28" s="111">
        <f>'Monthly Data'!AG76</f>
        <v>7595.3</v>
      </c>
      <c r="AH28" s="111">
        <f>'Monthly Data'!AH76</f>
        <v>630.4</v>
      </c>
      <c r="AI28" s="111">
        <f>'Monthly Data'!AI76</f>
        <v>621.79999999999995</v>
      </c>
      <c r="AJ28" s="111">
        <f>'Monthly Data'!AJ76</f>
        <v>443.70000000000073</v>
      </c>
      <c r="AK28" s="111">
        <f>'Monthly Data'!AK76</f>
        <v>441.60000000000036</v>
      </c>
      <c r="AL28" s="111">
        <f>'Monthly Data'!AL76</f>
        <v>8.1000000000000227</v>
      </c>
      <c r="AM28" s="111">
        <f>'Monthly Data'!AM76</f>
        <v>6.1999999999999318</v>
      </c>
      <c r="AN28" s="111">
        <f>'Monthly Data'!AN76</f>
        <v>33196.400000000023</v>
      </c>
      <c r="AO28" s="111">
        <f>'Monthly Data'!AO76</f>
        <v>7147</v>
      </c>
      <c r="AP28" s="28">
        <f>'Monthly Data'!AP76</f>
        <v>-2.7309139784946237</v>
      </c>
      <c r="AQ28" s="28">
        <f>'Monthly Data'!AQ76</f>
        <v>704.6583333333333</v>
      </c>
      <c r="AR28" s="28">
        <f>'Monthly Data'!AR76</f>
        <v>0</v>
      </c>
      <c r="AS28" s="28">
        <f>'Monthly Data'!AS76</f>
        <v>642.6583333333333</v>
      </c>
      <c r="AT28" s="28">
        <f>'Monthly Data'!AT76</f>
        <v>0</v>
      </c>
      <c r="AU28" s="28">
        <f>'Monthly Data'!AU76</f>
        <v>580.65833333333342</v>
      </c>
      <c r="AV28" s="28">
        <f>'Monthly Data'!AV76</f>
        <v>0</v>
      </c>
      <c r="AW28" s="28">
        <f>'Monthly Data'!AW76</f>
        <v>518.65833333333342</v>
      </c>
      <c r="AX28" s="28">
        <f>'Monthly Data'!AX76</f>
        <v>0</v>
      </c>
      <c r="AY28" s="28">
        <f>'Monthly Data'!AY76</f>
        <v>456.65833333333342</v>
      </c>
      <c r="AZ28" s="28">
        <f>'Monthly Data'!AZ76</f>
        <v>0</v>
      </c>
      <c r="BA28" s="28">
        <f>'Monthly Data'!BA76</f>
        <v>394.65833333333342</v>
      </c>
      <c r="BB28" s="28">
        <f>'Monthly Data'!BB76</f>
        <v>0</v>
      </c>
      <c r="BC28" s="28">
        <f>'Monthly Data'!BC76</f>
        <v>332.65833333333342</v>
      </c>
      <c r="BD28" s="28">
        <f>'Monthly Data'!BD76</f>
        <v>0</v>
      </c>
      <c r="BE28">
        <f>'Monthly Data'!BE76</f>
        <v>0</v>
      </c>
      <c r="BF28">
        <f>'Monthly Data'!BF76</f>
        <v>0</v>
      </c>
      <c r="BG28">
        <f>'Monthly Data'!BG76</f>
        <v>1</v>
      </c>
      <c r="BH28">
        <f>'Monthly Data'!BH76</f>
        <v>0</v>
      </c>
      <c r="BI28">
        <f>'Monthly Data'!BI76</f>
        <v>0</v>
      </c>
      <c r="BJ28">
        <f>'Monthly Data'!BJ76</f>
        <v>0</v>
      </c>
      <c r="BK28">
        <f>'Monthly Data'!BK76</f>
        <v>0</v>
      </c>
      <c r="BL28">
        <f>'Monthly Data'!BL76</f>
        <v>0</v>
      </c>
      <c r="BM28">
        <f>'Monthly Data'!BM76</f>
        <v>0</v>
      </c>
      <c r="BN28">
        <f>'Monthly Data'!BN76</f>
        <v>0</v>
      </c>
      <c r="BO28">
        <f>'Monthly Data'!BO76</f>
        <v>0</v>
      </c>
      <c r="BP28">
        <f>'Monthly Data'!BP76</f>
        <v>0</v>
      </c>
      <c r="BQ28" s="1">
        <f>'Monthly Data'!BQ76</f>
        <v>1</v>
      </c>
      <c r="BR28" s="1">
        <f>'Monthly Data'!BR76</f>
        <v>0</v>
      </c>
      <c r="BS28" s="1">
        <f>'Monthly Data'!BS76</f>
        <v>1</v>
      </c>
      <c r="BT28" s="1">
        <f>'Monthly Data'!BT76</f>
        <v>75</v>
      </c>
      <c r="BU28">
        <f>'Monthly Data'!BU76</f>
        <v>31</v>
      </c>
      <c r="BV28" s="1">
        <f>'Monthly Data'!BV76</f>
        <v>22</v>
      </c>
      <c r="BW28" s="1">
        <f>'Monthly Data'!BW76</f>
        <v>0.5</v>
      </c>
      <c r="BX28" s="1">
        <f>'Monthly Data'!BX76</f>
        <v>0.25</v>
      </c>
      <c r="BY28" s="1">
        <f>'Monthly Data'!BY76</f>
        <v>0.5</v>
      </c>
      <c r="BZ28" s="1">
        <f>'Monthly Data'!BZ76</f>
        <v>0</v>
      </c>
      <c r="CA28">
        <f>'Monthly Data'!CA76</f>
        <v>176.16458333333333</v>
      </c>
      <c r="CB28">
        <f>'Monthly Data'!CB76</f>
        <v>0</v>
      </c>
      <c r="CC28">
        <f>'Monthly Data'!CC76</f>
        <v>160.66458333333333</v>
      </c>
      <c r="CD28">
        <f>'Monthly Data'!CD76</f>
        <v>0</v>
      </c>
      <c r="CE28">
        <f>'Monthly Data'!CE76</f>
        <v>145.16458333333335</v>
      </c>
      <c r="CF28">
        <f>'Monthly Data'!CF76</f>
        <v>0</v>
      </c>
      <c r="CG28">
        <f>'Monthly Data'!CG76</f>
        <v>129.66458333333335</v>
      </c>
      <c r="CH28">
        <f>'Monthly Data'!CH76</f>
        <v>0</v>
      </c>
      <c r="CI28">
        <f>'Monthly Data'!CI76</f>
        <v>114.16458333333335</v>
      </c>
      <c r="CJ28">
        <f>'Monthly Data'!CJ76</f>
        <v>0</v>
      </c>
      <c r="CK28">
        <f>'Monthly Data'!CK76</f>
        <v>98.664583333333354</v>
      </c>
      <c r="CL28">
        <f>'Monthly Data'!CL76</f>
        <v>0</v>
      </c>
      <c r="CM28">
        <f>'Monthly Data'!CM76</f>
        <v>83.164583333333354</v>
      </c>
      <c r="CN28">
        <f>'Monthly Data'!CN76</f>
        <v>0</v>
      </c>
      <c r="CO28" s="14">
        <f>'Monthly Data'!CO76</f>
        <v>352.32916666666665</v>
      </c>
      <c r="CP28" s="14">
        <f>'Monthly Data'!CP76</f>
        <v>0</v>
      </c>
      <c r="CQ28" s="14">
        <f>'Monthly Data'!CQ76</f>
        <v>321.32916666666665</v>
      </c>
      <c r="CR28" s="14">
        <f>'Monthly Data'!CR76</f>
        <v>0</v>
      </c>
      <c r="CS28" s="14">
        <f>'Monthly Data'!CS76</f>
        <v>290.32916666666671</v>
      </c>
      <c r="CT28" s="14">
        <f>'Monthly Data'!CT76</f>
        <v>0</v>
      </c>
      <c r="CU28" s="14">
        <f>'Monthly Data'!CU76</f>
        <v>259.32916666666671</v>
      </c>
      <c r="CV28" s="14">
        <f>'Monthly Data'!CV76</f>
        <v>0</v>
      </c>
      <c r="CW28" s="14">
        <f>'Monthly Data'!CW76</f>
        <v>228.32916666666671</v>
      </c>
      <c r="CX28" s="14">
        <f>'Monthly Data'!CX76</f>
        <v>0</v>
      </c>
      <c r="CY28" s="14">
        <f>'Monthly Data'!CY76</f>
        <v>197.32916666666671</v>
      </c>
      <c r="CZ28" s="14">
        <f>'Monthly Data'!CZ76</f>
        <v>0</v>
      </c>
      <c r="DA28" s="14">
        <f>'Monthly Data'!DA76</f>
        <v>166.32916666666671</v>
      </c>
      <c r="DB28" s="14">
        <f>'Monthly Data'!DB76</f>
        <v>0</v>
      </c>
      <c r="DC28" s="72">
        <f>'Monthly Data'!DC76</f>
        <v>795.26719520386337</v>
      </c>
      <c r="DD28" s="72">
        <f>'Monthly Data'!DD76</f>
        <v>25.653780490447204</v>
      </c>
      <c r="DE28" s="71">
        <f>'Monthly Data'!DE76</f>
        <v>260334.56441705825</v>
      </c>
      <c r="DF28" s="72">
        <f>'Monthly Data'!DF76</f>
        <v>2334.238946675398</v>
      </c>
      <c r="DG28" s="72">
        <f>'Monthly Data'!DG76</f>
        <v>75.298030537916063</v>
      </c>
      <c r="DH28" s="72">
        <f>'Monthly Data'!DH76</f>
        <v>96456.777119070481</v>
      </c>
      <c r="DI28" s="72">
        <f>'Monthly Data'!DI76</f>
        <v>42461.187804893088</v>
      </c>
      <c r="DJ28" s="72">
        <f>'Monthly Data'!DJ76</f>
        <v>1369.7157356417126</v>
      </c>
      <c r="DK28" s="72">
        <f>'Monthly Data'!DK76</f>
        <v>1930.0539911315041</v>
      </c>
      <c r="DL28" s="72">
        <f>'Monthly Data'!DL76</f>
        <v>194499.63446112318</v>
      </c>
      <c r="DM28" s="72">
        <f>'Monthly Data'!DM76</f>
        <v>274067.66674067354</v>
      </c>
    </row>
    <row r="29" spans="1:117">
      <c r="A29" s="93">
        <f>'Monthly Data'!A77</f>
        <v>44652</v>
      </c>
      <c r="B29" s="4">
        <f>'Monthly Data'!B77</f>
        <v>2022</v>
      </c>
      <c r="C29" s="4">
        <f>'Monthly Data'!C77</f>
        <v>4</v>
      </c>
      <c r="D29" s="56">
        <f>'Monthly Data'!D77</f>
        <v>6384594</v>
      </c>
      <c r="E29" s="56">
        <f>'Monthly Data'!E77</f>
        <v>163816.98104467877</v>
      </c>
      <c r="F29" s="56">
        <f>'Monthly Data'!F77</f>
        <v>6548410.9810446789</v>
      </c>
      <c r="G29" s="301">
        <f>'Monthly Data'!G77</f>
        <v>10144</v>
      </c>
      <c r="H29" s="56">
        <f>'Monthly Data'!H77</f>
        <v>2204226</v>
      </c>
      <c r="I29" s="56">
        <f>'Monthly Data'!I77</f>
        <v>194664.40127113866</v>
      </c>
      <c r="J29" s="56">
        <f>'Monthly Data'!J77</f>
        <v>2398890.4012711388</v>
      </c>
      <c r="K29" s="6">
        <f>'Monthly Data'!K77</f>
        <v>1277</v>
      </c>
      <c r="L29" s="5">
        <f>'Monthly Data'!L77</f>
        <v>5065990</v>
      </c>
      <c r="M29" s="2">
        <f>'Monthly Data'!M77</f>
        <v>177880.19702559998</v>
      </c>
      <c r="N29" s="56">
        <f>'Monthly Data'!N77</f>
        <v>5243870.1970255999</v>
      </c>
      <c r="O29" s="5">
        <f>'Monthly Data'!O77</f>
        <v>16492.8</v>
      </c>
      <c r="P29" s="6">
        <f>'Monthly Data'!P77</f>
        <v>143</v>
      </c>
      <c r="Q29" s="5">
        <f>'Monthly Data'!Q77</f>
        <v>74448</v>
      </c>
      <c r="R29" s="5">
        <f>'Monthly Data'!R77</f>
        <v>235.2</v>
      </c>
      <c r="S29" s="6">
        <f>'Monthly Data'!S77</f>
        <v>2920</v>
      </c>
      <c r="T29" s="6">
        <f>'Monthly Data'!T77</f>
        <v>15934</v>
      </c>
      <c r="U29" s="6">
        <f>'Monthly Data'!U77</f>
        <v>44.199999999999996</v>
      </c>
      <c r="V29" s="6">
        <f>'Monthly Data'!V77</f>
        <v>177</v>
      </c>
      <c r="W29" s="5">
        <f>'Monthly Data'!W77</f>
        <v>48295</v>
      </c>
      <c r="X29" s="56">
        <f>'Monthly Data'!X77</f>
        <v>19</v>
      </c>
      <c r="Y29" s="56">
        <f>'Monthly Data'!Y77</f>
        <v>869.6</v>
      </c>
      <c r="Z29" s="56">
        <f>'Monthly Data'!Z77</f>
        <v>2185.6</v>
      </c>
      <c r="AA29" s="56">
        <f>'Monthly Data'!AA77</f>
        <v>5065120.4000000004</v>
      </c>
      <c r="AB29" s="56">
        <f>'Monthly Data'!AB77</f>
        <v>5243000.5970256003</v>
      </c>
      <c r="AC29" s="56">
        <f>'Monthly Data'!AC77</f>
        <v>14307.199999999999</v>
      </c>
      <c r="AD29" s="111">
        <f>'Monthly Data'!AD77</f>
        <v>850461.9</v>
      </c>
      <c r="AE29" s="111">
        <f>'Monthly Data'!AE77</f>
        <v>854755</v>
      </c>
      <c r="AF29" s="111">
        <f>'Monthly Data'!AF77</f>
        <v>7758.4</v>
      </c>
      <c r="AG29" s="111">
        <f>'Monthly Data'!AG77</f>
        <v>7694.2</v>
      </c>
      <c r="AH29" s="111">
        <f>'Monthly Data'!AH77</f>
        <v>641.1</v>
      </c>
      <c r="AI29" s="111">
        <f>'Monthly Data'!AI77</f>
        <v>636.79999999999995</v>
      </c>
      <c r="AJ29" s="111">
        <f>'Monthly Data'!AJ77</f>
        <v>482.29999999999927</v>
      </c>
      <c r="AK29" s="111">
        <f>'Monthly Data'!AK77</f>
        <v>481</v>
      </c>
      <c r="AL29" s="111">
        <f>'Monthly Data'!AL77</f>
        <v>15.399999999999977</v>
      </c>
      <c r="AM29" s="111">
        <f>'Monthly Data'!AM77</f>
        <v>13.099999999999909</v>
      </c>
      <c r="AN29" s="111">
        <f>'Monthly Data'!AN77</f>
        <v>33196.400000000023</v>
      </c>
      <c r="AO29" s="111">
        <f>'Monthly Data'!AO77</f>
        <v>7209</v>
      </c>
      <c r="AP29" s="28">
        <f>'Monthly Data'!AP77</f>
        <v>4.6259722222222219</v>
      </c>
      <c r="AQ29" s="28">
        <f>'Monthly Data'!AQ77</f>
        <v>461.22083333333347</v>
      </c>
      <c r="AR29" s="28">
        <f>'Monthly Data'!AR77</f>
        <v>0</v>
      </c>
      <c r="AS29" s="28">
        <f>'Monthly Data'!AS77</f>
        <v>401.22083333333353</v>
      </c>
      <c r="AT29" s="28">
        <f>'Monthly Data'!AT77</f>
        <v>0</v>
      </c>
      <c r="AU29" s="28">
        <f>'Monthly Data'!AU77</f>
        <v>341.22083333333347</v>
      </c>
      <c r="AV29" s="28">
        <f>'Monthly Data'!AV77</f>
        <v>0</v>
      </c>
      <c r="AW29" s="28">
        <f>'Monthly Data'!AW77</f>
        <v>281.2208333333333</v>
      </c>
      <c r="AX29" s="28">
        <f>'Monthly Data'!AX77</f>
        <v>0</v>
      </c>
      <c r="AY29" s="28">
        <f>'Monthly Data'!AY77</f>
        <v>221.2208333333333</v>
      </c>
      <c r="AZ29" s="28">
        <f>'Monthly Data'!AZ77</f>
        <v>0</v>
      </c>
      <c r="BA29" s="28">
        <f>'Monthly Data'!BA77</f>
        <v>161.82499999999999</v>
      </c>
      <c r="BB29" s="28">
        <f>'Monthly Data'!BB77</f>
        <v>0.60416666666666607</v>
      </c>
      <c r="BC29" s="28">
        <f>'Monthly Data'!BC77</f>
        <v>105.36666666666665</v>
      </c>
      <c r="BD29" s="28">
        <f>'Monthly Data'!BD77</f>
        <v>4.1458333333333339</v>
      </c>
      <c r="BE29">
        <f>'Monthly Data'!BE77</f>
        <v>0</v>
      </c>
      <c r="BF29">
        <f>'Monthly Data'!BF77</f>
        <v>0</v>
      </c>
      <c r="BG29">
        <f>'Monthly Data'!BG77</f>
        <v>0</v>
      </c>
      <c r="BH29">
        <f>'Monthly Data'!BH77</f>
        <v>1</v>
      </c>
      <c r="BI29">
        <f>'Monthly Data'!BI77</f>
        <v>0</v>
      </c>
      <c r="BJ29">
        <f>'Monthly Data'!BJ77</f>
        <v>0</v>
      </c>
      <c r="BK29">
        <f>'Monthly Data'!BK77</f>
        <v>0</v>
      </c>
      <c r="BL29">
        <f>'Monthly Data'!BL77</f>
        <v>0</v>
      </c>
      <c r="BM29">
        <f>'Monthly Data'!BM77</f>
        <v>0</v>
      </c>
      <c r="BN29">
        <f>'Monthly Data'!BN77</f>
        <v>0</v>
      </c>
      <c r="BO29">
        <f>'Monthly Data'!BO77</f>
        <v>0</v>
      </c>
      <c r="BP29">
        <f>'Monthly Data'!BP77</f>
        <v>0</v>
      </c>
      <c r="BQ29" s="1">
        <f>'Monthly Data'!BQ77</f>
        <v>1</v>
      </c>
      <c r="BR29" s="1">
        <f>'Monthly Data'!BR77</f>
        <v>0</v>
      </c>
      <c r="BS29" s="1">
        <f>'Monthly Data'!BS77</f>
        <v>1</v>
      </c>
      <c r="BT29" s="1">
        <f>'Monthly Data'!BT77</f>
        <v>76</v>
      </c>
      <c r="BU29">
        <f>'Monthly Data'!BU77</f>
        <v>30</v>
      </c>
      <c r="BV29" s="1">
        <f>'Monthly Data'!BV77</f>
        <v>21</v>
      </c>
      <c r="BW29" s="1">
        <f>'Monthly Data'!BW77</f>
        <v>0.5</v>
      </c>
      <c r="BX29" s="1">
        <f>'Monthly Data'!BX77</f>
        <v>0.25</v>
      </c>
      <c r="BY29" s="1">
        <f>'Monthly Data'!BY77</f>
        <v>0.5</v>
      </c>
      <c r="BZ29" s="1">
        <f>'Monthly Data'!BZ77</f>
        <v>0</v>
      </c>
      <c r="CA29">
        <f>'Monthly Data'!CA77</f>
        <v>115.30520833333337</v>
      </c>
      <c r="CB29">
        <f>'Monthly Data'!CB77</f>
        <v>0</v>
      </c>
      <c r="CC29">
        <f>'Monthly Data'!CC77</f>
        <v>100.30520833333338</v>
      </c>
      <c r="CD29">
        <f>'Monthly Data'!CD77</f>
        <v>0</v>
      </c>
      <c r="CE29">
        <f>'Monthly Data'!CE77</f>
        <v>85.305208333333368</v>
      </c>
      <c r="CF29">
        <f>'Monthly Data'!CF77</f>
        <v>0</v>
      </c>
      <c r="CG29">
        <f>'Monthly Data'!CG77</f>
        <v>70.305208333333326</v>
      </c>
      <c r="CH29">
        <f>'Monthly Data'!CH77</f>
        <v>0</v>
      </c>
      <c r="CI29">
        <f>'Monthly Data'!CI77</f>
        <v>55.305208333333326</v>
      </c>
      <c r="CJ29">
        <f>'Monthly Data'!CJ77</f>
        <v>0</v>
      </c>
      <c r="CK29">
        <f>'Monthly Data'!CK77</f>
        <v>40.456249999999997</v>
      </c>
      <c r="CL29">
        <f>'Monthly Data'!CL77</f>
        <v>0.15104166666666652</v>
      </c>
      <c r="CM29">
        <f>'Monthly Data'!CM77</f>
        <v>26.341666666666661</v>
      </c>
      <c r="CN29">
        <f>'Monthly Data'!CN77</f>
        <v>1.0364583333333335</v>
      </c>
      <c r="CO29" s="14">
        <f>'Monthly Data'!CO77</f>
        <v>230.61041666666674</v>
      </c>
      <c r="CP29" s="14">
        <f>'Monthly Data'!CP77</f>
        <v>0</v>
      </c>
      <c r="CQ29" s="14">
        <f>'Monthly Data'!CQ77</f>
        <v>200.61041666666677</v>
      </c>
      <c r="CR29" s="14">
        <f>'Monthly Data'!CR77</f>
        <v>0</v>
      </c>
      <c r="CS29" s="14">
        <f>'Monthly Data'!CS77</f>
        <v>170.61041666666674</v>
      </c>
      <c r="CT29" s="14">
        <f>'Monthly Data'!CT77</f>
        <v>0</v>
      </c>
      <c r="CU29" s="14">
        <f>'Monthly Data'!CU77</f>
        <v>140.61041666666665</v>
      </c>
      <c r="CV29" s="14">
        <f>'Monthly Data'!CV77</f>
        <v>0</v>
      </c>
      <c r="CW29" s="14">
        <f>'Monthly Data'!CW77</f>
        <v>110.61041666666665</v>
      </c>
      <c r="CX29" s="14">
        <f>'Monthly Data'!CX77</f>
        <v>0</v>
      </c>
      <c r="CY29" s="14">
        <f>'Monthly Data'!CY77</f>
        <v>80.912499999999994</v>
      </c>
      <c r="CZ29" s="14">
        <f>'Monthly Data'!CZ77</f>
        <v>0.30208333333333304</v>
      </c>
      <c r="DA29" s="14">
        <f>'Monthly Data'!DA77</f>
        <v>52.683333333333323</v>
      </c>
      <c r="DB29" s="14">
        <f>'Monthly Data'!DB77</f>
        <v>2.072916666666667</v>
      </c>
      <c r="DC29" s="72">
        <f>'Monthly Data'!DC77</f>
        <v>645.54524655408898</v>
      </c>
      <c r="DD29" s="72">
        <f>'Monthly Data'!DD77</f>
        <v>21.5181748851363</v>
      </c>
      <c r="DE29" s="71">
        <f>'Monthly Data'!DE77</f>
        <v>218280.36603482263</v>
      </c>
      <c r="DF29" s="72">
        <f>'Monthly Data'!DF77</f>
        <v>1878.5359446132645</v>
      </c>
      <c r="DG29" s="72">
        <f>'Monthly Data'!DG77</f>
        <v>62.617864820442151</v>
      </c>
      <c r="DH29" s="72">
        <f>'Monthly Data'!DH77</f>
        <v>79963.013375704628</v>
      </c>
      <c r="DI29" s="72">
        <f>'Monthly Data'!DI77</f>
        <v>36670.420958220981</v>
      </c>
      <c r="DJ29" s="72">
        <f>'Monthly Data'!DJ77</f>
        <v>1222.3473652740327</v>
      </c>
      <c r="DK29" s="72">
        <f>'Monthly Data'!DK77</f>
        <v>1746.2105218200468</v>
      </c>
      <c r="DL29" s="72">
        <f>'Monthly Data'!DL77</f>
        <v>174795.67323418666</v>
      </c>
      <c r="DM29" s="72">
        <f>'Monthly Data'!DM77</f>
        <v>249708.10462026665</v>
      </c>
    </row>
    <row r="30" spans="1:117">
      <c r="A30" s="93">
        <f>'Monthly Data'!A78</f>
        <v>44682</v>
      </c>
      <c r="B30" s="4">
        <f>'Monthly Data'!B78</f>
        <v>2022</v>
      </c>
      <c r="C30" s="4">
        <f>'Monthly Data'!C78</f>
        <v>5</v>
      </c>
      <c r="D30" s="56">
        <f>'Monthly Data'!D78</f>
        <v>5916567</v>
      </c>
      <c r="E30" s="56">
        <f>'Monthly Data'!E78</f>
        <v>163927.46516055203</v>
      </c>
      <c r="F30" s="56">
        <f>'Monthly Data'!F78</f>
        <v>6080494.4651605524</v>
      </c>
      <c r="G30" s="301">
        <f>'Monthly Data'!G78</f>
        <v>10146</v>
      </c>
      <c r="H30" s="56">
        <f>'Monthly Data'!H78</f>
        <v>1995213</v>
      </c>
      <c r="I30" s="56">
        <f>'Monthly Data'!I78</f>
        <v>197280.71185109211</v>
      </c>
      <c r="J30" s="56">
        <f>'Monthly Data'!J78</f>
        <v>2192493.7118510921</v>
      </c>
      <c r="K30" s="6">
        <f>'Monthly Data'!K78</f>
        <v>1274</v>
      </c>
      <c r="L30" s="5">
        <f>'Monthly Data'!L78</f>
        <v>5103265</v>
      </c>
      <c r="M30" s="2">
        <f>'Monthly Data'!M78</f>
        <v>180670.72575638193</v>
      </c>
      <c r="N30" s="56">
        <f>'Monthly Data'!N78</f>
        <v>5283935.7257563816</v>
      </c>
      <c r="O30" s="5">
        <f>'Monthly Data'!O78</f>
        <v>17498.8</v>
      </c>
      <c r="P30" s="6">
        <f>'Monthly Data'!P78</f>
        <v>143</v>
      </c>
      <c r="Q30" s="5">
        <f>'Monthly Data'!Q78</f>
        <v>67648</v>
      </c>
      <c r="R30" s="5">
        <f>'Monthly Data'!R78</f>
        <v>235.2</v>
      </c>
      <c r="S30" s="6">
        <f>'Monthly Data'!S78</f>
        <v>2920</v>
      </c>
      <c r="T30" s="6">
        <f>'Monthly Data'!T78</f>
        <v>15964</v>
      </c>
      <c r="U30" s="6">
        <f>'Monthly Data'!U78</f>
        <v>37</v>
      </c>
      <c r="V30" s="6">
        <f>'Monthly Data'!V78</f>
        <v>177</v>
      </c>
      <c r="W30" s="5">
        <f>'Monthly Data'!W78</f>
        <v>49303</v>
      </c>
      <c r="X30" s="56">
        <f>'Monthly Data'!X78</f>
        <v>19</v>
      </c>
      <c r="Y30" s="56">
        <f>'Monthly Data'!Y78</f>
        <v>4842.3999999999996</v>
      </c>
      <c r="Z30" s="56">
        <f>'Monthly Data'!Z78</f>
        <v>3094.4</v>
      </c>
      <c r="AA30" s="56">
        <f>'Monthly Data'!AA78</f>
        <v>5098422.5999999996</v>
      </c>
      <c r="AB30" s="56">
        <f>'Monthly Data'!AB78</f>
        <v>5279093.3257563813</v>
      </c>
      <c r="AC30" s="56">
        <f>'Monthly Data'!AC78</f>
        <v>14404.4</v>
      </c>
      <c r="AD30" s="111">
        <f>'Monthly Data'!AD78</f>
        <v>850461.9</v>
      </c>
      <c r="AE30" s="111">
        <f>'Monthly Data'!AE78</f>
        <v>854755</v>
      </c>
      <c r="AF30" s="111">
        <f>'Monthly Data'!AF78</f>
        <v>7776.1</v>
      </c>
      <c r="AG30" s="111">
        <f>'Monthly Data'!AG78</f>
        <v>7765</v>
      </c>
      <c r="AH30" s="111">
        <f>'Monthly Data'!AH78</f>
        <v>647.20000000000005</v>
      </c>
      <c r="AI30" s="111">
        <f>'Monthly Data'!AI78</f>
        <v>647.5</v>
      </c>
      <c r="AJ30" s="111">
        <f>'Monthly Data'!AJ78</f>
        <v>510.40000000000055</v>
      </c>
      <c r="AK30" s="111">
        <f>'Monthly Data'!AK78</f>
        <v>517.69999999999982</v>
      </c>
      <c r="AL30" s="111">
        <f>'Monthly Data'!AL78</f>
        <v>21.100000000000023</v>
      </c>
      <c r="AM30" s="111">
        <f>'Monthly Data'!AM78</f>
        <v>22.399999999999977</v>
      </c>
      <c r="AN30" s="111">
        <f>'Monthly Data'!AN78</f>
        <v>33196.400000000023</v>
      </c>
      <c r="AO30" s="111">
        <f>'Monthly Data'!AO78</f>
        <v>7209</v>
      </c>
      <c r="AP30" s="28">
        <f>'Monthly Data'!AP78</f>
        <v>14.666129032258066</v>
      </c>
      <c r="AQ30" s="28">
        <f>'Monthly Data'!AQ78</f>
        <v>173.55833333333337</v>
      </c>
      <c r="AR30" s="28">
        <f>'Monthly Data'!AR78</f>
        <v>8.2083333333333321</v>
      </c>
      <c r="AS30" s="28">
        <f>'Monthly Data'!AS78</f>
        <v>126.58749999999998</v>
      </c>
      <c r="AT30" s="28">
        <f>'Monthly Data'!AT78</f>
        <v>23.237499999999986</v>
      </c>
      <c r="AU30" s="28">
        <f>'Monthly Data'!AU78</f>
        <v>87.67083333333332</v>
      </c>
      <c r="AV30" s="28">
        <f>'Monthly Data'!AV78</f>
        <v>46.320833333333297</v>
      </c>
      <c r="AW30" s="28">
        <f>'Monthly Data'!AW78</f>
        <v>53.670833333333341</v>
      </c>
      <c r="AX30" s="28">
        <f>'Monthly Data'!AX78</f>
        <v>74.320833333333297</v>
      </c>
      <c r="AY30" s="28">
        <f>'Monthly Data'!AY78</f>
        <v>22.608333333333334</v>
      </c>
      <c r="AZ30" s="28">
        <f>'Monthly Data'!AZ78</f>
        <v>105.25833333333331</v>
      </c>
      <c r="BA30" s="28">
        <f>'Monthly Data'!BA78</f>
        <v>2.8875000000000028</v>
      </c>
      <c r="BB30" s="28">
        <f>'Monthly Data'!BB78</f>
        <v>147.53749999999999</v>
      </c>
      <c r="BC30" s="28">
        <f>'Monthly Data'!BC78</f>
        <v>0</v>
      </c>
      <c r="BD30" s="28">
        <f>'Monthly Data'!BD78</f>
        <v>206.64999999999995</v>
      </c>
      <c r="BE30">
        <f>'Monthly Data'!BE78</f>
        <v>0</v>
      </c>
      <c r="BF30">
        <f>'Monthly Data'!BF78</f>
        <v>0</v>
      </c>
      <c r="BG30">
        <f>'Monthly Data'!BG78</f>
        <v>0</v>
      </c>
      <c r="BH30">
        <f>'Monthly Data'!BH78</f>
        <v>0</v>
      </c>
      <c r="BI30">
        <f>'Monthly Data'!BI78</f>
        <v>1</v>
      </c>
      <c r="BJ30">
        <f>'Monthly Data'!BJ78</f>
        <v>0</v>
      </c>
      <c r="BK30">
        <f>'Monthly Data'!BK78</f>
        <v>0</v>
      </c>
      <c r="BL30">
        <f>'Monthly Data'!BL78</f>
        <v>0</v>
      </c>
      <c r="BM30">
        <f>'Monthly Data'!BM78</f>
        <v>0</v>
      </c>
      <c r="BN30">
        <f>'Monthly Data'!BN78</f>
        <v>0</v>
      </c>
      <c r="BO30">
        <f>'Monthly Data'!BO78</f>
        <v>0</v>
      </c>
      <c r="BP30">
        <f>'Monthly Data'!BP78</f>
        <v>0</v>
      </c>
      <c r="BQ30" s="1">
        <f>'Monthly Data'!BQ78</f>
        <v>1</v>
      </c>
      <c r="BR30" s="1">
        <f>'Monthly Data'!BR78</f>
        <v>0</v>
      </c>
      <c r="BS30" s="1">
        <f>'Monthly Data'!BS78</f>
        <v>1</v>
      </c>
      <c r="BT30" s="1">
        <f>'Monthly Data'!BT78</f>
        <v>77</v>
      </c>
      <c r="BU30">
        <f>'Monthly Data'!BU78</f>
        <v>31</v>
      </c>
      <c r="BV30" s="1">
        <f>'Monthly Data'!BV78</f>
        <v>20</v>
      </c>
      <c r="BW30" s="1">
        <f>'Monthly Data'!BW78</f>
        <v>0.5</v>
      </c>
      <c r="BX30" s="1">
        <f>'Monthly Data'!BX78</f>
        <v>0.25</v>
      </c>
      <c r="BY30" s="1">
        <f>'Monthly Data'!BY78</f>
        <v>0.5</v>
      </c>
      <c r="BZ30" s="1">
        <f>'Monthly Data'!BZ78</f>
        <v>0</v>
      </c>
      <c r="CA30">
        <f>'Monthly Data'!CA78</f>
        <v>43.389583333333341</v>
      </c>
      <c r="CB30">
        <f>'Monthly Data'!CB78</f>
        <v>2.052083333333333</v>
      </c>
      <c r="CC30">
        <f>'Monthly Data'!CC78</f>
        <v>31.646874999999994</v>
      </c>
      <c r="CD30">
        <f>'Monthly Data'!CD78</f>
        <v>5.8093749999999966</v>
      </c>
      <c r="CE30">
        <f>'Monthly Data'!CE78</f>
        <v>21.91770833333333</v>
      </c>
      <c r="CF30">
        <f>'Monthly Data'!CF78</f>
        <v>11.580208333333324</v>
      </c>
      <c r="CG30">
        <f>'Monthly Data'!CG78</f>
        <v>13.417708333333335</v>
      </c>
      <c r="CH30">
        <f>'Monthly Data'!CH78</f>
        <v>18.580208333333324</v>
      </c>
      <c r="CI30">
        <f>'Monthly Data'!CI78</f>
        <v>5.6520833333333336</v>
      </c>
      <c r="CJ30">
        <f>'Monthly Data'!CJ78</f>
        <v>26.314583333333328</v>
      </c>
      <c r="CK30">
        <f>'Monthly Data'!CK78</f>
        <v>0.72187500000000071</v>
      </c>
      <c r="CL30">
        <f>'Monthly Data'!CL78</f>
        <v>36.884374999999999</v>
      </c>
      <c r="CM30">
        <f>'Monthly Data'!CM78</f>
        <v>0</v>
      </c>
      <c r="CN30">
        <f>'Monthly Data'!CN78</f>
        <v>51.662499999999987</v>
      </c>
      <c r="CO30" s="14">
        <f>'Monthly Data'!CO78</f>
        <v>86.779166666666683</v>
      </c>
      <c r="CP30" s="14">
        <f>'Monthly Data'!CP78</f>
        <v>4.1041666666666661</v>
      </c>
      <c r="CQ30" s="14">
        <f>'Monthly Data'!CQ78</f>
        <v>63.293749999999989</v>
      </c>
      <c r="CR30" s="14">
        <f>'Monthly Data'!CR78</f>
        <v>11.618749999999993</v>
      </c>
      <c r="CS30" s="14">
        <f>'Monthly Data'!CS78</f>
        <v>43.83541666666666</v>
      </c>
      <c r="CT30" s="14">
        <f>'Monthly Data'!CT78</f>
        <v>23.160416666666649</v>
      </c>
      <c r="CU30" s="14">
        <f>'Monthly Data'!CU78</f>
        <v>26.835416666666671</v>
      </c>
      <c r="CV30" s="14">
        <f>'Monthly Data'!CV78</f>
        <v>37.160416666666649</v>
      </c>
      <c r="CW30" s="14">
        <f>'Monthly Data'!CW78</f>
        <v>11.304166666666667</v>
      </c>
      <c r="CX30" s="14">
        <f>'Monthly Data'!CX78</f>
        <v>52.629166666666656</v>
      </c>
      <c r="CY30" s="14">
        <f>'Monthly Data'!CY78</f>
        <v>1.4437500000000014</v>
      </c>
      <c r="CZ30" s="14">
        <f>'Monthly Data'!CZ78</f>
        <v>73.768749999999997</v>
      </c>
      <c r="DA30" s="14">
        <f>'Monthly Data'!DA78</f>
        <v>0</v>
      </c>
      <c r="DB30" s="14">
        <f>'Monthly Data'!DB78</f>
        <v>103.32499999999997</v>
      </c>
      <c r="DC30" s="72">
        <f>'Monthly Data'!DC78</f>
        <v>599.2996713148583</v>
      </c>
      <c r="DD30" s="72">
        <f>'Monthly Data'!DD78</f>
        <v>19.332247461769622</v>
      </c>
      <c r="DE30" s="71">
        <f>'Monthly Data'!DE78</f>
        <v>196144.98274711458</v>
      </c>
      <c r="DF30" s="72">
        <f>'Monthly Data'!DF78</f>
        <v>1720.9526780620818</v>
      </c>
      <c r="DG30" s="72">
        <f>'Monthly Data'!DG78</f>
        <v>55.514602518131667</v>
      </c>
      <c r="DH30" s="72">
        <f>'Monthly Data'!DH78</f>
        <v>70725.603608099744</v>
      </c>
      <c r="DI30" s="72">
        <f>'Monthly Data'!DI78</f>
        <v>36950.599480813857</v>
      </c>
      <c r="DJ30" s="72">
        <f>'Monthly Data'!DJ78</f>
        <v>1191.9548219617373</v>
      </c>
      <c r="DK30" s="72">
        <f>'Monthly Data'!DK78</f>
        <v>1847.5299740406929</v>
      </c>
      <c r="DL30" s="72">
        <f>'Monthly Data'!DL78</f>
        <v>170449.53954052844</v>
      </c>
      <c r="DM30" s="72">
        <f>'Monthly Data'!DM78</f>
        <v>264196.78628781909</v>
      </c>
    </row>
    <row r="31" spans="1:117">
      <c r="A31" s="93">
        <f>'Monthly Data'!A79</f>
        <v>44713</v>
      </c>
      <c r="B31" s="4">
        <f>'Monthly Data'!B79</f>
        <v>2022</v>
      </c>
      <c r="C31" s="4">
        <f>'Monthly Data'!C79</f>
        <v>6</v>
      </c>
      <c r="D31" s="56">
        <f>'Monthly Data'!D79</f>
        <v>6146052</v>
      </c>
      <c r="E31" s="56">
        <f>'Monthly Data'!E79</f>
        <v>164037.94927642529</v>
      </c>
      <c r="F31" s="56">
        <f>'Monthly Data'!F79</f>
        <v>6310089.9492764249</v>
      </c>
      <c r="G31" s="301">
        <f>'Monthly Data'!G79</f>
        <v>10146</v>
      </c>
      <c r="H31" s="56">
        <f>'Monthly Data'!H79</f>
        <v>2054424</v>
      </c>
      <c r="I31" s="56">
        <f>'Monthly Data'!I79</f>
        <v>199897.02243104557</v>
      </c>
      <c r="J31" s="56">
        <f>'Monthly Data'!J79</f>
        <v>2254321.0224310458</v>
      </c>
      <c r="K31" s="6">
        <f>'Monthly Data'!K79</f>
        <v>1276</v>
      </c>
      <c r="L31" s="5">
        <f>'Monthly Data'!L79</f>
        <v>5086755</v>
      </c>
      <c r="M31" s="2">
        <f>'Monthly Data'!M79</f>
        <v>183461.25448716388</v>
      </c>
      <c r="N31" s="56">
        <f>'Monthly Data'!N79</f>
        <v>5270216.2544871643</v>
      </c>
      <c r="O31" s="5">
        <f>'Monthly Data'!O79</f>
        <v>15669.89796009227</v>
      </c>
      <c r="P31" s="6">
        <f>'Monthly Data'!P79</f>
        <v>143</v>
      </c>
      <c r="Q31" s="5">
        <f>'Monthly Data'!Q79</f>
        <v>60965</v>
      </c>
      <c r="R31" s="5">
        <f>'Monthly Data'!R79</f>
        <v>235.2</v>
      </c>
      <c r="S31" s="6">
        <f>'Monthly Data'!S79</f>
        <v>2920</v>
      </c>
      <c r="T31" s="6">
        <f>'Monthly Data'!T79</f>
        <v>18402</v>
      </c>
      <c r="U31" s="6">
        <f>'Monthly Data'!U79</f>
        <v>51.100000000000009</v>
      </c>
      <c r="V31" s="6">
        <f>'Monthly Data'!V79</f>
        <v>177</v>
      </c>
      <c r="W31" s="5">
        <f>'Monthly Data'!W79</f>
        <v>47749</v>
      </c>
      <c r="X31" s="56">
        <f>'Monthly Data'!X79</f>
        <v>19</v>
      </c>
      <c r="Y31" s="56">
        <f>'Monthly Data'!Y79</f>
        <v>557.6</v>
      </c>
      <c r="Z31" s="56">
        <f>'Monthly Data'!Z79</f>
        <v>2230.4</v>
      </c>
      <c r="AA31" s="56">
        <f>'Monthly Data'!AA79</f>
        <v>5086197.4000000004</v>
      </c>
      <c r="AB31" s="56">
        <f>'Monthly Data'!AB79</f>
        <v>5269658.6544871647</v>
      </c>
      <c r="AC31" s="56">
        <f>'Monthly Data'!AC79</f>
        <v>13439.497960092271</v>
      </c>
      <c r="AD31" s="111">
        <f>'Monthly Data'!AD79</f>
        <v>850461.9</v>
      </c>
      <c r="AE31" s="111">
        <f>'Monthly Data'!AE79</f>
        <v>854755</v>
      </c>
      <c r="AF31" s="111">
        <f>'Monthly Data'!AF79</f>
        <v>7782.8</v>
      </c>
      <c r="AG31" s="111">
        <f>'Monthly Data'!AG79</f>
        <v>7838.7</v>
      </c>
      <c r="AH31" s="111">
        <f>'Monthly Data'!AH79</f>
        <v>643.20000000000005</v>
      </c>
      <c r="AI31" s="111">
        <f>'Monthly Data'!AI79</f>
        <v>650.29999999999995</v>
      </c>
      <c r="AJ31" s="111">
        <f>'Monthly Data'!AJ79</f>
        <v>532.80000000000018</v>
      </c>
      <c r="AK31" s="111">
        <f>'Monthly Data'!AK79</f>
        <v>542.89999999999964</v>
      </c>
      <c r="AL31" s="111">
        <f>'Monthly Data'!AL79</f>
        <v>15</v>
      </c>
      <c r="AM31" s="111">
        <f>'Monthly Data'!AM79</f>
        <v>17.699999999999932</v>
      </c>
      <c r="AN31" s="111">
        <f>'Monthly Data'!AN79</f>
        <v>33196.400000000023</v>
      </c>
      <c r="AO31" s="111">
        <f>'Monthly Data'!AO79</f>
        <v>7209</v>
      </c>
      <c r="AP31" s="28">
        <f>'Monthly Data'!AP79</f>
        <v>17.072916666666668</v>
      </c>
      <c r="AQ31" s="28">
        <f>'Monthly Data'!AQ79</f>
        <v>101.1375</v>
      </c>
      <c r="AR31" s="28">
        <f>'Monthly Data'!AR79</f>
        <v>13.324999999999996</v>
      </c>
      <c r="AS31" s="28">
        <f>'Monthly Data'!AS79</f>
        <v>54.516666666666666</v>
      </c>
      <c r="AT31" s="28">
        <f>'Monthly Data'!AT79</f>
        <v>26.704166666666662</v>
      </c>
      <c r="AU31" s="28">
        <f>'Monthly Data'!AU79</f>
        <v>20.395833333333325</v>
      </c>
      <c r="AV31" s="28">
        <f>'Monthly Data'!AV79</f>
        <v>52.583333333333329</v>
      </c>
      <c r="AW31" s="28">
        <f>'Monthly Data'!AW79</f>
        <v>4.2374999999999954</v>
      </c>
      <c r="AX31" s="28">
        <f>'Monthly Data'!AX79</f>
        <v>96.424999999999997</v>
      </c>
      <c r="AY31" s="28">
        <f>'Monthly Data'!AY79</f>
        <v>0</v>
      </c>
      <c r="AZ31" s="28">
        <f>'Monthly Data'!AZ79</f>
        <v>152.1875</v>
      </c>
      <c r="BA31" s="28">
        <f>'Monthly Data'!BA79</f>
        <v>0</v>
      </c>
      <c r="BB31" s="28">
        <f>'Monthly Data'!BB79</f>
        <v>212.1875</v>
      </c>
      <c r="BC31" s="28">
        <f>'Monthly Data'!BC79</f>
        <v>0</v>
      </c>
      <c r="BD31" s="28">
        <f>'Monthly Data'!BD79</f>
        <v>272.1875</v>
      </c>
      <c r="BE31">
        <f>'Monthly Data'!BE79</f>
        <v>0</v>
      </c>
      <c r="BF31">
        <f>'Monthly Data'!BF79</f>
        <v>0</v>
      </c>
      <c r="BG31">
        <f>'Monthly Data'!BG79</f>
        <v>0</v>
      </c>
      <c r="BH31">
        <f>'Monthly Data'!BH79</f>
        <v>0</v>
      </c>
      <c r="BI31">
        <f>'Monthly Data'!BI79</f>
        <v>0</v>
      </c>
      <c r="BJ31">
        <f>'Monthly Data'!BJ79</f>
        <v>1</v>
      </c>
      <c r="BK31">
        <f>'Monthly Data'!BK79</f>
        <v>0</v>
      </c>
      <c r="BL31">
        <f>'Monthly Data'!BL79</f>
        <v>0</v>
      </c>
      <c r="BM31">
        <f>'Monthly Data'!BM79</f>
        <v>0</v>
      </c>
      <c r="BN31">
        <f>'Monthly Data'!BN79</f>
        <v>0</v>
      </c>
      <c r="BO31">
        <f>'Monthly Data'!BO79</f>
        <v>0</v>
      </c>
      <c r="BP31">
        <f>'Monthly Data'!BP79</f>
        <v>0</v>
      </c>
      <c r="BQ31" s="1">
        <f>'Monthly Data'!BQ79</f>
        <v>0</v>
      </c>
      <c r="BR31" s="1">
        <f>'Monthly Data'!BR79</f>
        <v>0</v>
      </c>
      <c r="BS31" s="1">
        <f>'Monthly Data'!BS79</f>
        <v>0</v>
      </c>
      <c r="BT31" s="1">
        <f>'Monthly Data'!BT79</f>
        <v>78</v>
      </c>
      <c r="BU31">
        <f>'Monthly Data'!BU79</f>
        <v>30</v>
      </c>
      <c r="BV31" s="1">
        <f>'Monthly Data'!BV79</f>
        <v>22</v>
      </c>
      <c r="BW31" s="1">
        <f>'Monthly Data'!BW79</f>
        <v>0.5</v>
      </c>
      <c r="BX31" s="1">
        <f>'Monthly Data'!BX79</f>
        <v>0.25</v>
      </c>
      <c r="BY31" s="1">
        <f>'Monthly Data'!BY79</f>
        <v>0.5</v>
      </c>
      <c r="BZ31" s="1">
        <f>'Monthly Data'!BZ79</f>
        <v>0</v>
      </c>
      <c r="CA31">
        <f>'Monthly Data'!CA79</f>
        <v>25.284375000000001</v>
      </c>
      <c r="CB31">
        <f>'Monthly Data'!CB79</f>
        <v>3.3312499999999989</v>
      </c>
      <c r="CC31">
        <f>'Monthly Data'!CC79</f>
        <v>13.629166666666666</v>
      </c>
      <c r="CD31">
        <f>'Monthly Data'!CD79</f>
        <v>6.6760416666666655</v>
      </c>
      <c r="CE31">
        <f>'Monthly Data'!CE79</f>
        <v>5.0989583333333313</v>
      </c>
      <c r="CF31">
        <f>'Monthly Data'!CF79</f>
        <v>13.145833333333332</v>
      </c>
      <c r="CG31">
        <f>'Monthly Data'!CG79</f>
        <v>1.0593749999999988</v>
      </c>
      <c r="CH31">
        <f>'Monthly Data'!CH79</f>
        <v>24.106249999999999</v>
      </c>
      <c r="CI31">
        <f>'Monthly Data'!CI79</f>
        <v>0</v>
      </c>
      <c r="CJ31">
        <f>'Monthly Data'!CJ79</f>
        <v>38.046875</v>
      </c>
      <c r="CK31">
        <f>'Monthly Data'!CK79</f>
        <v>0</v>
      </c>
      <c r="CL31">
        <f>'Monthly Data'!CL79</f>
        <v>53.046875</v>
      </c>
      <c r="CM31">
        <f>'Monthly Data'!CM79</f>
        <v>0</v>
      </c>
      <c r="CN31">
        <f>'Monthly Data'!CN79</f>
        <v>68.046875</v>
      </c>
      <c r="CO31" s="14">
        <f>'Monthly Data'!CO79</f>
        <v>50.568750000000001</v>
      </c>
      <c r="CP31" s="14">
        <f>'Monthly Data'!CP79</f>
        <v>6.6624999999999979</v>
      </c>
      <c r="CQ31" s="14">
        <f>'Monthly Data'!CQ79</f>
        <v>27.258333333333333</v>
      </c>
      <c r="CR31" s="14">
        <f>'Monthly Data'!CR79</f>
        <v>13.352083333333331</v>
      </c>
      <c r="CS31" s="14">
        <f>'Monthly Data'!CS79</f>
        <v>10.197916666666663</v>
      </c>
      <c r="CT31" s="14">
        <f>'Monthly Data'!CT79</f>
        <v>26.291666666666664</v>
      </c>
      <c r="CU31" s="14">
        <f>'Monthly Data'!CU79</f>
        <v>2.1187499999999977</v>
      </c>
      <c r="CV31" s="14">
        <f>'Monthly Data'!CV79</f>
        <v>48.212499999999999</v>
      </c>
      <c r="CW31" s="14">
        <f>'Monthly Data'!CW79</f>
        <v>0</v>
      </c>
      <c r="CX31" s="14">
        <f>'Monthly Data'!CX79</f>
        <v>76.09375</v>
      </c>
      <c r="CY31" s="14">
        <f>'Monthly Data'!CY79</f>
        <v>0</v>
      </c>
      <c r="CZ31" s="14">
        <f>'Monthly Data'!CZ79</f>
        <v>106.09375</v>
      </c>
      <c r="DA31" s="14">
        <f>'Monthly Data'!DA79</f>
        <v>0</v>
      </c>
      <c r="DB31" s="14">
        <f>'Monthly Data'!DB79</f>
        <v>136.09375</v>
      </c>
      <c r="DC31" s="72">
        <f>'Monthly Data'!DC79</f>
        <v>621.92883395194406</v>
      </c>
      <c r="DD31" s="72">
        <f>'Monthly Data'!DD79</f>
        <v>20.730961131731469</v>
      </c>
      <c r="DE31" s="71">
        <f>'Monthly Data'!DE79</f>
        <v>210336.33164254751</v>
      </c>
      <c r="DF31" s="72">
        <f>'Monthly Data'!DF79</f>
        <v>1766.7092652280924</v>
      </c>
      <c r="DG31" s="72">
        <f>'Monthly Data'!DG79</f>
        <v>58.890308840936413</v>
      </c>
      <c r="DH31" s="72">
        <f>'Monthly Data'!DH79</f>
        <v>75144.034081034857</v>
      </c>
      <c r="DI31" s="72">
        <f>'Monthly Data'!DI79</f>
        <v>36854.659122287863</v>
      </c>
      <c r="DJ31" s="72">
        <f>'Monthly Data'!DJ79</f>
        <v>1228.4886374095954</v>
      </c>
      <c r="DK31" s="72">
        <f>'Monthly Data'!DK79</f>
        <v>1675.211778285812</v>
      </c>
      <c r="DL31" s="72">
        <f>'Monthly Data'!DL79</f>
        <v>175673.87514957215</v>
      </c>
      <c r="DM31" s="72">
        <f>'Monthly Data'!DM79</f>
        <v>239555.28429487112</v>
      </c>
    </row>
    <row r="32" spans="1:117">
      <c r="A32" s="93">
        <f>'Monthly Data'!A80</f>
        <v>44743</v>
      </c>
      <c r="B32" s="4">
        <f>'Monthly Data'!B80</f>
        <v>2022</v>
      </c>
      <c r="C32" s="4">
        <f>'Monthly Data'!C80</f>
        <v>7</v>
      </c>
      <c r="D32" s="56">
        <f>'Monthly Data'!D80</f>
        <v>7301085</v>
      </c>
      <c r="E32" s="56">
        <f>'Monthly Data'!E80</f>
        <v>164148.43339229855</v>
      </c>
      <c r="F32" s="56">
        <f>'Monthly Data'!F80</f>
        <v>7465233.4333922984</v>
      </c>
      <c r="G32" s="301">
        <f>'Monthly Data'!G80</f>
        <v>10144</v>
      </c>
      <c r="H32" s="56">
        <f>'Monthly Data'!H80</f>
        <v>2232269</v>
      </c>
      <c r="I32" s="56">
        <f>'Monthly Data'!I80</f>
        <v>202513.33301099902</v>
      </c>
      <c r="J32" s="56">
        <f>'Monthly Data'!J80</f>
        <v>2434782.333010999</v>
      </c>
      <c r="K32" s="6">
        <f>'Monthly Data'!K80</f>
        <v>1277</v>
      </c>
      <c r="L32" s="5">
        <f>'Monthly Data'!L80</f>
        <v>5578838</v>
      </c>
      <c r="M32" s="2">
        <f>'Monthly Data'!M80</f>
        <v>186251.78321794586</v>
      </c>
      <c r="N32" s="56">
        <f>'Monthly Data'!N80</f>
        <v>5765089.7832179461</v>
      </c>
      <c r="O32" s="5">
        <f>'Monthly Data'!O80</f>
        <v>17141.302039907729</v>
      </c>
      <c r="P32" s="6">
        <f>'Monthly Data'!P80</f>
        <v>143</v>
      </c>
      <c r="Q32" s="5">
        <f>'Monthly Data'!Q80</f>
        <v>65375</v>
      </c>
      <c r="R32" s="5">
        <f>'Monthly Data'!R80</f>
        <v>235.2</v>
      </c>
      <c r="S32" s="6">
        <f>'Monthly Data'!S80</f>
        <v>2920</v>
      </c>
      <c r="T32" s="6">
        <f>'Monthly Data'!T80</f>
        <v>13526</v>
      </c>
      <c r="U32" s="6">
        <f>'Monthly Data'!U80</f>
        <v>44.099999999999994</v>
      </c>
      <c r="V32" s="6">
        <f>'Monthly Data'!V80</f>
        <v>177</v>
      </c>
      <c r="W32" s="5">
        <f>'Monthly Data'!W80</f>
        <v>50815</v>
      </c>
      <c r="X32" s="56">
        <f>'Monthly Data'!X80</f>
        <v>19</v>
      </c>
      <c r="Y32" s="56">
        <f>'Monthly Data'!Y80</f>
        <v>2800.8</v>
      </c>
      <c r="Z32" s="56">
        <f>'Monthly Data'!Z80</f>
        <v>2588.8000000000002</v>
      </c>
      <c r="AA32" s="56">
        <f>'Monthly Data'!AA80</f>
        <v>5576037.2000000002</v>
      </c>
      <c r="AB32" s="56">
        <f>'Monthly Data'!AB80</f>
        <v>5762288.9832179463</v>
      </c>
      <c r="AC32" s="56">
        <f>'Monthly Data'!AC80</f>
        <v>14552.502039907729</v>
      </c>
      <c r="AD32" s="111">
        <f>'Monthly Data'!AD80</f>
        <v>850461.9</v>
      </c>
      <c r="AE32" s="111">
        <f>'Monthly Data'!AE80</f>
        <v>856819</v>
      </c>
      <c r="AF32" s="111">
        <f>'Monthly Data'!AF80</f>
        <v>7784.1</v>
      </c>
      <c r="AG32" s="111">
        <f>'Monthly Data'!AG80</f>
        <v>7872.1</v>
      </c>
      <c r="AH32" s="111">
        <f>'Monthly Data'!AH80</f>
        <v>639.4</v>
      </c>
      <c r="AI32" s="111">
        <f>'Monthly Data'!AI80</f>
        <v>651.79999999999995</v>
      </c>
      <c r="AJ32" s="111">
        <f>'Monthly Data'!AJ80</f>
        <v>467.10000000000036</v>
      </c>
      <c r="AK32" s="111">
        <f>'Monthly Data'!AK80</f>
        <v>479.5</v>
      </c>
      <c r="AL32" s="111">
        <f>'Monthly Data'!AL80</f>
        <v>8.8999999999999773</v>
      </c>
      <c r="AM32" s="111">
        <f>'Monthly Data'!AM80</f>
        <v>12.199999999999932</v>
      </c>
      <c r="AN32" s="111">
        <f>'Monthly Data'!AN80</f>
        <v>33196.400000000023</v>
      </c>
      <c r="AO32" s="111">
        <f>'Monthly Data'!AO80</f>
        <v>2064</v>
      </c>
      <c r="AP32" s="28">
        <f>'Monthly Data'!AP80</f>
        <v>20.028024193548383</v>
      </c>
      <c r="AQ32" s="28">
        <f>'Monthly Data'!AQ80</f>
        <v>24.766666666666666</v>
      </c>
      <c r="AR32" s="28">
        <f>'Monthly Data'!AR80</f>
        <v>25.635416666666639</v>
      </c>
      <c r="AS32" s="28">
        <f>'Monthly Data'!AS80</f>
        <v>4.4583333333333375</v>
      </c>
      <c r="AT32" s="28">
        <f>'Monthly Data'!AT80</f>
        <v>67.327083333333306</v>
      </c>
      <c r="AU32" s="28">
        <f>'Monthly Data'!AU80</f>
        <v>0.47916666666666607</v>
      </c>
      <c r="AV32" s="28">
        <f>'Monthly Data'!AV80</f>
        <v>125.34791666666662</v>
      </c>
      <c r="AW32" s="28">
        <f>'Monthly Data'!AW80</f>
        <v>0</v>
      </c>
      <c r="AX32" s="28">
        <f>'Monthly Data'!AX80</f>
        <v>186.86874999999995</v>
      </c>
      <c r="AY32" s="28">
        <f>'Monthly Data'!AY80</f>
        <v>0</v>
      </c>
      <c r="AZ32" s="28">
        <f>'Monthly Data'!AZ80</f>
        <v>248.86874999999998</v>
      </c>
      <c r="BA32" s="28">
        <f>'Monthly Data'!BA80</f>
        <v>0</v>
      </c>
      <c r="BB32" s="28">
        <f>'Monthly Data'!BB80</f>
        <v>310.86875000000009</v>
      </c>
      <c r="BC32" s="28">
        <f>'Monthly Data'!BC80</f>
        <v>0</v>
      </c>
      <c r="BD32" s="28">
        <f>'Monthly Data'!BD80</f>
        <v>372.86874999999998</v>
      </c>
      <c r="BE32">
        <f>'Monthly Data'!BE80</f>
        <v>0</v>
      </c>
      <c r="BF32">
        <f>'Monthly Data'!BF80</f>
        <v>0</v>
      </c>
      <c r="BG32">
        <f>'Monthly Data'!BG80</f>
        <v>0</v>
      </c>
      <c r="BH32">
        <f>'Monthly Data'!BH80</f>
        <v>0</v>
      </c>
      <c r="BI32">
        <f>'Monthly Data'!BI80</f>
        <v>0</v>
      </c>
      <c r="BJ32">
        <f>'Monthly Data'!BJ80</f>
        <v>0</v>
      </c>
      <c r="BK32">
        <f>'Monthly Data'!BK80</f>
        <v>1</v>
      </c>
      <c r="BL32">
        <f>'Monthly Data'!BL80</f>
        <v>0</v>
      </c>
      <c r="BM32">
        <f>'Monthly Data'!BM80</f>
        <v>0</v>
      </c>
      <c r="BN32">
        <f>'Monthly Data'!BN80</f>
        <v>0</v>
      </c>
      <c r="BO32">
        <f>'Monthly Data'!BO80</f>
        <v>0</v>
      </c>
      <c r="BP32">
        <f>'Monthly Data'!BP80</f>
        <v>0</v>
      </c>
      <c r="BQ32" s="1">
        <f>'Monthly Data'!BQ80</f>
        <v>0</v>
      </c>
      <c r="BR32" s="1">
        <f>'Monthly Data'!BR80</f>
        <v>0</v>
      </c>
      <c r="BS32" s="1">
        <f>'Monthly Data'!BS80</f>
        <v>0</v>
      </c>
      <c r="BT32" s="1">
        <f>'Monthly Data'!BT80</f>
        <v>79</v>
      </c>
      <c r="BU32">
        <f>'Monthly Data'!BU80</f>
        <v>31</v>
      </c>
      <c r="BV32" s="1">
        <f>'Monthly Data'!BV80</f>
        <v>22</v>
      </c>
      <c r="BW32" s="1">
        <f>'Monthly Data'!BW80</f>
        <v>0.5</v>
      </c>
      <c r="BX32" s="1">
        <f>'Monthly Data'!BX80</f>
        <v>0.25</v>
      </c>
      <c r="BY32" s="1">
        <f>'Monthly Data'!BY80</f>
        <v>0.5</v>
      </c>
      <c r="BZ32" s="1">
        <f>'Monthly Data'!BZ80</f>
        <v>0</v>
      </c>
      <c r="CA32">
        <f>'Monthly Data'!CA80</f>
        <v>6.1916666666666664</v>
      </c>
      <c r="CB32">
        <f>'Monthly Data'!CB80</f>
        <v>6.4088541666666599</v>
      </c>
      <c r="CC32">
        <f>'Monthly Data'!CC80</f>
        <v>1.1145833333333344</v>
      </c>
      <c r="CD32">
        <f>'Monthly Data'!CD80</f>
        <v>16.831770833333326</v>
      </c>
      <c r="CE32">
        <f>'Monthly Data'!CE80</f>
        <v>0.11979166666666652</v>
      </c>
      <c r="CF32">
        <f>'Monthly Data'!CF80</f>
        <v>31.336979166666655</v>
      </c>
      <c r="CG32">
        <f>'Monthly Data'!CG80</f>
        <v>0</v>
      </c>
      <c r="CH32">
        <f>'Monthly Data'!CH80</f>
        <v>46.717187499999987</v>
      </c>
      <c r="CI32">
        <f>'Monthly Data'!CI80</f>
        <v>0</v>
      </c>
      <c r="CJ32">
        <f>'Monthly Data'!CJ80</f>
        <v>62.217187499999994</v>
      </c>
      <c r="CK32">
        <f>'Monthly Data'!CK80</f>
        <v>0</v>
      </c>
      <c r="CL32">
        <f>'Monthly Data'!CL80</f>
        <v>77.717187500000023</v>
      </c>
      <c r="CM32">
        <f>'Monthly Data'!CM80</f>
        <v>0</v>
      </c>
      <c r="CN32">
        <f>'Monthly Data'!CN80</f>
        <v>93.217187499999994</v>
      </c>
      <c r="CO32" s="14">
        <f>'Monthly Data'!CO80</f>
        <v>12.383333333333333</v>
      </c>
      <c r="CP32" s="14">
        <f>'Monthly Data'!CP80</f>
        <v>12.81770833333332</v>
      </c>
      <c r="CQ32" s="14">
        <f>'Monthly Data'!CQ80</f>
        <v>2.2291666666666687</v>
      </c>
      <c r="CR32" s="14">
        <f>'Monthly Data'!CR80</f>
        <v>33.663541666666653</v>
      </c>
      <c r="CS32" s="14">
        <f>'Monthly Data'!CS80</f>
        <v>0.23958333333333304</v>
      </c>
      <c r="CT32" s="14">
        <f>'Monthly Data'!CT80</f>
        <v>62.67395833333331</v>
      </c>
      <c r="CU32" s="14">
        <f>'Monthly Data'!CU80</f>
        <v>0</v>
      </c>
      <c r="CV32" s="14">
        <f>'Monthly Data'!CV80</f>
        <v>93.434374999999974</v>
      </c>
      <c r="CW32" s="14">
        <f>'Monthly Data'!CW80</f>
        <v>0</v>
      </c>
      <c r="CX32" s="14">
        <f>'Monthly Data'!CX80</f>
        <v>124.43437499999999</v>
      </c>
      <c r="CY32" s="14">
        <f>'Monthly Data'!CY80</f>
        <v>0</v>
      </c>
      <c r="CZ32" s="14">
        <f>'Monthly Data'!CZ80</f>
        <v>155.43437500000005</v>
      </c>
      <c r="DA32" s="14">
        <f>'Monthly Data'!DA80</f>
        <v>0</v>
      </c>
      <c r="DB32" s="14">
        <f>'Monthly Data'!DB80</f>
        <v>186.43437499999999</v>
      </c>
      <c r="DC32" s="72">
        <f>'Monthly Data'!DC80</f>
        <v>735.92600881233227</v>
      </c>
      <c r="DD32" s="72">
        <f>'Monthly Data'!DD80</f>
        <v>23.739548671365558</v>
      </c>
      <c r="DE32" s="71">
        <f>'Monthly Data'!DE80</f>
        <v>240813.98172233222</v>
      </c>
      <c r="DF32" s="72">
        <f>'Monthly Data'!DF80</f>
        <v>1906.642390768206</v>
      </c>
      <c r="DG32" s="72">
        <f>'Monthly Data'!DG80</f>
        <v>61.504593250587291</v>
      </c>
      <c r="DH32" s="72">
        <f>'Monthly Data'!DH80</f>
        <v>78541.365580999962</v>
      </c>
      <c r="DI32" s="72">
        <f>'Monthly Data'!DI80</f>
        <v>40315.313169356268</v>
      </c>
      <c r="DJ32" s="72">
        <f>'Monthly Data'!DJ80</f>
        <v>1300.4939732050409</v>
      </c>
      <c r="DK32" s="72">
        <f>'Monthly Data'!DK80</f>
        <v>1832.5142349707394</v>
      </c>
      <c r="DL32" s="72">
        <f>'Monthly Data'!DL80</f>
        <v>185970.63816832085</v>
      </c>
      <c r="DM32" s="72">
        <f>'Monthly Data'!DM80</f>
        <v>262049.53560081573</v>
      </c>
    </row>
    <row r="33" spans="1:117">
      <c r="A33" s="93">
        <f>'Monthly Data'!A81</f>
        <v>44774</v>
      </c>
      <c r="B33" s="4">
        <f>'Monthly Data'!B81</f>
        <v>2022</v>
      </c>
      <c r="C33" s="4">
        <f>'Monthly Data'!C81</f>
        <v>8</v>
      </c>
      <c r="D33" s="56">
        <f>'Monthly Data'!D81</f>
        <v>7261489</v>
      </c>
      <c r="E33" s="56">
        <f>'Monthly Data'!E81</f>
        <v>164258.91750817181</v>
      </c>
      <c r="F33" s="56">
        <f>'Monthly Data'!F81</f>
        <v>7425747.9175081719</v>
      </c>
      <c r="G33" s="301">
        <f>'Monthly Data'!G81</f>
        <v>10153</v>
      </c>
      <c r="H33" s="56">
        <f>'Monthly Data'!H81</f>
        <v>2251714</v>
      </c>
      <c r="I33" s="56">
        <f>'Monthly Data'!I81</f>
        <v>205129.6435909525</v>
      </c>
      <c r="J33" s="56">
        <f>'Monthly Data'!J81</f>
        <v>2456843.6435909523</v>
      </c>
      <c r="K33" s="6">
        <f>'Monthly Data'!K81</f>
        <v>1278</v>
      </c>
      <c r="L33" s="5">
        <f>'Monthly Data'!L81</f>
        <v>5611154</v>
      </c>
      <c r="M33" s="2">
        <f>'Monthly Data'!M81</f>
        <v>189042.31194872782</v>
      </c>
      <c r="N33" s="56">
        <f>'Monthly Data'!N81</f>
        <v>5800196.3119487278</v>
      </c>
      <c r="O33" s="5">
        <f>'Monthly Data'!O81</f>
        <v>14205.599999999999</v>
      </c>
      <c r="P33" s="6">
        <f>'Monthly Data'!P81</f>
        <v>142</v>
      </c>
      <c r="Q33" s="5">
        <f>'Monthly Data'!Q81</f>
        <v>73605</v>
      </c>
      <c r="R33" s="5">
        <f>'Monthly Data'!R81</f>
        <v>235.2</v>
      </c>
      <c r="S33" s="6">
        <f>'Monthly Data'!S81</f>
        <v>2920</v>
      </c>
      <c r="T33" s="6">
        <f>'Monthly Data'!T81</f>
        <v>15964</v>
      </c>
      <c r="U33" s="6">
        <f>'Monthly Data'!U81</f>
        <v>36.1</v>
      </c>
      <c r="V33" s="6">
        <f>'Monthly Data'!V81</f>
        <v>177</v>
      </c>
      <c r="W33" s="5">
        <f>'Monthly Data'!W81</f>
        <v>49933</v>
      </c>
      <c r="X33" s="56">
        <f>'Monthly Data'!X81</f>
        <v>19</v>
      </c>
      <c r="Y33" s="56">
        <f>'Monthly Data'!Y81</f>
        <v>13204</v>
      </c>
      <c r="Z33" s="56">
        <f>'Monthly Data'!Z81</f>
        <v>3110.4</v>
      </c>
      <c r="AA33" s="56">
        <f>'Monthly Data'!AA81</f>
        <v>5597950</v>
      </c>
      <c r="AB33" s="56">
        <f>'Monthly Data'!AB81</f>
        <v>5786992.3119487278</v>
      </c>
      <c r="AC33" s="56">
        <f>'Monthly Data'!AC81</f>
        <v>11095.199999999999</v>
      </c>
      <c r="AD33" s="111">
        <f>'Monthly Data'!AD81</f>
        <v>850461.9</v>
      </c>
      <c r="AE33" s="111">
        <f>'Monthly Data'!AE81</f>
        <v>856819</v>
      </c>
      <c r="AF33" s="111">
        <f>'Monthly Data'!AF81</f>
        <v>7778</v>
      </c>
      <c r="AG33" s="111">
        <f>'Monthly Data'!AG81</f>
        <v>7852.4</v>
      </c>
      <c r="AH33" s="111">
        <f>'Monthly Data'!AH81</f>
        <v>638.5</v>
      </c>
      <c r="AI33" s="111">
        <f>'Monthly Data'!AI81</f>
        <v>646.79999999999995</v>
      </c>
      <c r="AJ33" s="111">
        <f>'Monthly Data'!AJ81</f>
        <v>372.10000000000036</v>
      </c>
      <c r="AK33" s="111">
        <f>'Monthly Data'!AK81</f>
        <v>377.69999999999982</v>
      </c>
      <c r="AL33" s="111">
        <f>'Monthly Data'!AL81</f>
        <v>13.299999999999955</v>
      </c>
      <c r="AM33" s="111">
        <f>'Monthly Data'!AM81</f>
        <v>14.399999999999977</v>
      </c>
      <c r="AN33" s="111">
        <f>'Monthly Data'!AN81</f>
        <v>33196.400000000023</v>
      </c>
      <c r="AO33" s="111">
        <f>'Monthly Data'!AO81</f>
        <v>2064</v>
      </c>
      <c r="AP33" s="28">
        <f>'Monthly Data'!AP81</f>
        <v>19.217473118279578</v>
      </c>
      <c r="AQ33" s="28">
        <f>'Monthly Data'!AQ81</f>
        <v>43.374999999999986</v>
      </c>
      <c r="AR33" s="28">
        <f>'Monthly Data'!AR81</f>
        <v>19.116666666666667</v>
      </c>
      <c r="AS33" s="28">
        <f>'Monthly Data'!AS81</f>
        <v>15.441666666666658</v>
      </c>
      <c r="AT33" s="28">
        <f>'Monthly Data'!AT81</f>
        <v>53.183333333333337</v>
      </c>
      <c r="AU33" s="28">
        <f>'Monthly Data'!AU81</f>
        <v>1.5000000000000053</v>
      </c>
      <c r="AV33" s="28">
        <f>'Monthly Data'!AV81</f>
        <v>101.2416666666667</v>
      </c>
      <c r="AW33" s="28">
        <f>'Monthly Data'!AW81</f>
        <v>0</v>
      </c>
      <c r="AX33" s="28">
        <f>'Monthly Data'!AX81</f>
        <v>161.74166666666665</v>
      </c>
      <c r="AY33" s="28">
        <f>'Monthly Data'!AY81</f>
        <v>0</v>
      </c>
      <c r="AZ33" s="28">
        <f>'Monthly Data'!AZ81</f>
        <v>223.74166666666665</v>
      </c>
      <c r="BA33" s="28">
        <f>'Monthly Data'!BA81</f>
        <v>0</v>
      </c>
      <c r="BB33" s="28">
        <f>'Monthly Data'!BB81</f>
        <v>285.74166666666667</v>
      </c>
      <c r="BC33" s="28">
        <f>'Monthly Data'!BC81</f>
        <v>0</v>
      </c>
      <c r="BD33" s="28">
        <f>'Monthly Data'!BD81</f>
        <v>347.74166666666667</v>
      </c>
      <c r="BE33">
        <f>'Monthly Data'!BE81</f>
        <v>0</v>
      </c>
      <c r="BF33">
        <f>'Monthly Data'!BF81</f>
        <v>0</v>
      </c>
      <c r="BG33">
        <f>'Monthly Data'!BG81</f>
        <v>0</v>
      </c>
      <c r="BH33">
        <f>'Monthly Data'!BH81</f>
        <v>0</v>
      </c>
      <c r="BI33">
        <f>'Monthly Data'!BI81</f>
        <v>0</v>
      </c>
      <c r="BJ33">
        <f>'Monthly Data'!BJ81</f>
        <v>0</v>
      </c>
      <c r="BK33">
        <f>'Monthly Data'!BK81</f>
        <v>0</v>
      </c>
      <c r="BL33">
        <f>'Monthly Data'!BL81</f>
        <v>1</v>
      </c>
      <c r="BM33">
        <f>'Monthly Data'!BM81</f>
        <v>0</v>
      </c>
      <c r="BN33">
        <f>'Monthly Data'!BN81</f>
        <v>0</v>
      </c>
      <c r="BO33">
        <f>'Monthly Data'!BO81</f>
        <v>0</v>
      </c>
      <c r="BP33">
        <f>'Monthly Data'!BP81</f>
        <v>0</v>
      </c>
      <c r="BQ33" s="1">
        <f>'Monthly Data'!BQ81</f>
        <v>0</v>
      </c>
      <c r="BR33" s="1">
        <f>'Monthly Data'!BR81</f>
        <v>0</v>
      </c>
      <c r="BS33" s="1">
        <f>'Monthly Data'!BS81</f>
        <v>0</v>
      </c>
      <c r="BT33" s="1">
        <f>'Monthly Data'!BT81</f>
        <v>80</v>
      </c>
      <c r="BU33">
        <f>'Monthly Data'!BU81</f>
        <v>31</v>
      </c>
      <c r="BV33" s="1">
        <f>'Monthly Data'!BV81</f>
        <v>20</v>
      </c>
      <c r="BW33" s="1">
        <f>'Monthly Data'!BW81</f>
        <v>0.5</v>
      </c>
      <c r="BX33" s="1">
        <f>'Monthly Data'!BX81</f>
        <v>0.25</v>
      </c>
      <c r="BY33" s="1">
        <f>'Monthly Data'!BY81</f>
        <v>0.5</v>
      </c>
      <c r="BZ33" s="1">
        <f>'Monthly Data'!BZ81</f>
        <v>0</v>
      </c>
      <c r="CA33">
        <f>'Monthly Data'!CA81</f>
        <v>10.843749999999996</v>
      </c>
      <c r="CB33">
        <f>'Monthly Data'!CB81</f>
        <v>4.7791666666666668</v>
      </c>
      <c r="CC33">
        <f>'Monthly Data'!CC81</f>
        <v>3.8604166666666644</v>
      </c>
      <c r="CD33">
        <f>'Monthly Data'!CD81</f>
        <v>13.295833333333334</v>
      </c>
      <c r="CE33">
        <f>'Monthly Data'!CE81</f>
        <v>0.37500000000000133</v>
      </c>
      <c r="CF33">
        <f>'Monthly Data'!CF81</f>
        <v>25.310416666666676</v>
      </c>
      <c r="CG33">
        <f>'Monthly Data'!CG81</f>
        <v>0</v>
      </c>
      <c r="CH33">
        <f>'Monthly Data'!CH81</f>
        <v>40.435416666666661</v>
      </c>
      <c r="CI33">
        <f>'Monthly Data'!CI81</f>
        <v>0</v>
      </c>
      <c r="CJ33">
        <f>'Monthly Data'!CJ81</f>
        <v>55.935416666666661</v>
      </c>
      <c r="CK33">
        <f>'Monthly Data'!CK81</f>
        <v>0</v>
      </c>
      <c r="CL33">
        <f>'Monthly Data'!CL81</f>
        <v>71.435416666666669</v>
      </c>
      <c r="CM33">
        <f>'Monthly Data'!CM81</f>
        <v>0</v>
      </c>
      <c r="CN33">
        <f>'Monthly Data'!CN81</f>
        <v>86.935416666666669</v>
      </c>
      <c r="CO33" s="14">
        <f>'Monthly Data'!CO81</f>
        <v>21.687499999999993</v>
      </c>
      <c r="CP33" s="14">
        <f>'Monthly Data'!CP81</f>
        <v>9.5583333333333336</v>
      </c>
      <c r="CQ33" s="14">
        <f>'Monthly Data'!CQ81</f>
        <v>7.7208333333333288</v>
      </c>
      <c r="CR33" s="14">
        <f>'Monthly Data'!CR81</f>
        <v>26.591666666666669</v>
      </c>
      <c r="CS33" s="14">
        <f>'Monthly Data'!CS81</f>
        <v>0.75000000000000266</v>
      </c>
      <c r="CT33" s="14">
        <f>'Monthly Data'!CT81</f>
        <v>50.620833333333351</v>
      </c>
      <c r="CU33" s="14">
        <f>'Monthly Data'!CU81</f>
        <v>0</v>
      </c>
      <c r="CV33" s="14">
        <f>'Monthly Data'!CV81</f>
        <v>80.870833333333323</v>
      </c>
      <c r="CW33" s="14">
        <f>'Monthly Data'!CW81</f>
        <v>0</v>
      </c>
      <c r="CX33" s="14">
        <f>'Monthly Data'!CX81</f>
        <v>111.87083333333332</v>
      </c>
      <c r="CY33" s="14">
        <f>'Monthly Data'!CY81</f>
        <v>0</v>
      </c>
      <c r="CZ33" s="14">
        <f>'Monthly Data'!CZ81</f>
        <v>142.87083333333334</v>
      </c>
      <c r="DA33" s="14">
        <f>'Monthly Data'!DA81</f>
        <v>0</v>
      </c>
      <c r="DB33" s="14">
        <f>'Monthly Data'!DB81</f>
        <v>173.87083333333334</v>
      </c>
      <c r="DC33" s="72">
        <f>'Monthly Data'!DC81</f>
        <v>731.38460725974312</v>
      </c>
      <c r="DD33" s="72">
        <f>'Monthly Data'!DD81</f>
        <v>23.593051847088489</v>
      </c>
      <c r="DE33" s="71">
        <f>'Monthly Data'!DE81</f>
        <v>239540.25540348943</v>
      </c>
      <c r="DF33" s="72">
        <f>'Monthly Data'!DF81</f>
        <v>1922.4128666595871</v>
      </c>
      <c r="DG33" s="72">
        <f>'Monthly Data'!DG81</f>
        <v>62.013318279341519</v>
      </c>
      <c r="DH33" s="72">
        <f>'Monthly Data'!DH81</f>
        <v>79253.020760998465</v>
      </c>
      <c r="DI33" s="72">
        <f>'Monthly Data'!DI81</f>
        <v>40846.452901047378</v>
      </c>
      <c r="DJ33" s="72">
        <f>'Monthly Data'!DJ81</f>
        <v>1317.6275129370122</v>
      </c>
      <c r="DK33" s="72">
        <f>'Monthly Data'!DK81</f>
        <v>2042.3226450523689</v>
      </c>
      <c r="DL33" s="72">
        <f>'Monthly Data'!DL81</f>
        <v>187103.10683705573</v>
      </c>
      <c r="DM33" s="72">
        <f>'Monthly Data'!DM81</f>
        <v>290009.81559743639</v>
      </c>
    </row>
    <row r="34" spans="1:117">
      <c r="A34" s="93">
        <f>'Monthly Data'!A82</f>
        <v>44805</v>
      </c>
      <c r="B34" s="4">
        <f>'Monthly Data'!B82</f>
        <v>2022</v>
      </c>
      <c r="C34" s="4">
        <f>'Monthly Data'!C82</f>
        <v>9</v>
      </c>
      <c r="D34" s="56">
        <f>'Monthly Data'!D82</f>
        <v>5648625</v>
      </c>
      <c r="E34" s="56">
        <f>'Monthly Data'!E82</f>
        <v>164369.40162404504</v>
      </c>
      <c r="F34" s="56">
        <f>'Monthly Data'!F82</f>
        <v>5812994.4016240453</v>
      </c>
      <c r="G34" s="301">
        <f>'Monthly Data'!G82</f>
        <v>10201</v>
      </c>
      <c r="H34" s="56">
        <f>'Monthly Data'!H82</f>
        <v>1940936</v>
      </c>
      <c r="I34" s="56">
        <f>'Monthly Data'!I82</f>
        <v>207745.95417090596</v>
      </c>
      <c r="J34" s="56">
        <f>'Monthly Data'!J82</f>
        <v>2148681.954170906</v>
      </c>
      <c r="K34" s="6">
        <f>'Monthly Data'!K82</f>
        <v>1279</v>
      </c>
      <c r="L34" s="5">
        <f>'Monthly Data'!L82</f>
        <v>5005186</v>
      </c>
      <c r="M34" s="2">
        <f>'Monthly Data'!M82</f>
        <v>191832.8406795098</v>
      </c>
      <c r="N34" s="56">
        <f>'Monthly Data'!N82</f>
        <v>5197018.8406795096</v>
      </c>
      <c r="O34" s="5">
        <f>'Monthly Data'!O82</f>
        <v>14007.2</v>
      </c>
      <c r="P34" s="6">
        <f>'Monthly Data'!P82</f>
        <v>141</v>
      </c>
      <c r="Q34" s="5">
        <f>'Monthly Data'!Q82</f>
        <v>81268</v>
      </c>
      <c r="R34" s="5">
        <f>'Monthly Data'!R82</f>
        <v>235.2</v>
      </c>
      <c r="S34" s="6">
        <f>'Monthly Data'!S82</f>
        <v>2920</v>
      </c>
      <c r="T34" s="6">
        <f>'Monthly Data'!T82</f>
        <v>15815</v>
      </c>
      <c r="U34" s="6">
        <f>'Monthly Data'!U82</f>
        <v>51.7</v>
      </c>
      <c r="V34" s="6">
        <f>'Monthly Data'!V82</f>
        <v>177</v>
      </c>
      <c r="W34" s="5">
        <f>'Monthly Data'!W82</f>
        <v>48757</v>
      </c>
      <c r="X34" s="56">
        <f>'Monthly Data'!X82</f>
        <v>19</v>
      </c>
      <c r="Y34" s="56">
        <f>'Monthly Data'!Y82</f>
        <v>16</v>
      </c>
      <c r="Z34" s="56">
        <f>'Monthly Data'!Z82</f>
        <v>60.8</v>
      </c>
      <c r="AA34" s="56">
        <f>'Monthly Data'!AA82</f>
        <v>5005170</v>
      </c>
      <c r="AB34" s="56">
        <f>'Monthly Data'!AB82</f>
        <v>5197002.8406795096</v>
      </c>
      <c r="AC34" s="56">
        <f>'Monthly Data'!AC82</f>
        <v>13946.400000000001</v>
      </c>
      <c r="AD34" s="111">
        <f>'Monthly Data'!AD82</f>
        <v>850461.9</v>
      </c>
      <c r="AE34" s="111">
        <f>'Monthly Data'!AE82</f>
        <v>856819</v>
      </c>
      <c r="AF34" s="111">
        <f>'Monthly Data'!AF82</f>
        <v>7770.7</v>
      </c>
      <c r="AG34" s="111">
        <f>'Monthly Data'!AG82</f>
        <v>7793.8</v>
      </c>
      <c r="AH34" s="111">
        <f>'Monthly Data'!AH82</f>
        <v>646.29999999999995</v>
      </c>
      <c r="AI34" s="111">
        <f>'Monthly Data'!AI82</f>
        <v>648.79999999999995</v>
      </c>
      <c r="AJ34" s="111">
        <f>'Monthly Data'!AJ82</f>
        <v>288.69999999999982</v>
      </c>
      <c r="AK34" s="111">
        <f>'Monthly Data'!AK82</f>
        <v>286.80000000000018</v>
      </c>
      <c r="AL34" s="111">
        <f>'Monthly Data'!AL82</f>
        <v>28.5</v>
      </c>
      <c r="AM34" s="111">
        <f>'Monthly Data'!AM82</f>
        <v>28.899999999999977</v>
      </c>
      <c r="AN34" s="111">
        <f>'Monthly Data'!AN82</f>
        <v>33196.400000000023</v>
      </c>
      <c r="AO34" s="111">
        <f>'Monthly Data'!AO82</f>
        <v>2064</v>
      </c>
      <c r="AP34" s="28">
        <f>'Monthly Data'!AP82</f>
        <v>13.805694444444445</v>
      </c>
      <c r="AQ34" s="28">
        <f>'Monthly Data'!AQ82</f>
        <v>186.05</v>
      </c>
      <c r="AR34" s="28">
        <f>'Monthly Data'!AR82</f>
        <v>0.22083333333333499</v>
      </c>
      <c r="AS34" s="28">
        <f>'Monthly Data'!AS82</f>
        <v>130.7791666666667</v>
      </c>
      <c r="AT34" s="28">
        <f>'Monthly Data'!AT82</f>
        <v>4.9500000000000099</v>
      </c>
      <c r="AU34" s="28">
        <f>'Monthly Data'!AU82</f>
        <v>86.958333333333343</v>
      </c>
      <c r="AV34" s="28">
        <f>'Monthly Data'!AV82</f>
        <v>21.129166666666677</v>
      </c>
      <c r="AW34" s="28">
        <f>'Monthly Data'!AW82</f>
        <v>47.787500000000001</v>
      </c>
      <c r="AX34" s="28">
        <f>'Monthly Data'!AX82</f>
        <v>41.95833333333335</v>
      </c>
      <c r="AY34" s="28">
        <f>'Monthly Data'!AY82</f>
        <v>20.179166666666667</v>
      </c>
      <c r="AZ34" s="28">
        <f>'Monthly Data'!AZ82</f>
        <v>74.350000000000023</v>
      </c>
      <c r="BA34" s="28">
        <f>'Monthly Data'!BA82</f>
        <v>6.9416666666666638</v>
      </c>
      <c r="BB34" s="28">
        <f>'Monthly Data'!BB82</f>
        <v>121.11250000000001</v>
      </c>
      <c r="BC34" s="28">
        <f>'Monthly Data'!BC82</f>
        <v>0.92083333333332984</v>
      </c>
      <c r="BD34" s="28">
        <f>'Monthly Data'!BD82</f>
        <v>175.0916666666667</v>
      </c>
      <c r="BE34">
        <f>'Monthly Data'!BE82</f>
        <v>0</v>
      </c>
      <c r="BF34">
        <f>'Monthly Data'!BF82</f>
        <v>0</v>
      </c>
      <c r="BG34">
        <f>'Monthly Data'!BG82</f>
        <v>0</v>
      </c>
      <c r="BH34">
        <f>'Monthly Data'!BH82</f>
        <v>0</v>
      </c>
      <c r="BI34">
        <f>'Monthly Data'!BI82</f>
        <v>0</v>
      </c>
      <c r="BJ34">
        <f>'Monthly Data'!BJ82</f>
        <v>0</v>
      </c>
      <c r="BK34">
        <f>'Monthly Data'!BK82</f>
        <v>0</v>
      </c>
      <c r="BL34">
        <f>'Monthly Data'!BL82</f>
        <v>0</v>
      </c>
      <c r="BM34">
        <f>'Monthly Data'!BM82</f>
        <v>1</v>
      </c>
      <c r="BN34">
        <f>'Monthly Data'!BN82</f>
        <v>0</v>
      </c>
      <c r="BO34">
        <f>'Monthly Data'!BO82</f>
        <v>0</v>
      </c>
      <c r="BP34">
        <f>'Monthly Data'!BP82</f>
        <v>0</v>
      </c>
      <c r="BQ34" s="1">
        <f>'Monthly Data'!BQ82</f>
        <v>0</v>
      </c>
      <c r="BR34" s="1">
        <f>'Monthly Data'!BR82</f>
        <v>1</v>
      </c>
      <c r="BS34" s="1">
        <f>'Monthly Data'!BS82</f>
        <v>1</v>
      </c>
      <c r="BT34" s="1">
        <f>'Monthly Data'!BT82</f>
        <v>81</v>
      </c>
      <c r="BU34">
        <f>'Monthly Data'!BU82</f>
        <v>30</v>
      </c>
      <c r="BV34" s="1">
        <f>'Monthly Data'!BV82</f>
        <v>21</v>
      </c>
      <c r="BW34" s="1">
        <f>'Monthly Data'!BW82</f>
        <v>0.5</v>
      </c>
      <c r="BX34" s="1">
        <f>'Monthly Data'!BX82</f>
        <v>0.25</v>
      </c>
      <c r="BY34" s="1">
        <f>'Monthly Data'!BY82</f>
        <v>0.5</v>
      </c>
      <c r="BZ34" s="1">
        <f>'Monthly Data'!BZ82</f>
        <v>0</v>
      </c>
      <c r="CA34">
        <f>'Monthly Data'!CA82</f>
        <v>46.512500000000003</v>
      </c>
      <c r="CB34">
        <f>'Monthly Data'!CB82</f>
        <v>5.5208333333333748E-2</v>
      </c>
      <c r="CC34">
        <f>'Monthly Data'!CC82</f>
        <v>32.694791666666674</v>
      </c>
      <c r="CD34">
        <f>'Monthly Data'!CD82</f>
        <v>1.2375000000000025</v>
      </c>
      <c r="CE34">
        <f>'Monthly Data'!CE82</f>
        <v>21.739583333333336</v>
      </c>
      <c r="CF34">
        <f>'Monthly Data'!CF82</f>
        <v>5.2822916666666693</v>
      </c>
      <c r="CG34">
        <f>'Monthly Data'!CG82</f>
        <v>11.946875</v>
      </c>
      <c r="CH34">
        <f>'Monthly Data'!CH82</f>
        <v>10.489583333333337</v>
      </c>
      <c r="CI34">
        <f>'Monthly Data'!CI82</f>
        <v>5.0447916666666668</v>
      </c>
      <c r="CJ34">
        <f>'Monthly Data'!CJ82</f>
        <v>18.587500000000006</v>
      </c>
      <c r="CK34">
        <f>'Monthly Data'!CK82</f>
        <v>1.7354166666666659</v>
      </c>
      <c r="CL34">
        <f>'Monthly Data'!CL82</f>
        <v>30.278125000000003</v>
      </c>
      <c r="CM34">
        <f>'Monthly Data'!CM82</f>
        <v>0.23020833333333246</v>
      </c>
      <c r="CN34">
        <f>'Monthly Data'!CN82</f>
        <v>43.772916666666674</v>
      </c>
      <c r="CO34" s="14">
        <f>'Monthly Data'!CO82</f>
        <v>93.025000000000006</v>
      </c>
      <c r="CP34" s="14">
        <f>'Monthly Data'!CP82</f>
        <v>0.1104166666666675</v>
      </c>
      <c r="CQ34" s="14">
        <f>'Monthly Data'!CQ82</f>
        <v>65.389583333333348</v>
      </c>
      <c r="CR34" s="14">
        <f>'Monthly Data'!CR82</f>
        <v>2.475000000000005</v>
      </c>
      <c r="CS34" s="14">
        <f>'Monthly Data'!CS82</f>
        <v>43.479166666666671</v>
      </c>
      <c r="CT34" s="14">
        <f>'Monthly Data'!CT82</f>
        <v>10.564583333333339</v>
      </c>
      <c r="CU34" s="14">
        <f>'Monthly Data'!CU82</f>
        <v>23.893750000000001</v>
      </c>
      <c r="CV34" s="14">
        <f>'Monthly Data'!CV82</f>
        <v>20.979166666666675</v>
      </c>
      <c r="CW34" s="14">
        <f>'Monthly Data'!CW82</f>
        <v>10.089583333333334</v>
      </c>
      <c r="CX34" s="14">
        <f>'Monthly Data'!CX82</f>
        <v>37.175000000000011</v>
      </c>
      <c r="CY34" s="14">
        <f>'Monthly Data'!CY82</f>
        <v>3.4708333333333319</v>
      </c>
      <c r="CZ34" s="14">
        <f>'Monthly Data'!CZ82</f>
        <v>60.556250000000006</v>
      </c>
      <c r="DA34" s="14">
        <f>'Monthly Data'!DA82</f>
        <v>0.46041666666666492</v>
      </c>
      <c r="DB34" s="14">
        <f>'Monthly Data'!DB82</f>
        <v>87.545833333333348</v>
      </c>
      <c r="DC34" s="72">
        <f>'Monthly Data'!DC82</f>
        <v>569.84554471365993</v>
      </c>
      <c r="DD34" s="72">
        <f>'Monthly Data'!DD82</f>
        <v>18.994851490455332</v>
      </c>
      <c r="DE34" s="71">
        <f>'Monthly Data'!DE82</f>
        <v>193766.48005413485</v>
      </c>
      <c r="DF34" s="72">
        <f>'Monthly Data'!DF82</f>
        <v>1679.9702534565333</v>
      </c>
      <c r="DG34" s="72">
        <f>'Monthly Data'!DG82</f>
        <v>55.999008448551109</v>
      </c>
      <c r="DH34" s="72">
        <f>'Monthly Data'!DH82</f>
        <v>71622.731805696865</v>
      </c>
      <c r="DI34" s="72">
        <f>'Monthly Data'!DI82</f>
        <v>36858.289650209284</v>
      </c>
      <c r="DJ34" s="72">
        <f>'Monthly Data'!DJ82</f>
        <v>1228.6096550069763</v>
      </c>
      <c r="DK34" s="72">
        <f>'Monthly Data'!DK82</f>
        <v>1755.1566500099659</v>
      </c>
      <c r="DL34" s="72">
        <f>'Monthly Data'!DL82</f>
        <v>173233.96135598366</v>
      </c>
      <c r="DM34" s="72">
        <f>'Monthly Data'!DM82</f>
        <v>247477.08765140522</v>
      </c>
    </row>
    <row r="35" spans="1:117">
      <c r="A35" s="93">
        <f>'Monthly Data'!A83</f>
        <v>44835</v>
      </c>
      <c r="B35" s="4">
        <f>'Monthly Data'!B83</f>
        <v>2022</v>
      </c>
      <c r="C35" s="4">
        <f>'Monthly Data'!C83</f>
        <v>10</v>
      </c>
      <c r="D35" s="56">
        <f>'Monthly Data'!D83</f>
        <v>5895519</v>
      </c>
      <c r="E35" s="56">
        <f>'Monthly Data'!E83</f>
        <v>164479.8857399183</v>
      </c>
      <c r="F35" s="56">
        <f>'Monthly Data'!F83</f>
        <v>6059998.8857399179</v>
      </c>
      <c r="G35" s="301">
        <f>'Monthly Data'!G83</f>
        <v>10208</v>
      </c>
      <c r="H35" s="56">
        <f>'Monthly Data'!H83</f>
        <v>2045554</v>
      </c>
      <c r="I35" s="56">
        <f>'Monthly Data'!I83</f>
        <v>210362.26475085941</v>
      </c>
      <c r="J35" s="56">
        <f>'Monthly Data'!J83</f>
        <v>2255916.2647508592</v>
      </c>
      <c r="K35" s="6">
        <f>'Monthly Data'!K83</f>
        <v>1276</v>
      </c>
      <c r="L35" s="5">
        <f>'Monthly Data'!L83</f>
        <v>5081850</v>
      </c>
      <c r="M35" s="2">
        <f>'Monthly Data'!M83</f>
        <v>194623.36941029175</v>
      </c>
      <c r="N35" s="56">
        <f>'Monthly Data'!N83</f>
        <v>5276473.3694102913</v>
      </c>
      <c r="O35" s="5">
        <f>'Monthly Data'!O83</f>
        <v>17107.2</v>
      </c>
      <c r="P35" s="6">
        <f>'Monthly Data'!P83</f>
        <v>141</v>
      </c>
      <c r="Q35" s="5">
        <f>'Monthly Data'!Q83</f>
        <v>85201</v>
      </c>
      <c r="R35" s="5">
        <f>'Monthly Data'!R83</f>
        <v>235.10000000000002</v>
      </c>
      <c r="S35" s="6">
        <f>'Monthly Data'!S83</f>
        <v>2920</v>
      </c>
      <c r="T35" s="6">
        <f>'Monthly Data'!T83</f>
        <v>15814</v>
      </c>
      <c r="U35" s="6">
        <f>'Monthly Data'!U83</f>
        <v>43.099999999999987</v>
      </c>
      <c r="V35" s="6">
        <f>'Monthly Data'!V83</f>
        <v>177</v>
      </c>
      <c r="W35" s="5">
        <f>'Monthly Data'!W83</f>
        <v>49682</v>
      </c>
      <c r="X35" s="56">
        <f>'Monthly Data'!X83</f>
        <v>19</v>
      </c>
      <c r="Y35" s="56">
        <f>'Monthly Data'!Y83</f>
        <v>11505.6</v>
      </c>
      <c r="Z35" s="56">
        <f>'Monthly Data'!Z83</f>
        <v>1385.6</v>
      </c>
      <c r="AA35" s="56">
        <f>'Monthly Data'!AA83</f>
        <v>5070344.4000000004</v>
      </c>
      <c r="AB35" s="56">
        <f>'Monthly Data'!AB83</f>
        <v>5264967.7694102917</v>
      </c>
      <c r="AC35" s="56">
        <f>'Monthly Data'!AC83</f>
        <v>15721.6</v>
      </c>
      <c r="AD35" s="111">
        <f>'Monthly Data'!AD83</f>
        <v>850461.9</v>
      </c>
      <c r="AE35" s="111">
        <f>'Monthly Data'!AE83</f>
        <v>856887</v>
      </c>
      <c r="AF35" s="111">
        <f>'Monthly Data'!AF83</f>
        <v>7776.1</v>
      </c>
      <c r="AG35" s="111">
        <f>'Monthly Data'!AG83</f>
        <v>7778.7</v>
      </c>
      <c r="AH35" s="111">
        <f>'Monthly Data'!AH83</f>
        <v>646.9</v>
      </c>
      <c r="AI35" s="111">
        <f>'Monthly Data'!AI83</f>
        <v>644.79999999999995</v>
      </c>
      <c r="AJ35" s="111">
        <f>'Monthly Data'!AJ83</f>
        <v>238.40000000000055</v>
      </c>
      <c r="AK35" s="111">
        <f>'Monthly Data'!AK83</f>
        <v>231.59999999999945</v>
      </c>
      <c r="AL35" s="111">
        <f>'Monthly Data'!AL83</f>
        <v>33.399999999999977</v>
      </c>
      <c r="AM35" s="111">
        <f>'Monthly Data'!AM83</f>
        <v>34.5</v>
      </c>
      <c r="AN35" s="111">
        <f>'Monthly Data'!AN83</f>
        <v>33196.400000000023</v>
      </c>
      <c r="AO35" s="111">
        <f>'Monthly Data'!AO83</f>
        <v>68</v>
      </c>
      <c r="AP35" s="28">
        <f>'Monthly Data'!AP83</f>
        <v>7.5287634408602147</v>
      </c>
      <c r="AQ35" s="28">
        <f>'Monthly Data'!AQ83</f>
        <v>386.60833333333323</v>
      </c>
      <c r="AR35" s="28">
        <f>'Monthly Data'!AR83</f>
        <v>0</v>
      </c>
      <c r="AS35" s="28">
        <f>'Monthly Data'!AS83</f>
        <v>324.60833333333329</v>
      </c>
      <c r="AT35" s="28">
        <f>'Monthly Data'!AT83</f>
        <v>0</v>
      </c>
      <c r="AU35" s="28">
        <f>'Monthly Data'!AU83</f>
        <v>262.60833333333335</v>
      </c>
      <c r="AV35" s="28">
        <f>'Monthly Data'!AV83</f>
        <v>0</v>
      </c>
      <c r="AW35" s="28">
        <f>'Monthly Data'!AW83</f>
        <v>201.29999999999998</v>
      </c>
      <c r="AX35" s="28">
        <f>'Monthly Data'!AX83</f>
        <v>0.69166666666666821</v>
      </c>
      <c r="AY35" s="28">
        <f>'Monthly Data'!AY83</f>
        <v>145.83750000000001</v>
      </c>
      <c r="AZ35" s="28">
        <f>'Monthly Data'!AZ83</f>
        <v>7.2291666666666661</v>
      </c>
      <c r="BA35" s="28">
        <f>'Monthly Data'!BA83</f>
        <v>98.6</v>
      </c>
      <c r="BB35" s="28">
        <f>'Monthly Data'!BB83</f>
        <v>21.991666666666667</v>
      </c>
      <c r="BC35" s="28">
        <f>'Monthly Data'!BC83</f>
        <v>56.249999999999993</v>
      </c>
      <c r="BD35" s="28">
        <f>'Monthly Data'!BD83</f>
        <v>41.641666666666673</v>
      </c>
      <c r="BE35">
        <f>'Monthly Data'!BE83</f>
        <v>0</v>
      </c>
      <c r="BF35">
        <f>'Monthly Data'!BF83</f>
        <v>0</v>
      </c>
      <c r="BG35">
        <f>'Monthly Data'!BG83</f>
        <v>0</v>
      </c>
      <c r="BH35">
        <f>'Monthly Data'!BH83</f>
        <v>0</v>
      </c>
      <c r="BI35">
        <f>'Monthly Data'!BI83</f>
        <v>0</v>
      </c>
      <c r="BJ35">
        <f>'Monthly Data'!BJ83</f>
        <v>0</v>
      </c>
      <c r="BK35">
        <f>'Monthly Data'!BK83</f>
        <v>0</v>
      </c>
      <c r="BL35">
        <f>'Monthly Data'!BL83</f>
        <v>0</v>
      </c>
      <c r="BM35">
        <f>'Monthly Data'!BM83</f>
        <v>0</v>
      </c>
      <c r="BN35">
        <f>'Monthly Data'!BN83</f>
        <v>1</v>
      </c>
      <c r="BO35">
        <f>'Monthly Data'!BO83</f>
        <v>0</v>
      </c>
      <c r="BP35">
        <f>'Monthly Data'!BP83</f>
        <v>0</v>
      </c>
      <c r="BQ35" s="1">
        <f>'Monthly Data'!BQ83</f>
        <v>0</v>
      </c>
      <c r="BR35" s="1">
        <f>'Monthly Data'!BR83</f>
        <v>1</v>
      </c>
      <c r="BS35" s="1">
        <f>'Monthly Data'!BS83</f>
        <v>1</v>
      </c>
      <c r="BT35" s="1">
        <f>'Monthly Data'!BT83</f>
        <v>82</v>
      </c>
      <c r="BU35">
        <f>'Monthly Data'!BU83</f>
        <v>31</v>
      </c>
      <c r="BV35" s="1">
        <f>'Monthly Data'!BV83</f>
        <v>21</v>
      </c>
      <c r="BW35" s="1">
        <f>'Monthly Data'!BW83</f>
        <v>0.5</v>
      </c>
      <c r="BX35" s="1">
        <f>'Monthly Data'!BX83</f>
        <v>0.25</v>
      </c>
      <c r="BY35" s="1">
        <f>'Monthly Data'!BY83</f>
        <v>0.5</v>
      </c>
      <c r="BZ35" s="1">
        <f>'Monthly Data'!BZ83</f>
        <v>0</v>
      </c>
      <c r="CA35">
        <f>'Monthly Data'!CA83</f>
        <v>96.652083333333309</v>
      </c>
      <c r="CB35">
        <f>'Monthly Data'!CB83</f>
        <v>0</v>
      </c>
      <c r="CC35">
        <f>'Monthly Data'!CC83</f>
        <v>81.152083333333323</v>
      </c>
      <c r="CD35">
        <f>'Monthly Data'!CD83</f>
        <v>0</v>
      </c>
      <c r="CE35">
        <f>'Monthly Data'!CE83</f>
        <v>65.652083333333337</v>
      </c>
      <c r="CF35">
        <f>'Monthly Data'!CF83</f>
        <v>0</v>
      </c>
      <c r="CG35">
        <f>'Monthly Data'!CG83</f>
        <v>50.324999999999996</v>
      </c>
      <c r="CH35">
        <f>'Monthly Data'!CH83</f>
        <v>0.17291666666666705</v>
      </c>
      <c r="CI35">
        <f>'Monthly Data'!CI83</f>
        <v>36.459375000000001</v>
      </c>
      <c r="CJ35">
        <f>'Monthly Data'!CJ83</f>
        <v>1.8072916666666665</v>
      </c>
      <c r="CK35">
        <f>'Monthly Data'!CK83</f>
        <v>24.65</v>
      </c>
      <c r="CL35">
        <f>'Monthly Data'!CL83</f>
        <v>5.4979166666666668</v>
      </c>
      <c r="CM35">
        <f>'Monthly Data'!CM83</f>
        <v>14.062499999999998</v>
      </c>
      <c r="CN35">
        <f>'Monthly Data'!CN83</f>
        <v>10.410416666666668</v>
      </c>
      <c r="CO35" s="14">
        <f>'Monthly Data'!CO83</f>
        <v>193.30416666666662</v>
      </c>
      <c r="CP35" s="14">
        <f>'Monthly Data'!CP83</f>
        <v>0</v>
      </c>
      <c r="CQ35" s="14">
        <f>'Monthly Data'!CQ83</f>
        <v>162.30416666666665</v>
      </c>
      <c r="CR35" s="14">
        <f>'Monthly Data'!CR83</f>
        <v>0</v>
      </c>
      <c r="CS35" s="14">
        <f>'Monthly Data'!CS83</f>
        <v>131.30416666666667</v>
      </c>
      <c r="CT35" s="14">
        <f>'Monthly Data'!CT83</f>
        <v>0</v>
      </c>
      <c r="CU35" s="14">
        <f>'Monthly Data'!CU83</f>
        <v>100.64999999999999</v>
      </c>
      <c r="CV35" s="14">
        <f>'Monthly Data'!CV83</f>
        <v>0.3458333333333341</v>
      </c>
      <c r="CW35" s="14">
        <f>'Monthly Data'!CW83</f>
        <v>72.918750000000003</v>
      </c>
      <c r="CX35" s="14">
        <f>'Monthly Data'!CX83</f>
        <v>3.614583333333333</v>
      </c>
      <c r="CY35" s="14">
        <f>'Monthly Data'!CY83</f>
        <v>49.3</v>
      </c>
      <c r="CZ35" s="14">
        <f>'Monthly Data'!CZ83</f>
        <v>10.995833333333334</v>
      </c>
      <c r="DA35" s="14">
        <f>'Monthly Data'!DA83</f>
        <v>28.124999999999996</v>
      </c>
      <c r="DB35" s="14">
        <f>'Monthly Data'!DB83</f>
        <v>20.820833333333336</v>
      </c>
      <c r="DC35" s="72">
        <f>'Monthly Data'!DC83</f>
        <v>593.65192846198249</v>
      </c>
      <c r="DD35" s="72">
        <f>'Monthly Data'!DD83</f>
        <v>19.150062208451047</v>
      </c>
      <c r="DE35" s="71">
        <f>'Monthly Data'!DE83</f>
        <v>195483.83502386831</v>
      </c>
      <c r="DF35" s="72">
        <f>'Monthly Data'!DF83</f>
        <v>1767.9594551339021</v>
      </c>
      <c r="DG35" s="72">
        <f>'Monthly Data'!DG83</f>
        <v>57.030950165609745</v>
      </c>
      <c r="DH35" s="72">
        <f>'Monthly Data'!DH83</f>
        <v>72771.492411318046</v>
      </c>
      <c r="DI35" s="72">
        <f>'Monthly Data'!DI83</f>
        <v>37421.796946172282</v>
      </c>
      <c r="DJ35" s="72">
        <f>'Monthly Data'!DJ83</f>
        <v>1207.1547401991058</v>
      </c>
      <c r="DK35" s="72">
        <f>'Monthly Data'!DK83</f>
        <v>1781.9903307701086</v>
      </c>
      <c r="DL35" s="72">
        <f>'Monthly Data'!DL83</f>
        <v>170208.8183680739</v>
      </c>
      <c r="DM35" s="72">
        <f>'Monthly Data'!DM83</f>
        <v>251260.6366385853</v>
      </c>
    </row>
    <row r="36" spans="1:117">
      <c r="A36" s="93">
        <f>'Monthly Data'!A84</f>
        <v>44866</v>
      </c>
      <c r="B36" s="4">
        <f>'Monthly Data'!B84</f>
        <v>2022</v>
      </c>
      <c r="C36" s="4">
        <f>'Monthly Data'!C84</f>
        <v>11</v>
      </c>
      <c r="D36" s="56">
        <f>'Monthly Data'!D84</f>
        <v>6641506</v>
      </c>
      <c r="E36" s="56">
        <f>'Monthly Data'!E84</f>
        <v>164590.36985579156</v>
      </c>
      <c r="F36" s="56">
        <f>'Monthly Data'!F84</f>
        <v>6806096.3698557913</v>
      </c>
      <c r="G36" s="301">
        <f>'Monthly Data'!G84</f>
        <v>10218</v>
      </c>
      <c r="H36" s="56">
        <f>'Monthly Data'!H84</f>
        <v>2336241</v>
      </c>
      <c r="I36" s="56">
        <f>'Monthly Data'!I84</f>
        <v>212978.57533081286</v>
      </c>
      <c r="J36" s="56">
        <f>'Monthly Data'!J84</f>
        <v>2549219.5753308129</v>
      </c>
      <c r="K36" s="6">
        <f>'Monthly Data'!K84</f>
        <v>1275</v>
      </c>
      <c r="L36" s="5">
        <f>'Monthly Data'!L84</f>
        <v>6293895.7599999998</v>
      </c>
      <c r="M36" s="2">
        <f>'Monthly Data'!M84</f>
        <v>197413.8981410737</v>
      </c>
      <c r="N36" s="56">
        <f>'Monthly Data'!N84</f>
        <v>6491309.6581410738</v>
      </c>
      <c r="O36" s="5">
        <f>'Monthly Data'!O84</f>
        <v>16044.2</v>
      </c>
      <c r="P36" s="6">
        <f>'Monthly Data'!P84</f>
        <v>141</v>
      </c>
      <c r="Q36" s="5">
        <f>'Monthly Data'!Q84</f>
        <v>100923</v>
      </c>
      <c r="R36" s="5">
        <f>'Monthly Data'!R84</f>
        <v>235.2</v>
      </c>
      <c r="S36" s="6">
        <f>'Monthly Data'!S84</f>
        <v>2920</v>
      </c>
      <c r="T36" s="6">
        <f>'Monthly Data'!T84</f>
        <v>13310</v>
      </c>
      <c r="U36" s="6">
        <f>'Monthly Data'!U84</f>
        <v>36.1</v>
      </c>
      <c r="V36" s="6">
        <f>'Monthly Data'!V84</f>
        <v>177</v>
      </c>
      <c r="W36" s="5">
        <f>'Monthly Data'!W84</f>
        <v>48589</v>
      </c>
      <c r="X36" s="56">
        <f>'Monthly Data'!X84</f>
        <v>19</v>
      </c>
      <c r="Y36" s="56">
        <f>'Monthly Data'!Y84</f>
        <v>1080057.76</v>
      </c>
      <c r="Z36" s="56">
        <f>'Monthly Data'!Z84</f>
        <v>6844.8</v>
      </c>
      <c r="AA36" s="56">
        <f>'Monthly Data'!AA84</f>
        <v>5213838</v>
      </c>
      <c r="AB36" s="56">
        <f>'Monthly Data'!AB84</f>
        <v>5411251.898141074</v>
      </c>
      <c r="AC36" s="56">
        <f>'Monthly Data'!AC84</f>
        <v>9199.4000000000015</v>
      </c>
      <c r="AD36" s="111">
        <f>'Monthly Data'!AD84</f>
        <v>850461.9</v>
      </c>
      <c r="AE36" s="111">
        <f>'Monthly Data'!AE84</f>
        <v>856887</v>
      </c>
      <c r="AF36" s="111">
        <f>'Monthly Data'!AF84</f>
        <v>7791.7</v>
      </c>
      <c r="AG36" s="111">
        <f>'Monthly Data'!AG84</f>
        <v>7783.8</v>
      </c>
      <c r="AH36" s="111">
        <f>'Monthly Data'!AH84</f>
        <v>649.70000000000005</v>
      </c>
      <c r="AI36" s="111">
        <f>'Monthly Data'!AI84</f>
        <v>645.6</v>
      </c>
      <c r="AJ36" s="111">
        <f>'Monthly Data'!AJ84</f>
        <v>187.69999999999982</v>
      </c>
      <c r="AK36" s="111">
        <f>'Monthly Data'!AK84</f>
        <v>179</v>
      </c>
      <c r="AL36" s="111">
        <f>'Monthly Data'!AL84</f>
        <v>35.5</v>
      </c>
      <c r="AM36" s="111">
        <f>'Monthly Data'!AM84</f>
        <v>35.600000000000023</v>
      </c>
      <c r="AN36" s="111">
        <f>'Monthly Data'!AN84</f>
        <v>33196.400000000023</v>
      </c>
      <c r="AO36" s="111">
        <f>'Monthly Data'!AO84</f>
        <v>68</v>
      </c>
      <c r="AP36" s="28">
        <f>'Monthly Data'!AP84</f>
        <v>2.9962500000000007</v>
      </c>
      <c r="AQ36" s="28">
        <f>'Monthly Data'!AQ84</f>
        <v>510.11250000000007</v>
      </c>
      <c r="AR36" s="28">
        <f>'Monthly Data'!AR84</f>
        <v>0</v>
      </c>
      <c r="AS36" s="28">
        <f>'Monthly Data'!AS84</f>
        <v>451.01250000000005</v>
      </c>
      <c r="AT36" s="28">
        <f>'Monthly Data'!AT84</f>
        <v>0.90000000000000213</v>
      </c>
      <c r="AU36" s="28">
        <f>'Monthly Data'!AU84</f>
        <v>393.01249999999999</v>
      </c>
      <c r="AV36" s="28">
        <f>'Monthly Data'!AV84</f>
        <v>2.9000000000000021</v>
      </c>
      <c r="AW36" s="28">
        <f>'Monthly Data'!AW84</f>
        <v>337.95416666666665</v>
      </c>
      <c r="AX36" s="28">
        <f>'Monthly Data'!AX84</f>
        <v>7.8416666666666703</v>
      </c>
      <c r="AY36" s="28">
        <f>'Monthly Data'!AY84</f>
        <v>285.19583333333333</v>
      </c>
      <c r="AZ36" s="28">
        <f>'Monthly Data'!AZ84</f>
        <v>15.083333333333337</v>
      </c>
      <c r="BA36" s="28">
        <f>'Monthly Data'!BA84</f>
        <v>235.98749999999995</v>
      </c>
      <c r="BB36" s="28">
        <f>'Monthly Data'!BB84</f>
        <v>25.875</v>
      </c>
      <c r="BC36" s="28">
        <f>'Monthly Data'!BC84</f>
        <v>189.73750000000001</v>
      </c>
      <c r="BD36" s="28">
        <f>'Monthly Data'!BD84</f>
        <v>39.625</v>
      </c>
      <c r="BE36">
        <f>'Monthly Data'!BE84</f>
        <v>0</v>
      </c>
      <c r="BF36">
        <f>'Monthly Data'!BF84</f>
        <v>0</v>
      </c>
      <c r="BG36">
        <f>'Monthly Data'!BG84</f>
        <v>0</v>
      </c>
      <c r="BH36">
        <f>'Monthly Data'!BH84</f>
        <v>0</v>
      </c>
      <c r="BI36">
        <f>'Monthly Data'!BI84</f>
        <v>0</v>
      </c>
      <c r="BJ36">
        <f>'Monthly Data'!BJ84</f>
        <v>0</v>
      </c>
      <c r="BK36">
        <f>'Monthly Data'!BK84</f>
        <v>0</v>
      </c>
      <c r="BL36">
        <f>'Monthly Data'!BL84</f>
        <v>0</v>
      </c>
      <c r="BM36">
        <f>'Monthly Data'!BM84</f>
        <v>0</v>
      </c>
      <c r="BN36">
        <f>'Monthly Data'!BN84</f>
        <v>0</v>
      </c>
      <c r="BO36">
        <f>'Monthly Data'!BO84</f>
        <v>1</v>
      </c>
      <c r="BP36">
        <f>'Monthly Data'!BP84</f>
        <v>0</v>
      </c>
      <c r="BQ36" s="1">
        <f>'Monthly Data'!BQ84</f>
        <v>0</v>
      </c>
      <c r="BR36" s="1">
        <f>'Monthly Data'!BR84</f>
        <v>1</v>
      </c>
      <c r="BS36" s="1">
        <f>'Monthly Data'!BS84</f>
        <v>1</v>
      </c>
      <c r="BT36" s="1">
        <f>'Monthly Data'!BT84</f>
        <v>83</v>
      </c>
      <c r="BU36">
        <f>'Monthly Data'!BU84</f>
        <v>30</v>
      </c>
      <c r="BV36" s="1">
        <f>'Monthly Data'!BV84</f>
        <v>21</v>
      </c>
      <c r="BW36" s="1">
        <f>'Monthly Data'!BW84</f>
        <v>0.5</v>
      </c>
      <c r="BX36" s="1">
        <f>'Monthly Data'!BX84</f>
        <v>0.25</v>
      </c>
      <c r="BY36" s="1">
        <f>'Monthly Data'!BY84</f>
        <v>0.5</v>
      </c>
      <c r="BZ36" s="1">
        <f>'Monthly Data'!BZ84</f>
        <v>0</v>
      </c>
      <c r="CA36">
        <f>'Monthly Data'!CA84</f>
        <v>127.52812500000002</v>
      </c>
      <c r="CB36">
        <f>'Monthly Data'!CB84</f>
        <v>0</v>
      </c>
      <c r="CC36">
        <f>'Monthly Data'!CC84</f>
        <v>112.75312500000001</v>
      </c>
      <c r="CD36">
        <f>'Monthly Data'!CD84</f>
        <v>0.22500000000000053</v>
      </c>
      <c r="CE36">
        <f>'Monthly Data'!CE84</f>
        <v>98.253124999999997</v>
      </c>
      <c r="CF36">
        <f>'Monthly Data'!CF84</f>
        <v>0.72500000000000053</v>
      </c>
      <c r="CG36">
        <f>'Monthly Data'!CG84</f>
        <v>84.488541666666663</v>
      </c>
      <c r="CH36">
        <f>'Monthly Data'!CH84</f>
        <v>1.9604166666666676</v>
      </c>
      <c r="CI36">
        <f>'Monthly Data'!CI84</f>
        <v>71.298958333333331</v>
      </c>
      <c r="CJ36">
        <f>'Monthly Data'!CJ84</f>
        <v>3.7708333333333344</v>
      </c>
      <c r="CK36">
        <f>'Monthly Data'!CK84</f>
        <v>58.996874999999989</v>
      </c>
      <c r="CL36">
        <f>'Monthly Data'!CL84</f>
        <v>6.46875</v>
      </c>
      <c r="CM36">
        <f>'Monthly Data'!CM84</f>
        <v>47.434375000000003</v>
      </c>
      <c r="CN36">
        <f>'Monthly Data'!CN84</f>
        <v>9.90625</v>
      </c>
      <c r="CO36" s="14">
        <f>'Monthly Data'!CO84</f>
        <v>255.05625000000003</v>
      </c>
      <c r="CP36" s="14">
        <f>'Monthly Data'!CP84</f>
        <v>0</v>
      </c>
      <c r="CQ36" s="14">
        <f>'Monthly Data'!CQ84</f>
        <v>225.50625000000002</v>
      </c>
      <c r="CR36" s="14">
        <f>'Monthly Data'!CR84</f>
        <v>0.45000000000000107</v>
      </c>
      <c r="CS36" s="14">
        <f>'Monthly Data'!CS84</f>
        <v>196.50624999999999</v>
      </c>
      <c r="CT36" s="14">
        <f>'Monthly Data'!CT84</f>
        <v>1.4500000000000011</v>
      </c>
      <c r="CU36" s="14">
        <f>'Monthly Data'!CU84</f>
        <v>168.97708333333333</v>
      </c>
      <c r="CV36" s="14">
        <f>'Monthly Data'!CV84</f>
        <v>3.9208333333333352</v>
      </c>
      <c r="CW36" s="14">
        <f>'Monthly Data'!CW84</f>
        <v>142.59791666666666</v>
      </c>
      <c r="CX36" s="14">
        <f>'Monthly Data'!CX84</f>
        <v>7.5416666666666687</v>
      </c>
      <c r="CY36" s="14">
        <f>'Monthly Data'!CY84</f>
        <v>117.99374999999998</v>
      </c>
      <c r="CZ36" s="14">
        <f>'Monthly Data'!CZ84</f>
        <v>12.9375</v>
      </c>
      <c r="DA36" s="14">
        <f>'Monthly Data'!DA84</f>
        <v>94.868750000000006</v>
      </c>
      <c r="DB36" s="14">
        <f>'Monthly Data'!DB84</f>
        <v>19.8125</v>
      </c>
      <c r="DC36" s="72">
        <f>'Monthly Data'!DC84</f>
        <v>666.08889898764835</v>
      </c>
      <c r="DD36" s="72">
        <f>'Monthly Data'!DD84</f>
        <v>22.20296329958828</v>
      </c>
      <c r="DE36" s="71">
        <f>'Monthly Data'!DE84</f>
        <v>226869.87899519305</v>
      </c>
      <c r="DF36" s="72">
        <f>'Monthly Data'!DF84</f>
        <v>1999.3879022202455</v>
      </c>
      <c r="DG36" s="72">
        <f>'Monthly Data'!DG84</f>
        <v>66.646263407341522</v>
      </c>
      <c r="DH36" s="72">
        <f>'Monthly Data'!DH84</f>
        <v>84973.985844360432</v>
      </c>
      <c r="DI36" s="72">
        <f>'Monthly Data'!DI84</f>
        <v>46037.657149936691</v>
      </c>
      <c r="DJ36" s="72">
        <f>'Monthly Data'!DJ84</f>
        <v>1534.5885716645564</v>
      </c>
      <c r="DK36" s="72">
        <f>'Monthly Data'!DK84</f>
        <v>2192.2693880922234</v>
      </c>
      <c r="DL36" s="72">
        <f>'Monthly Data'!DL84</f>
        <v>216376.98860470246</v>
      </c>
      <c r="DM36" s="72">
        <f>'Monthly Data'!DM84</f>
        <v>309109.98372100352</v>
      </c>
    </row>
    <row r="37" spans="1:117">
      <c r="A37" s="93">
        <f>'Monthly Data'!A85</f>
        <v>44896</v>
      </c>
      <c r="B37" s="4">
        <f>'Monthly Data'!B85</f>
        <v>2022</v>
      </c>
      <c r="C37" s="4">
        <f>'Monthly Data'!C85</f>
        <v>12</v>
      </c>
      <c r="D37" s="56">
        <f>'Monthly Data'!D85</f>
        <v>8217875</v>
      </c>
      <c r="E37" s="56">
        <f>'Monthly Data'!E85</f>
        <v>164700.85397166482</v>
      </c>
      <c r="F37" s="56">
        <f>'Monthly Data'!F85</f>
        <v>8382575.8539716648</v>
      </c>
      <c r="G37" s="301">
        <f>'Monthly Data'!G85</f>
        <v>10223</v>
      </c>
      <c r="H37" s="56">
        <f>'Monthly Data'!H85</f>
        <v>2724795</v>
      </c>
      <c r="I37" s="56">
        <f>'Monthly Data'!I85</f>
        <v>215594.88591076632</v>
      </c>
      <c r="J37" s="56">
        <f>'Monthly Data'!J85</f>
        <v>2940389.8859107662</v>
      </c>
      <c r="K37" s="6">
        <f>'Monthly Data'!K85</f>
        <v>1274</v>
      </c>
      <c r="L37" s="5">
        <f>'Monthly Data'!L85</f>
        <v>6183638.5199999996</v>
      </c>
      <c r="M37" s="2">
        <f>'Monthly Data'!M85</f>
        <v>200204.42687185569</v>
      </c>
      <c r="N37" s="56">
        <f>'Monthly Data'!N85</f>
        <v>6383842.9468718553</v>
      </c>
      <c r="O37" s="5">
        <f>'Monthly Data'!O85</f>
        <v>19671.660000000003</v>
      </c>
      <c r="P37" s="6">
        <f>'Monthly Data'!P85</f>
        <v>141</v>
      </c>
      <c r="Q37" s="5">
        <f>'Monthly Data'!Q85</f>
        <v>109310</v>
      </c>
      <c r="R37" s="5">
        <f>'Monthly Data'!R85</f>
        <v>235.2</v>
      </c>
      <c r="S37" s="6">
        <f>'Monthly Data'!S85</f>
        <v>2920</v>
      </c>
      <c r="T37" s="6">
        <f>'Monthly Data'!T85</f>
        <v>17897</v>
      </c>
      <c r="U37" s="6">
        <f>'Monthly Data'!U85</f>
        <v>52.4</v>
      </c>
      <c r="V37" s="6">
        <f>'Monthly Data'!V85</f>
        <v>177</v>
      </c>
      <c r="W37" s="5">
        <f>'Monthly Data'!W85</f>
        <v>49639</v>
      </c>
      <c r="X37" s="56">
        <f>'Monthly Data'!X85</f>
        <v>19</v>
      </c>
      <c r="Y37" s="56">
        <f>'Monthly Data'!Y85</f>
        <v>518047.52</v>
      </c>
      <c r="Z37" s="56">
        <f>'Monthly Data'!Z85</f>
        <v>6552.96</v>
      </c>
      <c r="AA37" s="56">
        <f>'Monthly Data'!AA85</f>
        <v>5665591</v>
      </c>
      <c r="AB37" s="56">
        <f>'Monthly Data'!AB85</f>
        <v>5865795.4268718548</v>
      </c>
      <c r="AC37" s="56">
        <f>'Monthly Data'!AC85</f>
        <v>13118.700000000004</v>
      </c>
      <c r="AD37" s="111">
        <f>'Monthly Data'!AD85</f>
        <v>850461.9</v>
      </c>
      <c r="AE37" s="111">
        <f>'Monthly Data'!AE85</f>
        <v>856887</v>
      </c>
      <c r="AF37" s="111">
        <f>'Monthly Data'!AF85</f>
        <v>7829.3</v>
      </c>
      <c r="AG37" s="111">
        <f>'Monthly Data'!AG85</f>
        <v>7828.5</v>
      </c>
      <c r="AH37" s="111">
        <f>'Monthly Data'!AH85</f>
        <v>650.5</v>
      </c>
      <c r="AI37" s="111">
        <f>'Monthly Data'!AI85</f>
        <v>647</v>
      </c>
      <c r="AJ37" s="111">
        <f>'Monthly Data'!AJ85</f>
        <v>170.80000000000018</v>
      </c>
      <c r="AK37" s="111">
        <f>'Monthly Data'!AK85</f>
        <v>165.69999999999982</v>
      </c>
      <c r="AL37" s="111">
        <f>'Monthly Data'!AL85</f>
        <v>34.100000000000023</v>
      </c>
      <c r="AM37" s="111">
        <f>'Monthly Data'!AM85</f>
        <v>33.799999999999955</v>
      </c>
      <c r="AN37" s="111">
        <f>'Monthly Data'!AN85</f>
        <v>33196.400000000023</v>
      </c>
      <c r="AO37" s="111">
        <f>'Monthly Data'!AO85</f>
        <v>68</v>
      </c>
      <c r="AP37" s="28">
        <f>'Monthly Data'!AP85</f>
        <v>-3.3372311827956986</v>
      </c>
      <c r="AQ37" s="28">
        <f>'Monthly Data'!AQ85</f>
        <v>723.45416666666654</v>
      </c>
      <c r="AR37" s="28">
        <f>'Monthly Data'!AR85</f>
        <v>0</v>
      </c>
      <c r="AS37" s="28">
        <f>'Monthly Data'!AS85</f>
        <v>661.45416666666654</v>
      </c>
      <c r="AT37" s="28">
        <f>'Monthly Data'!AT85</f>
        <v>0</v>
      </c>
      <c r="AU37" s="28">
        <f>'Monthly Data'!AU85</f>
        <v>599.45416666666654</v>
      </c>
      <c r="AV37" s="28">
        <f>'Monthly Data'!AV85</f>
        <v>0</v>
      </c>
      <c r="AW37" s="28">
        <f>'Monthly Data'!AW85</f>
        <v>537.45416666666665</v>
      </c>
      <c r="AX37" s="28">
        <f>'Monthly Data'!AX85</f>
        <v>0</v>
      </c>
      <c r="AY37" s="28">
        <f>'Monthly Data'!AY85</f>
        <v>475.45416666666677</v>
      </c>
      <c r="AZ37" s="28">
        <f>'Monthly Data'!AZ85</f>
        <v>0</v>
      </c>
      <c r="BA37" s="28">
        <f>'Monthly Data'!BA85</f>
        <v>413.45416666666677</v>
      </c>
      <c r="BB37" s="28">
        <f>'Monthly Data'!BB85</f>
        <v>0</v>
      </c>
      <c r="BC37" s="28">
        <f>'Monthly Data'!BC85</f>
        <v>351.45416666666677</v>
      </c>
      <c r="BD37" s="28">
        <f>'Monthly Data'!BD85</f>
        <v>0</v>
      </c>
      <c r="BE37">
        <f>'Monthly Data'!BE85</f>
        <v>0</v>
      </c>
      <c r="BF37">
        <f>'Monthly Data'!BF85</f>
        <v>0</v>
      </c>
      <c r="BG37">
        <f>'Monthly Data'!BG85</f>
        <v>0</v>
      </c>
      <c r="BH37">
        <f>'Monthly Data'!BH85</f>
        <v>0</v>
      </c>
      <c r="BI37">
        <f>'Monthly Data'!BI85</f>
        <v>0</v>
      </c>
      <c r="BJ37">
        <f>'Monthly Data'!BJ85</f>
        <v>0</v>
      </c>
      <c r="BK37">
        <f>'Monthly Data'!BK85</f>
        <v>0</v>
      </c>
      <c r="BL37">
        <f>'Monthly Data'!BL85</f>
        <v>0</v>
      </c>
      <c r="BM37">
        <f>'Monthly Data'!BM85</f>
        <v>0</v>
      </c>
      <c r="BN37">
        <f>'Monthly Data'!BN85</f>
        <v>0</v>
      </c>
      <c r="BO37">
        <f>'Monthly Data'!BO85</f>
        <v>0</v>
      </c>
      <c r="BP37">
        <f>'Monthly Data'!BP85</f>
        <v>1</v>
      </c>
      <c r="BQ37" s="1">
        <f>'Monthly Data'!BQ85</f>
        <v>0</v>
      </c>
      <c r="BR37" s="1">
        <f>'Monthly Data'!BR85</f>
        <v>0</v>
      </c>
      <c r="BS37" s="1">
        <f>'Monthly Data'!BS85</f>
        <v>0</v>
      </c>
      <c r="BT37" s="1">
        <f>'Monthly Data'!BT85</f>
        <v>84</v>
      </c>
      <c r="BU37">
        <f>'Monthly Data'!BU85</f>
        <v>31</v>
      </c>
      <c r="BV37" s="1">
        <f>'Monthly Data'!BV85</f>
        <v>21</v>
      </c>
      <c r="BW37" s="1">
        <f>'Monthly Data'!BW85</f>
        <v>0.5</v>
      </c>
      <c r="BX37" s="1">
        <f>'Monthly Data'!BX85</f>
        <v>0.25</v>
      </c>
      <c r="BY37" s="1">
        <f>'Monthly Data'!BY85</f>
        <v>0.5</v>
      </c>
      <c r="BZ37" s="1">
        <f>'Monthly Data'!BZ85</f>
        <v>0</v>
      </c>
      <c r="CA37">
        <f>'Monthly Data'!CA85</f>
        <v>180.86354166666663</v>
      </c>
      <c r="CB37">
        <f>'Monthly Data'!CB85</f>
        <v>0</v>
      </c>
      <c r="CC37">
        <f>'Monthly Data'!CC85</f>
        <v>165.36354166666663</v>
      </c>
      <c r="CD37">
        <f>'Monthly Data'!CD85</f>
        <v>0</v>
      </c>
      <c r="CE37">
        <f>'Monthly Data'!CE85</f>
        <v>149.86354166666663</v>
      </c>
      <c r="CF37">
        <f>'Monthly Data'!CF85</f>
        <v>0</v>
      </c>
      <c r="CG37">
        <f>'Monthly Data'!CG85</f>
        <v>134.36354166666666</v>
      </c>
      <c r="CH37">
        <f>'Monthly Data'!CH85</f>
        <v>0</v>
      </c>
      <c r="CI37">
        <f>'Monthly Data'!CI85</f>
        <v>118.86354166666669</v>
      </c>
      <c r="CJ37">
        <f>'Monthly Data'!CJ85</f>
        <v>0</v>
      </c>
      <c r="CK37">
        <f>'Monthly Data'!CK85</f>
        <v>103.36354166666669</v>
      </c>
      <c r="CL37">
        <f>'Monthly Data'!CL85</f>
        <v>0</v>
      </c>
      <c r="CM37">
        <f>'Monthly Data'!CM85</f>
        <v>87.863541666666691</v>
      </c>
      <c r="CN37">
        <f>'Monthly Data'!CN85</f>
        <v>0</v>
      </c>
      <c r="CO37" s="14">
        <f>'Monthly Data'!CO85</f>
        <v>361.72708333333327</v>
      </c>
      <c r="CP37" s="14">
        <f>'Monthly Data'!CP85</f>
        <v>0</v>
      </c>
      <c r="CQ37" s="14">
        <f>'Monthly Data'!CQ85</f>
        <v>330.72708333333327</v>
      </c>
      <c r="CR37" s="14">
        <f>'Monthly Data'!CR85</f>
        <v>0</v>
      </c>
      <c r="CS37" s="14">
        <f>'Monthly Data'!CS85</f>
        <v>299.72708333333327</v>
      </c>
      <c r="CT37" s="14">
        <f>'Monthly Data'!CT85</f>
        <v>0</v>
      </c>
      <c r="CU37" s="14">
        <f>'Monthly Data'!CU85</f>
        <v>268.72708333333333</v>
      </c>
      <c r="CV37" s="14">
        <f>'Monthly Data'!CV85</f>
        <v>0</v>
      </c>
      <c r="CW37" s="14">
        <f>'Monthly Data'!CW85</f>
        <v>237.72708333333338</v>
      </c>
      <c r="CX37" s="14">
        <f>'Monthly Data'!CX85</f>
        <v>0</v>
      </c>
      <c r="CY37" s="14">
        <f>'Monthly Data'!CY85</f>
        <v>206.72708333333338</v>
      </c>
      <c r="CZ37" s="14">
        <f>'Monthly Data'!CZ85</f>
        <v>0</v>
      </c>
      <c r="DA37" s="14">
        <f>'Monthly Data'!DA85</f>
        <v>175.72708333333338</v>
      </c>
      <c r="DB37" s="14">
        <f>'Monthly Data'!DB85</f>
        <v>0</v>
      </c>
      <c r="DC37" s="72">
        <f>'Monthly Data'!DC85</f>
        <v>819.97220522074394</v>
      </c>
      <c r="DD37" s="72">
        <f>'Monthly Data'!DD85</f>
        <v>26.450716297443353</v>
      </c>
      <c r="DE37" s="71">
        <f>'Monthly Data'!DE85</f>
        <v>270405.67270876339</v>
      </c>
      <c r="DF37" s="72">
        <f>'Monthly Data'!DF85</f>
        <v>2307.9983405892986</v>
      </c>
      <c r="DG37" s="72">
        <f>'Monthly Data'!DG85</f>
        <v>74.45155937384834</v>
      </c>
      <c r="DH37" s="72">
        <f>'Monthly Data'!DH85</f>
        <v>94851.286642282779</v>
      </c>
      <c r="DI37" s="72">
        <f>'Monthly Data'!DI85</f>
        <v>45275.481892708194</v>
      </c>
      <c r="DJ37" s="72">
        <f>'Monthly Data'!DJ85</f>
        <v>1460.4994158938127</v>
      </c>
      <c r="DK37" s="72">
        <f>'Monthly Data'!DK85</f>
        <v>2155.9753282241995</v>
      </c>
      <c r="DL37" s="72">
        <f>'Monthly Data'!DL85</f>
        <v>205930.4176410276</v>
      </c>
      <c r="DM37" s="72">
        <f>'Monthly Data'!DM85</f>
        <v>303992.52127961215</v>
      </c>
    </row>
    <row r="38" spans="1:117">
      <c r="A38" s="93">
        <f>'Monthly Data'!A86</f>
        <v>44927</v>
      </c>
      <c r="B38" s="4">
        <f>'Monthly Data'!B86</f>
        <v>2023</v>
      </c>
      <c r="C38" s="4">
        <f>'Monthly Data'!C86</f>
        <v>1</v>
      </c>
      <c r="D38" s="56">
        <f>'Monthly Data'!D86</f>
        <v>8575549</v>
      </c>
      <c r="E38" s="56">
        <f>'Monthly Data'!E86</f>
        <v>165005.54483137926</v>
      </c>
      <c r="F38" s="56">
        <f>'Monthly Data'!F86</f>
        <v>8740554.5448313784</v>
      </c>
      <c r="G38" s="301">
        <f>'Monthly Data'!G86</f>
        <v>10225</v>
      </c>
      <c r="H38" s="56">
        <f>'Monthly Data'!H86</f>
        <v>2915245</v>
      </c>
      <c r="I38" s="56">
        <f>'Monthly Data'!I86</f>
        <v>213253.5438320527</v>
      </c>
      <c r="J38" s="56">
        <f>'Monthly Data'!J86</f>
        <v>3128498.5438320525</v>
      </c>
      <c r="K38" s="6">
        <f>'Monthly Data'!K86</f>
        <v>1276</v>
      </c>
      <c r="L38" s="5">
        <f>'Monthly Data'!L86</f>
        <v>5917191.5999999996</v>
      </c>
      <c r="M38" s="2">
        <f>'Monthly Data'!M86</f>
        <v>199614.51732146356</v>
      </c>
      <c r="N38" s="56">
        <f>'Monthly Data'!N86</f>
        <v>6116806.1173214633</v>
      </c>
      <c r="O38" s="5">
        <f>'Monthly Data'!O86</f>
        <v>14518.3</v>
      </c>
      <c r="P38" s="6">
        <f>'Monthly Data'!P86</f>
        <v>141</v>
      </c>
      <c r="Q38" s="5">
        <f>'Monthly Data'!Q86</f>
        <v>106509</v>
      </c>
      <c r="R38" s="5">
        <f>'Monthly Data'!R86</f>
        <v>235.3</v>
      </c>
      <c r="S38" s="6">
        <f>'Monthly Data'!S86</f>
        <v>2920</v>
      </c>
      <c r="T38" s="6">
        <f>'Monthly Data'!T86</f>
        <v>16143</v>
      </c>
      <c r="U38" s="6">
        <f>'Monthly Data'!U86</f>
        <v>41</v>
      </c>
      <c r="V38" s="6">
        <f>'Monthly Data'!V86</f>
        <v>177</v>
      </c>
      <c r="W38" s="5">
        <f>'Monthly Data'!W86</f>
        <v>49556</v>
      </c>
      <c r="X38" s="56">
        <f>'Monthly Data'!X86</f>
        <v>19</v>
      </c>
      <c r="Y38" s="56">
        <f>'Monthly Data'!Y86</f>
        <v>5321.6</v>
      </c>
      <c r="Z38" s="56">
        <f>'Monthly Data'!Z86</f>
        <v>1350.4</v>
      </c>
      <c r="AA38" s="56">
        <f>'Monthly Data'!AA86</f>
        <v>5911870</v>
      </c>
      <c r="AB38" s="56">
        <f>'Monthly Data'!AB86</f>
        <v>6111484.5173214637</v>
      </c>
      <c r="AC38" s="56">
        <f>'Monthly Data'!AC86</f>
        <v>13167.9</v>
      </c>
      <c r="AD38" s="111">
        <f>'Monthly Data'!AD86</f>
        <v>865859.6</v>
      </c>
      <c r="AE38" s="111">
        <f>'Monthly Data'!AE86</f>
        <v>867096</v>
      </c>
      <c r="AF38" s="111">
        <f>'Monthly Data'!AF86</f>
        <v>7861.3</v>
      </c>
      <c r="AG38" s="111">
        <f>'Monthly Data'!AG86</f>
        <v>7829.1</v>
      </c>
      <c r="AH38" s="111">
        <f>'Monthly Data'!AH86</f>
        <v>655.5</v>
      </c>
      <c r="AI38" s="111">
        <f>'Monthly Data'!AI86</f>
        <v>652.20000000000005</v>
      </c>
      <c r="AJ38" s="111">
        <f>'Monthly Data'!AJ86</f>
        <v>217.69999999999982</v>
      </c>
      <c r="AK38" s="111">
        <f>'Monthly Data'!AK86</f>
        <v>217.40000000000055</v>
      </c>
      <c r="AL38" s="111">
        <f>'Monthly Data'!AL86</f>
        <v>37.299999999999955</v>
      </c>
      <c r="AM38" s="111">
        <f>'Monthly Data'!AM86</f>
        <v>42</v>
      </c>
      <c r="AN38" s="111">
        <f>'Monthly Data'!AN86</f>
        <v>15397.699999999953</v>
      </c>
      <c r="AO38" s="111">
        <f>'Monthly Data'!AO86</f>
        <v>10209</v>
      </c>
      <c r="AP38" s="28">
        <f>'Monthly Data'!AP86</f>
        <v>-6.5091397849462362</v>
      </c>
      <c r="AQ38" s="28">
        <f>'Monthly Data'!AQ86</f>
        <v>821.78333333333342</v>
      </c>
      <c r="AR38" s="28">
        <f>'Monthly Data'!AR86</f>
        <v>0</v>
      </c>
      <c r="AS38" s="28">
        <f>'Monthly Data'!AS86</f>
        <v>759.78333333333342</v>
      </c>
      <c r="AT38" s="28">
        <f>'Monthly Data'!AT86</f>
        <v>0</v>
      </c>
      <c r="AU38" s="28">
        <f>'Monthly Data'!AU86</f>
        <v>697.78333333333342</v>
      </c>
      <c r="AV38" s="28">
        <f>'Monthly Data'!AV86</f>
        <v>0</v>
      </c>
      <c r="AW38" s="28">
        <f>'Monthly Data'!AW86</f>
        <v>635.78333333333342</v>
      </c>
      <c r="AX38" s="28">
        <f>'Monthly Data'!AX86</f>
        <v>0</v>
      </c>
      <c r="AY38" s="28">
        <f>'Monthly Data'!AY86</f>
        <v>573.78333333333342</v>
      </c>
      <c r="AZ38" s="28">
        <f>'Monthly Data'!AZ86</f>
        <v>0</v>
      </c>
      <c r="BA38" s="28">
        <f>'Monthly Data'!BA86</f>
        <v>511.78333333333347</v>
      </c>
      <c r="BB38" s="28">
        <f>'Monthly Data'!BB86</f>
        <v>0</v>
      </c>
      <c r="BC38" s="28">
        <f>'Monthly Data'!BC86</f>
        <v>449.78333333333347</v>
      </c>
      <c r="BD38" s="28">
        <f>'Monthly Data'!BD86</f>
        <v>0</v>
      </c>
      <c r="BE38">
        <f>'Monthly Data'!BE86</f>
        <v>1</v>
      </c>
      <c r="BF38">
        <f>'Monthly Data'!BF86</f>
        <v>0</v>
      </c>
      <c r="BG38">
        <f>'Monthly Data'!BG86</f>
        <v>0</v>
      </c>
      <c r="BH38">
        <f>'Monthly Data'!BH86</f>
        <v>0</v>
      </c>
      <c r="BI38">
        <f>'Monthly Data'!BI86</f>
        <v>0</v>
      </c>
      <c r="BJ38">
        <f>'Monthly Data'!BJ86</f>
        <v>0</v>
      </c>
      <c r="BK38">
        <f>'Monthly Data'!BK86</f>
        <v>0</v>
      </c>
      <c r="BL38">
        <f>'Monthly Data'!BL86</f>
        <v>0</v>
      </c>
      <c r="BM38">
        <f>'Monthly Data'!BM86</f>
        <v>0</v>
      </c>
      <c r="BN38">
        <f>'Monthly Data'!BN86</f>
        <v>0</v>
      </c>
      <c r="BO38">
        <f>'Monthly Data'!BO86</f>
        <v>0</v>
      </c>
      <c r="BP38">
        <f>'Monthly Data'!BP86</f>
        <v>0</v>
      </c>
      <c r="BQ38" s="1">
        <f>'Monthly Data'!BQ86</f>
        <v>0</v>
      </c>
      <c r="BR38" s="1">
        <f>'Monthly Data'!BR86</f>
        <v>0</v>
      </c>
      <c r="BS38" s="1">
        <f>'Monthly Data'!BS86</f>
        <v>0</v>
      </c>
      <c r="BT38" s="1">
        <f>'Monthly Data'!BT86</f>
        <v>85</v>
      </c>
      <c r="BU38">
        <f>'Monthly Data'!BU86</f>
        <v>31</v>
      </c>
      <c r="BV38" s="1">
        <f>'Monthly Data'!BV86</f>
        <v>20</v>
      </c>
      <c r="BW38" s="1">
        <f>'Monthly Data'!BW86</f>
        <v>0</v>
      </c>
      <c r="BX38" s="1">
        <f>'Monthly Data'!BX86</f>
        <v>0</v>
      </c>
      <c r="BY38" s="1">
        <f>'Monthly Data'!BY86</f>
        <v>0.25</v>
      </c>
      <c r="BZ38" s="1">
        <f>'Monthly Data'!BZ86</f>
        <v>0</v>
      </c>
      <c r="CA38">
        <f>'Monthly Data'!CA86</f>
        <v>0</v>
      </c>
      <c r="CB38">
        <f>'Monthly Data'!CB86</f>
        <v>0</v>
      </c>
      <c r="CC38">
        <f>'Monthly Data'!CC86</f>
        <v>0</v>
      </c>
      <c r="CD38">
        <f>'Monthly Data'!CD86</f>
        <v>0</v>
      </c>
      <c r="CE38">
        <f>'Monthly Data'!CE86</f>
        <v>0</v>
      </c>
      <c r="CF38">
        <f>'Monthly Data'!CF86</f>
        <v>0</v>
      </c>
      <c r="CG38">
        <f>'Monthly Data'!CG86</f>
        <v>0</v>
      </c>
      <c r="CH38">
        <f>'Monthly Data'!CH86</f>
        <v>0</v>
      </c>
      <c r="CI38">
        <f>'Monthly Data'!CI86</f>
        <v>0</v>
      </c>
      <c r="CJ38">
        <f>'Monthly Data'!CJ86</f>
        <v>0</v>
      </c>
      <c r="CK38">
        <f>'Monthly Data'!CK86</f>
        <v>0</v>
      </c>
      <c r="CL38">
        <f>'Monthly Data'!CL86</f>
        <v>0</v>
      </c>
      <c r="CM38">
        <f>'Monthly Data'!CM86</f>
        <v>0</v>
      </c>
      <c r="CN38">
        <f>'Monthly Data'!CN86</f>
        <v>0</v>
      </c>
      <c r="CO38" s="14">
        <f>'Monthly Data'!CO86</f>
        <v>205.44583333333335</v>
      </c>
      <c r="CP38" s="14">
        <f>'Monthly Data'!CP86</f>
        <v>0</v>
      </c>
      <c r="CQ38" s="14">
        <f>'Monthly Data'!CQ86</f>
        <v>189.94583333333335</v>
      </c>
      <c r="CR38" s="14">
        <f>'Monthly Data'!CR86</f>
        <v>0</v>
      </c>
      <c r="CS38" s="14">
        <f>'Monthly Data'!CS86</f>
        <v>174.44583333333335</v>
      </c>
      <c r="CT38" s="14">
        <f>'Monthly Data'!CT86</f>
        <v>0</v>
      </c>
      <c r="CU38" s="14">
        <f>'Monthly Data'!CU86</f>
        <v>158.94583333333335</v>
      </c>
      <c r="CV38" s="14">
        <f>'Monthly Data'!CV86</f>
        <v>0</v>
      </c>
      <c r="CW38" s="14">
        <f>'Monthly Data'!CW86</f>
        <v>143.44583333333335</v>
      </c>
      <c r="CX38" s="14">
        <f>'Monthly Data'!CX86</f>
        <v>0</v>
      </c>
      <c r="CY38" s="14">
        <f>'Monthly Data'!CY86</f>
        <v>127.94583333333337</v>
      </c>
      <c r="CZ38" s="14">
        <f>'Monthly Data'!CZ86</f>
        <v>0</v>
      </c>
      <c r="DA38" s="14">
        <f>'Monthly Data'!DA86</f>
        <v>112.44583333333337</v>
      </c>
      <c r="DB38" s="14">
        <f>'Monthly Data'!DB86</f>
        <v>0</v>
      </c>
      <c r="DC38" s="72">
        <f>'Monthly Data'!DC86</f>
        <v>854.82196037470692</v>
      </c>
      <c r="DD38" s="72">
        <f>'Monthly Data'!DD86</f>
        <v>27.574901947571192</v>
      </c>
      <c r="DE38" s="71">
        <f>'Monthly Data'!DE86</f>
        <v>281953.37241391541</v>
      </c>
      <c r="DF38" s="72">
        <f>'Monthly Data'!DF86</f>
        <v>2451.8013666395395</v>
      </c>
      <c r="DG38" s="72">
        <f>'Monthly Data'!DG86</f>
        <v>79.090366665791592</v>
      </c>
      <c r="DH38" s="72">
        <f>'Monthly Data'!DH86</f>
        <v>100919.30786555009</v>
      </c>
      <c r="DI38" s="72">
        <f>'Monthly Data'!DI86</f>
        <v>43381.603668946547</v>
      </c>
      <c r="DJ38" s="72">
        <f>'Monthly Data'!DJ86</f>
        <v>1399.4065699660177</v>
      </c>
      <c r="DK38" s="72">
        <f>'Monthly Data'!DK86</f>
        <v>2169.0801834473273</v>
      </c>
      <c r="DL38" s="72">
        <f>'Monthly Data'!DL86</f>
        <v>197316.32636520849</v>
      </c>
      <c r="DM38" s="72">
        <f>'Monthly Data'!DM86</f>
        <v>305840.30586607318</v>
      </c>
    </row>
    <row r="39" spans="1:117">
      <c r="A39" s="93">
        <f>'Monthly Data'!A87</f>
        <v>44958</v>
      </c>
      <c r="B39" s="4">
        <f>'Monthly Data'!B87</f>
        <v>2023</v>
      </c>
      <c r="C39" s="4">
        <f>'Monthly Data'!C87</f>
        <v>2</v>
      </c>
      <c r="D39" s="56">
        <f>'Monthly Data'!D87</f>
        <v>8066206</v>
      </c>
      <c r="E39" s="56">
        <f>'Monthly Data'!E87</f>
        <v>165127.1919643149</v>
      </c>
      <c r="F39" s="56">
        <f>'Monthly Data'!F87</f>
        <v>8231333.1919643153</v>
      </c>
      <c r="G39" s="301">
        <f>'Monthly Data'!G87</f>
        <v>10255</v>
      </c>
      <c r="H39" s="56">
        <f>'Monthly Data'!H87</f>
        <v>2743185</v>
      </c>
      <c r="I39" s="56">
        <f>'Monthly Data'!I87</f>
        <v>214859.99264685676</v>
      </c>
      <c r="J39" s="56">
        <f>'Monthly Data'!J87</f>
        <v>2958044.9926468567</v>
      </c>
      <c r="K39" s="6">
        <f>'Monthly Data'!K87</f>
        <v>1278</v>
      </c>
      <c r="L39" s="5">
        <f>'Monthly Data'!L87</f>
        <v>5494938.3599999994</v>
      </c>
      <c r="M39" s="2">
        <f>'Monthly Data'!M87</f>
        <v>201582.25045065137</v>
      </c>
      <c r="N39" s="56">
        <f>'Monthly Data'!N87</f>
        <v>5696520.6104506506</v>
      </c>
      <c r="O39" s="5">
        <f>'Monthly Data'!O87</f>
        <v>17598.900000000001</v>
      </c>
      <c r="P39" s="6">
        <f>'Monthly Data'!P87</f>
        <v>140</v>
      </c>
      <c r="Q39" s="5">
        <f>'Monthly Data'!Q87</f>
        <v>88675</v>
      </c>
      <c r="R39" s="5">
        <f>'Monthly Data'!R87</f>
        <v>235.2</v>
      </c>
      <c r="S39" s="6">
        <f>'Monthly Data'!S87</f>
        <v>2900</v>
      </c>
      <c r="T39" s="6">
        <f>'Monthly Data'!T87</f>
        <v>15454</v>
      </c>
      <c r="U39" s="6">
        <f>'Monthly Data'!U87</f>
        <v>44.4</v>
      </c>
      <c r="V39" s="6">
        <f>'Monthly Data'!V87</f>
        <v>177</v>
      </c>
      <c r="W39" s="5">
        <f>'Monthly Data'!W87</f>
        <v>46741</v>
      </c>
      <c r="X39" s="56">
        <f>'Monthly Data'!X87</f>
        <v>19</v>
      </c>
      <c r="Y39" s="56">
        <f>'Monthly Data'!Y87</f>
        <v>84355.36</v>
      </c>
      <c r="Z39" s="56">
        <f>'Monthly Data'!Z87</f>
        <v>3417.6</v>
      </c>
      <c r="AA39" s="56">
        <f>'Monthly Data'!AA87</f>
        <v>5410582.9999999991</v>
      </c>
      <c r="AB39" s="56">
        <f>'Monthly Data'!AB87</f>
        <v>5612165.2504506502</v>
      </c>
      <c r="AC39" s="56">
        <f>'Monthly Data'!AC87</f>
        <v>14181.300000000001</v>
      </c>
      <c r="AD39" s="111">
        <f>'Monthly Data'!AD87</f>
        <v>865859.6</v>
      </c>
      <c r="AE39" s="111">
        <f>'Monthly Data'!AE87</f>
        <v>867096</v>
      </c>
      <c r="AF39" s="111">
        <f>'Monthly Data'!AF87</f>
        <v>7898.9</v>
      </c>
      <c r="AG39" s="111">
        <f>'Monthly Data'!AG87</f>
        <v>7839</v>
      </c>
      <c r="AH39" s="111">
        <f>'Monthly Data'!AH87</f>
        <v>654.4</v>
      </c>
      <c r="AI39" s="111">
        <f>'Monthly Data'!AI87</f>
        <v>652.79999999999995</v>
      </c>
      <c r="AJ39" s="111">
        <f>'Monthly Data'!AJ87</f>
        <v>230</v>
      </c>
      <c r="AK39" s="111">
        <f>'Monthly Data'!AK87</f>
        <v>232.30000000000018</v>
      </c>
      <c r="AL39" s="111">
        <f>'Monthly Data'!AL87</f>
        <v>31.100000000000023</v>
      </c>
      <c r="AM39" s="111">
        <f>'Monthly Data'!AM87</f>
        <v>36.299999999999955</v>
      </c>
      <c r="AN39" s="111">
        <f>'Monthly Data'!AN87</f>
        <v>15397.699999999953</v>
      </c>
      <c r="AO39" s="111">
        <f>'Monthly Data'!AO87</f>
        <v>10209</v>
      </c>
      <c r="AP39" s="28">
        <f>'Monthly Data'!AP87</f>
        <v>-8.3235119047619044</v>
      </c>
      <c r="AQ39" s="28">
        <f>'Monthly Data'!AQ87</f>
        <v>793.05833333333328</v>
      </c>
      <c r="AR39" s="28">
        <f>'Monthly Data'!AR87</f>
        <v>0</v>
      </c>
      <c r="AS39" s="28">
        <f>'Monthly Data'!AS87</f>
        <v>737.05833333333328</v>
      </c>
      <c r="AT39" s="28">
        <f>'Monthly Data'!AT87</f>
        <v>0</v>
      </c>
      <c r="AU39" s="28">
        <f>'Monthly Data'!AU87</f>
        <v>681.05833333333328</v>
      </c>
      <c r="AV39" s="28">
        <f>'Monthly Data'!AV87</f>
        <v>0</v>
      </c>
      <c r="AW39" s="28">
        <f>'Monthly Data'!AW87</f>
        <v>625.05833333333328</v>
      </c>
      <c r="AX39" s="28">
        <f>'Monthly Data'!AX87</f>
        <v>0</v>
      </c>
      <c r="AY39" s="28">
        <f>'Monthly Data'!AY87</f>
        <v>569.05833333333328</v>
      </c>
      <c r="AZ39" s="28">
        <f>'Monthly Data'!AZ87</f>
        <v>0</v>
      </c>
      <c r="BA39" s="28">
        <f>'Monthly Data'!BA87</f>
        <v>513.05833333333339</v>
      </c>
      <c r="BB39" s="28">
        <f>'Monthly Data'!BB87</f>
        <v>0</v>
      </c>
      <c r="BC39" s="28">
        <f>'Monthly Data'!BC87</f>
        <v>457.05833333333351</v>
      </c>
      <c r="BD39" s="28">
        <f>'Monthly Data'!BD87</f>
        <v>0</v>
      </c>
      <c r="BE39">
        <f>'Monthly Data'!BE87</f>
        <v>0</v>
      </c>
      <c r="BF39">
        <f>'Monthly Data'!BF87</f>
        <v>1</v>
      </c>
      <c r="BG39">
        <f>'Monthly Data'!BG87</f>
        <v>0</v>
      </c>
      <c r="BH39">
        <f>'Monthly Data'!BH87</f>
        <v>0</v>
      </c>
      <c r="BI39">
        <f>'Monthly Data'!BI87</f>
        <v>0</v>
      </c>
      <c r="BJ39">
        <f>'Monthly Data'!BJ87</f>
        <v>0</v>
      </c>
      <c r="BK39">
        <f>'Monthly Data'!BK87</f>
        <v>0</v>
      </c>
      <c r="BL39">
        <f>'Monthly Data'!BL87</f>
        <v>0</v>
      </c>
      <c r="BM39">
        <f>'Monthly Data'!BM87</f>
        <v>0</v>
      </c>
      <c r="BN39">
        <f>'Monthly Data'!BN87</f>
        <v>0</v>
      </c>
      <c r="BO39">
        <f>'Monthly Data'!BO87</f>
        <v>0</v>
      </c>
      <c r="BP39">
        <f>'Monthly Data'!BP87</f>
        <v>0</v>
      </c>
      <c r="BQ39" s="1">
        <f>'Monthly Data'!BQ87</f>
        <v>0</v>
      </c>
      <c r="BR39" s="1">
        <f>'Monthly Data'!BR87</f>
        <v>0</v>
      </c>
      <c r="BS39" s="1">
        <f>'Monthly Data'!BS87</f>
        <v>0</v>
      </c>
      <c r="BT39" s="1">
        <f>'Monthly Data'!BT87</f>
        <v>86</v>
      </c>
      <c r="BU39">
        <f>'Monthly Data'!BU87</f>
        <v>28</v>
      </c>
      <c r="BV39" s="1">
        <f>'Monthly Data'!BV87</f>
        <v>19</v>
      </c>
      <c r="BW39" s="1">
        <f>'Monthly Data'!BW87</f>
        <v>0</v>
      </c>
      <c r="BX39" s="1">
        <f>'Monthly Data'!BX87</f>
        <v>0</v>
      </c>
      <c r="BY39" s="1">
        <f>'Monthly Data'!BY87</f>
        <v>0.25</v>
      </c>
      <c r="BZ39" s="1">
        <f>'Monthly Data'!BZ87</f>
        <v>0</v>
      </c>
      <c r="CA39">
        <f>'Monthly Data'!CA87</f>
        <v>0</v>
      </c>
      <c r="CB39">
        <f>'Monthly Data'!CB87</f>
        <v>0</v>
      </c>
      <c r="CC39">
        <f>'Monthly Data'!CC87</f>
        <v>0</v>
      </c>
      <c r="CD39">
        <f>'Monthly Data'!CD87</f>
        <v>0</v>
      </c>
      <c r="CE39">
        <f>'Monthly Data'!CE87</f>
        <v>0</v>
      </c>
      <c r="CF39">
        <f>'Monthly Data'!CF87</f>
        <v>0</v>
      </c>
      <c r="CG39">
        <f>'Monthly Data'!CG87</f>
        <v>0</v>
      </c>
      <c r="CH39">
        <f>'Monthly Data'!CH87</f>
        <v>0</v>
      </c>
      <c r="CI39">
        <f>'Monthly Data'!CI87</f>
        <v>0</v>
      </c>
      <c r="CJ39">
        <f>'Monthly Data'!CJ87</f>
        <v>0</v>
      </c>
      <c r="CK39">
        <f>'Monthly Data'!CK87</f>
        <v>0</v>
      </c>
      <c r="CL39">
        <f>'Monthly Data'!CL87</f>
        <v>0</v>
      </c>
      <c r="CM39">
        <f>'Monthly Data'!CM87</f>
        <v>0</v>
      </c>
      <c r="CN39">
        <f>'Monthly Data'!CN87</f>
        <v>0</v>
      </c>
      <c r="CO39" s="14">
        <f>'Monthly Data'!CO87</f>
        <v>198.26458333333332</v>
      </c>
      <c r="CP39" s="14">
        <f>'Monthly Data'!CP87</f>
        <v>0</v>
      </c>
      <c r="CQ39" s="14">
        <f>'Monthly Data'!CQ87</f>
        <v>184.26458333333332</v>
      </c>
      <c r="CR39" s="14">
        <f>'Monthly Data'!CR87</f>
        <v>0</v>
      </c>
      <c r="CS39" s="14">
        <f>'Monthly Data'!CS87</f>
        <v>170.26458333333332</v>
      </c>
      <c r="CT39" s="14">
        <f>'Monthly Data'!CT87</f>
        <v>0</v>
      </c>
      <c r="CU39" s="14">
        <f>'Monthly Data'!CU87</f>
        <v>156.26458333333332</v>
      </c>
      <c r="CV39" s="14">
        <f>'Monthly Data'!CV87</f>
        <v>0</v>
      </c>
      <c r="CW39" s="14">
        <f>'Monthly Data'!CW87</f>
        <v>142.26458333333332</v>
      </c>
      <c r="CX39" s="14">
        <f>'Monthly Data'!CX87</f>
        <v>0</v>
      </c>
      <c r="CY39" s="14">
        <f>'Monthly Data'!CY87</f>
        <v>128.26458333333335</v>
      </c>
      <c r="CZ39" s="14">
        <f>'Monthly Data'!CZ87</f>
        <v>0</v>
      </c>
      <c r="DA39" s="14">
        <f>'Monthly Data'!DA87</f>
        <v>114.26458333333338</v>
      </c>
      <c r="DB39" s="14">
        <f>'Monthly Data'!DB87</f>
        <v>0</v>
      </c>
      <c r="DC39" s="72">
        <f>'Monthly Data'!DC87</f>
        <v>802.66535270251734</v>
      </c>
      <c r="DD39" s="72">
        <f>'Monthly Data'!DD87</f>
        <v>28.666619739375619</v>
      </c>
      <c r="DE39" s="71">
        <f>'Monthly Data'!DE87</f>
        <v>293976.18542729696</v>
      </c>
      <c r="DF39" s="72">
        <f>'Monthly Data'!DF87</f>
        <v>2314.589196124301</v>
      </c>
      <c r="DG39" s="72">
        <f>'Monthly Data'!DG87</f>
        <v>82.663899861582181</v>
      </c>
      <c r="DH39" s="72">
        <f>'Monthly Data'!DH87</f>
        <v>105644.46402310203</v>
      </c>
      <c r="DI39" s="72">
        <f>'Monthly Data'!DI87</f>
        <v>40689.432931790361</v>
      </c>
      <c r="DJ39" s="72">
        <f>'Monthly Data'!DJ87</f>
        <v>1453.1940332782272</v>
      </c>
      <c r="DK39" s="72">
        <f>'Monthly Data'!DK87</f>
        <v>2141.5491016731771</v>
      </c>
      <c r="DL39" s="72">
        <f>'Monthly Data'!DL87</f>
        <v>203447.16465895181</v>
      </c>
      <c r="DM39" s="72">
        <f>'Monthly Data'!DM87</f>
        <v>299816.87423424475</v>
      </c>
    </row>
    <row r="40" spans="1:117">
      <c r="A40" s="93">
        <f>'Monthly Data'!A88</f>
        <v>44986</v>
      </c>
      <c r="B40" s="4">
        <f>'Monthly Data'!B88</f>
        <v>2023</v>
      </c>
      <c r="C40" s="4">
        <f>'Monthly Data'!C88</f>
        <v>3</v>
      </c>
      <c r="D40" s="56">
        <f>'Monthly Data'!D88</f>
        <v>7766103</v>
      </c>
      <c r="E40" s="56">
        <f>'Monthly Data'!E88</f>
        <v>165248.83909725054</v>
      </c>
      <c r="F40" s="56">
        <f>'Monthly Data'!F88</f>
        <v>7931351.8390972503</v>
      </c>
      <c r="G40" s="301">
        <f>'Monthly Data'!G88</f>
        <v>10268</v>
      </c>
      <c r="H40" s="56">
        <f>'Monthly Data'!H88</f>
        <v>2745244</v>
      </c>
      <c r="I40" s="56">
        <f>'Monthly Data'!I88</f>
        <v>216466.44146166081</v>
      </c>
      <c r="J40" s="56">
        <f>'Monthly Data'!J88</f>
        <v>2961710.4414616609</v>
      </c>
      <c r="K40" s="6">
        <f>'Monthly Data'!K88</f>
        <v>1270</v>
      </c>
      <c r="L40" s="5">
        <f>'Monthly Data'!L88</f>
        <v>5514762.5999999996</v>
      </c>
      <c r="M40" s="2">
        <f>'Monthly Data'!M88</f>
        <v>203549.9835798392</v>
      </c>
      <c r="N40" s="56">
        <f>'Monthly Data'!N88</f>
        <v>5718312.5835798392</v>
      </c>
      <c r="O40" s="5">
        <f>'Monthly Data'!O88</f>
        <v>18506.7</v>
      </c>
      <c r="P40" s="6">
        <f>'Monthly Data'!P88</f>
        <v>140</v>
      </c>
      <c r="Q40" s="5">
        <f>'Monthly Data'!Q88</f>
        <v>86741</v>
      </c>
      <c r="R40" s="5">
        <f>'Monthly Data'!R88</f>
        <v>231.4</v>
      </c>
      <c r="S40" s="6">
        <f>'Monthly Data'!S88</f>
        <v>2900</v>
      </c>
      <c r="T40" s="6">
        <f>'Monthly Data'!T88</f>
        <v>14689</v>
      </c>
      <c r="U40" s="6">
        <f>'Monthly Data'!U88</f>
        <v>39.999999999999993</v>
      </c>
      <c r="V40" s="6">
        <f>'Monthly Data'!V88</f>
        <v>177</v>
      </c>
      <c r="W40" s="5">
        <f>'Monthly Data'!W88</f>
        <v>49765</v>
      </c>
      <c r="X40" s="56">
        <f>'Monthly Data'!X88</f>
        <v>19</v>
      </c>
      <c r="Y40" s="56">
        <f>'Monthly Data'!Y88</f>
        <v>1277.5999999999999</v>
      </c>
      <c r="Z40" s="56">
        <f>'Monthly Data'!Z88</f>
        <v>1216</v>
      </c>
      <c r="AA40" s="56">
        <f>'Monthly Data'!AA88</f>
        <v>5513485</v>
      </c>
      <c r="AB40" s="56">
        <f>'Monthly Data'!AB88</f>
        <v>5717034.9835798396</v>
      </c>
      <c r="AC40" s="56">
        <f>'Monthly Data'!AC88</f>
        <v>17290.7</v>
      </c>
      <c r="AD40" s="111">
        <f>'Monthly Data'!AD88</f>
        <v>865859.6</v>
      </c>
      <c r="AE40" s="111">
        <f>'Monthly Data'!AE88</f>
        <v>867096</v>
      </c>
      <c r="AF40" s="111">
        <f>'Monthly Data'!AF88</f>
        <v>7931.4</v>
      </c>
      <c r="AG40" s="111">
        <f>'Monthly Data'!AG88</f>
        <v>7848.5</v>
      </c>
      <c r="AH40" s="111">
        <f>'Monthly Data'!AH88</f>
        <v>656.8</v>
      </c>
      <c r="AI40" s="111">
        <f>'Monthly Data'!AI88</f>
        <v>654.20000000000005</v>
      </c>
      <c r="AJ40" s="111">
        <f>'Monthly Data'!AJ88</f>
        <v>250.29999999999927</v>
      </c>
      <c r="AK40" s="111">
        <f>'Monthly Data'!AK88</f>
        <v>253.19999999999982</v>
      </c>
      <c r="AL40" s="111">
        <f>'Monthly Data'!AL88</f>
        <v>26.399999999999977</v>
      </c>
      <c r="AM40" s="111">
        <f>'Monthly Data'!AM88</f>
        <v>32.400000000000091</v>
      </c>
      <c r="AN40" s="111">
        <f>'Monthly Data'!AN88</f>
        <v>15397.699999999953</v>
      </c>
      <c r="AO40" s="111">
        <f>'Monthly Data'!AO88</f>
        <v>10209</v>
      </c>
      <c r="AP40" s="28">
        <f>'Monthly Data'!AP88</f>
        <v>-2.2612903225806451</v>
      </c>
      <c r="AQ40" s="28">
        <f>'Monthly Data'!AQ88</f>
        <v>690.10000000000025</v>
      </c>
      <c r="AR40" s="28">
        <f>'Monthly Data'!AR88</f>
        <v>0</v>
      </c>
      <c r="AS40" s="28">
        <f>'Monthly Data'!AS88</f>
        <v>628.10000000000025</v>
      </c>
      <c r="AT40" s="28">
        <f>'Monthly Data'!AT88</f>
        <v>0</v>
      </c>
      <c r="AU40" s="28">
        <f>'Monthly Data'!AU88</f>
        <v>566.09999999999991</v>
      </c>
      <c r="AV40" s="28">
        <f>'Monthly Data'!AV88</f>
        <v>0</v>
      </c>
      <c r="AW40" s="28">
        <f>'Monthly Data'!AW88</f>
        <v>504.1</v>
      </c>
      <c r="AX40" s="28">
        <f>'Monthly Data'!AX88</f>
        <v>0</v>
      </c>
      <c r="AY40" s="28">
        <f>'Monthly Data'!AY88</f>
        <v>442.1</v>
      </c>
      <c r="AZ40" s="28">
        <f>'Monthly Data'!AZ88</f>
        <v>0</v>
      </c>
      <c r="BA40" s="28">
        <f>'Monthly Data'!BA88</f>
        <v>380.09999999999997</v>
      </c>
      <c r="BB40" s="28">
        <f>'Monthly Data'!BB88</f>
        <v>0</v>
      </c>
      <c r="BC40" s="28">
        <f>'Monthly Data'!BC88</f>
        <v>318.09999999999997</v>
      </c>
      <c r="BD40" s="28">
        <f>'Monthly Data'!BD88</f>
        <v>0</v>
      </c>
      <c r="BE40">
        <f>'Monthly Data'!BE88</f>
        <v>0</v>
      </c>
      <c r="BF40">
        <f>'Monthly Data'!BF88</f>
        <v>0</v>
      </c>
      <c r="BG40">
        <f>'Monthly Data'!BG88</f>
        <v>1</v>
      </c>
      <c r="BH40">
        <f>'Monthly Data'!BH88</f>
        <v>0</v>
      </c>
      <c r="BI40">
        <f>'Monthly Data'!BI88</f>
        <v>0</v>
      </c>
      <c r="BJ40">
        <f>'Monthly Data'!BJ88</f>
        <v>0</v>
      </c>
      <c r="BK40">
        <f>'Monthly Data'!BK88</f>
        <v>0</v>
      </c>
      <c r="BL40">
        <f>'Monthly Data'!BL88</f>
        <v>0</v>
      </c>
      <c r="BM40">
        <f>'Monthly Data'!BM88</f>
        <v>0</v>
      </c>
      <c r="BN40">
        <f>'Monthly Data'!BN88</f>
        <v>0</v>
      </c>
      <c r="BO40">
        <f>'Monthly Data'!BO88</f>
        <v>0</v>
      </c>
      <c r="BP40">
        <f>'Monthly Data'!BP88</f>
        <v>0</v>
      </c>
      <c r="BQ40" s="1">
        <f>'Monthly Data'!BQ88</f>
        <v>1</v>
      </c>
      <c r="BR40" s="1">
        <f>'Monthly Data'!BR88</f>
        <v>0</v>
      </c>
      <c r="BS40" s="1">
        <f>'Monthly Data'!BS88</f>
        <v>1</v>
      </c>
      <c r="BT40" s="1">
        <f>'Monthly Data'!BT88</f>
        <v>87</v>
      </c>
      <c r="BU40">
        <f>'Monthly Data'!BU88</f>
        <v>31</v>
      </c>
      <c r="BV40" s="1">
        <f>'Monthly Data'!BV88</f>
        <v>23</v>
      </c>
      <c r="BW40" s="1">
        <f>'Monthly Data'!BW88</f>
        <v>0</v>
      </c>
      <c r="BX40" s="1">
        <f>'Monthly Data'!BX88</f>
        <v>0</v>
      </c>
      <c r="BY40" s="1">
        <f>'Monthly Data'!BY88</f>
        <v>0.25</v>
      </c>
      <c r="BZ40" s="1">
        <f>'Monthly Data'!BZ88</f>
        <v>0</v>
      </c>
      <c r="CA40">
        <f>'Monthly Data'!CA88</f>
        <v>0</v>
      </c>
      <c r="CB40">
        <f>'Monthly Data'!CB88</f>
        <v>0</v>
      </c>
      <c r="CC40">
        <f>'Monthly Data'!CC88</f>
        <v>0</v>
      </c>
      <c r="CD40">
        <f>'Monthly Data'!CD88</f>
        <v>0</v>
      </c>
      <c r="CE40">
        <f>'Monthly Data'!CE88</f>
        <v>0</v>
      </c>
      <c r="CF40">
        <f>'Monthly Data'!CF88</f>
        <v>0</v>
      </c>
      <c r="CG40">
        <f>'Monthly Data'!CG88</f>
        <v>0</v>
      </c>
      <c r="CH40">
        <f>'Monthly Data'!CH88</f>
        <v>0</v>
      </c>
      <c r="CI40">
        <f>'Monthly Data'!CI88</f>
        <v>0</v>
      </c>
      <c r="CJ40">
        <f>'Monthly Data'!CJ88</f>
        <v>0</v>
      </c>
      <c r="CK40">
        <f>'Monthly Data'!CK88</f>
        <v>0</v>
      </c>
      <c r="CL40">
        <f>'Monthly Data'!CL88</f>
        <v>0</v>
      </c>
      <c r="CM40">
        <f>'Monthly Data'!CM88</f>
        <v>0</v>
      </c>
      <c r="CN40">
        <f>'Monthly Data'!CN88</f>
        <v>0</v>
      </c>
      <c r="CO40" s="14">
        <f>'Monthly Data'!CO88</f>
        <v>172.52500000000006</v>
      </c>
      <c r="CP40" s="14">
        <f>'Monthly Data'!CP88</f>
        <v>0</v>
      </c>
      <c r="CQ40" s="14">
        <f>'Monthly Data'!CQ88</f>
        <v>157.02500000000006</v>
      </c>
      <c r="CR40" s="14">
        <f>'Monthly Data'!CR88</f>
        <v>0</v>
      </c>
      <c r="CS40" s="14">
        <f>'Monthly Data'!CS88</f>
        <v>141.52499999999998</v>
      </c>
      <c r="CT40" s="14">
        <f>'Monthly Data'!CT88</f>
        <v>0</v>
      </c>
      <c r="CU40" s="14">
        <f>'Monthly Data'!CU88</f>
        <v>126.02500000000001</v>
      </c>
      <c r="CV40" s="14">
        <f>'Monthly Data'!CV88</f>
        <v>0</v>
      </c>
      <c r="CW40" s="14">
        <f>'Monthly Data'!CW88</f>
        <v>110.52500000000001</v>
      </c>
      <c r="CX40" s="14">
        <f>'Monthly Data'!CX88</f>
        <v>0</v>
      </c>
      <c r="CY40" s="14">
        <f>'Monthly Data'!CY88</f>
        <v>95.024999999999991</v>
      </c>
      <c r="CZ40" s="14">
        <f>'Monthly Data'!CZ88</f>
        <v>0</v>
      </c>
      <c r="DA40" s="14">
        <f>'Monthly Data'!DA88</f>
        <v>79.524999999999991</v>
      </c>
      <c r="DB40" s="14">
        <f>'Monthly Data'!DB88</f>
        <v>0</v>
      </c>
      <c r="DC40" s="72">
        <f>'Monthly Data'!DC88</f>
        <v>772.43395394402512</v>
      </c>
      <c r="DD40" s="72">
        <f>'Monthly Data'!DD88</f>
        <v>24.917224320775002</v>
      </c>
      <c r="DE40" s="71">
        <f>'Monthly Data'!DE88</f>
        <v>255850.05932571774</v>
      </c>
      <c r="DF40" s="72">
        <f>'Monthly Data'!DF88</f>
        <v>2332.0554657178432</v>
      </c>
      <c r="DG40" s="72">
        <f>'Monthly Data'!DG88</f>
        <v>75.22759566831752</v>
      </c>
      <c r="DH40" s="72">
        <f>'Monthly Data'!DH88</f>
        <v>95539.046498763259</v>
      </c>
      <c r="DI40" s="72">
        <f>'Monthly Data'!DI88</f>
        <v>40845.089882713139</v>
      </c>
      <c r="DJ40" s="72">
        <f>'Monthly Data'!DJ88</f>
        <v>1317.5835446036497</v>
      </c>
      <c r="DK40" s="72">
        <f>'Monthly Data'!DK88</f>
        <v>1775.8734731614409</v>
      </c>
      <c r="DL40" s="72">
        <f>'Monthly Data'!DL88</f>
        <v>184461.69624451094</v>
      </c>
      <c r="DM40" s="72">
        <f>'Monthly Data'!DM88</f>
        <v>248622.28624260169</v>
      </c>
    </row>
    <row r="41" spans="1:117">
      <c r="A41" s="93">
        <f>'Monthly Data'!A89</f>
        <v>45017</v>
      </c>
      <c r="B41" s="4">
        <f>'Monthly Data'!B89</f>
        <v>2023</v>
      </c>
      <c r="C41" s="4">
        <f>'Monthly Data'!C89</f>
        <v>4</v>
      </c>
      <c r="D41" s="56">
        <f>'Monthly Data'!D89</f>
        <v>6316390</v>
      </c>
      <c r="E41" s="56">
        <f>'Monthly Data'!E89</f>
        <v>165370.48623018619</v>
      </c>
      <c r="F41" s="56">
        <f>'Monthly Data'!F89</f>
        <v>6481760.4862301862</v>
      </c>
      <c r="G41" s="301">
        <f>'Monthly Data'!G89</f>
        <v>10271</v>
      </c>
      <c r="H41" s="56">
        <f>'Monthly Data'!H89</f>
        <v>2192824</v>
      </c>
      <c r="I41" s="56">
        <f>'Monthly Data'!I89</f>
        <v>218072.89027646487</v>
      </c>
      <c r="J41" s="56">
        <f>'Monthly Data'!J89</f>
        <v>2410896.8902764646</v>
      </c>
      <c r="K41" s="6">
        <f>'Monthly Data'!K89</f>
        <v>1269</v>
      </c>
      <c r="L41" s="5">
        <f>'Monthly Data'!L89</f>
        <v>5095749.72</v>
      </c>
      <c r="M41" s="2">
        <f>'Monthly Data'!M89</f>
        <v>205517.71670902701</v>
      </c>
      <c r="N41" s="56">
        <f>'Monthly Data'!N89</f>
        <v>5301267.4367090268</v>
      </c>
      <c r="O41" s="5">
        <f>'Monthly Data'!O89</f>
        <v>19532.8</v>
      </c>
      <c r="P41" s="6">
        <f>'Monthly Data'!P89</f>
        <v>139</v>
      </c>
      <c r="Q41" s="5">
        <f>'Monthly Data'!Q89</f>
        <v>73245</v>
      </c>
      <c r="R41" s="5">
        <f>'Monthly Data'!R89</f>
        <v>231.4</v>
      </c>
      <c r="S41" s="6">
        <f>'Monthly Data'!S89</f>
        <v>2900</v>
      </c>
      <c r="T41" s="6">
        <f>'Monthly Data'!T89</f>
        <v>14471</v>
      </c>
      <c r="U41" s="6">
        <f>'Monthly Data'!U89</f>
        <v>40.399999999999991</v>
      </c>
      <c r="V41" s="6">
        <f>'Monthly Data'!V89</f>
        <v>174</v>
      </c>
      <c r="W41" s="5">
        <f>'Monthly Data'!W89</f>
        <v>48757</v>
      </c>
      <c r="X41" s="56">
        <f>'Monthly Data'!X89</f>
        <v>19</v>
      </c>
      <c r="Y41" s="56">
        <f>'Monthly Data'!Y89</f>
        <v>5946.72</v>
      </c>
      <c r="Z41" s="56">
        <f>'Monthly Data'!Z89</f>
        <v>5584</v>
      </c>
      <c r="AA41" s="56">
        <f>'Monthly Data'!AA89</f>
        <v>5089803</v>
      </c>
      <c r="AB41" s="56">
        <f>'Monthly Data'!AB89</f>
        <v>5295320.7167090271</v>
      </c>
      <c r="AC41" s="56">
        <f>'Monthly Data'!AC89</f>
        <v>13948.8</v>
      </c>
      <c r="AD41" s="111">
        <f>'Monthly Data'!AD89</f>
        <v>865859.6</v>
      </c>
      <c r="AE41" s="111">
        <f>'Monthly Data'!AE89</f>
        <v>873385</v>
      </c>
      <c r="AF41" s="111">
        <f>'Monthly Data'!AF89</f>
        <v>7962</v>
      </c>
      <c r="AG41" s="111">
        <f>'Monthly Data'!AG89</f>
        <v>7899.3</v>
      </c>
      <c r="AH41" s="111">
        <f>'Monthly Data'!AH89</f>
        <v>657.9</v>
      </c>
      <c r="AI41" s="111">
        <f>'Monthly Data'!AI89</f>
        <v>653.70000000000005</v>
      </c>
      <c r="AJ41" s="111">
        <f>'Monthly Data'!AJ89</f>
        <v>203.60000000000036</v>
      </c>
      <c r="AK41" s="111">
        <f>'Monthly Data'!AK89</f>
        <v>205.10000000000036</v>
      </c>
      <c r="AL41" s="111">
        <f>'Monthly Data'!AL89</f>
        <v>16.799999999999955</v>
      </c>
      <c r="AM41" s="111">
        <f>'Monthly Data'!AM89</f>
        <v>16.900000000000091</v>
      </c>
      <c r="AN41" s="111">
        <f>'Monthly Data'!AN89</f>
        <v>15397.699999999953</v>
      </c>
      <c r="AO41" s="111">
        <f>'Monthly Data'!AO89</f>
        <v>6289</v>
      </c>
      <c r="AP41" s="28">
        <f>'Monthly Data'!AP89</f>
        <v>5.9763888888888896</v>
      </c>
      <c r="AQ41" s="28">
        <f>'Monthly Data'!AQ89</f>
        <v>420.70833333333337</v>
      </c>
      <c r="AR41" s="28">
        <f>'Monthly Data'!AR89</f>
        <v>0</v>
      </c>
      <c r="AS41" s="28">
        <f>'Monthly Data'!AS89</f>
        <v>360.70833333333337</v>
      </c>
      <c r="AT41" s="28">
        <f>'Monthly Data'!AT89</f>
        <v>0</v>
      </c>
      <c r="AU41" s="28">
        <f>'Monthly Data'!AU89</f>
        <v>300.70833333333337</v>
      </c>
      <c r="AV41" s="28">
        <f>'Monthly Data'!AV89</f>
        <v>0</v>
      </c>
      <c r="AW41" s="28">
        <f>'Monthly Data'!AW89</f>
        <v>242.45833333333331</v>
      </c>
      <c r="AX41" s="28">
        <f>'Monthly Data'!AX89</f>
        <v>1.7500000000000053</v>
      </c>
      <c r="AY41" s="28">
        <f>'Monthly Data'!AY89</f>
        <v>187.84166666666664</v>
      </c>
      <c r="AZ41" s="28">
        <f>'Monthly Data'!AZ89</f>
        <v>7.1333333333333417</v>
      </c>
      <c r="BA41" s="28">
        <f>'Monthly Data'!BA89</f>
        <v>139.21666666666667</v>
      </c>
      <c r="BB41" s="28">
        <f>'Monthly Data'!BB89</f>
        <v>18.508333333333347</v>
      </c>
      <c r="BC41" s="28">
        <f>'Monthly Data'!BC89</f>
        <v>98.029166666666683</v>
      </c>
      <c r="BD41" s="28">
        <f>'Monthly Data'!BD89</f>
        <v>37.32083333333334</v>
      </c>
      <c r="BE41">
        <f>'Monthly Data'!BE89</f>
        <v>0</v>
      </c>
      <c r="BF41">
        <f>'Monthly Data'!BF89</f>
        <v>0</v>
      </c>
      <c r="BG41">
        <f>'Monthly Data'!BG89</f>
        <v>0</v>
      </c>
      <c r="BH41">
        <f>'Monthly Data'!BH89</f>
        <v>1</v>
      </c>
      <c r="BI41">
        <f>'Monthly Data'!BI89</f>
        <v>0</v>
      </c>
      <c r="BJ41">
        <f>'Monthly Data'!BJ89</f>
        <v>0</v>
      </c>
      <c r="BK41">
        <f>'Monthly Data'!BK89</f>
        <v>0</v>
      </c>
      <c r="BL41">
        <f>'Monthly Data'!BL89</f>
        <v>0</v>
      </c>
      <c r="BM41">
        <f>'Monthly Data'!BM89</f>
        <v>0</v>
      </c>
      <c r="BN41">
        <f>'Monthly Data'!BN89</f>
        <v>0</v>
      </c>
      <c r="BO41">
        <f>'Monthly Data'!BO89</f>
        <v>0</v>
      </c>
      <c r="BP41">
        <f>'Monthly Data'!BP89</f>
        <v>0</v>
      </c>
      <c r="BQ41" s="1">
        <f>'Monthly Data'!BQ89</f>
        <v>1</v>
      </c>
      <c r="BR41" s="1">
        <f>'Monthly Data'!BR89</f>
        <v>0</v>
      </c>
      <c r="BS41" s="1">
        <f>'Monthly Data'!BS89</f>
        <v>1</v>
      </c>
      <c r="BT41" s="1">
        <f>'Monthly Data'!BT89</f>
        <v>88</v>
      </c>
      <c r="BU41">
        <f>'Monthly Data'!BU89</f>
        <v>30</v>
      </c>
      <c r="BV41" s="1">
        <f>'Monthly Data'!BV89</f>
        <v>21</v>
      </c>
      <c r="BW41" s="1">
        <f>'Monthly Data'!BW89</f>
        <v>0</v>
      </c>
      <c r="BX41" s="1">
        <f>'Monthly Data'!BX89</f>
        <v>0</v>
      </c>
      <c r="BY41" s="1">
        <f>'Monthly Data'!BY89</f>
        <v>0.25</v>
      </c>
      <c r="BZ41" s="1">
        <f>'Monthly Data'!BZ89</f>
        <v>0</v>
      </c>
      <c r="CA41">
        <f>'Monthly Data'!CA89</f>
        <v>0</v>
      </c>
      <c r="CB41">
        <f>'Monthly Data'!CB89</f>
        <v>0</v>
      </c>
      <c r="CC41">
        <f>'Monthly Data'!CC89</f>
        <v>0</v>
      </c>
      <c r="CD41">
        <f>'Monthly Data'!CD89</f>
        <v>0</v>
      </c>
      <c r="CE41">
        <f>'Monthly Data'!CE89</f>
        <v>0</v>
      </c>
      <c r="CF41">
        <f>'Monthly Data'!CF89</f>
        <v>0</v>
      </c>
      <c r="CG41">
        <f>'Monthly Data'!CG89</f>
        <v>0</v>
      </c>
      <c r="CH41">
        <f>'Monthly Data'!CH89</f>
        <v>0</v>
      </c>
      <c r="CI41">
        <f>'Monthly Data'!CI89</f>
        <v>0</v>
      </c>
      <c r="CJ41">
        <f>'Monthly Data'!CJ89</f>
        <v>0</v>
      </c>
      <c r="CK41">
        <f>'Monthly Data'!CK89</f>
        <v>0</v>
      </c>
      <c r="CL41">
        <f>'Monthly Data'!CL89</f>
        <v>0</v>
      </c>
      <c r="CM41">
        <f>'Monthly Data'!CM89</f>
        <v>0</v>
      </c>
      <c r="CN41">
        <f>'Monthly Data'!CN89</f>
        <v>0</v>
      </c>
      <c r="CO41" s="14">
        <f>'Monthly Data'!CO89</f>
        <v>105.17708333333334</v>
      </c>
      <c r="CP41" s="14">
        <f>'Monthly Data'!CP89</f>
        <v>0</v>
      </c>
      <c r="CQ41" s="14">
        <f>'Monthly Data'!CQ89</f>
        <v>90.177083333333343</v>
      </c>
      <c r="CR41" s="14">
        <f>'Monthly Data'!CR89</f>
        <v>0</v>
      </c>
      <c r="CS41" s="14">
        <f>'Monthly Data'!CS89</f>
        <v>75.177083333333343</v>
      </c>
      <c r="CT41" s="14">
        <f>'Monthly Data'!CT89</f>
        <v>0</v>
      </c>
      <c r="CU41" s="14">
        <f>'Monthly Data'!CU89</f>
        <v>60.614583333333329</v>
      </c>
      <c r="CV41" s="14">
        <f>'Monthly Data'!CV89</f>
        <v>0.43750000000000133</v>
      </c>
      <c r="CW41" s="14">
        <f>'Monthly Data'!CW89</f>
        <v>46.96041666666666</v>
      </c>
      <c r="CX41" s="14">
        <f>'Monthly Data'!CX89</f>
        <v>1.7833333333333354</v>
      </c>
      <c r="CY41" s="14">
        <f>'Monthly Data'!CY89</f>
        <v>34.804166666666667</v>
      </c>
      <c r="CZ41" s="14">
        <f>'Monthly Data'!CZ89</f>
        <v>4.6270833333333368</v>
      </c>
      <c r="DA41" s="14">
        <f>'Monthly Data'!DA89</f>
        <v>24.507291666666671</v>
      </c>
      <c r="DB41" s="14">
        <f>'Monthly Data'!DB89</f>
        <v>9.330208333333335</v>
      </c>
      <c r="DC41" s="72">
        <f>'Monthly Data'!DC89</f>
        <v>631.0739447210774</v>
      </c>
      <c r="DD41" s="72">
        <f>'Monthly Data'!DD89</f>
        <v>21.035798157369246</v>
      </c>
      <c r="DE41" s="71">
        <f>'Monthly Data'!DE89</f>
        <v>216058.68287433955</v>
      </c>
      <c r="DF41" s="72">
        <f>'Monthly Data'!DF89</f>
        <v>1899.8399450563156</v>
      </c>
      <c r="DG41" s="72">
        <f>'Monthly Data'!DG89</f>
        <v>63.327998168543857</v>
      </c>
      <c r="DH41" s="72">
        <f>'Monthly Data'!DH89</f>
        <v>80363.229675882161</v>
      </c>
      <c r="DI41" s="72">
        <f>'Monthly Data'!DI89</f>
        <v>38138.614652582924</v>
      </c>
      <c r="DJ41" s="72">
        <f>'Monthly Data'!DJ89</f>
        <v>1271.2871550860975</v>
      </c>
      <c r="DK41" s="72">
        <f>'Monthly Data'!DK89</f>
        <v>1816.1245072658535</v>
      </c>
      <c r="DL41" s="72">
        <f>'Monthly Data'!DL89</f>
        <v>176708.91455696756</v>
      </c>
      <c r="DM41" s="72">
        <f>'Monthly Data'!DM89</f>
        <v>252441.30650995366</v>
      </c>
    </row>
    <row r="42" spans="1:117">
      <c r="A42" s="93">
        <f>'Monthly Data'!A90</f>
        <v>45047</v>
      </c>
      <c r="B42" s="4">
        <f>'Monthly Data'!B90</f>
        <v>2023</v>
      </c>
      <c r="C42" s="4">
        <f>'Monthly Data'!C90</f>
        <v>5</v>
      </c>
      <c r="D42" s="56">
        <f>'Monthly Data'!D90</f>
        <v>5770423</v>
      </c>
      <c r="E42" s="56">
        <f>'Monthly Data'!E90</f>
        <v>165492.13336312183</v>
      </c>
      <c r="F42" s="56">
        <f>'Monthly Data'!F90</f>
        <v>5935915.1333631221</v>
      </c>
      <c r="G42" s="301">
        <f>'Monthly Data'!G90</f>
        <v>10275</v>
      </c>
      <c r="H42" s="56">
        <f>'Monthly Data'!H90</f>
        <v>2095158</v>
      </c>
      <c r="I42" s="56">
        <f>'Monthly Data'!I90</f>
        <v>219679.33909126889</v>
      </c>
      <c r="J42" s="56">
        <f>'Monthly Data'!J90</f>
        <v>2314837.3390912688</v>
      </c>
      <c r="K42" s="6">
        <f>'Monthly Data'!K90</f>
        <v>1269</v>
      </c>
      <c r="L42" s="5">
        <f>'Monthly Data'!L90</f>
        <v>4991533</v>
      </c>
      <c r="M42" s="2">
        <f>'Monthly Data'!M90</f>
        <v>207485.44983821484</v>
      </c>
      <c r="N42" s="56">
        <f>'Monthly Data'!N90</f>
        <v>5199018.4498382146</v>
      </c>
      <c r="O42" s="5">
        <f>'Monthly Data'!O90</f>
        <v>18735</v>
      </c>
      <c r="P42" s="6">
        <f>'Monthly Data'!P90</f>
        <v>139</v>
      </c>
      <c r="Q42" s="5">
        <f>'Monthly Data'!Q90</f>
        <v>66555</v>
      </c>
      <c r="R42" s="5">
        <f>'Monthly Data'!R90</f>
        <v>231.4</v>
      </c>
      <c r="S42" s="6">
        <f>'Monthly Data'!S90</f>
        <v>2900</v>
      </c>
      <c r="T42" s="6">
        <f>'Monthly Data'!T90</f>
        <v>14420</v>
      </c>
      <c r="U42" s="6">
        <f>'Monthly Data'!U90</f>
        <v>39.6</v>
      </c>
      <c r="V42" s="6">
        <f>'Monthly Data'!V90</f>
        <v>174</v>
      </c>
      <c r="W42" s="5">
        <f>'Monthly Data'!W90</f>
        <v>49849</v>
      </c>
      <c r="X42" s="56">
        <f>'Monthly Data'!X90</f>
        <v>19</v>
      </c>
      <c r="Y42" s="56">
        <f>'Monthly Data'!Y90</f>
        <v>5086.3999999999996</v>
      </c>
      <c r="Z42" s="56">
        <f>'Monthly Data'!Z90</f>
        <v>4633.6000000000004</v>
      </c>
      <c r="AA42" s="56">
        <f>'Monthly Data'!AA90</f>
        <v>4986446.5999999996</v>
      </c>
      <c r="AB42" s="56">
        <f>'Monthly Data'!AB90</f>
        <v>5193932.0498382142</v>
      </c>
      <c r="AC42" s="56">
        <f>'Monthly Data'!AC90</f>
        <v>14101.4</v>
      </c>
      <c r="AD42" s="111">
        <f>'Monthly Data'!AD90</f>
        <v>865859.6</v>
      </c>
      <c r="AE42" s="111">
        <f>'Monthly Data'!AE90</f>
        <v>873385</v>
      </c>
      <c r="AF42" s="111">
        <f>'Monthly Data'!AF90</f>
        <v>7978.4</v>
      </c>
      <c r="AG42" s="111">
        <f>'Monthly Data'!AG90</f>
        <v>7966.2</v>
      </c>
      <c r="AH42" s="111">
        <f>'Monthly Data'!AH90</f>
        <v>663.7</v>
      </c>
      <c r="AI42" s="111">
        <f>'Monthly Data'!AI90</f>
        <v>664</v>
      </c>
      <c r="AJ42" s="111">
        <f>'Monthly Data'!AJ90</f>
        <v>202.29999999999927</v>
      </c>
      <c r="AK42" s="111">
        <f>'Monthly Data'!AK90</f>
        <v>201.19999999999982</v>
      </c>
      <c r="AL42" s="111">
        <f>'Monthly Data'!AL90</f>
        <v>16.5</v>
      </c>
      <c r="AM42" s="111">
        <f>'Monthly Data'!AM90</f>
        <v>16.5</v>
      </c>
      <c r="AN42" s="111">
        <f>'Monthly Data'!AN90</f>
        <v>15397.699999999953</v>
      </c>
      <c r="AO42" s="111">
        <f>'Monthly Data'!AO90</f>
        <v>6289</v>
      </c>
      <c r="AP42" s="28">
        <f>'Monthly Data'!AP90</f>
        <v>12.488239247311826</v>
      </c>
      <c r="AQ42" s="28">
        <f>'Monthly Data'!AQ90</f>
        <v>234.95208333333341</v>
      </c>
      <c r="AR42" s="28">
        <f>'Monthly Data'!AR90</f>
        <v>2.0875000000000021</v>
      </c>
      <c r="AS42" s="28">
        <f>'Monthly Data'!AS90</f>
        <v>177.13750000000005</v>
      </c>
      <c r="AT42" s="28">
        <f>'Monthly Data'!AT90</f>
        <v>6.2729166666666671</v>
      </c>
      <c r="AU42" s="28">
        <f>'Monthly Data'!AU90</f>
        <v>126.95833333333333</v>
      </c>
      <c r="AV42" s="28">
        <f>'Monthly Data'!AV90</f>
        <v>18.093750000000007</v>
      </c>
      <c r="AW42" s="28">
        <f>'Monthly Data'!AW90</f>
        <v>80.341666666666669</v>
      </c>
      <c r="AX42" s="28">
        <f>'Monthly Data'!AX90</f>
        <v>33.47708333333334</v>
      </c>
      <c r="AY42" s="28">
        <f>'Monthly Data'!AY90</f>
        <v>49.537499999999994</v>
      </c>
      <c r="AZ42" s="28">
        <f>'Monthly Data'!AZ90</f>
        <v>64.672916666666652</v>
      </c>
      <c r="BA42" s="28">
        <f>'Monthly Data'!BA90</f>
        <v>24.945833333333333</v>
      </c>
      <c r="BB42" s="28">
        <f>'Monthly Data'!BB90</f>
        <v>102.08124999999998</v>
      </c>
      <c r="BC42" s="28">
        <f>'Monthly Data'!BC90</f>
        <v>8.2916666666666643</v>
      </c>
      <c r="BD42" s="28">
        <f>'Monthly Data'!BD90</f>
        <v>147.42708333333334</v>
      </c>
      <c r="BE42">
        <f>'Monthly Data'!BE90</f>
        <v>0</v>
      </c>
      <c r="BF42">
        <f>'Monthly Data'!BF90</f>
        <v>0</v>
      </c>
      <c r="BG42">
        <f>'Monthly Data'!BG90</f>
        <v>0</v>
      </c>
      <c r="BH42">
        <f>'Monthly Data'!BH90</f>
        <v>0</v>
      </c>
      <c r="BI42">
        <f>'Monthly Data'!BI90</f>
        <v>1</v>
      </c>
      <c r="BJ42">
        <f>'Monthly Data'!BJ90</f>
        <v>0</v>
      </c>
      <c r="BK42">
        <f>'Monthly Data'!BK90</f>
        <v>0</v>
      </c>
      <c r="BL42">
        <f>'Monthly Data'!BL90</f>
        <v>0</v>
      </c>
      <c r="BM42">
        <f>'Monthly Data'!BM90</f>
        <v>0</v>
      </c>
      <c r="BN42">
        <f>'Monthly Data'!BN90</f>
        <v>0</v>
      </c>
      <c r="BO42">
        <f>'Monthly Data'!BO90</f>
        <v>0</v>
      </c>
      <c r="BP42">
        <f>'Monthly Data'!BP90</f>
        <v>0</v>
      </c>
      <c r="BQ42" s="1">
        <f>'Monthly Data'!BQ90</f>
        <v>1</v>
      </c>
      <c r="BR42" s="1">
        <f>'Monthly Data'!BR90</f>
        <v>0</v>
      </c>
      <c r="BS42" s="1">
        <f>'Monthly Data'!BS90</f>
        <v>1</v>
      </c>
      <c r="BT42" s="1">
        <f>'Monthly Data'!BT90</f>
        <v>89</v>
      </c>
      <c r="BU42">
        <f>'Monthly Data'!BU90</f>
        <v>31</v>
      </c>
      <c r="BV42" s="1">
        <f>'Monthly Data'!BV90</f>
        <v>20</v>
      </c>
      <c r="BW42" s="1">
        <f>'Monthly Data'!BW90</f>
        <v>0</v>
      </c>
      <c r="BX42" s="1">
        <f>'Monthly Data'!BX90</f>
        <v>0</v>
      </c>
      <c r="BY42" s="1">
        <f>'Monthly Data'!BY90</f>
        <v>0.25</v>
      </c>
      <c r="BZ42" s="1">
        <f>'Monthly Data'!BZ90</f>
        <v>0</v>
      </c>
      <c r="CA42">
        <f>'Monthly Data'!CA90</f>
        <v>0</v>
      </c>
      <c r="CB42">
        <f>'Monthly Data'!CB90</f>
        <v>0</v>
      </c>
      <c r="CC42">
        <f>'Monthly Data'!CC90</f>
        <v>0</v>
      </c>
      <c r="CD42">
        <f>'Monthly Data'!CD90</f>
        <v>0</v>
      </c>
      <c r="CE42">
        <f>'Monthly Data'!CE90</f>
        <v>0</v>
      </c>
      <c r="CF42">
        <f>'Monthly Data'!CF90</f>
        <v>0</v>
      </c>
      <c r="CG42">
        <f>'Monthly Data'!CG90</f>
        <v>0</v>
      </c>
      <c r="CH42">
        <f>'Monthly Data'!CH90</f>
        <v>0</v>
      </c>
      <c r="CI42">
        <f>'Monthly Data'!CI90</f>
        <v>0</v>
      </c>
      <c r="CJ42">
        <f>'Monthly Data'!CJ90</f>
        <v>0</v>
      </c>
      <c r="CK42">
        <f>'Monthly Data'!CK90</f>
        <v>0</v>
      </c>
      <c r="CL42">
        <f>'Monthly Data'!CL90</f>
        <v>0</v>
      </c>
      <c r="CM42">
        <f>'Monthly Data'!CM90</f>
        <v>0</v>
      </c>
      <c r="CN42">
        <f>'Monthly Data'!CN90</f>
        <v>0</v>
      </c>
      <c r="CO42" s="14">
        <f>'Monthly Data'!CO90</f>
        <v>58.738020833333351</v>
      </c>
      <c r="CP42" s="14">
        <f>'Monthly Data'!CP90</f>
        <v>0.52187500000000053</v>
      </c>
      <c r="CQ42" s="14">
        <f>'Monthly Data'!CQ90</f>
        <v>44.284375000000011</v>
      </c>
      <c r="CR42" s="14">
        <f>'Monthly Data'!CR90</f>
        <v>1.5682291666666668</v>
      </c>
      <c r="CS42" s="14">
        <f>'Monthly Data'!CS90</f>
        <v>31.739583333333332</v>
      </c>
      <c r="CT42" s="14">
        <f>'Monthly Data'!CT90</f>
        <v>4.5234375000000018</v>
      </c>
      <c r="CU42" s="14">
        <f>'Monthly Data'!CU90</f>
        <v>20.085416666666667</v>
      </c>
      <c r="CV42" s="14">
        <f>'Monthly Data'!CV90</f>
        <v>8.369270833333335</v>
      </c>
      <c r="CW42" s="14">
        <f>'Monthly Data'!CW90</f>
        <v>12.384374999999999</v>
      </c>
      <c r="CX42" s="14">
        <f>'Monthly Data'!CX90</f>
        <v>16.168229166666663</v>
      </c>
      <c r="CY42" s="14">
        <f>'Monthly Data'!CY90</f>
        <v>6.2364583333333332</v>
      </c>
      <c r="CZ42" s="14">
        <f>'Monthly Data'!CZ90</f>
        <v>25.520312499999996</v>
      </c>
      <c r="DA42" s="14">
        <f>'Monthly Data'!DA90</f>
        <v>2.0729166666666661</v>
      </c>
      <c r="DB42" s="14">
        <f>'Monthly Data'!DB90</f>
        <v>36.856770833333336</v>
      </c>
      <c r="DC42" s="72">
        <f>'Monthly Data'!DC90</f>
        <v>577.70463585042546</v>
      </c>
      <c r="DD42" s="72">
        <f>'Monthly Data'!DD90</f>
        <v>18.635633414529853</v>
      </c>
      <c r="DE42" s="71">
        <f>'Monthly Data'!DE90</f>
        <v>191481.13333429425</v>
      </c>
      <c r="DF42" s="72">
        <f>'Monthly Data'!DF90</f>
        <v>1824.1428992050976</v>
      </c>
      <c r="DG42" s="72">
        <f>'Monthly Data'!DG90</f>
        <v>58.843319329196696</v>
      </c>
      <c r="DH42" s="72">
        <f>'Monthly Data'!DH90</f>
        <v>74672.172228750613</v>
      </c>
      <c r="DI42" s="72">
        <f>'Monthly Data'!DI90</f>
        <v>37403.010430490751</v>
      </c>
      <c r="DJ42" s="72">
        <f>'Monthly Data'!DJ90</f>
        <v>1206.5487235642179</v>
      </c>
      <c r="DK42" s="72">
        <f>'Monthly Data'!DK90</f>
        <v>1870.1505215245375</v>
      </c>
      <c r="DL42" s="72">
        <f>'Monthly Data'!DL90</f>
        <v>167710.27257542626</v>
      </c>
      <c r="DM42" s="72">
        <f>'Monthly Data'!DM90</f>
        <v>259950.92249191072</v>
      </c>
    </row>
    <row r="43" spans="1:117">
      <c r="A43" s="93">
        <f>'Monthly Data'!A91</f>
        <v>45078</v>
      </c>
      <c r="B43" s="4">
        <f>'Monthly Data'!B91</f>
        <v>2023</v>
      </c>
      <c r="C43" s="4">
        <f>'Monthly Data'!C91</f>
        <v>6</v>
      </c>
      <c r="D43" s="56">
        <f>'Monthly Data'!D91</f>
        <v>6451557</v>
      </c>
      <c r="E43" s="56">
        <f>'Monthly Data'!E91</f>
        <v>165613.78049605747</v>
      </c>
      <c r="F43" s="56">
        <f>'Monthly Data'!F91</f>
        <v>6617170.7804960571</v>
      </c>
      <c r="G43" s="301">
        <f>'Monthly Data'!G91</f>
        <v>10280</v>
      </c>
      <c r="H43" s="56">
        <f>'Monthly Data'!H91</f>
        <v>2188263</v>
      </c>
      <c r="I43" s="56">
        <f>'Monthly Data'!I91</f>
        <v>221285.78790607295</v>
      </c>
      <c r="J43" s="56">
        <f>'Monthly Data'!J91</f>
        <v>2409548.787906073</v>
      </c>
      <c r="K43" s="6">
        <f>'Monthly Data'!K91</f>
        <v>1269</v>
      </c>
      <c r="L43" s="5">
        <f>'Monthly Data'!L91</f>
        <v>5225442.72</v>
      </c>
      <c r="M43" s="2">
        <f>'Monthly Data'!M91</f>
        <v>209453.18296740268</v>
      </c>
      <c r="N43" s="56">
        <f>'Monthly Data'!N91</f>
        <v>5434895.9029674027</v>
      </c>
      <c r="O43" s="5">
        <f>'Monthly Data'!O91</f>
        <v>15196.139999999996</v>
      </c>
      <c r="P43" s="6">
        <f>'Monthly Data'!P91</f>
        <v>139</v>
      </c>
      <c r="Q43" s="5">
        <f>'Monthly Data'!Q91</f>
        <v>59980</v>
      </c>
      <c r="R43" s="5">
        <f>'Monthly Data'!R91</f>
        <v>231.4</v>
      </c>
      <c r="S43" s="6">
        <f>'Monthly Data'!S91</f>
        <v>2900</v>
      </c>
      <c r="T43" s="6">
        <f>'Monthly Data'!T91</f>
        <v>14412</v>
      </c>
      <c r="U43" s="6">
        <f>'Monthly Data'!U91</f>
        <v>39.499999999999993</v>
      </c>
      <c r="V43" s="6">
        <f>'Monthly Data'!V91</f>
        <v>174</v>
      </c>
      <c r="W43" s="5">
        <f>'Monthly Data'!W91</f>
        <v>48925</v>
      </c>
      <c r="X43" s="56">
        <f>'Monthly Data'!X91</f>
        <v>19</v>
      </c>
      <c r="Y43" s="56">
        <f>'Monthly Data'!Y91</f>
        <v>19736.8</v>
      </c>
      <c r="Z43" s="56">
        <f>'Monthly Data'!Z91</f>
        <v>960</v>
      </c>
      <c r="AA43" s="56">
        <f>'Monthly Data'!AA91</f>
        <v>5205705.92</v>
      </c>
      <c r="AB43" s="56">
        <f>'Monthly Data'!AB91</f>
        <v>5415159.1029674029</v>
      </c>
      <c r="AC43" s="56">
        <f>'Monthly Data'!AC91</f>
        <v>14236.139999999996</v>
      </c>
      <c r="AD43" s="111">
        <f>'Monthly Data'!AD91</f>
        <v>865859.6</v>
      </c>
      <c r="AE43" s="111">
        <f>'Monthly Data'!AE91</f>
        <v>873385</v>
      </c>
      <c r="AF43" s="111">
        <f>'Monthly Data'!AF91</f>
        <v>8001.1</v>
      </c>
      <c r="AG43" s="111">
        <f>'Monthly Data'!AG91</f>
        <v>8058.5</v>
      </c>
      <c r="AH43" s="111">
        <f>'Monthly Data'!AH91</f>
        <v>672</v>
      </c>
      <c r="AI43" s="111">
        <f>'Monthly Data'!AI91</f>
        <v>678.8</v>
      </c>
      <c r="AJ43" s="111">
        <f>'Monthly Data'!AJ91</f>
        <v>218.30000000000018</v>
      </c>
      <c r="AK43" s="111">
        <f>'Monthly Data'!AK91</f>
        <v>219.80000000000018</v>
      </c>
      <c r="AL43" s="111">
        <f>'Monthly Data'!AL91</f>
        <v>28.799999999999955</v>
      </c>
      <c r="AM43" s="111">
        <f>'Monthly Data'!AM91</f>
        <v>28.5</v>
      </c>
      <c r="AN43" s="111">
        <f>'Monthly Data'!AN91</f>
        <v>15397.699999999953</v>
      </c>
      <c r="AO43" s="111">
        <f>'Monthly Data'!AO91</f>
        <v>6289</v>
      </c>
      <c r="AP43" s="28">
        <f>'Monthly Data'!AP91</f>
        <v>17.87416666666666</v>
      </c>
      <c r="AQ43" s="28">
        <f>'Monthly Data'!AQ91</f>
        <v>79.324999999999989</v>
      </c>
      <c r="AR43" s="28">
        <f>'Monthly Data'!AR91</f>
        <v>15.55</v>
      </c>
      <c r="AS43" s="28">
        <f>'Monthly Data'!AS91</f>
        <v>38.23749999999999</v>
      </c>
      <c r="AT43" s="28">
        <f>'Monthly Data'!AT91</f>
        <v>34.462499999999991</v>
      </c>
      <c r="AU43" s="28">
        <f>'Monthly Data'!AU91</f>
        <v>12.866666666666669</v>
      </c>
      <c r="AV43" s="28">
        <f>'Monthly Data'!AV91</f>
        <v>69.091666666666669</v>
      </c>
      <c r="AW43" s="28">
        <f>'Monthly Data'!AW91</f>
        <v>2.3999999999999986</v>
      </c>
      <c r="AX43" s="28">
        <f>'Monthly Data'!AX91</f>
        <v>118.625</v>
      </c>
      <c r="AY43" s="28">
        <f>'Monthly Data'!AY91</f>
        <v>0</v>
      </c>
      <c r="AZ43" s="28">
        <f>'Monthly Data'!AZ91</f>
        <v>176.22499999999999</v>
      </c>
      <c r="BA43" s="28">
        <f>'Monthly Data'!BA91</f>
        <v>0</v>
      </c>
      <c r="BB43" s="28">
        <f>'Monthly Data'!BB91</f>
        <v>236.22500000000002</v>
      </c>
      <c r="BC43" s="28">
        <f>'Monthly Data'!BC91</f>
        <v>0</v>
      </c>
      <c r="BD43" s="28">
        <f>'Monthly Data'!BD91</f>
        <v>296.22499999999997</v>
      </c>
      <c r="BE43">
        <f>'Monthly Data'!BE91</f>
        <v>0</v>
      </c>
      <c r="BF43">
        <f>'Monthly Data'!BF91</f>
        <v>0</v>
      </c>
      <c r="BG43">
        <f>'Monthly Data'!BG91</f>
        <v>0</v>
      </c>
      <c r="BH43">
        <f>'Monthly Data'!BH91</f>
        <v>0</v>
      </c>
      <c r="BI43">
        <f>'Monthly Data'!BI91</f>
        <v>0</v>
      </c>
      <c r="BJ43">
        <f>'Monthly Data'!BJ91</f>
        <v>1</v>
      </c>
      <c r="BK43">
        <f>'Monthly Data'!BK91</f>
        <v>0</v>
      </c>
      <c r="BL43">
        <f>'Monthly Data'!BL91</f>
        <v>0</v>
      </c>
      <c r="BM43">
        <f>'Monthly Data'!BM91</f>
        <v>0</v>
      </c>
      <c r="BN43">
        <f>'Monthly Data'!BN91</f>
        <v>0</v>
      </c>
      <c r="BO43">
        <f>'Monthly Data'!BO91</f>
        <v>0</v>
      </c>
      <c r="BP43">
        <f>'Monthly Data'!BP91</f>
        <v>0</v>
      </c>
      <c r="BQ43" s="1">
        <f>'Monthly Data'!BQ91</f>
        <v>0</v>
      </c>
      <c r="BR43" s="1">
        <f>'Monthly Data'!BR91</f>
        <v>0</v>
      </c>
      <c r="BS43" s="1">
        <f>'Monthly Data'!BS91</f>
        <v>0</v>
      </c>
      <c r="BT43" s="1">
        <f>'Monthly Data'!BT91</f>
        <v>90</v>
      </c>
      <c r="BU43">
        <f>'Monthly Data'!BU91</f>
        <v>30</v>
      </c>
      <c r="BV43" s="1">
        <f>'Monthly Data'!BV91</f>
        <v>22</v>
      </c>
      <c r="BW43" s="1">
        <f>'Monthly Data'!BW91</f>
        <v>0</v>
      </c>
      <c r="BX43" s="1">
        <f>'Monthly Data'!BX91</f>
        <v>0</v>
      </c>
      <c r="BY43" s="1">
        <f>'Monthly Data'!BY91</f>
        <v>0.25</v>
      </c>
      <c r="BZ43" s="1">
        <f>'Monthly Data'!BZ91</f>
        <v>0</v>
      </c>
      <c r="CA43">
        <f>'Monthly Data'!CA91</f>
        <v>0</v>
      </c>
      <c r="CB43">
        <f>'Monthly Data'!CB91</f>
        <v>0</v>
      </c>
      <c r="CC43">
        <f>'Monthly Data'!CC91</f>
        <v>0</v>
      </c>
      <c r="CD43">
        <f>'Monthly Data'!CD91</f>
        <v>0</v>
      </c>
      <c r="CE43">
        <f>'Monthly Data'!CE91</f>
        <v>0</v>
      </c>
      <c r="CF43">
        <f>'Monthly Data'!CF91</f>
        <v>0</v>
      </c>
      <c r="CG43">
        <f>'Monthly Data'!CG91</f>
        <v>0</v>
      </c>
      <c r="CH43">
        <f>'Monthly Data'!CH91</f>
        <v>0</v>
      </c>
      <c r="CI43">
        <f>'Monthly Data'!CI91</f>
        <v>0</v>
      </c>
      <c r="CJ43">
        <f>'Monthly Data'!CJ91</f>
        <v>0</v>
      </c>
      <c r="CK43">
        <f>'Monthly Data'!CK91</f>
        <v>0</v>
      </c>
      <c r="CL43">
        <f>'Monthly Data'!CL91</f>
        <v>0</v>
      </c>
      <c r="CM43">
        <f>'Monthly Data'!CM91</f>
        <v>0</v>
      </c>
      <c r="CN43">
        <f>'Monthly Data'!CN91</f>
        <v>0</v>
      </c>
      <c r="CO43" s="14">
        <f>'Monthly Data'!CO91</f>
        <v>19.831249999999997</v>
      </c>
      <c r="CP43" s="14">
        <f>'Monthly Data'!CP91</f>
        <v>3.8875000000000002</v>
      </c>
      <c r="CQ43" s="14">
        <f>'Monthly Data'!CQ91</f>
        <v>9.5593749999999975</v>
      </c>
      <c r="CR43" s="14">
        <f>'Monthly Data'!CR91</f>
        <v>8.6156249999999979</v>
      </c>
      <c r="CS43" s="14">
        <f>'Monthly Data'!CS91</f>
        <v>3.2166666666666672</v>
      </c>
      <c r="CT43" s="14">
        <f>'Monthly Data'!CT91</f>
        <v>17.272916666666667</v>
      </c>
      <c r="CU43" s="14">
        <f>'Monthly Data'!CU91</f>
        <v>0.59999999999999964</v>
      </c>
      <c r="CV43" s="14">
        <f>'Monthly Data'!CV91</f>
        <v>29.65625</v>
      </c>
      <c r="CW43" s="14">
        <f>'Monthly Data'!CW91</f>
        <v>0</v>
      </c>
      <c r="CX43" s="14">
        <f>'Monthly Data'!CX91</f>
        <v>44.056249999999999</v>
      </c>
      <c r="CY43" s="14">
        <f>'Monthly Data'!CY91</f>
        <v>0</v>
      </c>
      <c r="CZ43" s="14">
        <f>'Monthly Data'!CZ91</f>
        <v>59.056250000000006</v>
      </c>
      <c r="DA43" s="14">
        <f>'Monthly Data'!DA91</f>
        <v>0</v>
      </c>
      <c r="DB43" s="14">
        <f>'Monthly Data'!DB91</f>
        <v>74.056249999999991</v>
      </c>
      <c r="DC43" s="72">
        <f>'Monthly Data'!DC91</f>
        <v>643.69365569027798</v>
      </c>
      <c r="DD43" s="72">
        <f>'Monthly Data'!DD91</f>
        <v>21.456455189675932</v>
      </c>
      <c r="DE43" s="71">
        <f>'Monthly Data'!DE91</f>
        <v>220572.35934986858</v>
      </c>
      <c r="DF43" s="72">
        <f>'Monthly Data'!DF91</f>
        <v>1898.7776106430836</v>
      </c>
      <c r="DG43" s="72">
        <f>'Monthly Data'!DG91</f>
        <v>63.29258702143612</v>
      </c>
      <c r="DH43" s="72">
        <f>'Monthly Data'!DH91</f>
        <v>80318.292930202428</v>
      </c>
      <c r="DI43" s="72">
        <f>'Monthly Data'!DI91</f>
        <v>39099.97052494534</v>
      </c>
      <c r="DJ43" s="72">
        <f>'Monthly Data'!DJ91</f>
        <v>1303.3323508315113</v>
      </c>
      <c r="DK43" s="72">
        <f>'Monthly Data'!DK91</f>
        <v>1777.2713874975154</v>
      </c>
      <c r="DL43" s="72">
        <f>'Monthly Data'!DL91</f>
        <v>181163.1967655801</v>
      </c>
      <c r="DM43" s="72">
        <f>'Monthly Data'!DM91</f>
        <v>247040.72286215468</v>
      </c>
    </row>
    <row r="44" spans="1:117">
      <c r="A44" s="93">
        <f>'Monthly Data'!A92</f>
        <v>45108</v>
      </c>
      <c r="B44" s="4">
        <f>'Monthly Data'!B92</f>
        <v>2023</v>
      </c>
      <c r="C44" s="4">
        <f>'Monthly Data'!C92</f>
        <v>7</v>
      </c>
      <c r="D44" s="56">
        <f>'Monthly Data'!D92</f>
        <v>7904084</v>
      </c>
      <c r="E44" s="56">
        <f>'Monthly Data'!E92</f>
        <v>165735.42762899311</v>
      </c>
      <c r="F44" s="56">
        <f>'Monthly Data'!F92</f>
        <v>8069819.4276289931</v>
      </c>
      <c r="G44" s="301">
        <f>'Monthly Data'!G92</f>
        <v>10278</v>
      </c>
      <c r="H44" s="56">
        <f>'Monthly Data'!H92</f>
        <v>2456082</v>
      </c>
      <c r="I44" s="56">
        <f>'Monthly Data'!I92</f>
        <v>222892.236720877</v>
      </c>
      <c r="J44" s="56">
        <f>'Monthly Data'!J92</f>
        <v>2678974.2367208768</v>
      </c>
      <c r="K44" s="6">
        <f>'Monthly Data'!K92</f>
        <v>1268</v>
      </c>
      <c r="L44" s="5">
        <f>'Monthly Data'!L92</f>
        <v>5699824</v>
      </c>
      <c r="M44" s="2">
        <f>'Monthly Data'!M92</f>
        <v>211420.91609659049</v>
      </c>
      <c r="N44" s="56">
        <f>'Monthly Data'!N92</f>
        <v>5911244.9160965905</v>
      </c>
      <c r="O44" s="5">
        <f>'Monthly Data'!O92</f>
        <v>15950.600000000002</v>
      </c>
      <c r="P44" s="6">
        <f>'Monthly Data'!P92</f>
        <v>139</v>
      </c>
      <c r="Q44" s="5">
        <f>'Monthly Data'!Q92</f>
        <v>64318</v>
      </c>
      <c r="R44" s="5">
        <f>'Monthly Data'!R92</f>
        <v>231.4</v>
      </c>
      <c r="S44" s="6">
        <f>'Monthly Data'!S92</f>
        <v>2900</v>
      </c>
      <c r="T44" s="6">
        <f>'Monthly Data'!T92</f>
        <v>14411</v>
      </c>
      <c r="U44" s="6">
        <f>'Monthly Data'!U92</f>
        <v>39.499999999999993</v>
      </c>
      <c r="V44" s="6">
        <f>'Monthly Data'!V92</f>
        <v>172</v>
      </c>
      <c r="W44" s="5">
        <f>'Monthly Data'!W92</f>
        <v>49849</v>
      </c>
      <c r="X44" s="56">
        <f>'Monthly Data'!X92</f>
        <v>19</v>
      </c>
      <c r="Y44" s="56">
        <f>'Monthly Data'!Y92</f>
        <v>1885.6</v>
      </c>
      <c r="Z44" s="56">
        <f>'Monthly Data'!Z92</f>
        <v>1491.2</v>
      </c>
      <c r="AA44" s="56">
        <f>'Monthly Data'!AA92</f>
        <v>5697938.4000000004</v>
      </c>
      <c r="AB44" s="56">
        <f>'Monthly Data'!AB92</f>
        <v>5909359.3160965908</v>
      </c>
      <c r="AC44" s="56">
        <f>'Monthly Data'!AC92</f>
        <v>14459.400000000001</v>
      </c>
      <c r="AD44" s="111">
        <f>'Monthly Data'!AD92</f>
        <v>865859.6</v>
      </c>
      <c r="AE44" s="111">
        <f>'Monthly Data'!AE92</f>
        <v>876964</v>
      </c>
      <c r="AF44" s="111">
        <f>'Monthly Data'!AF92</f>
        <v>8016.3</v>
      </c>
      <c r="AG44" s="111">
        <f>'Monthly Data'!AG92</f>
        <v>8107</v>
      </c>
      <c r="AH44" s="111">
        <f>'Monthly Data'!AH92</f>
        <v>677.8</v>
      </c>
      <c r="AI44" s="111">
        <f>'Monthly Data'!AI92</f>
        <v>690.2</v>
      </c>
      <c r="AJ44" s="111">
        <f>'Monthly Data'!AJ92</f>
        <v>232.19999999999982</v>
      </c>
      <c r="AK44" s="111">
        <f>'Monthly Data'!AK92</f>
        <v>234.89999999999964</v>
      </c>
      <c r="AL44" s="111">
        <f>'Monthly Data'!AL92</f>
        <v>38.399999999999977</v>
      </c>
      <c r="AM44" s="111">
        <f>'Monthly Data'!AM92</f>
        <v>38.400000000000091</v>
      </c>
      <c r="AN44" s="111">
        <f>'Monthly Data'!AN92</f>
        <v>15397.699999999953</v>
      </c>
      <c r="AO44" s="111">
        <f>'Monthly Data'!AO92</f>
        <v>3579</v>
      </c>
      <c r="AP44" s="28">
        <f>'Monthly Data'!AP92</f>
        <v>20.245833333333334</v>
      </c>
      <c r="AQ44" s="28">
        <f>'Monthly Data'!AQ92</f>
        <v>27.016666666666673</v>
      </c>
      <c r="AR44" s="28">
        <f>'Monthly Data'!AR92</f>
        <v>34.637499999999989</v>
      </c>
      <c r="AS44" s="28">
        <f>'Monthly Data'!AS92</f>
        <v>6.454166666666671</v>
      </c>
      <c r="AT44" s="28">
        <f>'Monthly Data'!AT92</f>
        <v>76.07499999999996</v>
      </c>
      <c r="AU44" s="28">
        <f>'Monthly Data'!AU92</f>
        <v>0.38333333333333464</v>
      </c>
      <c r="AV44" s="28">
        <f>'Monthly Data'!AV92</f>
        <v>132.00416666666663</v>
      </c>
      <c r="AW44" s="28">
        <f>'Monthly Data'!AW92</f>
        <v>0</v>
      </c>
      <c r="AX44" s="28">
        <f>'Monthly Data'!AX92</f>
        <v>193.62083333333328</v>
      </c>
      <c r="AY44" s="28">
        <f>'Monthly Data'!AY92</f>
        <v>0</v>
      </c>
      <c r="AZ44" s="28">
        <f>'Monthly Data'!AZ92</f>
        <v>255.62083333333328</v>
      </c>
      <c r="BA44" s="28">
        <f>'Monthly Data'!BA92</f>
        <v>0</v>
      </c>
      <c r="BB44" s="28">
        <f>'Monthly Data'!BB92</f>
        <v>317.62083333333328</v>
      </c>
      <c r="BC44" s="28">
        <f>'Monthly Data'!BC92</f>
        <v>0</v>
      </c>
      <c r="BD44" s="28">
        <f>'Monthly Data'!BD92</f>
        <v>379.62083333333334</v>
      </c>
      <c r="BE44">
        <f>'Monthly Data'!BE92</f>
        <v>0</v>
      </c>
      <c r="BF44">
        <f>'Monthly Data'!BF92</f>
        <v>0</v>
      </c>
      <c r="BG44">
        <f>'Monthly Data'!BG92</f>
        <v>0</v>
      </c>
      <c r="BH44">
        <f>'Monthly Data'!BH92</f>
        <v>0</v>
      </c>
      <c r="BI44">
        <f>'Monthly Data'!BI92</f>
        <v>0</v>
      </c>
      <c r="BJ44">
        <f>'Monthly Data'!BJ92</f>
        <v>0</v>
      </c>
      <c r="BK44">
        <f>'Monthly Data'!BK92</f>
        <v>1</v>
      </c>
      <c r="BL44">
        <f>'Monthly Data'!BL92</f>
        <v>0</v>
      </c>
      <c r="BM44">
        <f>'Monthly Data'!BM92</f>
        <v>0</v>
      </c>
      <c r="BN44">
        <f>'Monthly Data'!BN92</f>
        <v>0</v>
      </c>
      <c r="BO44">
        <f>'Monthly Data'!BO92</f>
        <v>0</v>
      </c>
      <c r="BP44">
        <f>'Monthly Data'!BP92</f>
        <v>0</v>
      </c>
      <c r="BQ44" s="1">
        <f>'Monthly Data'!BQ92</f>
        <v>0</v>
      </c>
      <c r="BR44" s="1">
        <f>'Monthly Data'!BR92</f>
        <v>0</v>
      </c>
      <c r="BS44" s="1">
        <f>'Monthly Data'!BS92</f>
        <v>0</v>
      </c>
      <c r="BT44" s="1">
        <f>'Monthly Data'!BT92</f>
        <v>91</v>
      </c>
      <c r="BU44">
        <f>'Monthly Data'!BU92</f>
        <v>31</v>
      </c>
      <c r="BV44" s="1">
        <f>'Monthly Data'!BV92</f>
        <v>21</v>
      </c>
      <c r="BW44" s="1">
        <f>'Monthly Data'!BW92</f>
        <v>0</v>
      </c>
      <c r="BX44" s="1">
        <f>'Monthly Data'!BX92</f>
        <v>0</v>
      </c>
      <c r="BY44" s="1">
        <f>'Monthly Data'!BY92</f>
        <v>0.25</v>
      </c>
      <c r="BZ44" s="1">
        <f>'Monthly Data'!BZ92</f>
        <v>0</v>
      </c>
      <c r="CA44">
        <f>'Monthly Data'!CA92</f>
        <v>0</v>
      </c>
      <c r="CB44">
        <f>'Monthly Data'!CB92</f>
        <v>0</v>
      </c>
      <c r="CC44">
        <f>'Monthly Data'!CC92</f>
        <v>0</v>
      </c>
      <c r="CD44">
        <f>'Monthly Data'!CD92</f>
        <v>0</v>
      </c>
      <c r="CE44">
        <f>'Monthly Data'!CE92</f>
        <v>0</v>
      </c>
      <c r="CF44">
        <f>'Monthly Data'!CF92</f>
        <v>0</v>
      </c>
      <c r="CG44">
        <f>'Monthly Data'!CG92</f>
        <v>0</v>
      </c>
      <c r="CH44">
        <f>'Monthly Data'!CH92</f>
        <v>0</v>
      </c>
      <c r="CI44">
        <f>'Monthly Data'!CI92</f>
        <v>0</v>
      </c>
      <c r="CJ44">
        <f>'Monthly Data'!CJ92</f>
        <v>0</v>
      </c>
      <c r="CK44">
        <f>'Monthly Data'!CK92</f>
        <v>0</v>
      </c>
      <c r="CL44">
        <f>'Monthly Data'!CL92</f>
        <v>0</v>
      </c>
      <c r="CM44">
        <f>'Monthly Data'!CM92</f>
        <v>0</v>
      </c>
      <c r="CN44">
        <f>'Monthly Data'!CN92</f>
        <v>0</v>
      </c>
      <c r="CO44" s="14">
        <f>'Monthly Data'!CO92</f>
        <v>6.7541666666666682</v>
      </c>
      <c r="CP44" s="14">
        <f>'Monthly Data'!CP92</f>
        <v>8.6593749999999972</v>
      </c>
      <c r="CQ44" s="14">
        <f>'Monthly Data'!CQ92</f>
        <v>1.6135416666666678</v>
      </c>
      <c r="CR44" s="14">
        <f>'Monthly Data'!CR92</f>
        <v>19.01874999999999</v>
      </c>
      <c r="CS44" s="14">
        <f>'Monthly Data'!CS92</f>
        <v>9.5833333333333659E-2</v>
      </c>
      <c r="CT44" s="14">
        <f>'Monthly Data'!CT92</f>
        <v>33.001041666666659</v>
      </c>
      <c r="CU44" s="14">
        <f>'Monthly Data'!CU92</f>
        <v>0</v>
      </c>
      <c r="CV44" s="14">
        <f>'Monthly Data'!CV92</f>
        <v>48.40520833333332</v>
      </c>
      <c r="CW44" s="14">
        <f>'Monthly Data'!CW92</f>
        <v>0</v>
      </c>
      <c r="CX44" s="14">
        <f>'Monthly Data'!CX92</f>
        <v>63.90520833333332</v>
      </c>
      <c r="CY44" s="14">
        <f>'Monthly Data'!CY92</f>
        <v>0</v>
      </c>
      <c r="CZ44" s="14">
        <f>'Monthly Data'!CZ92</f>
        <v>79.40520833333332</v>
      </c>
      <c r="DA44" s="14">
        <f>'Monthly Data'!DA92</f>
        <v>0</v>
      </c>
      <c r="DB44" s="14">
        <f>'Monthly Data'!DB92</f>
        <v>94.905208333333334</v>
      </c>
      <c r="DC44" s="72">
        <f>'Monthly Data'!DC92</f>
        <v>785.15464366890376</v>
      </c>
      <c r="DD44" s="72">
        <f>'Monthly Data'!DD92</f>
        <v>25.327569150609797</v>
      </c>
      <c r="DE44" s="71">
        <f>'Monthly Data'!DE92</f>
        <v>260316.75572996752</v>
      </c>
      <c r="DF44" s="72">
        <f>'Monthly Data'!DF92</f>
        <v>2112.7557071931205</v>
      </c>
      <c r="DG44" s="72">
        <f>'Monthly Data'!DG92</f>
        <v>68.153409909455505</v>
      </c>
      <c r="DH44" s="72">
        <f>'Monthly Data'!DH92</f>
        <v>86418.523765189573</v>
      </c>
      <c r="DI44" s="72">
        <f>'Monthly Data'!DI92</f>
        <v>42526.941842421511</v>
      </c>
      <c r="DJ44" s="72">
        <f>'Monthly Data'!DJ92</f>
        <v>1371.8368336265003</v>
      </c>
      <c r="DK44" s="72">
        <f>'Monthly Data'!DK92</f>
        <v>2025.0924686867386</v>
      </c>
      <c r="DL44" s="72">
        <f>'Monthly Data'!DL92</f>
        <v>190685.31987408357</v>
      </c>
      <c r="DM44" s="72">
        <f>'Monthly Data'!DM92</f>
        <v>281487.85314745671</v>
      </c>
    </row>
    <row r="45" spans="1:117">
      <c r="A45" s="93">
        <f>'Monthly Data'!A93</f>
        <v>45139</v>
      </c>
      <c r="B45" s="4">
        <f>'Monthly Data'!B93</f>
        <v>2023</v>
      </c>
      <c r="C45" s="4">
        <f>'Monthly Data'!C93</f>
        <v>8</v>
      </c>
      <c r="D45" s="56">
        <f>'Monthly Data'!D93</f>
        <v>6424902</v>
      </c>
      <c r="E45" s="56">
        <f>'Monthly Data'!E93</f>
        <v>165857.07476192876</v>
      </c>
      <c r="F45" s="56">
        <f>'Monthly Data'!F93</f>
        <v>6590759.074761929</v>
      </c>
      <c r="G45" s="301">
        <f>'Monthly Data'!G93</f>
        <v>10295</v>
      </c>
      <c r="H45" s="56">
        <f>'Monthly Data'!H93</f>
        <v>2184176</v>
      </c>
      <c r="I45" s="56">
        <f>'Monthly Data'!I93</f>
        <v>224498.68553568106</v>
      </c>
      <c r="J45" s="56">
        <f>'Monthly Data'!J93</f>
        <v>2408674.685535681</v>
      </c>
      <c r="K45" s="6">
        <f>'Monthly Data'!K93</f>
        <v>1268</v>
      </c>
      <c r="L45" s="5">
        <f>'Monthly Data'!L93</f>
        <v>5290740</v>
      </c>
      <c r="M45" s="2">
        <f>'Monthly Data'!M93</f>
        <v>213388.64922577832</v>
      </c>
      <c r="N45" s="56">
        <f>'Monthly Data'!N93</f>
        <v>5504128.6492257779</v>
      </c>
      <c r="O45" s="5">
        <f>'Monthly Data'!O93</f>
        <v>16826.900000000001</v>
      </c>
      <c r="P45" s="6">
        <f>'Monthly Data'!P93</f>
        <v>139</v>
      </c>
      <c r="Q45" s="5">
        <f>'Monthly Data'!Q93</f>
        <v>72300</v>
      </c>
      <c r="R45" s="5">
        <f>'Monthly Data'!R93</f>
        <v>231</v>
      </c>
      <c r="S45" s="6">
        <f>'Monthly Data'!S93</f>
        <v>2900</v>
      </c>
      <c r="T45" s="6">
        <f>'Monthly Data'!T93</f>
        <v>14124</v>
      </c>
      <c r="U45" s="6">
        <f>'Monthly Data'!U93</f>
        <v>38.79999999999999</v>
      </c>
      <c r="V45" s="6">
        <f>'Monthly Data'!V93</f>
        <v>172</v>
      </c>
      <c r="W45" s="5">
        <f>'Monthly Data'!W93</f>
        <v>49807</v>
      </c>
      <c r="X45" s="56">
        <f>'Monthly Data'!X93</f>
        <v>19</v>
      </c>
      <c r="Y45" s="56">
        <f>'Monthly Data'!Y93</f>
        <v>50262.080000000002</v>
      </c>
      <c r="Z45" s="56">
        <f>'Monthly Data'!Z93</f>
        <v>3653.8</v>
      </c>
      <c r="AA45" s="56">
        <f>'Monthly Data'!AA93</f>
        <v>5240477.92</v>
      </c>
      <c r="AB45" s="56">
        <f>'Monthly Data'!AB93</f>
        <v>5453866.5692257779</v>
      </c>
      <c r="AC45" s="56">
        <f>'Monthly Data'!AC93</f>
        <v>13173.100000000002</v>
      </c>
      <c r="AD45" s="111">
        <f>'Monthly Data'!AD93</f>
        <v>865859.6</v>
      </c>
      <c r="AE45" s="111">
        <f>'Monthly Data'!AE93</f>
        <v>876964</v>
      </c>
      <c r="AF45" s="111">
        <f>'Monthly Data'!AF93</f>
        <v>8040</v>
      </c>
      <c r="AG45" s="111">
        <f>'Monthly Data'!AG93</f>
        <v>8115.6</v>
      </c>
      <c r="AH45" s="111">
        <f>'Monthly Data'!AH93</f>
        <v>682.8</v>
      </c>
      <c r="AI45" s="111">
        <f>'Monthly Data'!AI93</f>
        <v>691.7</v>
      </c>
      <c r="AJ45" s="111">
        <f>'Monthly Data'!AJ93</f>
        <v>262</v>
      </c>
      <c r="AK45" s="111">
        <f>'Monthly Data'!AK93</f>
        <v>263.20000000000073</v>
      </c>
      <c r="AL45" s="111">
        <f>'Monthly Data'!AL93</f>
        <v>44.299999999999955</v>
      </c>
      <c r="AM45" s="111">
        <f>'Monthly Data'!AM93</f>
        <v>44.900000000000091</v>
      </c>
      <c r="AN45" s="111">
        <f>'Monthly Data'!AN93</f>
        <v>15397.699999999953</v>
      </c>
      <c r="AO45" s="111">
        <f>'Monthly Data'!AO93</f>
        <v>3579</v>
      </c>
      <c r="AP45" s="28">
        <f>'Monthly Data'!AP93</f>
        <v>17.51075268817204</v>
      </c>
      <c r="AQ45" s="28">
        <f>'Monthly Data'!AQ93</f>
        <v>78.083333333333329</v>
      </c>
      <c r="AR45" s="28">
        <f>'Monthly Data'!AR93</f>
        <v>0.9166666666666643</v>
      </c>
      <c r="AS45" s="28">
        <f>'Monthly Data'!AS93</f>
        <v>30.016666666666659</v>
      </c>
      <c r="AT45" s="28">
        <f>'Monthly Data'!AT93</f>
        <v>14.849999999999994</v>
      </c>
      <c r="AU45" s="28">
        <f>'Monthly Data'!AU93</f>
        <v>5.4958333333333371</v>
      </c>
      <c r="AV45" s="28">
        <f>'Monthly Data'!AV93</f>
        <v>52.329166666666687</v>
      </c>
      <c r="AW45" s="28">
        <f>'Monthly Data'!AW93</f>
        <v>0.45000000000000284</v>
      </c>
      <c r="AX45" s="28">
        <f>'Monthly Data'!AX93</f>
        <v>109.28333333333336</v>
      </c>
      <c r="AY45" s="28">
        <f>'Monthly Data'!AY93</f>
        <v>0</v>
      </c>
      <c r="AZ45" s="28">
        <f>'Monthly Data'!AZ93</f>
        <v>170.83333333333337</v>
      </c>
      <c r="BA45" s="28">
        <f>'Monthly Data'!BA93</f>
        <v>0</v>
      </c>
      <c r="BB45" s="28">
        <f>'Monthly Data'!BB93</f>
        <v>232.83333333333337</v>
      </c>
      <c r="BC45" s="28">
        <f>'Monthly Data'!BC93</f>
        <v>0</v>
      </c>
      <c r="BD45" s="28">
        <f>'Monthly Data'!BD93</f>
        <v>294.83333333333337</v>
      </c>
      <c r="BE45">
        <f>'Monthly Data'!BE93</f>
        <v>0</v>
      </c>
      <c r="BF45">
        <f>'Monthly Data'!BF93</f>
        <v>0</v>
      </c>
      <c r="BG45">
        <f>'Monthly Data'!BG93</f>
        <v>0</v>
      </c>
      <c r="BH45">
        <f>'Monthly Data'!BH93</f>
        <v>0</v>
      </c>
      <c r="BI45">
        <f>'Monthly Data'!BI93</f>
        <v>0</v>
      </c>
      <c r="BJ45">
        <f>'Monthly Data'!BJ93</f>
        <v>0</v>
      </c>
      <c r="BK45">
        <f>'Monthly Data'!BK93</f>
        <v>0</v>
      </c>
      <c r="BL45">
        <f>'Monthly Data'!BL93</f>
        <v>1</v>
      </c>
      <c r="BM45">
        <f>'Monthly Data'!BM93</f>
        <v>0</v>
      </c>
      <c r="BN45">
        <f>'Monthly Data'!BN93</f>
        <v>0</v>
      </c>
      <c r="BO45">
        <f>'Monthly Data'!BO93</f>
        <v>0</v>
      </c>
      <c r="BP45">
        <f>'Monthly Data'!BP93</f>
        <v>0</v>
      </c>
      <c r="BQ45" s="1">
        <f>'Monthly Data'!BQ93</f>
        <v>0</v>
      </c>
      <c r="BR45" s="1">
        <f>'Monthly Data'!BR93</f>
        <v>0</v>
      </c>
      <c r="BS45" s="1">
        <f>'Monthly Data'!BS93</f>
        <v>0</v>
      </c>
      <c r="BT45" s="1">
        <f>'Monthly Data'!BT93</f>
        <v>92</v>
      </c>
      <c r="BU45">
        <f>'Monthly Data'!BU93</f>
        <v>31</v>
      </c>
      <c r="BV45" s="1">
        <f>'Monthly Data'!BV93</f>
        <v>20</v>
      </c>
      <c r="BW45" s="1">
        <f>'Monthly Data'!BW93</f>
        <v>0</v>
      </c>
      <c r="BX45" s="1">
        <f>'Monthly Data'!BX93</f>
        <v>0</v>
      </c>
      <c r="BY45" s="1">
        <f>'Monthly Data'!BY93</f>
        <v>0.25</v>
      </c>
      <c r="BZ45" s="1">
        <f>'Monthly Data'!BZ93</f>
        <v>0</v>
      </c>
      <c r="CA45">
        <f>'Monthly Data'!CA93</f>
        <v>0</v>
      </c>
      <c r="CB45">
        <f>'Monthly Data'!CB93</f>
        <v>0</v>
      </c>
      <c r="CC45">
        <f>'Monthly Data'!CC93</f>
        <v>0</v>
      </c>
      <c r="CD45">
        <f>'Monthly Data'!CD93</f>
        <v>0</v>
      </c>
      <c r="CE45">
        <f>'Monthly Data'!CE93</f>
        <v>0</v>
      </c>
      <c r="CF45">
        <f>'Monthly Data'!CF93</f>
        <v>0</v>
      </c>
      <c r="CG45">
        <f>'Monthly Data'!CG93</f>
        <v>0</v>
      </c>
      <c r="CH45">
        <f>'Monthly Data'!CH93</f>
        <v>0</v>
      </c>
      <c r="CI45">
        <f>'Monthly Data'!CI93</f>
        <v>0</v>
      </c>
      <c r="CJ45">
        <f>'Monthly Data'!CJ93</f>
        <v>0</v>
      </c>
      <c r="CK45">
        <f>'Monthly Data'!CK93</f>
        <v>0</v>
      </c>
      <c r="CL45">
        <f>'Monthly Data'!CL93</f>
        <v>0</v>
      </c>
      <c r="CM45">
        <f>'Monthly Data'!CM93</f>
        <v>0</v>
      </c>
      <c r="CN45">
        <f>'Monthly Data'!CN93</f>
        <v>0</v>
      </c>
      <c r="CO45" s="14">
        <f>'Monthly Data'!CO93</f>
        <v>19.520833333333332</v>
      </c>
      <c r="CP45" s="14">
        <f>'Monthly Data'!CP93</f>
        <v>0.22916666666666607</v>
      </c>
      <c r="CQ45" s="14">
        <f>'Monthly Data'!CQ93</f>
        <v>7.5041666666666647</v>
      </c>
      <c r="CR45" s="14">
        <f>'Monthly Data'!CR93</f>
        <v>3.7124999999999986</v>
      </c>
      <c r="CS45" s="14">
        <f>'Monthly Data'!CS93</f>
        <v>1.3739583333333343</v>
      </c>
      <c r="CT45" s="14">
        <f>'Monthly Data'!CT93</f>
        <v>13.082291666666672</v>
      </c>
      <c r="CU45" s="14">
        <f>'Monthly Data'!CU93</f>
        <v>0.11250000000000071</v>
      </c>
      <c r="CV45" s="14">
        <f>'Monthly Data'!CV93</f>
        <v>27.32083333333334</v>
      </c>
      <c r="CW45" s="14">
        <f>'Monthly Data'!CW93</f>
        <v>0</v>
      </c>
      <c r="CX45" s="14">
        <f>'Monthly Data'!CX93</f>
        <v>42.708333333333343</v>
      </c>
      <c r="CY45" s="14">
        <f>'Monthly Data'!CY93</f>
        <v>0</v>
      </c>
      <c r="CZ45" s="14">
        <f>'Monthly Data'!CZ93</f>
        <v>58.208333333333343</v>
      </c>
      <c r="DA45" s="14">
        <f>'Monthly Data'!DA93</f>
        <v>0</v>
      </c>
      <c r="DB45" s="14">
        <f>'Monthly Data'!DB93</f>
        <v>73.708333333333343</v>
      </c>
      <c r="DC45" s="72">
        <f>'Monthly Data'!DC93</f>
        <v>640.19029380883239</v>
      </c>
      <c r="DD45" s="72">
        <f>'Monthly Data'!DD93</f>
        <v>20.651299800284917</v>
      </c>
      <c r="DE45" s="71">
        <f>'Monthly Data'!DE93</f>
        <v>212605.13144393321</v>
      </c>
      <c r="DF45" s="72">
        <f>'Monthly Data'!DF93</f>
        <v>1899.5857141448589</v>
      </c>
      <c r="DG45" s="72">
        <f>'Monthly Data'!DG93</f>
        <v>61.276958520801898</v>
      </c>
      <c r="DH45" s="72">
        <f>'Monthly Data'!DH93</f>
        <v>77699.183404376803</v>
      </c>
      <c r="DI45" s="72">
        <f>'Monthly Data'!DI93</f>
        <v>39598.047836156678</v>
      </c>
      <c r="DJ45" s="72">
        <f>'Monthly Data'!DJ93</f>
        <v>1277.3563818115058</v>
      </c>
      <c r="DK45" s="72">
        <f>'Monthly Data'!DK93</f>
        <v>1979.902391807834</v>
      </c>
      <c r="DL45" s="72">
        <f>'Monthly Data'!DL93</f>
        <v>177552.53707179928</v>
      </c>
      <c r="DM45" s="72">
        <f>'Monthly Data'!DM93</f>
        <v>275206.43246128887</v>
      </c>
    </row>
    <row r="46" spans="1:117">
      <c r="A46" s="93">
        <f>'Monthly Data'!A94</f>
        <v>45170</v>
      </c>
      <c r="B46" s="4">
        <f>'Monthly Data'!B94</f>
        <v>2023</v>
      </c>
      <c r="C46" s="4">
        <f>'Monthly Data'!C94</f>
        <v>9</v>
      </c>
      <c r="D46" s="56">
        <f>'Monthly Data'!D94</f>
        <v>5980890</v>
      </c>
      <c r="E46" s="56">
        <f>'Monthly Data'!E94</f>
        <v>165978.7218948644</v>
      </c>
      <c r="F46" s="56">
        <f>'Monthly Data'!F94</f>
        <v>6146868.721894864</v>
      </c>
      <c r="G46" s="301">
        <f>'Monthly Data'!G94</f>
        <v>10291</v>
      </c>
      <c r="H46" s="56">
        <f>'Monthly Data'!H94</f>
        <v>2089952</v>
      </c>
      <c r="I46" s="56">
        <f>'Monthly Data'!I94</f>
        <v>226105.13435048511</v>
      </c>
      <c r="J46" s="56">
        <f>'Monthly Data'!J94</f>
        <v>2316057.1343504852</v>
      </c>
      <c r="K46" s="6">
        <f>'Monthly Data'!K94</f>
        <v>1268</v>
      </c>
      <c r="L46" s="5">
        <f>'Monthly Data'!L94</f>
        <v>5126707</v>
      </c>
      <c r="M46" s="2">
        <f>'Monthly Data'!M94</f>
        <v>215356.38235496613</v>
      </c>
      <c r="N46" s="56">
        <f>'Monthly Data'!N94</f>
        <v>5342063.3823549664</v>
      </c>
      <c r="O46" s="5">
        <f>'Monthly Data'!O94</f>
        <v>16271.7</v>
      </c>
      <c r="P46" s="6">
        <f>'Monthly Data'!P94</f>
        <v>139</v>
      </c>
      <c r="Q46" s="5">
        <f>'Monthly Data'!Q94</f>
        <v>79827</v>
      </c>
      <c r="R46" s="5">
        <f>'Monthly Data'!R94</f>
        <v>231</v>
      </c>
      <c r="S46" s="6">
        <f>'Monthly Data'!S94</f>
        <v>2900</v>
      </c>
      <c r="T46" s="6">
        <f>'Monthly Data'!T94</f>
        <v>14399</v>
      </c>
      <c r="U46" s="6">
        <f>'Monthly Data'!U94</f>
        <v>39</v>
      </c>
      <c r="V46" s="6">
        <f>'Monthly Data'!V94</f>
        <v>172</v>
      </c>
      <c r="W46" s="5">
        <f>'Monthly Data'!W94</f>
        <v>48799</v>
      </c>
      <c r="X46" s="56">
        <f>'Monthly Data'!X94</f>
        <v>19</v>
      </c>
      <c r="Y46" s="56">
        <f>'Monthly Data'!Y94</f>
        <v>476.32</v>
      </c>
      <c r="Z46" s="56">
        <f>'Monthly Data'!Z94</f>
        <v>1084.8</v>
      </c>
      <c r="AA46" s="56">
        <f>'Monthly Data'!AA94</f>
        <v>5126230.68</v>
      </c>
      <c r="AB46" s="56">
        <f>'Monthly Data'!AB94</f>
        <v>5341587.0623549661</v>
      </c>
      <c r="AC46" s="56">
        <f>'Monthly Data'!AC94</f>
        <v>15186.900000000001</v>
      </c>
      <c r="AD46" s="111">
        <f>'Monthly Data'!AD94</f>
        <v>865859.6</v>
      </c>
      <c r="AE46" s="111">
        <f>'Monthly Data'!AE94</f>
        <v>876964</v>
      </c>
      <c r="AF46" s="111">
        <f>'Monthly Data'!AF94</f>
        <v>8052.4</v>
      </c>
      <c r="AG46" s="111">
        <f>'Monthly Data'!AG94</f>
        <v>8068.5</v>
      </c>
      <c r="AH46" s="111">
        <f>'Monthly Data'!AH94</f>
        <v>684.8</v>
      </c>
      <c r="AI46" s="111">
        <f>'Monthly Data'!AI94</f>
        <v>687.3</v>
      </c>
      <c r="AJ46" s="111">
        <f>'Monthly Data'!AJ94</f>
        <v>281.69999999999982</v>
      </c>
      <c r="AK46" s="111">
        <f>'Monthly Data'!AK94</f>
        <v>274.69999999999982</v>
      </c>
      <c r="AL46" s="111">
        <f>'Monthly Data'!AL94</f>
        <v>38.5</v>
      </c>
      <c r="AM46" s="111">
        <f>'Monthly Data'!AM94</f>
        <v>38.5</v>
      </c>
      <c r="AN46" s="111">
        <f>'Monthly Data'!AN94</f>
        <v>15397.699999999953</v>
      </c>
      <c r="AO46" s="111">
        <f>'Monthly Data'!AO94</f>
        <v>3579</v>
      </c>
      <c r="AP46" s="28">
        <f>'Monthly Data'!AP94</f>
        <v>15.133472222222224</v>
      </c>
      <c r="AQ46" s="28">
        <f>'Monthly Data'!AQ94</f>
        <v>162.20833333333331</v>
      </c>
      <c r="AR46" s="28">
        <f>'Monthly Data'!AR94</f>
        <v>16.212500000000002</v>
      </c>
      <c r="AS46" s="28">
        <f>'Monthly Data'!AS94</f>
        <v>112.94166666666663</v>
      </c>
      <c r="AT46" s="28">
        <f>'Monthly Data'!AT94</f>
        <v>26.945833333333336</v>
      </c>
      <c r="AU46" s="28">
        <f>'Monthly Data'!AU94</f>
        <v>65.812499999999986</v>
      </c>
      <c r="AV46" s="28">
        <f>'Monthly Data'!AV94</f>
        <v>39.816666666666677</v>
      </c>
      <c r="AW46" s="28">
        <f>'Monthly Data'!AW94</f>
        <v>29.48749999999999</v>
      </c>
      <c r="AX46" s="28">
        <f>'Monthly Data'!AX94</f>
        <v>63.491666666666674</v>
      </c>
      <c r="AY46" s="28">
        <f>'Monthly Data'!AY94</f>
        <v>9.3166666666666664</v>
      </c>
      <c r="AZ46" s="28">
        <f>'Monthly Data'!AZ94</f>
        <v>103.32083333333338</v>
      </c>
      <c r="BA46" s="28">
        <f>'Monthly Data'!BA94</f>
        <v>0.46250000000000213</v>
      </c>
      <c r="BB46" s="28">
        <f>'Monthly Data'!BB94</f>
        <v>154.46666666666673</v>
      </c>
      <c r="BC46" s="28">
        <f>'Monthly Data'!BC94</f>
        <v>0</v>
      </c>
      <c r="BD46" s="28">
        <f>'Monthly Data'!BD94</f>
        <v>214.00416666666672</v>
      </c>
      <c r="BE46">
        <f>'Monthly Data'!BE94</f>
        <v>0</v>
      </c>
      <c r="BF46">
        <f>'Monthly Data'!BF94</f>
        <v>0</v>
      </c>
      <c r="BG46">
        <f>'Monthly Data'!BG94</f>
        <v>0</v>
      </c>
      <c r="BH46">
        <f>'Monthly Data'!BH94</f>
        <v>0</v>
      </c>
      <c r="BI46">
        <f>'Monthly Data'!BI94</f>
        <v>0</v>
      </c>
      <c r="BJ46">
        <f>'Monthly Data'!BJ94</f>
        <v>0</v>
      </c>
      <c r="BK46">
        <f>'Monthly Data'!BK94</f>
        <v>0</v>
      </c>
      <c r="BL46">
        <f>'Monthly Data'!BL94</f>
        <v>0</v>
      </c>
      <c r="BM46">
        <f>'Monthly Data'!BM94</f>
        <v>1</v>
      </c>
      <c r="BN46">
        <f>'Monthly Data'!BN94</f>
        <v>0</v>
      </c>
      <c r="BO46">
        <f>'Monthly Data'!BO94</f>
        <v>0</v>
      </c>
      <c r="BP46">
        <f>'Monthly Data'!BP94</f>
        <v>0</v>
      </c>
      <c r="BQ46" s="1">
        <f>'Monthly Data'!BQ94</f>
        <v>0</v>
      </c>
      <c r="BR46" s="1">
        <f>'Monthly Data'!BR94</f>
        <v>1</v>
      </c>
      <c r="BS46" s="1">
        <f>'Monthly Data'!BS94</f>
        <v>1</v>
      </c>
      <c r="BT46" s="1">
        <f>'Monthly Data'!BT94</f>
        <v>93</v>
      </c>
      <c r="BU46">
        <f>'Monthly Data'!BU94</f>
        <v>30</v>
      </c>
      <c r="BV46" s="1">
        <f>'Monthly Data'!BV94</f>
        <v>20</v>
      </c>
      <c r="BW46" s="1">
        <f>'Monthly Data'!BW94</f>
        <v>0</v>
      </c>
      <c r="BX46" s="1">
        <f>'Monthly Data'!BX94</f>
        <v>0</v>
      </c>
      <c r="BY46" s="1">
        <f>'Monthly Data'!BY94</f>
        <v>0.25</v>
      </c>
      <c r="BZ46" s="1">
        <f>'Monthly Data'!BZ94</f>
        <v>0</v>
      </c>
      <c r="CA46">
        <f>'Monthly Data'!CA94</f>
        <v>0</v>
      </c>
      <c r="CB46">
        <f>'Monthly Data'!CB94</f>
        <v>0</v>
      </c>
      <c r="CC46">
        <f>'Monthly Data'!CC94</f>
        <v>0</v>
      </c>
      <c r="CD46">
        <f>'Monthly Data'!CD94</f>
        <v>0</v>
      </c>
      <c r="CE46">
        <f>'Monthly Data'!CE94</f>
        <v>0</v>
      </c>
      <c r="CF46">
        <f>'Monthly Data'!CF94</f>
        <v>0</v>
      </c>
      <c r="CG46">
        <f>'Monthly Data'!CG94</f>
        <v>0</v>
      </c>
      <c r="CH46">
        <f>'Monthly Data'!CH94</f>
        <v>0</v>
      </c>
      <c r="CI46">
        <f>'Monthly Data'!CI94</f>
        <v>0</v>
      </c>
      <c r="CJ46">
        <f>'Monthly Data'!CJ94</f>
        <v>0</v>
      </c>
      <c r="CK46">
        <f>'Monthly Data'!CK94</f>
        <v>0</v>
      </c>
      <c r="CL46">
        <f>'Monthly Data'!CL94</f>
        <v>0</v>
      </c>
      <c r="CM46">
        <f>'Monthly Data'!CM94</f>
        <v>0</v>
      </c>
      <c r="CN46">
        <f>'Monthly Data'!CN94</f>
        <v>0</v>
      </c>
      <c r="CO46" s="14">
        <f>'Monthly Data'!CO94</f>
        <v>40.552083333333329</v>
      </c>
      <c r="CP46" s="14">
        <f>'Monthly Data'!CP94</f>
        <v>4.0531250000000005</v>
      </c>
      <c r="CQ46" s="14">
        <f>'Monthly Data'!CQ94</f>
        <v>28.235416666666659</v>
      </c>
      <c r="CR46" s="14">
        <f>'Monthly Data'!CR94</f>
        <v>6.7364583333333341</v>
      </c>
      <c r="CS46" s="14">
        <f>'Monthly Data'!CS94</f>
        <v>16.453124999999996</v>
      </c>
      <c r="CT46" s="14">
        <f>'Monthly Data'!CT94</f>
        <v>9.9541666666666693</v>
      </c>
      <c r="CU46" s="14">
        <f>'Monthly Data'!CU94</f>
        <v>7.3718749999999975</v>
      </c>
      <c r="CV46" s="14">
        <f>'Monthly Data'!CV94</f>
        <v>15.872916666666669</v>
      </c>
      <c r="CW46" s="14">
        <f>'Monthly Data'!CW94</f>
        <v>2.3291666666666666</v>
      </c>
      <c r="CX46" s="14">
        <f>'Monthly Data'!CX94</f>
        <v>25.830208333333346</v>
      </c>
      <c r="CY46" s="14">
        <f>'Monthly Data'!CY94</f>
        <v>0.11562500000000053</v>
      </c>
      <c r="CZ46" s="14">
        <f>'Monthly Data'!CZ94</f>
        <v>38.616666666666681</v>
      </c>
      <c r="DA46" s="14">
        <f>'Monthly Data'!DA94</f>
        <v>0</v>
      </c>
      <c r="DB46" s="14">
        <f>'Monthly Data'!DB94</f>
        <v>53.50104166666668</v>
      </c>
      <c r="DC46" s="72">
        <f>'Monthly Data'!DC94</f>
        <v>597.30528829995762</v>
      </c>
      <c r="DD46" s="72">
        <f>'Monthly Data'!DD94</f>
        <v>19.910176276665254</v>
      </c>
      <c r="DE46" s="71">
        <f>'Monthly Data'!DE94</f>
        <v>204895.62406316213</v>
      </c>
      <c r="DF46" s="72">
        <f>'Monthly Data'!DF94</f>
        <v>1826.543481348963</v>
      </c>
      <c r="DG46" s="72">
        <f>'Monthly Data'!DG94</f>
        <v>60.884782711632099</v>
      </c>
      <c r="DH46" s="72">
        <f>'Monthly Data'!DH94</f>
        <v>77201.904478349505</v>
      </c>
      <c r="DI46" s="72">
        <f>'Monthly Data'!DI94</f>
        <v>38432.110664424217</v>
      </c>
      <c r="DJ46" s="72">
        <f>'Monthly Data'!DJ94</f>
        <v>1281.0703554808072</v>
      </c>
      <c r="DK46" s="72">
        <f>'Monthly Data'!DK94</f>
        <v>1921.6055332212109</v>
      </c>
      <c r="DL46" s="72">
        <f>'Monthly Data'!DL94</f>
        <v>178068.77941183222</v>
      </c>
      <c r="DM46" s="72">
        <f>'Monthly Data'!DM94</f>
        <v>267103.16911774833</v>
      </c>
    </row>
    <row r="47" spans="1:117">
      <c r="A47" s="93">
        <f>'Monthly Data'!A95</f>
        <v>45200</v>
      </c>
      <c r="B47" s="4">
        <f>'Monthly Data'!B95</f>
        <v>2023</v>
      </c>
      <c r="C47" s="4">
        <f>'Monthly Data'!C95</f>
        <v>10</v>
      </c>
      <c r="D47" s="56">
        <f>'Monthly Data'!D95</f>
        <v>6145474</v>
      </c>
      <c r="E47" s="56">
        <f>'Monthly Data'!E95</f>
        <v>166100.36902780004</v>
      </c>
      <c r="F47" s="56">
        <f>'Monthly Data'!F95</f>
        <v>6311574.3690277999</v>
      </c>
      <c r="G47" s="301">
        <f>'Monthly Data'!G95</f>
        <v>10304</v>
      </c>
      <c r="H47" s="56">
        <f>'Monthly Data'!H95</f>
        <v>2132172</v>
      </c>
      <c r="I47" s="56">
        <f>'Monthly Data'!I95</f>
        <v>227711.58316528916</v>
      </c>
      <c r="J47" s="56">
        <f>'Monthly Data'!J95</f>
        <v>2359883.5831652894</v>
      </c>
      <c r="K47" s="6">
        <f>'Monthly Data'!K95</f>
        <v>1265</v>
      </c>
      <c r="L47" s="5">
        <f>'Monthly Data'!L95</f>
        <v>5123442</v>
      </c>
      <c r="M47" s="2">
        <f>'Monthly Data'!M95</f>
        <v>217324.11548415397</v>
      </c>
      <c r="N47" s="56">
        <f>'Monthly Data'!N95</f>
        <v>5340766.1154841539</v>
      </c>
      <c r="O47" s="5">
        <f>'Monthly Data'!O95</f>
        <v>16021</v>
      </c>
      <c r="P47" s="6">
        <f>'Monthly Data'!P95</f>
        <v>139</v>
      </c>
      <c r="Q47" s="5">
        <f>'Monthly Data'!Q95</f>
        <v>93324</v>
      </c>
      <c r="R47" s="5">
        <f>'Monthly Data'!R95</f>
        <v>231.6</v>
      </c>
      <c r="S47" s="6">
        <f>'Monthly Data'!S95</f>
        <v>2908</v>
      </c>
      <c r="T47" s="6">
        <f>'Monthly Data'!T95</f>
        <v>14154</v>
      </c>
      <c r="U47" s="6">
        <f>'Monthly Data'!U95</f>
        <v>38.699999999999996</v>
      </c>
      <c r="V47" s="6">
        <f>'Monthly Data'!V95</f>
        <v>172</v>
      </c>
      <c r="W47" s="5">
        <f>'Monthly Data'!W95</f>
        <v>49681</v>
      </c>
      <c r="X47" s="56">
        <f>'Monthly Data'!X95</f>
        <v>19</v>
      </c>
      <c r="Y47" s="56">
        <f>'Monthly Data'!Y95</f>
        <v>8698.08</v>
      </c>
      <c r="Z47" s="56">
        <f>'Monthly Data'!Z95</f>
        <v>1804.8</v>
      </c>
      <c r="AA47" s="56">
        <f>'Monthly Data'!AA95</f>
        <v>5114743.92</v>
      </c>
      <c r="AB47" s="56">
        <f>'Monthly Data'!AB95</f>
        <v>5332068.0354841538</v>
      </c>
      <c r="AC47" s="56">
        <f>'Monthly Data'!AC95</f>
        <v>14216.2</v>
      </c>
      <c r="AD47" s="111">
        <f>'Monthly Data'!AD95</f>
        <v>865859.6</v>
      </c>
      <c r="AE47" s="111">
        <f>'Monthly Data'!AE95</f>
        <v>880255</v>
      </c>
      <c r="AF47" s="111">
        <f>'Monthly Data'!AF95</f>
        <v>8058.3</v>
      </c>
      <c r="AG47" s="111">
        <f>'Monthly Data'!AG95</f>
        <v>8050.1</v>
      </c>
      <c r="AH47" s="111">
        <f>'Monthly Data'!AH95</f>
        <v>690.4</v>
      </c>
      <c r="AI47" s="111">
        <f>'Monthly Data'!AI95</f>
        <v>688.8</v>
      </c>
      <c r="AJ47" s="111">
        <f>'Monthly Data'!AJ95</f>
        <v>282.19999999999982</v>
      </c>
      <c r="AK47" s="111">
        <f>'Monthly Data'!AK95</f>
        <v>271.40000000000055</v>
      </c>
      <c r="AL47" s="111">
        <f>'Monthly Data'!AL95</f>
        <v>43.5</v>
      </c>
      <c r="AM47" s="111">
        <f>'Monthly Data'!AM95</f>
        <v>44</v>
      </c>
      <c r="AN47" s="111">
        <f>'Monthly Data'!AN95</f>
        <v>15397.699999999953</v>
      </c>
      <c r="AO47" s="111">
        <f>'Monthly Data'!AO95</f>
        <v>3291</v>
      </c>
      <c r="AP47" s="28">
        <f>'Monthly Data'!AP95</f>
        <v>10.033870967741938</v>
      </c>
      <c r="AQ47" s="28">
        <f>'Monthly Data'!AQ95</f>
        <v>308.94999999999993</v>
      </c>
      <c r="AR47" s="28">
        <f>'Monthly Data'!AR95</f>
        <v>0</v>
      </c>
      <c r="AS47" s="28">
        <f>'Monthly Data'!AS95</f>
        <v>250.95</v>
      </c>
      <c r="AT47" s="28">
        <f>'Monthly Data'!AT95</f>
        <v>3.9999999999999964</v>
      </c>
      <c r="AU47" s="28">
        <f>'Monthly Data'!AU95</f>
        <v>197.34166666666664</v>
      </c>
      <c r="AV47" s="28">
        <f>'Monthly Data'!AV95</f>
        <v>12.391666666666669</v>
      </c>
      <c r="AW47" s="28">
        <f>'Monthly Data'!AW95</f>
        <v>151.68333333333334</v>
      </c>
      <c r="AX47" s="28">
        <f>'Monthly Data'!AX95</f>
        <v>28.733333333333338</v>
      </c>
      <c r="AY47" s="28">
        <f>'Monthly Data'!AY95</f>
        <v>107.68333333333332</v>
      </c>
      <c r="AZ47" s="28">
        <f>'Monthly Data'!AZ95</f>
        <v>46.733333333333334</v>
      </c>
      <c r="BA47" s="28">
        <f>'Monthly Data'!BA95</f>
        <v>68.216666666666669</v>
      </c>
      <c r="BB47" s="28">
        <f>'Monthly Data'!BB95</f>
        <v>69.26666666666668</v>
      </c>
      <c r="BC47" s="28">
        <f>'Monthly Data'!BC95</f>
        <v>38.67916666666666</v>
      </c>
      <c r="BD47" s="28">
        <f>'Monthly Data'!BD95</f>
        <v>101.7291666666667</v>
      </c>
      <c r="BE47">
        <f>'Monthly Data'!BE95</f>
        <v>0</v>
      </c>
      <c r="BF47">
        <f>'Monthly Data'!BF95</f>
        <v>0</v>
      </c>
      <c r="BG47">
        <f>'Monthly Data'!BG95</f>
        <v>0</v>
      </c>
      <c r="BH47">
        <f>'Monthly Data'!BH95</f>
        <v>0</v>
      </c>
      <c r="BI47">
        <f>'Monthly Data'!BI95</f>
        <v>0</v>
      </c>
      <c r="BJ47">
        <f>'Monthly Data'!BJ95</f>
        <v>0</v>
      </c>
      <c r="BK47">
        <f>'Monthly Data'!BK95</f>
        <v>0</v>
      </c>
      <c r="BL47">
        <f>'Monthly Data'!BL95</f>
        <v>0</v>
      </c>
      <c r="BM47">
        <f>'Monthly Data'!BM95</f>
        <v>0</v>
      </c>
      <c r="BN47">
        <f>'Monthly Data'!BN95</f>
        <v>1</v>
      </c>
      <c r="BO47">
        <f>'Monthly Data'!BO95</f>
        <v>0</v>
      </c>
      <c r="BP47">
        <f>'Monthly Data'!BP95</f>
        <v>0</v>
      </c>
      <c r="BQ47" s="1">
        <f>'Monthly Data'!BQ95</f>
        <v>0</v>
      </c>
      <c r="BR47" s="1">
        <f>'Monthly Data'!BR95</f>
        <v>1</v>
      </c>
      <c r="BS47" s="1">
        <f>'Monthly Data'!BS95</f>
        <v>1</v>
      </c>
      <c r="BT47" s="1">
        <f>'Monthly Data'!BT95</f>
        <v>94</v>
      </c>
      <c r="BU47">
        <f>'Monthly Data'!BU95</f>
        <v>31</v>
      </c>
      <c r="BV47" s="1">
        <f>'Monthly Data'!BV95</f>
        <v>20</v>
      </c>
      <c r="BW47" s="1">
        <f>'Monthly Data'!BW95</f>
        <v>0</v>
      </c>
      <c r="BX47" s="1">
        <f>'Monthly Data'!BX95</f>
        <v>0</v>
      </c>
      <c r="BY47" s="1">
        <f>'Monthly Data'!BY95</f>
        <v>0.25</v>
      </c>
      <c r="BZ47" s="1">
        <f>'Monthly Data'!BZ95</f>
        <v>0</v>
      </c>
      <c r="CA47">
        <f>'Monthly Data'!CA95</f>
        <v>0</v>
      </c>
      <c r="CB47">
        <f>'Monthly Data'!CB95</f>
        <v>0</v>
      </c>
      <c r="CC47">
        <f>'Monthly Data'!CC95</f>
        <v>0</v>
      </c>
      <c r="CD47">
        <f>'Monthly Data'!CD95</f>
        <v>0</v>
      </c>
      <c r="CE47">
        <f>'Monthly Data'!CE95</f>
        <v>0</v>
      </c>
      <c r="CF47">
        <f>'Monthly Data'!CF95</f>
        <v>0</v>
      </c>
      <c r="CG47">
        <f>'Monthly Data'!CG95</f>
        <v>0</v>
      </c>
      <c r="CH47">
        <f>'Monthly Data'!CH95</f>
        <v>0</v>
      </c>
      <c r="CI47">
        <f>'Monthly Data'!CI95</f>
        <v>0</v>
      </c>
      <c r="CJ47">
        <f>'Monthly Data'!CJ95</f>
        <v>0</v>
      </c>
      <c r="CK47">
        <f>'Monthly Data'!CK95</f>
        <v>0</v>
      </c>
      <c r="CL47">
        <f>'Monthly Data'!CL95</f>
        <v>0</v>
      </c>
      <c r="CM47">
        <f>'Monthly Data'!CM95</f>
        <v>0</v>
      </c>
      <c r="CN47">
        <f>'Monthly Data'!CN95</f>
        <v>0</v>
      </c>
      <c r="CO47" s="14">
        <f>'Monthly Data'!CO95</f>
        <v>77.237499999999983</v>
      </c>
      <c r="CP47" s="14">
        <f>'Monthly Data'!CP95</f>
        <v>0</v>
      </c>
      <c r="CQ47" s="14">
        <f>'Monthly Data'!CQ95</f>
        <v>62.737499999999997</v>
      </c>
      <c r="CR47" s="14">
        <f>'Monthly Data'!CR95</f>
        <v>0.99999999999999911</v>
      </c>
      <c r="CS47" s="14">
        <f>'Monthly Data'!CS95</f>
        <v>49.33541666666666</v>
      </c>
      <c r="CT47" s="14">
        <f>'Monthly Data'!CT95</f>
        <v>3.0979166666666673</v>
      </c>
      <c r="CU47" s="14">
        <f>'Monthly Data'!CU95</f>
        <v>37.920833333333334</v>
      </c>
      <c r="CV47" s="14">
        <f>'Monthly Data'!CV95</f>
        <v>7.1833333333333345</v>
      </c>
      <c r="CW47" s="14">
        <f>'Monthly Data'!CW95</f>
        <v>26.920833333333331</v>
      </c>
      <c r="CX47" s="14">
        <f>'Monthly Data'!CX95</f>
        <v>11.683333333333334</v>
      </c>
      <c r="CY47" s="14">
        <f>'Monthly Data'!CY95</f>
        <v>17.054166666666667</v>
      </c>
      <c r="CZ47" s="14">
        <f>'Monthly Data'!CZ95</f>
        <v>17.31666666666667</v>
      </c>
      <c r="DA47" s="14">
        <f>'Monthly Data'!DA95</f>
        <v>9.669791666666665</v>
      </c>
      <c r="DB47" s="14">
        <f>'Monthly Data'!DB95</f>
        <v>25.432291666666675</v>
      </c>
      <c r="DC47" s="72">
        <f>'Monthly Data'!DC95</f>
        <v>612.53633239788428</v>
      </c>
      <c r="DD47" s="72">
        <f>'Monthly Data'!DD95</f>
        <v>19.75923652896401</v>
      </c>
      <c r="DE47" s="71">
        <f>'Monthly Data'!DE95</f>
        <v>203599.17319444515</v>
      </c>
      <c r="DF47" s="72">
        <f>'Monthly Data'!DF95</f>
        <v>1865.5206191029956</v>
      </c>
      <c r="DG47" s="72">
        <f>'Monthly Data'!DG95</f>
        <v>60.178084487193409</v>
      </c>
      <c r="DH47" s="72">
        <f>'Monthly Data'!DH95</f>
        <v>76125.276876299657</v>
      </c>
      <c r="DI47" s="72">
        <f>'Monthly Data'!DI95</f>
        <v>38422.77780923852</v>
      </c>
      <c r="DJ47" s="72">
        <f>'Monthly Data'!DJ95</f>
        <v>1239.4444454593072</v>
      </c>
      <c r="DK47" s="72">
        <f>'Monthly Data'!DK95</f>
        <v>1921.1388904619259</v>
      </c>
      <c r="DL47" s="72">
        <f>'Monthly Data'!DL95</f>
        <v>172282.77791884367</v>
      </c>
      <c r="DM47" s="72">
        <f>'Monthly Data'!DM95</f>
        <v>267038.30577420769</v>
      </c>
    </row>
    <row r="48" spans="1:117">
      <c r="A48" s="93">
        <f>'Monthly Data'!A96</f>
        <v>45231</v>
      </c>
      <c r="B48" s="4">
        <f>'Monthly Data'!B96</f>
        <v>2023</v>
      </c>
      <c r="C48" s="4">
        <f>'Monthly Data'!C96</f>
        <v>11</v>
      </c>
      <c r="D48" s="56">
        <f>'Monthly Data'!D96</f>
        <v>7275117</v>
      </c>
      <c r="E48" s="56">
        <f>'Monthly Data'!E96</f>
        <v>166222.01616073569</v>
      </c>
      <c r="F48" s="56">
        <f>'Monthly Data'!F96</f>
        <v>7441339.0161607359</v>
      </c>
      <c r="G48" s="301">
        <f>'Monthly Data'!G96</f>
        <v>10324</v>
      </c>
      <c r="H48" s="56">
        <f>'Monthly Data'!H96</f>
        <v>2496782</v>
      </c>
      <c r="I48" s="56">
        <f>'Monthly Data'!I96</f>
        <v>229318.03198009322</v>
      </c>
      <c r="J48" s="56">
        <f>'Monthly Data'!J96</f>
        <v>2726100.0319800931</v>
      </c>
      <c r="K48" s="6">
        <f>'Monthly Data'!K96</f>
        <v>1268</v>
      </c>
      <c r="L48" s="5">
        <f>'Monthly Data'!L96</f>
        <v>5392987</v>
      </c>
      <c r="M48" s="2">
        <f>'Monthly Data'!M96</f>
        <v>219291.8486133418</v>
      </c>
      <c r="N48" s="56">
        <f>'Monthly Data'!N96</f>
        <v>5612278.8486133423</v>
      </c>
      <c r="O48" s="5">
        <f>'Monthly Data'!O96</f>
        <v>18937.900000000001</v>
      </c>
      <c r="P48" s="6">
        <f>'Monthly Data'!P96</f>
        <v>139</v>
      </c>
      <c r="Q48" s="5">
        <f>'Monthly Data'!Q96</f>
        <v>99404</v>
      </c>
      <c r="R48" s="5">
        <f>'Monthly Data'!R96</f>
        <v>231.6</v>
      </c>
      <c r="S48" s="6">
        <f>'Monthly Data'!S96</f>
        <v>2908</v>
      </c>
      <c r="T48" s="6">
        <f>'Monthly Data'!T96</f>
        <v>13826</v>
      </c>
      <c r="U48" s="6">
        <f>'Monthly Data'!U96</f>
        <v>37.29999999999999</v>
      </c>
      <c r="V48" s="6">
        <f>'Monthly Data'!V96</f>
        <v>173</v>
      </c>
      <c r="W48" s="5">
        <f>'Monthly Data'!W96</f>
        <v>48455</v>
      </c>
      <c r="X48" s="56">
        <f>'Monthly Data'!X96</f>
        <v>19</v>
      </c>
      <c r="Y48" s="56">
        <f>'Monthly Data'!Y96</f>
        <v>112023.03999999999</v>
      </c>
      <c r="Z48" s="56">
        <f>'Monthly Data'!Z96</f>
        <v>6428.8</v>
      </c>
      <c r="AA48" s="56">
        <f>'Monthly Data'!AA96</f>
        <v>5280963.96</v>
      </c>
      <c r="AB48" s="56">
        <f>'Monthly Data'!AB96</f>
        <v>5500255.8086133422</v>
      </c>
      <c r="AC48" s="56">
        <f>'Monthly Data'!AC96</f>
        <v>12509.100000000002</v>
      </c>
      <c r="AD48" s="111">
        <f>'Monthly Data'!AD96</f>
        <v>865859.6</v>
      </c>
      <c r="AE48" s="111">
        <f>'Monthly Data'!AE96</f>
        <v>880255</v>
      </c>
      <c r="AF48" s="111">
        <f>'Monthly Data'!AF96</f>
        <v>8062.1</v>
      </c>
      <c r="AG48" s="111">
        <f>'Monthly Data'!AG96</f>
        <v>8046.2</v>
      </c>
      <c r="AH48" s="111">
        <f>'Monthly Data'!AH96</f>
        <v>692</v>
      </c>
      <c r="AI48" s="111">
        <f>'Monthly Data'!AI96</f>
        <v>687</v>
      </c>
      <c r="AJ48" s="111">
        <f>'Monthly Data'!AJ96</f>
        <v>270.40000000000055</v>
      </c>
      <c r="AK48" s="111">
        <f>'Monthly Data'!AK96</f>
        <v>262.39999999999964</v>
      </c>
      <c r="AL48" s="111">
        <f>'Monthly Data'!AL96</f>
        <v>42.299999999999955</v>
      </c>
      <c r="AM48" s="111">
        <f>'Monthly Data'!AM96</f>
        <v>41.399999999999977</v>
      </c>
      <c r="AN48" s="111">
        <f>'Monthly Data'!AN96</f>
        <v>15397.699999999953</v>
      </c>
      <c r="AO48" s="111">
        <f>'Monthly Data'!AO96</f>
        <v>3291</v>
      </c>
      <c r="AP48" s="28">
        <f>'Monthly Data'!AP96</f>
        <v>-0.54243055555555542</v>
      </c>
      <c r="AQ48" s="28">
        <f>'Monthly Data'!AQ96</f>
        <v>616.27291666666667</v>
      </c>
      <c r="AR48" s="28">
        <f>'Monthly Data'!AR96</f>
        <v>0</v>
      </c>
      <c r="AS48" s="28">
        <f>'Monthly Data'!AS96</f>
        <v>556.27291666666667</v>
      </c>
      <c r="AT48" s="28">
        <f>'Monthly Data'!AT96</f>
        <v>0</v>
      </c>
      <c r="AU48" s="28">
        <f>'Monthly Data'!AU96</f>
        <v>496.27291666666662</v>
      </c>
      <c r="AV48" s="28">
        <f>'Monthly Data'!AV96</f>
        <v>0</v>
      </c>
      <c r="AW48" s="28">
        <f>'Monthly Data'!AW96</f>
        <v>436.27291666666662</v>
      </c>
      <c r="AX48" s="28">
        <f>'Monthly Data'!AX96</f>
        <v>0</v>
      </c>
      <c r="AY48" s="28">
        <f>'Monthly Data'!AY96</f>
        <v>376.27291666666662</v>
      </c>
      <c r="AZ48" s="28">
        <f>'Monthly Data'!AZ96</f>
        <v>0</v>
      </c>
      <c r="BA48" s="28">
        <f>'Monthly Data'!BA96</f>
        <v>316.27291666666673</v>
      </c>
      <c r="BB48" s="28">
        <f>'Monthly Data'!BB96</f>
        <v>0</v>
      </c>
      <c r="BC48" s="28">
        <f>'Monthly Data'!BC96</f>
        <v>256.27291666666667</v>
      </c>
      <c r="BD48" s="28">
        <f>'Monthly Data'!BD96</f>
        <v>0</v>
      </c>
      <c r="BE48">
        <f>'Monthly Data'!BE96</f>
        <v>0</v>
      </c>
      <c r="BF48">
        <f>'Monthly Data'!BF96</f>
        <v>0</v>
      </c>
      <c r="BG48">
        <f>'Monthly Data'!BG96</f>
        <v>0</v>
      </c>
      <c r="BH48">
        <f>'Monthly Data'!BH96</f>
        <v>0</v>
      </c>
      <c r="BI48">
        <f>'Monthly Data'!BI96</f>
        <v>0</v>
      </c>
      <c r="BJ48">
        <f>'Monthly Data'!BJ96</f>
        <v>0</v>
      </c>
      <c r="BK48">
        <f>'Monthly Data'!BK96</f>
        <v>0</v>
      </c>
      <c r="BL48">
        <f>'Monthly Data'!BL96</f>
        <v>0</v>
      </c>
      <c r="BM48">
        <f>'Monthly Data'!BM96</f>
        <v>0</v>
      </c>
      <c r="BN48">
        <f>'Monthly Data'!BN96</f>
        <v>0</v>
      </c>
      <c r="BO48">
        <f>'Monthly Data'!BO96</f>
        <v>1</v>
      </c>
      <c r="BP48">
        <f>'Monthly Data'!BP96</f>
        <v>0</v>
      </c>
      <c r="BQ48" s="1">
        <f>'Monthly Data'!BQ96</f>
        <v>0</v>
      </c>
      <c r="BR48" s="1">
        <f>'Monthly Data'!BR96</f>
        <v>1</v>
      </c>
      <c r="BS48" s="1">
        <f>'Monthly Data'!BS96</f>
        <v>1</v>
      </c>
      <c r="BT48" s="1">
        <f>'Monthly Data'!BT96</f>
        <v>95</v>
      </c>
      <c r="BU48">
        <f>'Monthly Data'!BU96</f>
        <v>30</v>
      </c>
      <c r="BV48" s="1">
        <f>'Monthly Data'!BV96</f>
        <v>22</v>
      </c>
      <c r="BW48" s="1">
        <f>'Monthly Data'!BW96</f>
        <v>0</v>
      </c>
      <c r="BX48" s="1">
        <f>'Monthly Data'!BX96</f>
        <v>0</v>
      </c>
      <c r="BY48" s="1">
        <f>'Monthly Data'!BY96</f>
        <v>0.25</v>
      </c>
      <c r="BZ48" s="1">
        <f>'Monthly Data'!BZ96</f>
        <v>0</v>
      </c>
      <c r="CA48">
        <f>'Monthly Data'!CA96</f>
        <v>0</v>
      </c>
      <c r="CB48">
        <f>'Monthly Data'!CB96</f>
        <v>0</v>
      </c>
      <c r="CC48">
        <f>'Monthly Data'!CC96</f>
        <v>0</v>
      </c>
      <c r="CD48">
        <f>'Monthly Data'!CD96</f>
        <v>0</v>
      </c>
      <c r="CE48">
        <f>'Monthly Data'!CE96</f>
        <v>0</v>
      </c>
      <c r="CF48">
        <f>'Monthly Data'!CF96</f>
        <v>0</v>
      </c>
      <c r="CG48">
        <f>'Monthly Data'!CG96</f>
        <v>0</v>
      </c>
      <c r="CH48">
        <f>'Monthly Data'!CH96</f>
        <v>0</v>
      </c>
      <c r="CI48">
        <f>'Monthly Data'!CI96</f>
        <v>0</v>
      </c>
      <c r="CJ48">
        <f>'Monthly Data'!CJ96</f>
        <v>0</v>
      </c>
      <c r="CK48">
        <f>'Monthly Data'!CK96</f>
        <v>0</v>
      </c>
      <c r="CL48">
        <f>'Monthly Data'!CL96</f>
        <v>0</v>
      </c>
      <c r="CM48">
        <f>'Monthly Data'!CM96</f>
        <v>0</v>
      </c>
      <c r="CN48">
        <f>'Monthly Data'!CN96</f>
        <v>0</v>
      </c>
      <c r="CO48" s="14">
        <f>'Monthly Data'!CO96</f>
        <v>154.06822916666667</v>
      </c>
      <c r="CP48" s="14">
        <f>'Monthly Data'!CP96</f>
        <v>0</v>
      </c>
      <c r="CQ48" s="14">
        <f>'Monthly Data'!CQ96</f>
        <v>139.06822916666667</v>
      </c>
      <c r="CR48" s="14">
        <f>'Monthly Data'!CR96</f>
        <v>0</v>
      </c>
      <c r="CS48" s="14">
        <f>'Monthly Data'!CS96</f>
        <v>124.06822916666665</v>
      </c>
      <c r="CT48" s="14">
        <f>'Monthly Data'!CT96</f>
        <v>0</v>
      </c>
      <c r="CU48" s="14">
        <f>'Monthly Data'!CU96</f>
        <v>109.06822916666665</v>
      </c>
      <c r="CV48" s="14">
        <f>'Monthly Data'!CV96</f>
        <v>0</v>
      </c>
      <c r="CW48" s="14">
        <f>'Monthly Data'!CW96</f>
        <v>94.068229166666654</v>
      </c>
      <c r="CX48" s="14">
        <f>'Monthly Data'!CX96</f>
        <v>0</v>
      </c>
      <c r="CY48" s="14">
        <f>'Monthly Data'!CY96</f>
        <v>79.068229166666683</v>
      </c>
      <c r="CZ48" s="14">
        <f>'Monthly Data'!CZ96</f>
        <v>0</v>
      </c>
      <c r="DA48" s="14">
        <f>'Monthly Data'!DA96</f>
        <v>64.068229166666669</v>
      </c>
      <c r="DB48" s="14">
        <f>'Monthly Data'!DB96</f>
        <v>0</v>
      </c>
      <c r="DC48" s="72">
        <f>'Monthly Data'!DC96</f>
        <v>720.78060985671596</v>
      </c>
      <c r="DD48" s="72">
        <f>'Monthly Data'!DD96</f>
        <v>24.026020328557198</v>
      </c>
      <c r="DE48" s="71">
        <f>'Monthly Data'!DE96</f>
        <v>248044.63387202454</v>
      </c>
      <c r="DF48" s="72">
        <f>'Monthly Data'!DF96</f>
        <v>2149.9211608675814</v>
      </c>
      <c r="DG48" s="72">
        <f>'Monthly Data'!DG96</f>
        <v>71.664038695586044</v>
      </c>
      <c r="DH48" s="72">
        <f>'Monthly Data'!DH96</f>
        <v>90870.001066003097</v>
      </c>
      <c r="DI48" s="72">
        <f>'Monthly Data'!DI96</f>
        <v>40376.106824556417</v>
      </c>
      <c r="DJ48" s="72">
        <f>'Monthly Data'!DJ96</f>
        <v>1345.8702274852139</v>
      </c>
      <c r="DK48" s="72">
        <f>'Monthly Data'!DK96</f>
        <v>1835.2775829343825</v>
      </c>
      <c r="DL48" s="72">
        <f>'Monthly Data'!DL96</f>
        <v>187075.96162044475</v>
      </c>
      <c r="DM48" s="72">
        <f>'Monthly Data'!DM96</f>
        <v>255103.5840278792</v>
      </c>
    </row>
    <row r="49" spans="1:117">
      <c r="A49" s="93">
        <f>'Monthly Data'!A97</f>
        <v>45261</v>
      </c>
      <c r="B49" s="4">
        <f>'Monthly Data'!B97</f>
        <v>2023</v>
      </c>
      <c r="C49" s="4">
        <f>'Monthly Data'!C97</f>
        <v>12</v>
      </c>
      <c r="D49" s="56">
        <f>'Monthly Data'!D97</f>
        <v>8346222</v>
      </c>
      <c r="E49" s="56">
        <f>'Monthly Data'!E97</f>
        <v>166343.66329367133</v>
      </c>
      <c r="F49" s="56">
        <f>'Monthly Data'!F97</f>
        <v>8512565.6632936709</v>
      </c>
      <c r="G49" s="301">
        <f>'Monthly Data'!G97</f>
        <v>10326</v>
      </c>
      <c r="H49" s="56">
        <f>'Monthly Data'!H97</f>
        <v>2824046</v>
      </c>
      <c r="I49" s="56">
        <f>'Monthly Data'!I97</f>
        <v>230924.48079489724</v>
      </c>
      <c r="J49" s="56">
        <f>'Monthly Data'!J97</f>
        <v>3054970.4807948973</v>
      </c>
      <c r="K49" s="6">
        <f>'Monthly Data'!K97</f>
        <v>1267</v>
      </c>
      <c r="L49" s="5">
        <f>'Monthly Data'!L97</f>
        <v>5806026</v>
      </c>
      <c r="M49" s="2">
        <f>'Monthly Data'!M97</f>
        <v>221259.58174252961</v>
      </c>
      <c r="N49" s="56">
        <f>'Monthly Data'!N97</f>
        <v>6027285.5817425298</v>
      </c>
      <c r="O49" s="5">
        <f>'Monthly Data'!O97</f>
        <v>17174.400000000001</v>
      </c>
      <c r="P49" s="6">
        <f>'Monthly Data'!P97</f>
        <v>139</v>
      </c>
      <c r="Q49" s="5">
        <f>'Monthly Data'!Q97</f>
        <v>107665</v>
      </c>
      <c r="R49" s="5">
        <f>'Monthly Data'!R97</f>
        <v>231.6</v>
      </c>
      <c r="S49" s="6">
        <f>'Monthly Data'!S97</f>
        <v>2908</v>
      </c>
      <c r="T49" s="6">
        <f>'Monthly Data'!T97</f>
        <v>15052</v>
      </c>
      <c r="U49" s="6">
        <f>'Monthly Data'!U97</f>
        <v>40.799999999999997</v>
      </c>
      <c r="V49" s="6">
        <f>'Monthly Data'!V97</f>
        <v>173</v>
      </c>
      <c r="W49" s="5">
        <f>'Monthly Data'!W97</f>
        <v>49505</v>
      </c>
      <c r="X49" s="56">
        <f>'Monthly Data'!X97</f>
        <v>18</v>
      </c>
      <c r="Y49" s="56">
        <f>'Monthly Data'!Y97</f>
        <v>156736</v>
      </c>
      <c r="Z49" s="56">
        <f>'Monthly Data'!Z97</f>
        <v>3594.2</v>
      </c>
      <c r="AA49" s="56">
        <f>'Monthly Data'!AA97</f>
        <v>5649290</v>
      </c>
      <c r="AB49" s="56">
        <f>'Monthly Data'!AB97</f>
        <v>5870549.5817425298</v>
      </c>
      <c r="AC49" s="56">
        <f>'Monthly Data'!AC97</f>
        <v>13580.2</v>
      </c>
      <c r="AD49" s="111">
        <f>'Monthly Data'!AD97</f>
        <v>865859.6</v>
      </c>
      <c r="AE49" s="111">
        <f>'Monthly Data'!AE97</f>
        <v>880255</v>
      </c>
      <c r="AF49" s="111">
        <f>'Monthly Data'!AF97</f>
        <v>8052.5</v>
      </c>
      <c r="AG49" s="111">
        <f>'Monthly Data'!AG97</f>
        <v>8049</v>
      </c>
      <c r="AH49" s="111">
        <f>'Monthly Data'!AH97</f>
        <v>691</v>
      </c>
      <c r="AI49" s="111">
        <f>'Monthly Data'!AI97</f>
        <v>687.6</v>
      </c>
      <c r="AJ49" s="111">
        <f>'Monthly Data'!AJ97</f>
        <v>223.19999999999982</v>
      </c>
      <c r="AK49" s="111">
        <f>'Monthly Data'!AK97</f>
        <v>220.5</v>
      </c>
      <c r="AL49" s="111">
        <f>'Monthly Data'!AL97</f>
        <v>40.5</v>
      </c>
      <c r="AM49" s="111">
        <f>'Monthly Data'!AM97</f>
        <v>40.600000000000023</v>
      </c>
      <c r="AN49" s="111">
        <f>'Monthly Data'!AN97</f>
        <v>15397.699999999953</v>
      </c>
      <c r="AO49" s="111">
        <f>'Monthly Data'!AO97</f>
        <v>3291</v>
      </c>
      <c r="AP49" s="28">
        <f>'Monthly Data'!AP97</f>
        <v>-3.0052419354838706</v>
      </c>
      <c r="AQ49" s="28">
        <f>'Monthly Data'!AQ97</f>
        <v>713.16250000000014</v>
      </c>
      <c r="AR49" s="28">
        <f>'Monthly Data'!AR97</f>
        <v>0</v>
      </c>
      <c r="AS49" s="28">
        <f>'Monthly Data'!AS97</f>
        <v>651.16250000000025</v>
      </c>
      <c r="AT49" s="28">
        <f>'Monthly Data'!AT97</f>
        <v>0</v>
      </c>
      <c r="AU49" s="28">
        <f>'Monthly Data'!AU97</f>
        <v>589.16250000000014</v>
      </c>
      <c r="AV49" s="28">
        <f>'Monthly Data'!AV97</f>
        <v>0</v>
      </c>
      <c r="AW49" s="28">
        <f>'Monthly Data'!AW97</f>
        <v>527.16249999999991</v>
      </c>
      <c r="AX49" s="28">
        <f>'Monthly Data'!AX97</f>
        <v>0</v>
      </c>
      <c r="AY49" s="28">
        <f>'Monthly Data'!AY97</f>
        <v>465.16250000000002</v>
      </c>
      <c r="AZ49" s="28">
        <f>'Monthly Data'!AZ97</f>
        <v>0</v>
      </c>
      <c r="BA49" s="28">
        <f>'Monthly Data'!BA97</f>
        <v>403.16249999999997</v>
      </c>
      <c r="BB49" s="28">
        <f>'Monthly Data'!BB97</f>
        <v>0</v>
      </c>
      <c r="BC49" s="28">
        <f>'Monthly Data'!BC97</f>
        <v>341.16250000000002</v>
      </c>
      <c r="BD49" s="28">
        <f>'Monthly Data'!BD97</f>
        <v>0</v>
      </c>
      <c r="BE49">
        <f>'Monthly Data'!BE97</f>
        <v>0</v>
      </c>
      <c r="BF49">
        <f>'Monthly Data'!BF97</f>
        <v>0</v>
      </c>
      <c r="BG49">
        <f>'Monthly Data'!BG97</f>
        <v>0</v>
      </c>
      <c r="BH49">
        <f>'Monthly Data'!BH97</f>
        <v>0</v>
      </c>
      <c r="BI49">
        <f>'Monthly Data'!BI97</f>
        <v>0</v>
      </c>
      <c r="BJ49">
        <f>'Monthly Data'!BJ97</f>
        <v>0</v>
      </c>
      <c r="BK49">
        <f>'Monthly Data'!BK97</f>
        <v>0</v>
      </c>
      <c r="BL49">
        <f>'Monthly Data'!BL97</f>
        <v>0</v>
      </c>
      <c r="BM49">
        <f>'Monthly Data'!BM97</f>
        <v>0</v>
      </c>
      <c r="BN49">
        <f>'Monthly Data'!BN97</f>
        <v>0</v>
      </c>
      <c r="BO49">
        <f>'Monthly Data'!BO97</f>
        <v>0</v>
      </c>
      <c r="BP49">
        <f>'Monthly Data'!BP97</f>
        <v>1</v>
      </c>
      <c r="BQ49" s="1">
        <f>'Monthly Data'!BQ97</f>
        <v>0</v>
      </c>
      <c r="BR49" s="1">
        <f>'Monthly Data'!BR97</f>
        <v>0</v>
      </c>
      <c r="BS49" s="1">
        <f>'Monthly Data'!BS97</f>
        <v>0</v>
      </c>
      <c r="BT49" s="1">
        <f>'Monthly Data'!BT97</f>
        <v>96</v>
      </c>
      <c r="BU49">
        <f>'Monthly Data'!BU97</f>
        <v>31</v>
      </c>
      <c r="BV49" s="1">
        <f>'Monthly Data'!BV97</f>
        <v>21</v>
      </c>
      <c r="BW49" s="1">
        <f>'Monthly Data'!BW97</f>
        <v>0</v>
      </c>
      <c r="BX49" s="1">
        <f>'Monthly Data'!BX97</f>
        <v>0</v>
      </c>
      <c r="BY49" s="1">
        <f>'Monthly Data'!BY97</f>
        <v>0.25</v>
      </c>
      <c r="BZ49" s="1">
        <f>'Monthly Data'!BZ97</f>
        <v>0</v>
      </c>
      <c r="CA49">
        <f>'Monthly Data'!CA97</f>
        <v>0</v>
      </c>
      <c r="CB49">
        <f>'Monthly Data'!CB97</f>
        <v>0</v>
      </c>
      <c r="CC49">
        <f>'Monthly Data'!CC97</f>
        <v>0</v>
      </c>
      <c r="CD49">
        <f>'Monthly Data'!CD97</f>
        <v>0</v>
      </c>
      <c r="CE49">
        <f>'Monthly Data'!CE97</f>
        <v>0</v>
      </c>
      <c r="CF49">
        <f>'Monthly Data'!CF97</f>
        <v>0</v>
      </c>
      <c r="CG49">
        <f>'Monthly Data'!CG97</f>
        <v>0</v>
      </c>
      <c r="CH49">
        <f>'Monthly Data'!CH97</f>
        <v>0</v>
      </c>
      <c r="CI49">
        <f>'Monthly Data'!CI97</f>
        <v>0</v>
      </c>
      <c r="CJ49">
        <f>'Monthly Data'!CJ97</f>
        <v>0</v>
      </c>
      <c r="CK49">
        <f>'Monthly Data'!CK97</f>
        <v>0</v>
      </c>
      <c r="CL49">
        <f>'Monthly Data'!CL97</f>
        <v>0</v>
      </c>
      <c r="CM49">
        <f>'Monthly Data'!CM97</f>
        <v>0</v>
      </c>
      <c r="CN49">
        <f>'Monthly Data'!CN97</f>
        <v>0</v>
      </c>
      <c r="CO49" s="14">
        <f>'Monthly Data'!CO97</f>
        <v>178.29062500000003</v>
      </c>
      <c r="CP49" s="14">
        <f>'Monthly Data'!CP97</f>
        <v>0</v>
      </c>
      <c r="CQ49" s="14">
        <f>'Monthly Data'!CQ97</f>
        <v>162.79062500000006</v>
      </c>
      <c r="CR49" s="14">
        <f>'Monthly Data'!CR97</f>
        <v>0</v>
      </c>
      <c r="CS49" s="14">
        <f>'Monthly Data'!CS97</f>
        <v>147.29062500000003</v>
      </c>
      <c r="CT49" s="14">
        <f>'Monthly Data'!CT97</f>
        <v>0</v>
      </c>
      <c r="CU49" s="14">
        <f>'Monthly Data'!CU97</f>
        <v>131.79062499999998</v>
      </c>
      <c r="CV49" s="14">
        <f>'Monthly Data'!CV97</f>
        <v>0</v>
      </c>
      <c r="CW49" s="14">
        <f>'Monthly Data'!CW97</f>
        <v>116.29062500000001</v>
      </c>
      <c r="CX49" s="14">
        <f>'Monthly Data'!CX97</f>
        <v>0</v>
      </c>
      <c r="CY49" s="14">
        <f>'Monthly Data'!CY97</f>
        <v>100.79062499999999</v>
      </c>
      <c r="CZ49" s="14">
        <f>'Monthly Data'!CZ97</f>
        <v>0</v>
      </c>
      <c r="DA49" s="14">
        <f>'Monthly Data'!DA97</f>
        <v>85.290625000000006</v>
      </c>
      <c r="DB49" s="14">
        <f>'Monthly Data'!DB97</f>
        <v>0</v>
      </c>
      <c r="DC49" s="72">
        <f>'Monthly Data'!DC97</f>
        <v>824.38172218610021</v>
      </c>
      <c r="DD49" s="72">
        <f>'Monthly Data'!DD97</f>
        <v>26.592958780196781</v>
      </c>
      <c r="DE49" s="71">
        <f>'Monthly Data'!DE97</f>
        <v>274598.89236431196</v>
      </c>
      <c r="DF49" s="72">
        <f>'Monthly Data'!DF97</f>
        <v>2411.1842784490113</v>
      </c>
      <c r="DG49" s="72">
        <f>'Monthly Data'!DG97</f>
        <v>77.780138014484237</v>
      </c>
      <c r="DH49" s="72">
        <f>'Monthly Data'!DH97</f>
        <v>98547.434864351526</v>
      </c>
      <c r="DI49" s="72">
        <f>'Monthly Data'!DI97</f>
        <v>43361.766775126111</v>
      </c>
      <c r="DJ49" s="72">
        <f>'Monthly Data'!DJ97</f>
        <v>1398.7666701653584</v>
      </c>
      <c r="DK49" s="72">
        <f>'Monthly Data'!DK97</f>
        <v>2064.846036910767</v>
      </c>
      <c r="DL49" s="72">
        <f>'Monthly Data'!DL97</f>
        <v>194428.56715298482</v>
      </c>
      <c r="DM49" s="72">
        <f>'Monthly Data'!DM97</f>
        <v>287013.59913059667</v>
      </c>
    </row>
    <row r="50" spans="1:117">
      <c r="A50" s="93">
        <f>'Monthly Data'!A98</f>
        <v>45292</v>
      </c>
      <c r="B50" s="4">
        <f>'Monthly Data'!B98</f>
        <v>2024</v>
      </c>
      <c r="C50" s="4">
        <f>'Monthly Data'!C98</f>
        <v>1</v>
      </c>
      <c r="D50" s="56">
        <f>'Monthly Data'!D98</f>
        <v>9889577</v>
      </c>
      <c r="E50" s="56">
        <f>'Monthly Data'!E98</f>
        <v>168933.85023434495</v>
      </c>
      <c r="F50" s="56">
        <f>'Monthly Data'!F98</f>
        <v>10058510.850234345</v>
      </c>
      <c r="G50" s="301">
        <f>'Monthly Data'!G98</f>
        <v>10337</v>
      </c>
      <c r="H50" s="56">
        <f>'Monthly Data'!H98</f>
        <v>3218877</v>
      </c>
      <c r="I50" s="56">
        <f>'Monthly Data'!I98</f>
        <v>236562.26728905458</v>
      </c>
      <c r="J50" s="56">
        <f>'Monthly Data'!J98</f>
        <v>3455439.2672890546</v>
      </c>
      <c r="K50" s="6">
        <f>'Monthly Data'!K98</f>
        <v>1267</v>
      </c>
      <c r="L50" s="5">
        <f>'Monthly Data'!L98</f>
        <v>6026468</v>
      </c>
      <c r="M50" s="2">
        <f>'Monthly Data'!M98</f>
        <v>227139.95869700279</v>
      </c>
      <c r="N50" s="56">
        <f>'Monthly Data'!N98</f>
        <v>6253607.9586970024</v>
      </c>
      <c r="O50" s="5">
        <f>'Monthly Data'!O98</f>
        <v>14257.5</v>
      </c>
      <c r="P50" s="6">
        <f>'Monthly Data'!P98</f>
        <v>139</v>
      </c>
      <c r="Q50" s="5">
        <f>'Monthly Data'!Q98</f>
        <v>104905</v>
      </c>
      <c r="R50" s="5">
        <f>'Monthly Data'!R98</f>
        <v>231.6</v>
      </c>
      <c r="S50" s="6">
        <f>'Monthly Data'!S98</f>
        <v>2908</v>
      </c>
      <c r="T50" s="6">
        <f>'Monthly Data'!T98</f>
        <v>14331</v>
      </c>
      <c r="U50" s="6">
        <f>'Monthly Data'!U98</f>
        <v>68.399999999999991</v>
      </c>
      <c r="V50" s="6">
        <f>'Monthly Data'!V98</f>
        <v>172</v>
      </c>
      <c r="W50" s="5">
        <f>'Monthly Data'!W98</f>
        <v>49547</v>
      </c>
      <c r="X50" s="56">
        <f>'Monthly Data'!X98</f>
        <v>18</v>
      </c>
      <c r="Y50" s="56">
        <f>'Monthly Data'!Y98</f>
        <v>4079.68</v>
      </c>
      <c r="Z50" s="56">
        <f>'Monthly Data'!Z98</f>
        <v>677.8</v>
      </c>
      <c r="AA50" s="56">
        <f>'Monthly Data'!AA98</f>
        <v>6022388.3200000003</v>
      </c>
      <c r="AB50" s="56">
        <f>'Monthly Data'!AB98</f>
        <v>6249528.2786970027</v>
      </c>
      <c r="AC50" s="56">
        <f>'Monthly Data'!AC98</f>
        <v>13579.7</v>
      </c>
      <c r="AD50" s="111">
        <f>'Monthly Data'!AD98</f>
        <v>876619.7</v>
      </c>
      <c r="AE50" s="111">
        <f>'Monthly Data'!AE98</f>
        <v>885802</v>
      </c>
      <c r="AF50" s="111">
        <f>'Monthly Data'!AF98</f>
        <v>8051</v>
      </c>
      <c r="AG50" s="111">
        <f>'Monthly Data'!AG98</f>
        <v>8019.7</v>
      </c>
      <c r="AH50" s="111">
        <f>'Monthly Data'!AH98</f>
        <v>689.1</v>
      </c>
      <c r="AI50" s="111">
        <f>'Monthly Data'!AI98</f>
        <v>685.1</v>
      </c>
      <c r="AJ50" s="111">
        <f>'Monthly Data'!AJ98</f>
        <v>189.69999999999982</v>
      </c>
      <c r="AK50" s="111">
        <f>'Monthly Data'!AK98</f>
        <v>190.59999999999945</v>
      </c>
      <c r="AL50" s="111">
        <f>'Monthly Data'!AL98</f>
        <v>33.600000000000023</v>
      </c>
      <c r="AM50" s="111">
        <f>'Monthly Data'!AM98</f>
        <v>32.899999999999977</v>
      </c>
      <c r="AN50" s="111">
        <f>'Monthly Data'!AN98</f>
        <v>10760.099999999977</v>
      </c>
      <c r="AO50" s="111">
        <f>'Monthly Data'!AO98</f>
        <v>5547</v>
      </c>
      <c r="AP50" s="28">
        <f>'Monthly Data'!AP98</f>
        <v>-6.7444892473118268</v>
      </c>
      <c r="AQ50" s="28">
        <f>'Monthly Data'!AQ98</f>
        <v>829.07916666666677</v>
      </c>
      <c r="AR50" s="28">
        <f>'Monthly Data'!AR98</f>
        <v>0</v>
      </c>
      <c r="AS50" s="28">
        <f>'Monthly Data'!AS98</f>
        <v>767.07916666666677</v>
      </c>
      <c r="AT50" s="28">
        <f>'Monthly Data'!AT98</f>
        <v>0</v>
      </c>
      <c r="AU50" s="28">
        <f>'Monthly Data'!AU98</f>
        <v>705.07916666666677</v>
      </c>
      <c r="AV50" s="28">
        <f>'Monthly Data'!AV98</f>
        <v>0</v>
      </c>
      <c r="AW50" s="28">
        <f>'Monthly Data'!AW98</f>
        <v>643.07916666666665</v>
      </c>
      <c r="AX50" s="28">
        <f>'Monthly Data'!AX98</f>
        <v>0</v>
      </c>
      <c r="AY50" s="28">
        <f>'Monthly Data'!AY98</f>
        <v>581.07916666666665</v>
      </c>
      <c r="AZ50" s="28">
        <f>'Monthly Data'!AZ98</f>
        <v>0</v>
      </c>
      <c r="BA50" s="28">
        <f>'Monthly Data'!BA98</f>
        <v>519.07916666666665</v>
      </c>
      <c r="BB50" s="28">
        <f>'Monthly Data'!BB98</f>
        <v>0</v>
      </c>
      <c r="BC50" s="28">
        <f>'Monthly Data'!BC98</f>
        <v>457.07916666666659</v>
      </c>
      <c r="BD50" s="28">
        <f>'Monthly Data'!BD98</f>
        <v>0</v>
      </c>
      <c r="BE50">
        <f>'Monthly Data'!BE98</f>
        <v>1</v>
      </c>
      <c r="BF50">
        <f>'Monthly Data'!BF98</f>
        <v>0</v>
      </c>
      <c r="BG50">
        <f>'Monthly Data'!BG98</f>
        <v>0</v>
      </c>
      <c r="BH50">
        <f>'Monthly Data'!BH98</f>
        <v>0</v>
      </c>
      <c r="BI50">
        <f>'Monthly Data'!BI98</f>
        <v>0</v>
      </c>
      <c r="BJ50">
        <f>'Monthly Data'!BJ98</f>
        <v>0</v>
      </c>
      <c r="BK50">
        <f>'Monthly Data'!BK98</f>
        <v>0</v>
      </c>
      <c r="BL50">
        <f>'Monthly Data'!BL98</f>
        <v>0</v>
      </c>
      <c r="BM50">
        <f>'Monthly Data'!BM98</f>
        <v>0</v>
      </c>
      <c r="BN50">
        <f>'Monthly Data'!BN98</f>
        <v>0</v>
      </c>
      <c r="BO50">
        <f>'Monthly Data'!BO98</f>
        <v>0</v>
      </c>
      <c r="BP50">
        <f>'Monthly Data'!BP98</f>
        <v>0</v>
      </c>
      <c r="BQ50" s="1">
        <f>'Monthly Data'!BQ98</f>
        <v>0</v>
      </c>
      <c r="BR50" s="1">
        <f>'Monthly Data'!BR98</f>
        <v>0</v>
      </c>
      <c r="BS50" s="1">
        <f>'Monthly Data'!BS98</f>
        <v>0</v>
      </c>
      <c r="BT50" s="1">
        <f>'Monthly Data'!BT98</f>
        <v>97</v>
      </c>
      <c r="BU50">
        <f>'Monthly Data'!BU98</f>
        <v>31</v>
      </c>
      <c r="BV50" s="1">
        <f>'Monthly Data'!BV98</f>
        <v>20</v>
      </c>
      <c r="BW50" s="1">
        <f>'Monthly Data'!BW98</f>
        <v>0</v>
      </c>
      <c r="BX50" s="1">
        <f>'Monthly Data'!BX98</f>
        <v>0</v>
      </c>
      <c r="BY50" s="1">
        <f>'Monthly Data'!BY98</f>
        <v>0.25</v>
      </c>
      <c r="BZ50" s="1">
        <f>'Monthly Data'!BZ98</f>
        <v>0</v>
      </c>
      <c r="CA50">
        <f>'Monthly Data'!CA98</f>
        <v>0</v>
      </c>
      <c r="CB50">
        <f>'Monthly Data'!CB98</f>
        <v>0</v>
      </c>
      <c r="CC50">
        <f>'Monthly Data'!CC98</f>
        <v>0</v>
      </c>
      <c r="CD50">
        <f>'Monthly Data'!CD98</f>
        <v>0</v>
      </c>
      <c r="CE50">
        <f>'Monthly Data'!CE98</f>
        <v>0</v>
      </c>
      <c r="CF50">
        <f>'Monthly Data'!CF98</f>
        <v>0</v>
      </c>
      <c r="CG50">
        <f>'Monthly Data'!CG98</f>
        <v>0</v>
      </c>
      <c r="CH50">
        <f>'Monthly Data'!CH98</f>
        <v>0</v>
      </c>
      <c r="CI50">
        <f>'Monthly Data'!CI98</f>
        <v>0</v>
      </c>
      <c r="CJ50">
        <f>'Monthly Data'!CJ98</f>
        <v>0</v>
      </c>
      <c r="CK50">
        <f>'Monthly Data'!CK98</f>
        <v>0</v>
      </c>
      <c r="CL50">
        <f>'Monthly Data'!CL98</f>
        <v>0</v>
      </c>
      <c r="CM50">
        <f>'Monthly Data'!CM98</f>
        <v>0</v>
      </c>
      <c r="CN50">
        <f>'Monthly Data'!CN98</f>
        <v>0</v>
      </c>
      <c r="CO50" s="14">
        <f>'Monthly Data'!CO98</f>
        <v>207.26979166666669</v>
      </c>
      <c r="CP50" s="14">
        <f>'Monthly Data'!CP98</f>
        <v>0</v>
      </c>
      <c r="CQ50" s="14">
        <f>'Monthly Data'!CQ98</f>
        <v>191.76979166666669</v>
      </c>
      <c r="CR50" s="14">
        <f>'Monthly Data'!CR98</f>
        <v>0</v>
      </c>
      <c r="CS50" s="14">
        <f>'Monthly Data'!CS98</f>
        <v>176.26979166666669</v>
      </c>
      <c r="CT50" s="14">
        <f>'Monthly Data'!CT98</f>
        <v>0</v>
      </c>
      <c r="CU50" s="14">
        <f>'Monthly Data'!CU98</f>
        <v>160.76979166666666</v>
      </c>
      <c r="CV50" s="14">
        <f>'Monthly Data'!CV98</f>
        <v>0</v>
      </c>
      <c r="CW50" s="14">
        <f>'Monthly Data'!CW98</f>
        <v>145.26979166666666</v>
      </c>
      <c r="CX50" s="14">
        <f>'Monthly Data'!CX98</f>
        <v>0</v>
      </c>
      <c r="CY50" s="14">
        <f>'Monthly Data'!CY98</f>
        <v>129.76979166666666</v>
      </c>
      <c r="CZ50" s="14">
        <f>'Monthly Data'!CZ98</f>
        <v>0</v>
      </c>
      <c r="DA50" s="14">
        <f>'Monthly Data'!DA98</f>
        <v>114.26979166666665</v>
      </c>
      <c r="DB50" s="14">
        <f>'Monthly Data'!DB98</f>
        <v>0</v>
      </c>
      <c r="DC50" s="72">
        <f>'Monthly Data'!DC98</f>
        <v>973.05899683025484</v>
      </c>
      <c r="DD50" s="72">
        <f>'Monthly Data'!DD98</f>
        <v>31.388999897750157</v>
      </c>
      <c r="DE50" s="71">
        <f>'Monthly Data'!DE98</f>
        <v>324468.0919430434</v>
      </c>
      <c r="DF50" s="72">
        <f>'Monthly Data'!DF98</f>
        <v>2727.2606687364282</v>
      </c>
      <c r="DG50" s="72">
        <f>'Monthly Data'!DG98</f>
        <v>87.976150604400914</v>
      </c>
      <c r="DH50" s="72">
        <f>'Monthly Data'!DH98</f>
        <v>111465.78281577595</v>
      </c>
      <c r="DI50" s="72">
        <f>'Monthly Data'!DI98</f>
        <v>44989.985314366924</v>
      </c>
      <c r="DJ50" s="72">
        <f>'Monthly Data'!DJ98</f>
        <v>1451.2898488505459</v>
      </c>
      <c r="DK50" s="72">
        <f>'Monthly Data'!DK98</f>
        <v>2249.4992657183461</v>
      </c>
      <c r="DL50" s="72">
        <f>'Monthly Data'!DL98</f>
        <v>201729.28899022588</v>
      </c>
      <c r="DM50" s="72">
        <f>'Monthly Data'!DM98</f>
        <v>312680.39793485013</v>
      </c>
    </row>
    <row r="51" spans="1:117">
      <c r="A51" s="93">
        <f>'Monthly Data'!A99</f>
        <v>45323</v>
      </c>
      <c r="B51" s="4">
        <f>'Monthly Data'!B99</f>
        <v>2024</v>
      </c>
      <c r="C51" s="4">
        <f>'Monthly Data'!C99</f>
        <v>2</v>
      </c>
      <c r="D51" s="56">
        <f>'Monthly Data'!D99</f>
        <v>7357990</v>
      </c>
      <c r="E51" s="56">
        <f>'Monthly Data'!E99</f>
        <v>169368.41639058758</v>
      </c>
      <c r="F51" s="56">
        <f>'Monthly Data'!F99</f>
        <v>7527358.4163905876</v>
      </c>
      <c r="G51" s="301">
        <f>'Monthly Data'!G99</f>
        <v>10346</v>
      </c>
      <c r="H51" s="56">
        <f>'Monthly Data'!H99</f>
        <v>2602386</v>
      </c>
      <c r="I51" s="56">
        <f>'Monthly Data'!I99</f>
        <v>238492.03461913185</v>
      </c>
      <c r="J51" s="56">
        <f>'Monthly Data'!J99</f>
        <v>2840878.0346191321</v>
      </c>
      <c r="K51" s="6">
        <f>'Monthly Data'!K99</f>
        <v>1277</v>
      </c>
      <c r="L51" s="5">
        <f>'Monthly Data'!L99</f>
        <v>5415618</v>
      </c>
      <c r="M51" s="2">
        <f>'Monthly Data'!M99</f>
        <v>229367.01325233697</v>
      </c>
      <c r="N51" s="56">
        <f>'Monthly Data'!N99</f>
        <v>5644985.0132523365</v>
      </c>
      <c r="O51" s="5">
        <f>'Monthly Data'!O99</f>
        <v>17119.600000000002</v>
      </c>
      <c r="P51" s="6">
        <f>'Monthly Data'!P99</f>
        <v>139</v>
      </c>
      <c r="Q51" s="5">
        <f>'Monthly Data'!Q99</f>
        <v>90313</v>
      </c>
      <c r="R51" s="5">
        <f>'Monthly Data'!R99</f>
        <v>231.6</v>
      </c>
      <c r="S51" s="6">
        <f>'Monthly Data'!S99</f>
        <v>2908</v>
      </c>
      <c r="T51" s="6">
        <f>'Monthly Data'!T99</f>
        <v>13742</v>
      </c>
      <c r="U51" s="6">
        <f>'Monthly Data'!U99</f>
        <v>39.099999999999994</v>
      </c>
      <c r="V51" s="6">
        <f>'Monthly Data'!V99</f>
        <v>172</v>
      </c>
      <c r="W51" s="5">
        <f>'Monthly Data'!W99</f>
        <v>47573</v>
      </c>
      <c r="X51" s="56">
        <f>'Monthly Data'!X99</f>
        <v>18</v>
      </c>
      <c r="Y51" s="56">
        <f>'Monthly Data'!Y99</f>
        <v>38393.440000000002</v>
      </c>
      <c r="Z51" s="56">
        <f>'Monthly Data'!Z99</f>
        <v>2962.6</v>
      </c>
      <c r="AA51" s="56">
        <f>'Monthly Data'!AA99</f>
        <v>5377224.5599999996</v>
      </c>
      <c r="AB51" s="56">
        <f>'Monthly Data'!AB99</f>
        <v>5606591.5732523361</v>
      </c>
      <c r="AC51" s="56">
        <f>'Monthly Data'!AC99</f>
        <v>14157.000000000002</v>
      </c>
      <c r="AD51" s="111">
        <f>'Monthly Data'!AD99</f>
        <v>876619.7</v>
      </c>
      <c r="AE51" s="111">
        <f>'Monthly Data'!AE99</f>
        <v>885802</v>
      </c>
      <c r="AF51" s="111">
        <f>'Monthly Data'!AF99</f>
        <v>8047.9</v>
      </c>
      <c r="AG51" s="111">
        <f>'Monthly Data'!AG99</f>
        <v>7991.4</v>
      </c>
      <c r="AH51" s="111">
        <f>'Monthly Data'!AH99</f>
        <v>687.9</v>
      </c>
      <c r="AI51" s="111">
        <f>'Monthly Data'!AI99</f>
        <v>685.9</v>
      </c>
      <c r="AJ51" s="111">
        <f>'Monthly Data'!AJ99</f>
        <v>149</v>
      </c>
      <c r="AK51" s="111">
        <f>'Monthly Data'!AK99</f>
        <v>152.39999999999964</v>
      </c>
      <c r="AL51" s="111">
        <f>'Monthly Data'!AL99</f>
        <v>33.5</v>
      </c>
      <c r="AM51" s="111">
        <f>'Monthly Data'!AM99</f>
        <v>33.100000000000023</v>
      </c>
      <c r="AN51" s="111">
        <f>'Monthly Data'!AN99</f>
        <v>10760.099999999977</v>
      </c>
      <c r="AO51" s="111">
        <f>'Monthly Data'!AO99</f>
        <v>5547</v>
      </c>
      <c r="AP51" s="28">
        <f>'Monthly Data'!AP99</f>
        <v>-4.5475574712643674</v>
      </c>
      <c r="AQ51" s="28">
        <f>'Monthly Data'!AQ99</f>
        <v>711.87916666666661</v>
      </c>
      <c r="AR51" s="28">
        <f>'Monthly Data'!AR99</f>
        <v>0</v>
      </c>
      <c r="AS51" s="28">
        <f>'Monthly Data'!AS99</f>
        <v>653.87916666666672</v>
      </c>
      <c r="AT51" s="28">
        <f>'Monthly Data'!AT99</f>
        <v>0</v>
      </c>
      <c r="AU51" s="28">
        <f>'Monthly Data'!AU99</f>
        <v>595.87916666666661</v>
      </c>
      <c r="AV51" s="28">
        <f>'Monthly Data'!AV99</f>
        <v>0</v>
      </c>
      <c r="AW51" s="28">
        <f>'Monthly Data'!AW99</f>
        <v>537.87916666666661</v>
      </c>
      <c r="AX51" s="28">
        <f>'Monthly Data'!AX99</f>
        <v>0</v>
      </c>
      <c r="AY51" s="28">
        <f>'Monthly Data'!AY99</f>
        <v>479.87916666666661</v>
      </c>
      <c r="AZ51" s="28">
        <f>'Monthly Data'!AZ99</f>
        <v>0</v>
      </c>
      <c r="BA51" s="28">
        <f>'Monthly Data'!BA99</f>
        <v>421.87916666666661</v>
      </c>
      <c r="BB51" s="28">
        <f>'Monthly Data'!BB99</f>
        <v>0</v>
      </c>
      <c r="BC51" s="28">
        <f>'Monthly Data'!BC99</f>
        <v>363.87916666666666</v>
      </c>
      <c r="BD51" s="28">
        <f>'Monthly Data'!BD99</f>
        <v>0</v>
      </c>
      <c r="BE51">
        <f>'Monthly Data'!BE99</f>
        <v>0</v>
      </c>
      <c r="BF51">
        <f>'Monthly Data'!BF99</f>
        <v>1</v>
      </c>
      <c r="BG51">
        <f>'Monthly Data'!BG99</f>
        <v>0</v>
      </c>
      <c r="BH51">
        <f>'Monthly Data'!BH99</f>
        <v>0</v>
      </c>
      <c r="BI51">
        <f>'Monthly Data'!BI99</f>
        <v>0</v>
      </c>
      <c r="BJ51">
        <f>'Monthly Data'!BJ99</f>
        <v>0</v>
      </c>
      <c r="BK51">
        <f>'Monthly Data'!BK99</f>
        <v>0</v>
      </c>
      <c r="BL51">
        <f>'Monthly Data'!BL99</f>
        <v>0</v>
      </c>
      <c r="BM51">
        <f>'Monthly Data'!BM99</f>
        <v>0</v>
      </c>
      <c r="BN51">
        <f>'Monthly Data'!BN99</f>
        <v>0</v>
      </c>
      <c r="BO51">
        <f>'Monthly Data'!BO99</f>
        <v>0</v>
      </c>
      <c r="BP51">
        <f>'Monthly Data'!BP99</f>
        <v>0</v>
      </c>
      <c r="BQ51" s="1">
        <f>'Monthly Data'!BQ99</f>
        <v>0</v>
      </c>
      <c r="BR51" s="1">
        <f>'Monthly Data'!BR99</f>
        <v>0</v>
      </c>
      <c r="BS51" s="1">
        <f>'Monthly Data'!BS99</f>
        <v>0</v>
      </c>
      <c r="BT51" s="1">
        <f>'Monthly Data'!BT99</f>
        <v>98</v>
      </c>
      <c r="BU51">
        <f>'Monthly Data'!BU99</f>
        <v>28</v>
      </c>
      <c r="BV51" s="1">
        <f>'Monthly Data'!BV99</f>
        <v>19</v>
      </c>
      <c r="BW51" s="1">
        <f>'Monthly Data'!BW99</f>
        <v>0</v>
      </c>
      <c r="BX51" s="1">
        <f>'Monthly Data'!BX99</f>
        <v>0</v>
      </c>
      <c r="BY51" s="1">
        <f>'Monthly Data'!BY99</f>
        <v>0.25</v>
      </c>
      <c r="BZ51" s="1">
        <f>'Monthly Data'!BZ99</f>
        <v>0</v>
      </c>
      <c r="CA51">
        <f>'Monthly Data'!CA99</f>
        <v>0</v>
      </c>
      <c r="CB51">
        <f>'Monthly Data'!CB99</f>
        <v>0</v>
      </c>
      <c r="CC51">
        <f>'Monthly Data'!CC99</f>
        <v>0</v>
      </c>
      <c r="CD51">
        <f>'Monthly Data'!CD99</f>
        <v>0</v>
      </c>
      <c r="CE51">
        <f>'Monthly Data'!CE99</f>
        <v>0</v>
      </c>
      <c r="CF51">
        <f>'Monthly Data'!CF99</f>
        <v>0</v>
      </c>
      <c r="CG51">
        <f>'Monthly Data'!CG99</f>
        <v>0</v>
      </c>
      <c r="CH51">
        <f>'Monthly Data'!CH99</f>
        <v>0</v>
      </c>
      <c r="CI51">
        <f>'Monthly Data'!CI99</f>
        <v>0</v>
      </c>
      <c r="CJ51">
        <f>'Monthly Data'!CJ99</f>
        <v>0</v>
      </c>
      <c r="CK51">
        <f>'Monthly Data'!CK99</f>
        <v>0</v>
      </c>
      <c r="CL51">
        <f>'Monthly Data'!CL99</f>
        <v>0</v>
      </c>
      <c r="CM51">
        <f>'Monthly Data'!CM99</f>
        <v>0</v>
      </c>
      <c r="CN51">
        <f>'Monthly Data'!CN99</f>
        <v>0</v>
      </c>
      <c r="CO51" s="14">
        <f>'Monthly Data'!CO99</f>
        <v>177.96979166666665</v>
      </c>
      <c r="CP51" s="14">
        <f>'Monthly Data'!CP99</f>
        <v>0</v>
      </c>
      <c r="CQ51" s="14">
        <f>'Monthly Data'!CQ99</f>
        <v>163.46979166666668</v>
      </c>
      <c r="CR51" s="14">
        <f>'Monthly Data'!CR99</f>
        <v>0</v>
      </c>
      <c r="CS51" s="14">
        <f>'Monthly Data'!CS99</f>
        <v>148.96979166666665</v>
      </c>
      <c r="CT51" s="14">
        <f>'Monthly Data'!CT99</f>
        <v>0</v>
      </c>
      <c r="CU51" s="14">
        <f>'Monthly Data'!CU99</f>
        <v>134.46979166666665</v>
      </c>
      <c r="CV51" s="14">
        <f>'Monthly Data'!CV99</f>
        <v>0</v>
      </c>
      <c r="CW51" s="14">
        <f>'Monthly Data'!CW99</f>
        <v>119.96979166666665</v>
      </c>
      <c r="CX51" s="14">
        <f>'Monthly Data'!CX99</f>
        <v>0</v>
      </c>
      <c r="CY51" s="14">
        <f>'Monthly Data'!CY99</f>
        <v>105.46979166666665</v>
      </c>
      <c r="CZ51" s="14">
        <f>'Monthly Data'!CZ99</f>
        <v>0</v>
      </c>
      <c r="DA51" s="14">
        <f>'Monthly Data'!DA99</f>
        <v>90.969791666666666</v>
      </c>
      <c r="DB51" s="14">
        <f>'Monthly Data'!DB99</f>
        <v>0</v>
      </c>
      <c r="DC51" s="72">
        <f>'Monthly Data'!DC99</f>
        <v>727.56218986957163</v>
      </c>
      <c r="DD51" s="72">
        <f>'Monthly Data'!DD99</f>
        <v>25.984363923913271</v>
      </c>
      <c r="DE51" s="71">
        <f>'Monthly Data'!DE99</f>
        <v>268834.22915680672</v>
      </c>
      <c r="DF51" s="72">
        <f>'Monthly Data'!DF99</f>
        <v>2224.6499879554676</v>
      </c>
      <c r="DG51" s="72">
        <f>'Monthly Data'!DG99</f>
        <v>79.451785284123844</v>
      </c>
      <c r="DH51" s="72">
        <f>'Monthly Data'!DH99</f>
        <v>101459.92980782615</v>
      </c>
      <c r="DI51" s="72">
        <f>'Monthly Data'!DI99</f>
        <v>40611.402973038392</v>
      </c>
      <c r="DJ51" s="72">
        <f>'Monthly Data'!DJ99</f>
        <v>1450.4072490370854</v>
      </c>
      <c r="DK51" s="72">
        <f>'Monthly Data'!DK99</f>
        <v>2137.4422617388627</v>
      </c>
      <c r="DL51" s="72">
        <f>'Monthly Data'!DL99</f>
        <v>201606.60761615488</v>
      </c>
      <c r="DM51" s="72">
        <f>'Monthly Data'!DM99</f>
        <v>297104.4743817019</v>
      </c>
    </row>
    <row r="52" spans="1:117">
      <c r="A52" s="93">
        <f>'Monthly Data'!A100</f>
        <v>45352</v>
      </c>
      <c r="B52" s="4">
        <f>'Monthly Data'!B100</f>
        <v>2024</v>
      </c>
      <c r="C52" s="4">
        <f>'Monthly Data'!C100</f>
        <v>3</v>
      </c>
      <c r="D52" s="56">
        <f>'Monthly Data'!D100</f>
        <v>7954254</v>
      </c>
      <c r="E52" s="56">
        <f>'Monthly Data'!E100</f>
        <v>169802.98254683017</v>
      </c>
      <c r="F52" s="56">
        <f>'Monthly Data'!F100</f>
        <v>8124056.9825468305</v>
      </c>
      <c r="G52" s="301">
        <f>'Monthly Data'!G100</f>
        <v>10340</v>
      </c>
      <c r="H52" s="56">
        <f>'Monthly Data'!H100</f>
        <v>2665673</v>
      </c>
      <c r="I52" s="56">
        <f>'Monthly Data'!I100</f>
        <v>240421.80194920916</v>
      </c>
      <c r="J52" s="56">
        <f>'Monthly Data'!J100</f>
        <v>2906094.8019492091</v>
      </c>
      <c r="K52" s="6">
        <f>'Monthly Data'!K100</f>
        <v>1279</v>
      </c>
      <c r="L52" s="5">
        <f>'Monthly Data'!L100</f>
        <v>5455406</v>
      </c>
      <c r="M52" s="2">
        <f>'Monthly Data'!M100</f>
        <v>231594.06780767112</v>
      </c>
      <c r="N52" s="56">
        <f>'Monthly Data'!N100</f>
        <v>5687000.0678076707</v>
      </c>
      <c r="O52" s="5">
        <f>'Monthly Data'!O100</f>
        <v>20122.199999999997</v>
      </c>
      <c r="P52" s="6">
        <f>'Monthly Data'!P100</f>
        <v>139</v>
      </c>
      <c r="Q52" s="5">
        <f>'Monthly Data'!Q100</f>
        <v>86471</v>
      </c>
      <c r="R52" s="5">
        <f>'Monthly Data'!R100</f>
        <v>231.6</v>
      </c>
      <c r="S52" s="6">
        <f>'Monthly Data'!S100</f>
        <v>2908</v>
      </c>
      <c r="T52" s="6">
        <f>'Monthly Data'!T100</f>
        <v>13625</v>
      </c>
      <c r="U52" s="6">
        <f>'Monthly Data'!U100</f>
        <v>38.6</v>
      </c>
      <c r="V52" s="6">
        <f>'Monthly Data'!V100</f>
        <v>172</v>
      </c>
      <c r="W52" s="5">
        <f>'Monthly Data'!W100</f>
        <v>49630</v>
      </c>
      <c r="X52" s="56">
        <f>'Monthly Data'!X100</f>
        <v>18</v>
      </c>
      <c r="Y52" s="56">
        <f>'Monthly Data'!Y100</f>
        <v>60396.32</v>
      </c>
      <c r="Z52" s="56">
        <f>'Monthly Data'!Z100</f>
        <v>6662.4</v>
      </c>
      <c r="AA52" s="56">
        <f>'Monthly Data'!AA100</f>
        <v>5395009.6799999997</v>
      </c>
      <c r="AB52" s="56">
        <f>'Monthly Data'!AB100</f>
        <v>5626603.7478076704</v>
      </c>
      <c r="AC52" s="56">
        <f>'Monthly Data'!AC100</f>
        <v>13459.799999999997</v>
      </c>
      <c r="AD52" s="111">
        <f>'Monthly Data'!AD100</f>
        <v>876619.7</v>
      </c>
      <c r="AE52" s="111">
        <f>'Monthly Data'!AE100</f>
        <v>885802</v>
      </c>
      <c r="AF52" s="111">
        <f>'Monthly Data'!AF100</f>
        <v>8066</v>
      </c>
      <c r="AG52" s="111">
        <f>'Monthly Data'!AG100</f>
        <v>7988.6</v>
      </c>
      <c r="AH52" s="111">
        <f>'Monthly Data'!AH100</f>
        <v>683</v>
      </c>
      <c r="AI52" s="111">
        <f>'Monthly Data'!AI100</f>
        <v>680.2</v>
      </c>
      <c r="AJ52" s="111">
        <f>'Monthly Data'!AJ100</f>
        <v>134.60000000000036</v>
      </c>
      <c r="AK52" s="111">
        <f>'Monthly Data'!AK100</f>
        <v>140.10000000000036</v>
      </c>
      <c r="AL52" s="111">
        <f>'Monthly Data'!AL100</f>
        <v>26.200000000000045</v>
      </c>
      <c r="AM52" s="111">
        <f>'Monthly Data'!AM100</f>
        <v>26</v>
      </c>
      <c r="AN52" s="111">
        <f>'Monthly Data'!AN100</f>
        <v>10760.099999999977</v>
      </c>
      <c r="AO52" s="111">
        <f>'Monthly Data'!AO100</f>
        <v>5547</v>
      </c>
      <c r="AP52" s="28">
        <f>'Monthly Data'!AP100</f>
        <v>0.75551075268817203</v>
      </c>
      <c r="AQ52" s="28">
        <f>'Monthly Data'!AQ100</f>
        <v>596.57916666666665</v>
      </c>
      <c r="AR52" s="28">
        <f>'Monthly Data'!AR100</f>
        <v>0</v>
      </c>
      <c r="AS52" s="28">
        <f>'Monthly Data'!AS100</f>
        <v>534.57916666666665</v>
      </c>
      <c r="AT52" s="28">
        <f>'Monthly Data'!AT100</f>
        <v>0</v>
      </c>
      <c r="AU52" s="28">
        <f>'Monthly Data'!AU100</f>
        <v>472.57916666666677</v>
      </c>
      <c r="AV52" s="28">
        <f>'Monthly Data'!AV100</f>
        <v>0</v>
      </c>
      <c r="AW52" s="28">
        <f>'Monthly Data'!AW100</f>
        <v>410.57916666666665</v>
      </c>
      <c r="AX52" s="28">
        <f>'Monthly Data'!AX100</f>
        <v>0</v>
      </c>
      <c r="AY52" s="28">
        <f>'Monthly Data'!AY100</f>
        <v>348.57916666666665</v>
      </c>
      <c r="AZ52" s="28">
        <f>'Monthly Data'!AZ100</f>
        <v>0</v>
      </c>
      <c r="BA52" s="28">
        <f>'Monthly Data'!BA100</f>
        <v>286.57916666666665</v>
      </c>
      <c r="BB52" s="28">
        <f>'Monthly Data'!BB100</f>
        <v>0</v>
      </c>
      <c r="BC52" s="28">
        <f>'Monthly Data'!BC100</f>
        <v>224.57916666666665</v>
      </c>
      <c r="BD52" s="28">
        <f>'Monthly Data'!BD100</f>
        <v>0</v>
      </c>
      <c r="BE52">
        <f>'Monthly Data'!BE100</f>
        <v>0</v>
      </c>
      <c r="BF52">
        <f>'Monthly Data'!BF100</f>
        <v>0</v>
      </c>
      <c r="BG52">
        <f>'Monthly Data'!BG100</f>
        <v>1</v>
      </c>
      <c r="BH52">
        <f>'Monthly Data'!BH100</f>
        <v>0</v>
      </c>
      <c r="BI52">
        <f>'Monthly Data'!BI100</f>
        <v>0</v>
      </c>
      <c r="BJ52">
        <f>'Monthly Data'!BJ100</f>
        <v>0</v>
      </c>
      <c r="BK52">
        <f>'Monthly Data'!BK100</f>
        <v>0</v>
      </c>
      <c r="BL52">
        <f>'Monthly Data'!BL100</f>
        <v>0</v>
      </c>
      <c r="BM52">
        <f>'Monthly Data'!BM100</f>
        <v>0</v>
      </c>
      <c r="BN52">
        <f>'Monthly Data'!BN100</f>
        <v>0</v>
      </c>
      <c r="BO52">
        <f>'Monthly Data'!BO100</f>
        <v>0</v>
      </c>
      <c r="BP52">
        <f>'Monthly Data'!BP100</f>
        <v>0</v>
      </c>
      <c r="BQ52" s="1">
        <f>'Monthly Data'!BQ100</f>
        <v>1</v>
      </c>
      <c r="BR52" s="1">
        <f>'Monthly Data'!BR100</f>
        <v>0</v>
      </c>
      <c r="BS52" s="1">
        <f>'Monthly Data'!BS100</f>
        <v>1</v>
      </c>
      <c r="BT52" s="1">
        <f>'Monthly Data'!BT100</f>
        <v>99</v>
      </c>
      <c r="BU52">
        <f>'Monthly Data'!BU100</f>
        <v>31</v>
      </c>
      <c r="BV52" s="1">
        <f>'Monthly Data'!BV100</f>
        <v>23</v>
      </c>
      <c r="BW52" s="1">
        <f>'Monthly Data'!BW100</f>
        <v>0</v>
      </c>
      <c r="BX52" s="1">
        <f>'Monthly Data'!BX100</f>
        <v>0</v>
      </c>
      <c r="BY52" s="1">
        <f>'Monthly Data'!BY100</f>
        <v>0.25</v>
      </c>
      <c r="BZ52" s="1">
        <f>'Monthly Data'!BZ100</f>
        <v>0</v>
      </c>
      <c r="CA52">
        <f>'Monthly Data'!CA100</f>
        <v>0</v>
      </c>
      <c r="CB52">
        <f>'Monthly Data'!CB100</f>
        <v>0</v>
      </c>
      <c r="CC52">
        <f>'Monthly Data'!CC100</f>
        <v>0</v>
      </c>
      <c r="CD52">
        <f>'Monthly Data'!CD100</f>
        <v>0</v>
      </c>
      <c r="CE52">
        <f>'Monthly Data'!CE100</f>
        <v>0</v>
      </c>
      <c r="CF52">
        <f>'Monthly Data'!CF100</f>
        <v>0</v>
      </c>
      <c r="CG52">
        <f>'Monthly Data'!CG100</f>
        <v>0</v>
      </c>
      <c r="CH52">
        <f>'Monthly Data'!CH100</f>
        <v>0</v>
      </c>
      <c r="CI52">
        <f>'Monthly Data'!CI100</f>
        <v>0</v>
      </c>
      <c r="CJ52">
        <f>'Monthly Data'!CJ100</f>
        <v>0</v>
      </c>
      <c r="CK52">
        <f>'Monthly Data'!CK100</f>
        <v>0</v>
      </c>
      <c r="CL52">
        <f>'Monthly Data'!CL100</f>
        <v>0</v>
      </c>
      <c r="CM52">
        <f>'Monthly Data'!CM100</f>
        <v>0</v>
      </c>
      <c r="CN52">
        <f>'Monthly Data'!CN100</f>
        <v>0</v>
      </c>
      <c r="CO52" s="14">
        <f>'Monthly Data'!CO100</f>
        <v>149.14479166666666</v>
      </c>
      <c r="CP52" s="14">
        <f>'Monthly Data'!CP100</f>
        <v>0</v>
      </c>
      <c r="CQ52" s="14">
        <f>'Monthly Data'!CQ100</f>
        <v>133.64479166666666</v>
      </c>
      <c r="CR52" s="14">
        <f>'Monthly Data'!CR100</f>
        <v>0</v>
      </c>
      <c r="CS52" s="14">
        <f>'Monthly Data'!CS100</f>
        <v>118.14479166666669</v>
      </c>
      <c r="CT52" s="14">
        <f>'Monthly Data'!CT100</f>
        <v>0</v>
      </c>
      <c r="CU52" s="14">
        <f>'Monthly Data'!CU100</f>
        <v>102.64479166666666</v>
      </c>
      <c r="CV52" s="14">
        <f>'Monthly Data'!CV100</f>
        <v>0</v>
      </c>
      <c r="CW52" s="14">
        <f>'Monthly Data'!CW100</f>
        <v>87.144791666666663</v>
      </c>
      <c r="CX52" s="14">
        <f>'Monthly Data'!CX100</f>
        <v>0</v>
      </c>
      <c r="CY52" s="14">
        <f>'Monthly Data'!CY100</f>
        <v>71.644791666666663</v>
      </c>
      <c r="CZ52" s="14">
        <f>'Monthly Data'!CZ100</f>
        <v>0</v>
      </c>
      <c r="DA52" s="14">
        <f>'Monthly Data'!DA100</f>
        <v>56.144791666666663</v>
      </c>
      <c r="DB52" s="14">
        <f>'Monthly Data'!DB100</f>
        <v>0</v>
      </c>
      <c r="DC52" s="72">
        <f>'Monthly Data'!DC100</f>
        <v>785.69216465636657</v>
      </c>
      <c r="DD52" s="72">
        <f>'Monthly Data'!DD100</f>
        <v>25.344908537302146</v>
      </c>
      <c r="DE52" s="71">
        <f>'Monthly Data'!DE100</f>
        <v>262066.35427570422</v>
      </c>
      <c r="DF52" s="72">
        <f>'Monthly Data'!DF100</f>
        <v>2272.1616903434006</v>
      </c>
      <c r="DG52" s="72">
        <f>'Monthly Data'!DG100</f>
        <v>73.295538398174216</v>
      </c>
      <c r="DH52" s="72">
        <f>'Monthly Data'!DH100</f>
        <v>93744.993611264814</v>
      </c>
      <c r="DI52" s="72">
        <f>'Monthly Data'!DI100</f>
        <v>40913.66955257317</v>
      </c>
      <c r="DJ52" s="72">
        <f>'Monthly Data'!DJ100</f>
        <v>1319.7957920184895</v>
      </c>
      <c r="DK52" s="72">
        <f>'Monthly Data'!DK100</f>
        <v>1778.855197937964</v>
      </c>
      <c r="DL52" s="72">
        <f>'Monthly Data'!DL100</f>
        <v>183451.61509057003</v>
      </c>
      <c r="DM52" s="72">
        <f>'Monthly Data'!DM100</f>
        <v>247260.87251337699</v>
      </c>
    </row>
    <row r="53" spans="1:117">
      <c r="A53" s="93">
        <f>'Monthly Data'!A101</f>
        <v>45383</v>
      </c>
      <c r="B53" s="4">
        <f>'Monthly Data'!B101</f>
        <v>2024</v>
      </c>
      <c r="C53" s="4">
        <f>'Monthly Data'!C101</f>
        <v>4</v>
      </c>
      <c r="D53" s="56">
        <f>'Monthly Data'!D101</f>
        <v>5587614</v>
      </c>
      <c r="E53" s="56">
        <f>'Monthly Data'!E101</f>
        <v>170237.5487030728</v>
      </c>
      <c r="F53" s="56">
        <f>'Monthly Data'!F101</f>
        <v>5757851.5487030726</v>
      </c>
      <c r="G53" s="301">
        <f>'Monthly Data'!G101</f>
        <v>10345</v>
      </c>
      <c r="H53" s="56">
        <f>'Monthly Data'!H101</f>
        <v>2074469</v>
      </c>
      <c r="I53" s="56">
        <f>'Monthly Data'!I101</f>
        <v>242351.56927928643</v>
      </c>
      <c r="J53" s="56">
        <f>'Monthly Data'!J101</f>
        <v>2316820.5692792865</v>
      </c>
      <c r="K53" s="6">
        <f>'Monthly Data'!K101</f>
        <v>1281</v>
      </c>
      <c r="L53" s="5">
        <f>'Monthly Data'!L101</f>
        <v>4855467</v>
      </c>
      <c r="M53" s="2">
        <f>'Monthly Data'!M101</f>
        <v>233821.12236300527</v>
      </c>
      <c r="N53" s="56">
        <f>'Monthly Data'!N101</f>
        <v>5089288.1223630048</v>
      </c>
      <c r="O53" s="5">
        <f>'Monthly Data'!O101</f>
        <v>14606.9</v>
      </c>
      <c r="P53" s="6">
        <f>'Monthly Data'!P101</f>
        <v>139</v>
      </c>
      <c r="Q53" s="5">
        <f>'Monthly Data'!Q101</f>
        <v>73327</v>
      </c>
      <c r="R53" s="5">
        <f>'Monthly Data'!R101</f>
        <v>231.6</v>
      </c>
      <c r="S53" s="6">
        <f>'Monthly Data'!S101</f>
        <v>2908</v>
      </c>
      <c r="T53" s="6">
        <f>'Monthly Data'!T101</f>
        <v>12401</v>
      </c>
      <c r="U53" s="6">
        <f>'Monthly Data'!U101</f>
        <v>30.9</v>
      </c>
      <c r="V53" s="6">
        <f>'Monthly Data'!V101</f>
        <v>172</v>
      </c>
      <c r="W53" s="5">
        <f>'Monthly Data'!W101</f>
        <v>49117</v>
      </c>
      <c r="X53" s="56">
        <f>'Monthly Data'!X101</f>
        <v>18</v>
      </c>
      <c r="Y53" s="56">
        <f>'Monthly Data'!Y101</f>
        <v>537.76</v>
      </c>
      <c r="Z53" s="56">
        <f>'Monthly Data'!Z101</f>
        <v>1803.5</v>
      </c>
      <c r="AA53" s="56">
        <f>'Monthly Data'!AA101</f>
        <v>4854929.24</v>
      </c>
      <c r="AB53" s="56">
        <f>'Monthly Data'!AB101</f>
        <v>5088750.3623630051</v>
      </c>
      <c r="AC53" s="56">
        <f>'Monthly Data'!AC101</f>
        <v>12803.4</v>
      </c>
      <c r="AD53" s="111">
        <f>'Monthly Data'!AD101</f>
        <v>876619.7</v>
      </c>
      <c r="AE53" s="111">
        <f>'Monthly Data'!AE101</f>
        <v>888733</v>
      </c>
      <c r="AF53" s="111">
        <f>'Monthly Data'!AF101</f>
        <v>8087.1</v>
      </c>
      <c r="AG53" s="111">
        <f>'Monthly Data'!AG101</f>
        <v>8033.3</v>
      </c>
      <c r="AH53" s="111">
        <f>'Monthly Data'!AH101</f>
        <v>678.2</v>
      </c>
      <c r="AI53" s="111">
        <f>'Monthly Data'!AI101</f>
        <v>675.8</v>
      </c>
      <c r="AJ53" s="111">
        <f>'Monthly Data'!AJ101</f>
        <v>125.10000000000036</v>
      </c>
      <c r="AK53" s="111">
        <f>'Monthly Data'!AK101</f>
        <v>134</v>
      </c>
      <c r="AL53" s="111">
        <f>'Monthly Data'!AL101</f>
        <v>20.300000000000068</v>
      </c>
      <c r="AM53" s="111">
        <f>'Monthly Data'!AM101</f>
        <v>22.099999999999909</v>
      </c>
      <c r="AN53" s="111">
        <f>'Monthly Data'!AN101</f>
        <v>10760.099999999977</v>
      </c>
      <c r="AO53" s="111">
        <f>'Monthly Data'!AO101</f>
        <v>2931</v>
      </c>
      <c r="AP53" s="28">
        <f>'Monthly Data'!AP101</f>
        <v>6.0962499999999977</v>
      </c>
      <c r="AQ53" s="28">
        <f>'Monthly Data'!AQ101</f>
        <v>417.11249999999995</v>
      </c>
      <c r="AR53" s="28">
        <f>'Monthly Data'!AR101</f>
        <v>0</v>
      </c>
      <c r="AS53" s="28">
        <f>'Monthly Data'!AS101</f>
        <v>357.11249999999995</v>
      </c>
      <c r="AT53" s="28">
        <f>'Monthly Data'!AT101</f>
        <v>0</v>
      </c>
      <c r="AU53" s="28">
        <f>'Monthly Data'!AU101</f>
        <v>297.11250000000007</v>
      </c>
      <c r="AV53" s="28">
        <f>'Monthly Data'!AV101</f>
        <v>0</v>
      </c>
      <c r="AW53" s="28">
        <f>'Monthly Data'!AW101</f>
        <v>237.11250000000004</v>
      </c>
      <c r="AX53" s="28">
        <f>'Monthly Data'!AX101</f>
        <v>0</v>
      </c>
      <c r="AY53" s="28">
        <f>'Monthly Data'!AY101</f>
        <v>177.84583333333336</v>
      </c>
      <c r="AZ53" s="28">
        <f>'Monthly Data'!AZ101</f>
        <v>0.7333333333333325</v>
      </c>
      <c r="BA53" s="28">
        <f>'Monthly Data'!BA101</f>
        <v>124.96250000000002</v>
      </c>
      <c r="BB53" s="28">
        <f>'Monthly Data'!BB101</f>
        <v>7.8500000000000032</v>
      </c>
      <c r="BC53" s="28">
        <f>'Monthly Data'!BC101</f>
        <v>75.558333333333337</v>
      </c>
      <c r="BD53" s="28">
        <f>'Monthly Data'!BD101</f>
        <v>18.445833333333333</v>
      </c>
      <c r="BE53">
        <f>'Monthly Data'!BE101</f>
        <v>0</v>
      </c>
      <c r="BF53">
        <f>'Monthly Data'!BF101</f>
        <v>0</v>
      </c>
      <c r="BG53">
        <f>'Monthly Data'!BG101</f>
        <v>0</v>
      </c>
      <c r="BH53">
        <f>'Monthly Data'!BH101</f>
        <v>1</v>
      </c>
      <c r="BI53">
        <f>'Monthly Data'!BI101</f>
        <v>0</v>
      </c>
      <c r="BJ53">
        <f>'Monthly Data'!BJ101</f>
        <v>0</v>
      </c>
      <c r="BK53">
        <f>'Monthly Data'!BK101</f>
        <v>0</v>
      </c>
      <c r="BL53">
        <f>'Monthly Data'!BL101</f>
        <v>0</v>
      </c>
      <c r="BM53">
        <f>'Monthly Data'!BM101</f>
        <v>0</v>
      </c>
      <c r="BN53">
        <f>'Monthly Data'!BN101</f>
        <v>0</v>
      </c>
      <c r="BO53">
        <f>'Monthly Data'!BO101</f>
        <v>0</v>
      </c>
      <c r="BP53">
        <f>'Monthly Data'!BP101</f>
        <v>0</v>
      </c>
      <c r="BQ53" s="1">
        <f>'Monthly Data'!BQ101</f>
        <v>1</v>
      </c>
      <c r="BR53" s="1">
        <f>'Monthly Data'!BR101</f>
        <v>0</v>
      </c>
      <c r="BS53" s="1">
        <f>'Monthly Data'!BS101</f>
        <v>1</v>
      </c>
      <c r="BT53" s="1">
        <f>'Monthly Data'!BT101</f>
        <v>100</v>
      </c>
      <c r="BU53">
        <f>'Monthly Data'!BU101</f>
        <v>30</v>
      </c>
      <c r="BV53" s="1">
        <f>'Monthly Data'!BV101</f>
        <v>20</v>
      </c>
      <c r="BW53" s="1">
        <f>'Monthly Data'!BW101</f>
        <v>0</v>
      </c>
      <c r="BX53" s="1">
        <f>'Monthly Data'!BX101</f>
        <v>0</v>
      </c>
      <c r="BY53" s="1">
        <f>'Monthly Data'!BY101</f>
        <v>0.25</v>
      </c>
      <c r="BZ53" s="1">
        <f>'Monthly Data'!BZ101</f>
        <v>0</v>
      </c>
      <c r="CA53">
        <f>'Monthly Data'!CA101</f>
        <v>0</v>
      </c>
      <c r="CB53">
        <f>'Monthly Data'!CB101</f>
        <v>0</v>
      </c>
      <c r="CC53">
        <f>'Monthly Data'!CC101</f>
        <v>0</v>
      </c>
      <c r="CD53">
        <f>'Monthly Data'!CD101</f>
        <v>0</v>
      </c>
      <c r="CE53">
        <f>'Monthly Data'!CE101</f>
        <v>0</v>
      </c>
      <c r="CF53">
        <f>'Monthly Data'!CF101</f>
        <v>0</v>
      </c>
      <c r="CG53">
        <f>'Monthly Data'!CG101</f>
        <v>0</v>
      </c>
      <c r="CH53">
        <f>'Monthly Data'!CH101</f>
        <v>0</v>
      </c>
      <c r="CI53">
        <f>'Monthly Data'!CI101</f>
        <v>0</v>
      </c>
      <c r="CJ53">
        <f>'Monthly Data'!CJ101</f>
        <v>0</v>
      </c>
      <c r="CK53">
        <f>'Monthly Data'!CK101</f>
        <v>0</v>
      </c>
      <c r="CL53">
        <f>'Monthly Data'!CL101</f>
        <v>0</v>
      </c>
      <c r="CM53">
        <f>'Monthly Data'!CM101</f>
        <v>0</v>
      </c>
      <c r="CN53">
        <f>'Monthly Data'!CN101</f>
        <v>0</v>
      </c>
      <c r="CO53" s="14">
        <f>'Monthly Data'!CO101</f>
        <v>104.27812499999999</v>
      </c>
      <c r="CP53" s="14">
        <f>'Monthly Data'!CP101</f>
        <v>0</v>
      </c>
      <c r="CQ53" s="14">
        <f>'Monthly Data'!CQ101</f>
        <v>89.278124999999989</v>
      </c>
      <c r="CR53" s="14">
        <f>'Monthly Data'!CR101</f>
        <v>0</v>
      </c>
      <c r="CS53" s="14">
        <f>'Monthly Data'!CS101</f>
        <v>74.278125000000017</v>
      </c>
      <c r="CT53" s="14">
        <f>'Monthly Data'!CT101</f>
        <v>0</v>
      </c>
      <c r="CU53" s="14">
        <f>'Monthly Data'!CU101</f>
        <v>59.27812500000001</v>
      </c>
      <c r="CV53" s="14">
        <f>'Monthly Data'!CV101</f>
        <v>0</v>
      </c>
      <c r="CW53" s="14">
        <f>'Monthly Data'!CW101</f>
        <v>44.46145833333334</v>
      </c>
      <c r="CX53" s="14">
        <f>'Monthly Data'!CX101</f>
        <v>0.18333333333333313</v>
      </c>
      <c r="CY53" s="14">
        <f>'Monthly Data'!CY101</f>
        <v>31.240625000000005</v>
      </c>
      <c r="CZ53" s="14">
        <f>'Monthly Data'!CZ101</f>
        <v>1.9625000000000008</v>
      </c>
      <c r="DA53" s="14">
        <f>'Monthly Data'!DA101</f>
        <v>18.889583333333334</v>
      </c>
      <c r="DB53" s="14">
        <f>'Monthly Data'!DB101</f>
        <v>4.6114583333333332</v>
      </c>
      <c r="DC53" s="72">
        <f>'Monthly Data'!DC101</f>
        <v>556.58303999063048</v>
      </c>
      <c r="DD53" s="72">
        <f>'Monthly Data'!DD101</f>
        <v>18.552767999687681</v>
      </c>
      <c r="DE53" s="71">
        <f>'Monthly Data'!DE101</f>
        <v>191928.38495676909</v>
      </c>
      <c r="DF53" s="72">
        <f>'Monthly Data'!DF101</f>
        <v>1808.6030985786781</v>
      </c>
      <c r="DG53" s="72">
        <f>'Monthly Data'!DG101</f>
        <v>60.286769952622606</v>
      </c>
      <c r="DH53" s="72">
        <f>'Monthly Data'!DH101</f>
        <v>77227.352309309557</v>
      </c>
      <c r="DI53" s="72">
        <f>'Monthly Data'!DI101</f>
        <v>36613.583614122334</v>
      </c>
      <c r="DJ53" s="72">
        <f>'Monthly Data'!DJ101</f>
        <v>1220.4527871374112</v>
      </c>
      <c r="DK53" s="72">
        <f>'Monthly Data'!DK101</f>
        <v>1830.6791807061168</v>
      </c>
      <c r="DL53" s="72">
        <f>'Monthly Data'!DL101</f>
        <v>169642.93741210017</v>
      </c>
      <c r="DM53" s="72">
        <f>'Monthly Data'!DM101</f>
        <v>254464.40611815025</v>
      </c>
    </row>
    <row r="54" spans="1:117">
      <c r="A54" s="93">
        <f>'Monthly Data'!A102</f>
        <v>45413</v>
      </c>
      <c r="B54" s="4">
        <f>'Monthly Data'!B102</f>
        <v>2024</v>
      </c>
      <c r="C54" s="4">
        <f>'Monthly Data'!C102</f>
        <v>5</v>
      </c>
      <c r="D54" s="56">
        <f>'Monthly Data'!D102</f>
        <v>6222808</v>
      </c>
      <c r="E54" s="56">
        <f>'Monthly Data'!E102</f>
        <v>170672.11485931542</v>
      </c>
      <c r="F54" s="56">
        <f>'Monthly Data'!F102</f>
        <v>6393480.1148593156</v>
      </c>
      <c r="G54" s="301">
        <f>'Monthly Data'!G102</f>
        <v>10345</v>
      </c>
      <c r="H54" s="56">
        <f>'Monthly Data'!H102</f>
        <v>2186765</v>
      </c>
      <c r="I54" s="56">
        <f>'Monthly Data'!I102</f>
        <v>244281.3366093637</v>
      </c>
      <c r="J54" s="56">
        <f>'Monthly Data'!J102</f>
        <v>2431046.3366093636</v>
      </c>
      <c r="K54" s="6">
        <f>'Monthly Data'!K102</f>
        <v>1282</v>
      </c>
      <c r="L54" s="5">
        <f>'Monthly Data'!L102</f>
        <v>5033110</v>
      </c>
      <c r="M54" s="2">
        <f>'Monthly Data'!M102</f>
        <v>236048.17691833945</v>
      </c>
      <c r="N54" s="56">
        <f>'Monthly Data'!N102</f>
        <v>5269158.176918339</v>
      </c>
      <c r="O54" s="5">
        <f>'Monthly Data'!O102</f>
        <v>13454.900000000001</v>
      </c>
      <c r="P54" s="6">
        <f>'Monthly Data'!P102</f>
        <v>139</v>
      </c>
      <c r="Q54" s="5">
        <f>'Monthly Data'!Q102</f>
        <v>66629</v>
      </c>
      <c r="R54" s="5">
        <f>'Monthly Data'!R102</f>
        <v>231.6</v>
      </c>
      <c r="S54" s="6">
        <f>'Monthly Data'!S102</f>
        <v>2908</v>
      </c>
      <c r="T54" s="6">
        <f>'Monthly Data'!T102</f>
        <v>14178</v>
      </c>
      <c r="U54" s="6">
        <f>'Monthly Data'!U102</f>
        <v>38.4</v>
      </c>
      <c r="V54" s="6">
        <f>'Monthly Data'!V102</f>
        <v>172</v>
      </c>
      <c r="W54" s="5">
        <f>'Monthly Data'!W102</f>
        <v>49799</v>
      </c>
      <c r="X54" s="56">
        <f>'Monthly Data'!X102</f>
        <v>18</v>
      </c>
      <c r="Y54" s="56">
        <f>'Monthly Data'!Y102</f>
        <v>25.6</v>
      </c>
      <c r="Z54" s="56">
        <f>'Monthly Data'!Z102</f>
        <v>22.4</v>
      </c>
      <c r="AA54" s="56">
        <f>'Monthly Data'!AA102</f>
        <v>5033084.4000000004</v>
      </c>
      <c r="AB54" s="56">
        <f>'Monthly Data'!AB102</f>
        <v>5269132.5769183394</v>
      </c>
      <c r="AC54" s="56">
        <f>'Monthly Data'!AC102</f>
        <v>13432.500000000002</v>
      </c>
      <c r="AD54" s="111">
        <f>'Monthly Data'!AD102</f>
        <v>876619.7</v>
      </c>
      <c r="AE54" s="111">
        <f>'Monthly Data'!AE102</f>
        <v>888733</v>
      </c>
      <c r="AF54" s="111">
        <f>'Monthly Data'!AF102</f>
        <v>8119.7</v>
      </c>
      <c r="AG54" s="111">
        <f>'Monthly Data'!AG102</f>
        <v>8113.6</v>
      </c>
      <c r="AH54" s="111">
        <f>'Monthly Data'!AH102</f>
        <v>676.5</v>
      </c>
      <c r="AI54" s="111">
        <f>'Monthly Data'!AI102</f>
        <v>678.2</v>
      </c>
      <c r="AJ54" s="111">
        <f>'Monthly Data'!AJ102</f>
        <v>141.30000000000018</v>
      </c>
      <c r="AK54" s="111">
        <f>'Monthly Data'!AK102</f>
        <v>147.40000000000055</v>
      </c>
      <c r="AL54" s="111">
        <f>'Monthly Data'!AL102</f>
        <v>12.799999999999955</v>
      </c>
      <c r="AM54" s="111">
        <f>'Monthly Data'!AM102</f>
        <v>14.200000000000045</v>
      </c>
      <c r="AN54" s="111">
        <f>'Monthly Data'!AN102</f>
        <v>10760.099999999977</v>
      </c>
      <c r="AO54" s="111">
        <f>'Monthly Data'!AO102</f>
        <v>2931</v>
      </c>
      <c r="AP54" s="28">
        <f>'Monthly Data'!AP102</f>
        <v>14.800806451612901</v>
      </c>
      <c r="AQ54" s="28">
        <f>'Monthly Data'!AQ102</f>
        <v>162.30416666666667</v>
      </c>
      <c r="AR54" s="28">
        <f>'Monthly Data'!AR102</f>
        <v>1.1291666666666664</v>
      </c>
      <c r="AS54" s="28">
        <f>'Monthly Data'!AS102</f>
        <v>107.28749999999998</v>
      </c>
      <c r="AT54" s="28">
        <f>'Monthly Data'!AT102</f>
        <v>8.1125000000000007</v>
      </c>
      <c r="AU54" s="28">
        <f>'Monthly Data'!AU102</f>
        <v>63.466666666666661</v>
      </c>
      <c r="AV54" s="28">
        <f>'Monthly Data'!AV102</f>
        <v>26.291666666666675</v>
      </c>
      <c r="AW54" s="28">
        <f>'Monthly Data'!AW102</f>
        <v>32.008333333333333</v>
      </c>
      <c r="AX54" s="28">
        <f>'Monthly Data'!AX102</f>
        <v>56.833333333333329</v>
      </c>
      <c r="AY54" s="28">
        <f>'Monthly Data'!AY102</f>
        <v>9.4041666666666668</v>
      </c>
      <c r="AZ54" s="28">
        <f>'Monthly Data'!AZ102</f>
        <v>96.229166666666686</v>
      </c>
      <c r="BA54" s="28">
        <f>'Monthly Data'!BA102</f>
        <v>0</v>
      </c>
      <c r="BB54" s="28">
        <f>'Monthly Data'!BB102</f>
        <v>148.82500000000002</v>
      </c>
      <c r="BC54" s="28">
        <f>'Monthly Data'!BC102</f>
        <v>0</v>
      </c>
      <c r="BD54" s="28">
        <f>'Monthly Data'!BD102</f>
        <v>210.82499999999999</v>
      </c>
      <c r="BE54">
        <f>'Monthly Data'!BE102</f>
        <v>0</v>
      </c>
      <c r="BF54">
        <f>'Monthly Data'!BF102</f>
        <v>0</v>
      </c>
      <c r="BG54">
        <f>'Monthly Data'!BG102</f>
        <v>0</v>
      </c>
      <c r="BH54">
        <f>'Monthly Data'!BH102</f>
        <v>0</v>
      </c>
      <c r="BI54">
        <f>'Monthly Data'!BI102</f>
        <v>1</v>
      </c>
      <c r="BJ54">
        <f>'Monthly Data'!BJ102</f>
        <v>0</v>
      </c>
      <c r="BK54">
        <f>'Monthly Data'!BK102</f>
        <v>0</v>
      </c>
      <c r="BL54">
        <f>'Monthly Data'!BL102</f>
        <v>0</v>
      </c>
      <c r="BM54">
        <f>'Monthly Data'!BM102</f>
        <v>0</v>
      </c>
      <c r="BN54">
        <f>'Monthly Data'!BN102</f>
        <v>0</v>
      </c>
      <c r="BO54">
        <f>'Monthly Data'!BO102</f>
        <v>0</v>
      </c>
      <c r="BP54">
        <f>'Monthly Data'!BP102</f>
        <v>0</v>
      </c>
      <c r="BQ54" s="1">
        <f>'Monthly Data'!BQ102</f>
        <v>1</v>
      </c>
      <c r="BR54" s="1">
        <f>'Monthly Data'!BR102</f>
        <v>0</v>
      </c>
      <c r="BS54" s="1">
        <f>'Monthly Data'!BS102</f>
        <v>1</v>
      </c>
      <c r="BT54" s="1">
        <f>'Monthly Data'!BT102</f>
        <v>101</v>
      </c>
      <c r="BU54">
        <f>'Monthly Data'!BU102</f>
        <v>31</v>
      </c>
      <c r="BV54" s="1">
        <f>'Monthly Data'!BV102</f>
        <v>21</v>
      </c>
      <c r="BW54" s="1">
        <f>'Monthly Data'!BW102</f>
        <v>0</v>
      </c>
      <c r="BX54" s="1">
        <f>'Monthly Data'!BX102</f>
        <v>0</v>
      </c>
      <c r="BY54" s="1">
        <f>'Monthly Data'!BY102</f>
        <v>0.25</v>
      </c>
      <c r="BZ54" s="1">
        <f>'Monthly Data'!BZ102</f>
        <v>0</v>
      </c>
      <c r="CA54">
        <f>'Monthly Data'!CA102</f>
        <v>0</v>
      </c>
      <c r="CB54">
        <f>'Monthly Data'!CB102</f>
        <v>0</v>
      </c>
      <c r="CC54">
        <f>'Monthly Data'!CC102</f>
        <v>0</v>
      </c>
      <c r="CD54">
        <f>'Monthly Data'!CD102</f>
        <v>0</v>
      </c>
      <c r="CE54">
        <f>'Monthly Data'!CE102</f>
        <v>0</v>
      </c>
      <c r="CF54">
        <f>'Monthly Data'!CF102</f>
        <v>0</v>
      </c>
      <c r="CG54">
        <f>'Monthly Data'!CG102</f>
        <v>0</v>
      </c>
      <c r="CH54">
        <f>'Monthly Data'!CH102</f>
        <v>0</v>
      </c>
      <c r="CI54">
        <f>'Monthly Data'!CI102</f>
        <v>0</v>
      </c>
      <c r="CJ54">
        <f>'Monthly Data'!CJ102</f>
        <v>0</v>
      </c>
      <c r="CK54">
        <f>'Monthly Data'!CK102</f>
        <v>0</v>
      </c>
      <c r="CL54">
        <f>'Monthly Data'!CL102</f>
        <v>0</v>
      </c>
      <c r="CM54">
        <f>'Monthly Data'!CM102</f>
        <v>0</v>
      </c>
      <c r="CN54">
        <f>'Monthly Data'!CN102</f>
        <v>0</v>
      </c>
      <c r="CO54" s="14">
        <f>'Monthly Data'!CO102</f>
        <v>40.576041666666669</v>
      </c>
      <c r="CP54" s="14">
        <f>'Monthly Data'!CP102</f>
        <v>0.28229166666666661</v>
      </c>
      <c r="CQ54" s="14">
        <f>'Monthly Data'!CQ102</f>
        <v>26.821874999999995</v>
      </c>
      <c r="CR54" s="14">
        <f>'Monthly Data'!CR102</f>
        <v>2.0281250000000002</v>
      </c>
      <c r="CS54" s="14">
        <f>'Monthly Data'!CS102</f>
        <v>15.866666666666665</v>
      </c>
      <c r="CT54" s="14">
        <f>'Monthly Data'!CT102</f>
        <v>6.5729166666666687</v>
      </c>
      <c r="CU54" s="14">
        <f>'Monthly Data'!CU102</f>
        <v>8.0020833333333332</v>
      </c>
      <c r="CV54" s="14">
        <f>'Monthly Data'!CV102</f>
        <v>14.208333333333332</v>
      </c>
      <c r="CW54" s="14">
        <f>'Monthly Data'!CW102</f>
        <v>2.3510416666666667</v>
      </c>
      <c r="CX54" s="14">
        <f>'Monthly Data'!CX102</f>
        <v>24.057291666666671</v>
      </c>
      <c r="CY54" s="14">
        <f>'Monthly Data'!CY102</f>
        <v>0</v>
      </c>
      <c r="CZ54" s="14">
        <f>'Monthly Data'!CZ102</f>
        <v>37.206250000000004</v>
      </c>
      <c r="DA54" s="14">
        <f>'Monthly Data'!DA102</f>
        <v>0</v>
      </c>
      <c r="DB54" s="14">
        <f>'Monthly Data'!DB102</f>
        <v>52.706249999999997</v>
      </c>
      <c r="DC54" s="72">
        <f>'Monthly Data'!DC102</f>
        <v>618.02611066788938</v>
      </c>
      <c r="DD54" s="72">
        <f>'Monthly Data'!DD102</f>
        <v>19.936326150577077</v>
      </c>
      <c r="DE54" s="71">
        <f>'Monthly Data'!DE102</f>
        <v>206241.29402771985</v>
      </c>
      <c r="DF54" s="72">
        <f>'Monthly Data'!DF102</f>
        <v>1896.2919942350729</v>
      </c>
      <c r="DG54" s="72">
        <f>'Monthly Data'!DG102</f>
        <v>61.170709491453962</v>
      </c>
      <c r="DH54" s="72">
        <f>'Monthly Data'!DH102</f>
        <v>78420.849568043981</v>
      </c>
      <c r="DI54" s="72">
        <f>'Monthly Data'!DI102</f>
        <v>37907.612783585173</v>
      </c>
      <c r="DJ54" s="72">
        <f>'Monthly Data'!DJ102</f>
        <v>1222.8262188253282</v>
      </c>
      <c r="DK54" s="72">
        <f>'Monthly Data'!DK102</f>
        <v>1805.1244182659607</v>
      </c>
      <c r="DL54" s="72">
        <f>'Monthly Data'!DL102</f>
        <v>169972.84441672062</v>
      </c>
      <c r="DM54" s="72">
        <f>'Monthly Data'!DM102</f>
        <v>250912.29413896851</v>
      </c>
    </row>
    <row r="55" spans="1:117">
      <c r="A55" s="93">
        <f>'Monthly Data'!A103</f>
        <v>45444</v>
      </c>
      <c r="B55" s="4">
        <f>'Monthly Data'!B103</f>
        <v>2024</v>
      </c>
      <c r="C55" s="4">
        <f>'Monthly Data'!C103</f>
        <v>6</v>
      </c>
      <c r="D55" s="56">
        <f>'Monthly Data'!D103</f>
        <v>6779760</v>
      </c>
      <c r="E55" s="56">
        <f>'Monthly Data'!E103</f>
        <v>171106.68101555805</v>
      </c>
      <c r="F55" s="56">
        <f>'Monthly Data'!F103</f>
        <v>6950866.6810155576</v>
      </c>
      <c r="G55" s="301">
        <f>'Monthly Data'!G103</f>
        <v>10343</v>
      </c>
      <c r="H55" s="56">
        <f>'Monthly Data'!H103</f>
        <v>2215585</v>
      </c>
      <c r="I55" s="56">
        <f>'Monthly Data'!I103</f>
        <v>246211.10393944097</v>
      </c>
      <c r="J55" s="56">
        <f>'Monthly Data'!J103</f>
        <v>2461796.103939441</v>
      </c>
      <c r="K55" s="6">
        <f>'Monthly Data'!K103</f>
        <v>1281</v>
      </c>
      <c r="L55" s="5">
        <f>'Monthly Data'!L103</f>
        <v>5135897</v>
      </c>
      <c r="M55" s="2">
        <f>'Monthly Data'!M103</f>
        <v>238275.2314736736</v>
      </c>
      <c r="N55" s="56">
        <f>'Monthly Data'!N103</f>
        <v>5374172.2314736731</v>
      </c>
      <c r="O55" s="5">
        <f>'Monthly Data'!O103</f>
        <v>14718.7</v>
      </c>
      <c r="P55" s="6">
        <f>'Monthly Data'!P103</f>
        <v>139</v>
      </c>
      <c r="Q55" s="5">
        <f>'Monthly Data'!Q103</f>
        <v>60048</v>
      </c>
      <c r="R55" s="5">
        <f>'Monthly Data'!R103</f>
        <v>231.60000000000002</v>
      </c>
      <c r="S55" s="6">
        <f>'Monthly Data'!S103</f>
        <v>2908</v>
      </c>
      <c r="T55" s="6">
        <f>'Monthly Data'!T103</f>
        <v>14244</v>
      </c>
      <c r="U55" s="6">
        <f>'Monthly Data'!U103</f>
        <v>38.699999999999989</v>
      </c>
      <c r="V55" s="6">
        <f>'Monthly Data'!V103</f>
        <v>172</v>
      </c>
      <c r="W55" s="5">
        <f>'Monthly Data'!W103</f>
        <v>48580</v>
      </c>
      <c r="X55" s="56">
        <f>'Monthly Data'!X103</f>
        <v>18</v>
      </c>
      <c r="Y55" s="56">
        <f>'Monthly Data'!Y103</f>
        <v>32</v>
      </c>
      <c r="Z55" s="56">
        <f>'Monthly Data'!Z103</f>
        <v>41.6</v>
      </c>
      <c r="AA55" s="56">
        <f>'Monthly Data'!AA103</f>
        <v>5135865</v>
      </c>
      <c r="AB55" s="56">
        <f>'Monthly Data'!AB103</f>
        <v>5374140.2314736731</v>
      </c>
      <c r="AC55" s="56">
        <f>'Monthly Data'!AC103</f>
        <v>14677.1</v>
      </c>
      <c r="AD55" s="111">
        <f>'Monthly Data'!AD103</f>
        <v>876619.7</v>
      </c>
      <c r="AE55" s="111">
        <f>'Monthly Data'!AE103</f>
        <v>888733</v>
      </c>
      <c r="AF55" s="111">
        <f>'Monthly Data'!AF103</f>
        <v>8140.7</v>
      </c>
      <c r="AG55" s="111">
        <f>'Monthly Data'!AG103</f>
        <v>8202.2000000000007</v>
      </c>
      <c r="AH55" s="111">
        <f>'Monthly Data'!AH103</f>
        <v>679.1</v>
      </c>
      <c r="AI55" s="111">
        <f>'Monthly Data'!AI103</f>
        <v>686.8</v>
      </c>
      <c r="AJ55" s="111">
        <f>'Monthly Data'!AJ103</f>
        <v>139.59999999999945</v>
      </c>
      <c r="AK55" s="111">
        <f>'Monthly Data'!AK103</f>
        <v>143.70000000000073</v>
      </c>
      <c r="AL55" s="111">
        <f>'Monthly Data'!AL103</f>
        <v>7.1000000000000227</v>
      </c>
      <c r="AM55" s="111">
        <f>'Monthly Data'!AM103</f>
        <v>8</v>
      </c>
      <c r="AN55" s="111">
        <f>'Monthly Data'!AN103</f>
        <v>10760.099999999977</v>
      </c>
      <c r="AO55" s="111">
        <f>'Monthly Data'!AO103</f>
        <v>2931</v>
      </c>
      <c r="AP55" s="28">
        <f>'Monthly Data'!AP103</f>
        <v>18.156111111111112</v>
      </c>
      <c r="AQ55" s="28">
        <f>'Monthly Data'!AQ103</f>
        <v>82.241666666666674</v>
      </c>
      <c r="AR55" s="28">
        <f>'Monthly Data'!AR103</f>
        <v>26.924999999999997</v>
      </c>
      <c r="AS55" s="28">
        <f>'Monthly Data'!AS103</f>
        <v>44.020833333333336</v>
      </c>
      <c r="AT55" s="28">
        <f>'Monthly Data'!AT103</f>
        <v>48.704166666666659</v>
      </c>
      <c r="AU55" s="28">
        <f>'Monthly Data'!AU103</f>
        <v>20.5</v>
      </c>
      <c r="AV55" s="28">
        <f>'Monthly Data'!AV103</f>
        <v>85.183333333333337</v>
      </c>
      <c r="AW55" s="28">
        <f>'Monthly Data'!AW103</f>
        <v>8.2083333333333357</v>
      </c>
      <c r="AX55" s="28">
        <f>'Monthly Data'!AX103</f>
        <v>132.89166666666665</v>
      </c>
      <c r="AY55" s="28">
        <f>'Monthly Data'!AY103</f>
        <v>2.6000000000000032</v>
      </c>
      <c r="AZ55" s="28">
        <f>'Monthly Data'!AZ103</f>
        <v>187.28333333333333</v>
      </c>
      <c r="BA55" s="28">
        <f>'Monthly Data'!BA103</f>
        <v>0.6000000000000032</v>
      </c>
      <c r="BB55" s="28">
        <f>'Monthly Data'!BB103</f>
        <v>245.28333333333333</v>
      </c>
      <c r="BC55" s="28">
        <f>'Monthly Data'!BC103</f>
        <v>0</v>
      </c>
      <c r="BD55" s="28">
        <f>'Monthly Data'!BD103</f>
        <v>304.68333333333339</v>
      </c>
      <c r="BE55">
        <f>'Monthly Data'!BE103</f>
        <v>0</v>
      </c>
      <c r="BF55">
        <f>'Monthly Data'!BF103</f>
        <v>0</v>
      </c>
      <c r="BG55">
        <f>'Monthly Data'!BG103</f>
        <v>0</v>
      </c>
      <c r="BH55">
        <f>'Monthly Data'!BH103</f>
        <v>0</v>
      </c>
      <c r="BI55">
        <f>'Monthly Data'!BI103</f>
        <v>0</v>
      </c>
      <c r="BJ55">
        <f>'Monthly Data'!BJ103</f>
        <v>1</v>
      </c>
      <c r="BK55">
        <f>'Monthly Data'!BK103</f>
        <v>0</v>
      </c>
      <c r="BL55">
        <f>'Monthly Data'!BL103</f>
        <v>0</v>
      </c>
      <c r="BM55">
        <f>'Monthly Data'!BM103</f>
        <v>0</v>
      </c>
      <c r="BN55">
        <f>'Monthly Data'!BN103</f>
        <v>0</v>
      </c>
      <c r="BO55">
        <f>'Monthly Data'!BO103</f>
        <v>0</v>
      </c>
      <c r="BP55">
        <f>'Monthly Data'!BP103</f>
        <v>0</v>
      </c>
      <c r="BQ55" s="1">
        <f>'Monthly Data'!BQ103</f>
        <v>0</v>
      </c>
      <c r="BR55" s="1">
        <f>'Monthly Data'!BR103</f>
        <v>0</v>
      </c>
      <c r="BS55" s="1">
        <f>'Monthly Data'!BS103</f>
        <v>0</v>
      </c>
      <c r="BT55" s="1">
        <f>'Monthly Data'!BT103</f>
        <v>102</v>
      </c>
      <c r="BU55">
        <f>'Monthly Data'!BU103</f>
        <v>30</v>
      </c>
      <c r="BV55" s="1">
        <f>'Monthly Data'!BV103</f>
        <v>22</v>
      </c>
      <c r="BW55" s="1">
        <f>'Monthly Data'!BW103</f>
        <v>0</v>
      </c>
      <c r="BX55" s="1">
        <f>'Monthly Data'!BX103</f>
        <v>0</v>
      </c>
      <c r="BY55" s="1">
        <f>'Monthly Data'!BY103</f>
        <v>0.25</v>
      </c>
      <c r="BZ55" s="1">
        <f>'Monthly Data'!BZ103</f>
        <v>0</v>
      </c>
      <c r="CA55">
        <f>'Monthly Data'!CA103</f>
        <v>0</v>
      </c>
      <c r="CB55">
        <f>'Monthly Data'!CB103</f>
        <v>0</v>
      </c>
      <c r="CC55">
        <f>'Monthly Data'!CC103</f>
        <v>0</v>
      </c>
      <c r="CD55">
        <f>'Monthly Data'!CD103</f>
        <v>0</v>
      </c>
      <c r="CE55">
        <f>'Monthly Data'!CE103</f>
        <v>0</v>
      </c>
      <c r="CF55">
        <f>'Monthly Data'!CF103</f>
        <v>0</v>
      </c>
      <c r="CG55">
        <f>'Monthly Data'!CG103</f>
        <v>0</v>
      </c>
      <c r="CH55">
        <f>'Monthly Data'!CH103</f>
        <v>0</v>
      </c>
      <c r="CI55">
        <f>'Monthly Data'!CI103</f>
        <v>0</v>
      </c>
      <c r="CJ55">
        <f>'Monthly Data'!CJ103</f>
        <v>0</v>
      </c>
      <c r="CK55">
        <f>'Monthly Data'!CK103</f>
        <v>0</v>
      </c>
      <c r="CL55">
        <f>'Monthly Data'!CL103</f>
        <v>0</v>
      </c>
      <c r="CM55">
        <f>'Monthly Data'!CM103</f>
        <v>0</v>
      </c>
      <c r="CN55">
        <f>'Monthly Data'!CN103</f>
        <v>0</v>
      </c>
      <c r="CO55" s="14">
        <f>'Monthly Data'!CO103</f>
        <v>20.560416666666669</v>
      </c>
      <c r="CP55" s="14">
        <f>'Monthly Data'!CP103</f>
        <v>6.7312499999999993</v>
      </c>
      <c r="CQ55" s="14">
        <f>'Monthly Data'!CQ103</f>
        <v>11.005208333333334</v>
      </c>
      <c r="CR55" s="14">
        <f>'Monthly Data'!CR103</f>
        <v>12.176041666666665</v>
      </c>
      <c r="CS55" s="14">
        <f>'Monthly Data'!CS103</f>
        <v>5.125</v>
      </c>
      <c r="CT55" s="14">
        <f>'Monthly Data'!CT103</f>
        <v>21.295833333333334</v>
      </c>
      <c r="CU55" s="14">
        <f>'Monthly Data'!CU103</f>
        <v>2.0520833333333339</v>
      </c>
      <c r="CV55" s="14">
        <f>'Monthly Data'!CV103</f>
        <v>33.222916666666663</v>
      </c>
      <c r="CW55" s="14">
        <f>'Monthly Data'!CW103</f>
        <v>0.6500000000000008</v>
      </c>
      <c r="CX55" s="14">
        <f>'Monthly Data'!CX103</f>
        <v>46.820833333333333</v>
      </c>
      <c r="CY55" s="14">
        <f>'Monthly Data'!CY103</f>
        <v>0.1500000000000008</v>
      </c>
      <c r="CZ55" s="14">
        <f>'Monthly Data'!CZ103</f>
        <v>61.320833333333333</v>
      </c>
      <c r="DA55" s="14">
        <f>'Monthly Data'!DA103</f>
        <v>0</v>
      </c>
      <c r="DB55" s="14">
        <f>'Monthly Data'!DB103</f>
        <v>76.170833333333348</v>
      </c>
      <c r="DC55" s="72">
        <f>'Monthly Data'!DC103</f>
        <v>672.03583882969713</v>
      </c>
      <c r="DD55" s="72">
        <f>'Monthly Data'!DD103</f>
        <v>22.401194627656572</v>
      </c>
      <c r="DE55" s="71">
        <f>'Monthly Data'!DE103</f>
        <v>231695.55603385193</v>
      </c>
      <c r="DF55" s="72">
        <f>'Monthly Data'!DF103</f>
        <v>1921.7768180635762</v>
      </c>
      <c r="DG55" s="72">
        <f>'Monthly Data'!DG103</f>
        <v>64.059227268785875</v>
      </c>
      <c r="DH55" s="72">
        <f>'Monthly Data'!DH103</f>
        <v>82059.870131314703</v>
      </c>
      <c r="DI55" s="72">
        <f>'Monthly Data'!DI103</f>
        <v>38663.109578947289</v>
      </c>
      <c r="DJ55" s="72">
        <f>'Monthly Data'!DJ103</f>
        <v>1288.7703192982431</v>
      </c>
      <c r="DK55" s="72">
        <f>'Monthly Data'!DK103</f>
        <v>1757.4140717703312</v>
      </c>
      <c r="DL55" s="72">
        <f>'Monthly Data'!DL103</f>
        <v>179139.07438245576</v>
      </c>
      <c r="DM55" s="72">
        <f>'Monthly Data'!DM103</f>
        <v>244280.55597607605</v>
      </c>
    </row>
    <row r="56" spans="1:117">
      <c r="A56" s="93">
        <f>'Monthly Data'!A104</f>
        <v>45474</v>
      </c>
      <c r="B56" s="4">
        <f>'Monthly Data'!B104</f>
        <v>2024</v>
      </c>
      <c r="C56" s="4">
        <f>'Monthly Data'!C104</f>
        <v>7</v>
      </c>
      <c r="D56" s="56">
        <f>'Monthly Data'!D104</f>
        <v>8060619</v>
      </c>
      <c r="E56" s="56">
        <f>'Monthly Data'!E104</f>
        <v>171541.24717180067</v>
      </c>
      <c r="F56" s="56">
        <f>'Monthly Data'!F104</f>
        <v>8232160.2471718006</v>
      </c>
      <c r="G56" s="301">
        <f>'Monthly Data'!G104</f>
        <v>10353</v>
      </c>
      <c r="H56" s="56">
        <f>'Monthly Data'!H104</f>
        <v>2495541</v>
      </c>
      <c r="I56" s="56">
        <f>'Monthly Data'!I104</f>
        <v>248140.87126951828</v>
      </c>
      <c r="J56" s="56">
        <f>'Monthly Data'!J104</f>
        <v>2743681.8712695185</v>
      </c>
      <c r="K56" s="6">
        <f>'Monthly Data'!K104</f>
        <v>1280</v>
      </c>
      <c r="L56" s="5">
        <f>'Monthly Data'!L104</f>
        <v>5607311</v>
      </c>
      <c r="M56" s="2">
        <f>'Monthly Data'!M104</f>
        <v>240502.28602900775</v>
      </c>
      <c r="N56" s="56">
        <f>'Monthly Data'!N104</f>
        <v>5847813.2860290073</v>
      </c>
      <c r="O56" s="5">
        <f>'Monthly Data'!O104</f>
        <v>13908.8</v>
      </c>
      <c r="P56" s="6">
        <f>'Monthly Data'!P104</f>
        <v>140</v>
      </c>
      <c r="Q56" s="5">
        <f>'Monthly Data'!Q104</f>
        <v>64390</v>
      </c>
      <c r="R56" s="5">
        <f>'Monthly Data'!R104</f>
        <v>231.6</v>
      </c>
      <c r="S56" s="6">
        <f>'Monthly Data'!S104</f>
        <v>2908</v>
      </c>
      <c r="T56" s="6">
        <f>'Monthly Data'!T104</f>
        <v>13401</v>
      </c>
      <c r="U56" s="6">
        <f>'Monthly Data'!U104</f>
        <v>38.6</v>
      </c>
      <c r="V56" s="6">
        <f>'Monthly Data'!V104</f>
        <v>172</v>
      </c>
      <c r="W56" s="5">
        <f>'Monthly Data'!W104</f>
        <v>50177</v>
      </c>
      <c r="X56" s="56">
        <f>'Monthly Data'!X104</f>
        <v>18</v>
      </c>
      <c r="Y56" s="56">
        <f>'Monthly Data'!Y104</f>
        <v>6252.8</v>
      </c>
      <c r="Z56" s="56">
        <f>'Monthly Data'!Z104</f>
        <v>4195.2</v>
      </c>
      <c r="AA56" s="56">
        <f>'Monthly Data'!AA104</f>
        <v>5601058.2000000002</v>
      </c>
      <c r="AB56" s="56">
        <f>'Monthly Data'!AB104</f>
        <v>5841560.4860290075</v>
      </c>
      <c r="AC56" s="56">
        <f>'Monthly Data'!AC104</f>
        <v>9713.5999999999985</v>
      </c>
      <c r="AD56" s="111">
        <f>'Monthly Data'!AD104</f>
        <v>876619.7</v>
      </c>
      <c r="AE56" s="111">
        <f>'Monthly Data'!AE104</f>
        <v>890079</v>
      </c>
      <c r="AF56" s="111">
        <f>'Monthly Data'!AF104</f>
        <v>8161</v>
      </c>
      <c r="AG56" s="111">
        <f>'Monthly Data'!AG104</f>
        <v>8253.1</v>
      </c>
      <c r="AH56" s="111">
        <f>'Monthly Data'!AH104</f>
        <v>682.7</v>
      </c>
      <c r="AI56" s="111">
        <f>'Monthly Data'!AI104</f>
        <v>696.7</v>
      </c>
      <c r="AJ56" s="111">
        <f>'Monthly Data'!AJ104</f>
        <v>144.69999999999982</v>
      </c>
      <c r="AK56" s="111">
        <f>'Monthly Data'!AK104</f>
        <v>146.10000000000036</v>
      </c>
      <c r="AL56" s="111">
        <f>'Monthly Data'!AL104</f>
        <v>4.9000000000000909</v>
      </c>
      <c r="AM56" s="111">
        <f>'Monthly Data'!AM104</f>
        <v>6.5</v>
      </c>
      <c r="AN56" s="111">
        <f>'Monthly Data'!AN104</f>
        <v>10760.099999999977</v>
      </c>
      <c r="AO56" s="111">
        <f>'Monthly Data'!AO104</f>
        <v>1346</v>
      </c>
      <c r="AP56" s="28">
        <f>'Monthly Data'!AP104</f>
        <v>20.843279569892474</v>
      </c>
      <c r="AQ56" s="28">
        <f>'Monthly Data'!AQ104</f>
        <v>17.166666666666668</v>
      </c>
      <c r="AR56" s="28">
        <f>'Monthly Data'!AR104</f>
        <v>43.308333333333337</v>
      </c>
      <c r="AS56" s="28">
        <f>'Monthly Data'!AS104</f>
        <v>2.2499999999999964</v>
      </c>
      <c r="AT56" s="28">
        <f>'Monthly Data'!AT104</f>
        <v>90.391666666666666</v>
      </c>
      <c r="AU56" s="28">
        <f>'Monthly Data'!AU104</f>
        <v>0</v>
      </c>
      <c r="AV56" s="28">
        <f>'Monthly Data'!AV104</f>
        <v>150.14166666666665</v>
      </c>
      <c r="AW56" s="28">
        <f>'Monthly Data'!AW104</f>
        <v>0</v>
      </c>
      <c r="AX56" s="28">
        <f>'Monthly Data'!AX104</f>
        <v>212.14166666666665</v>
      </c>
      <c r="AY56" s="28">
        <f>'Monthly Data'!AY104</f>
        <v>0</v>
      </c>
      <c r="AZ56" s="28">
        <f>'Monthly Data'!AZ104</f>
        <v>274.14166666666665</v>
      </c>
      <c r="BA56" s="28">
        <f>'Monthly Data'!BA104</f>
        <v>0</v>
      </c>
      <c r="BB56" s="28">
        <f>'Monthly Data'!BB104</f>
        <v>336.14166666666665</v>
      </c>
      <c r="BC56" s="28">
        <f>'Monthly Data'!BC104</f>
        <v>0</v>
      </c>
      <c r="BD56" s="28">
        <f>'Monthly Data'!BD104</f>
        <v>398.14166666666659</v>
      </c>
      <c r="BE56">
        <f>'Monthly Data'!BE104</f>
        <v>0</v>
      </c>
      <c r="BF56">
        <f>'Monthly Data'!BF104</f>
        <v>0</v>
      </c>
      <c r="BG56">
        <f>'Monthly Data'!BG104</f>
        <v>0</v>
      </c>
      <c r="BH56">
        <f>'Monthly Data'!BH104</f>
        <v>0</v>
      </c>
      <c r="BI56">
        <f>'Monthly Data'!BI104</f>
        <v>0</v>
      </c>
      <c r="BJ56">
        <f>'Monthly Data'!BJ104</f>
        <v>0</v>
      </c>
      <c r="BK56">
        <f>'Monthly Data'!BK104</f>
        <v>1</v>
      </c>
      <c r="BL56">
        <f>'Monthly Data'!BL104</f>
        <v>0</v>
      </c>
      <c r="BM56">
        <f>'Monthly Data'!BM104</f>
        <v>0</v>
      </c>
      <c r="BN56">
        <f>'Monthly Data'!BN104</f>
        <v>0</v>
      </c>
      <c r="BO56">
        <f>'Monthly Data'!BO104</f>
        <v>0</v>
      </c>
      <c r="BP56">
        <f>'Monthly Data'!BP104</f>
        <v>0</v>
      </c>
      <c r="BQ56" s="1">
        <f>'Monthly Data'!BQ104</f>
        <v>0</v>
      </c>
      <c r="BR56" s="1">
        <f>'Monthly Data'!BR104</f>
        <v>0</v>
      </c>
      <c r="BS56" s="1">
        <f>'Monthly Data'!BS104</f>
        <v>0</v>
      </c>
      <c r="BT56" s="1">
        <f>'Monthly Data'!BT104</f>
        <v>103</v>
      </c>
      <c r="BU56">
        <f>'Monthly Data'!BU104</f>
        <v>31</v>
      </c>
      <c r="BV56" s="1">
        <f>'Monthly Data'!BV104</f>
        <v>20</v>
      </c>
      <c r="BW56" s="1">
        <f>'Monthly Data'!BW104</f>
        <v>0</v>
      </c>
      <c r="BX56" s="1">
        <f>'Monthly Data'!BX104</f>
        <v>0</v>
      </c>
      <c r="BY56" s="1">
        <f>'Monthly Data'!BY104</f>
        <v>0.25</v>
      </c>
      <c r="BZ56" s="1">
        <f>'Monthly Data'!BZ104</f>
        <v>0</v>
      </c>
      <c r="CA56">
        <f>'Monthly Data'!CA104</f>
        <v>0</v>
      </c>
      <c r="CB56">
        <f>'Monthly Data'!CB104</f>
        <v>0</v>
      </c>
      <c r="CC56">
        <f>'Monthly Data'!CC104</f>
        <v>0</v>
      </c>
      <c r="CD56">
        <f>'Monthly Data'!CD104</f>
        <v>0</v>
      </c>
      <c r="CE56">
        <f>'Monthly Data'!CE104</f>
        <v>0</v>
      </c>
      <c r="CF56">
        <f>'Monthly Data'!CF104</f>
        <v>0</v>
      </c>
      <c r="CG56">
        <f>'Monthly Data'!CG104</f>
        <v>0</v>
      </c>
      <c r="CH56">
        <f>'Monthly Data'!CH104</f>
        <v>0</v>
      </c>
      <c r="CI56">
        <f>'Monthly Data'!CI104</f>
        <v>0</v>
      </c>
      <c r="CJ56">
        <f>'Monthly Data'!CJ104</f>
        <v>0</v>
      </c>
      <c r="CK56">
        <f>'Monthly Data'!CK104</f>
        <v>0</v>
      </c>
      <c r="CL56">
        <f>'Monthly Data'!CL104</f>
        <v>0</v>
      </c>
      <c r="CM56">
        <f>'Monthly Data'!CM104</f>
        <v>0</v>
      </c>
      <c r="CN56">
        <f>'Monthly Data'!CN104</f>
        <v>0</v>
      </c>
      <c r="CO56" s="14">
        <f>'Monthly Data'!CO104</f>
        <v>4.291666666666667</v>
      </c>
      <c r="CP56" s="14">
        <f>'Monthly Data'!CP104</f>
        <v>10.827083333333334</v>
      </c>
      <c r="CQ56" s="14">
        <f>'Monthly Data'!CQ104</f>
        <v>0.56249999999999911</v>
      </c>
      <c r="CR56" s="14">
        <f>'Monthly Data'!CR104</f>
        <v>22.597916666666666</v>
      </c>
      <c r="CS56" s="14">
        <f>'Monthly Data'!CS104</f>
        <v>0</v>
      </c>
      <c r="CT56" s="14">
        <f>'Monthly Data'!CT104</f>
        <v>37.535416666666663</v>
      </c>
      <c r="CU56" s="14">
        <f>'Monthly Data'!CU104</f>
        <v>0</v>
      </c>
      <c r="CV56" s="14">
        <f>'Monthly Data'!CV104</f>
        <v>53.035416666666663</v>
      </c>
      <c r="CW56" s="14">
        <f>'Monthly Data'!CW104</f>
        <v>0</v>
      </c>
      <c r="CX56" s="14">
        <f>'Monthly Data'!CX104</f>
        <v>68.535416666666663</v>
      </c>
      <c r="CY56" s="14">
        <f>'Monthly Data'!CY104</f>
        <v>0</v>
      </c>
      <c r="CZ56" s="14">
        <f>'Monthly Data'!CZ104</f>
        <v>84.035416666666663</v>
      </c>
      <c r="DA56" s="14">
        <f>'Monthly Data'!DA104</f>
        <v>0</v>
      </c>
      <c r="DB56" s="14">
        <f>'Monthly Data'!DB104</f>
        <v>99.535416666666649</v>
      </c>
      <c r="DC56" s="72">
        <f>'Monthly Data'!DC104</f>
        <v>795.14732417384334</v>
      </c>
      <c r="DD56" s="72">
        <f>'Monthly Data'!DD104</f>
        <v>25.649913683027204</v>
      </c>
      <c r="DE56" s="71">
        <f>'Monthly Data'!DE104</f>
        <v>265553.55636038067</v>
      </c>
      <c r="DF56" s="72">
        <f>'Monthly Data'!DF104</f>
        <v>2143.5014619293115</v>
      </c>
      <c r="DG56" s="72">
        <f>'Monthly Data'!DG104</f>
        <v>69.145208449332628</v>
      </c>
      <c r="DH56" s="72">
        <f>'Monthly Data'!DH104</f>
        <v>88505.866815145753</v>
      </c>
      <c r="DI56" s="72">
        <f>'Monthly Data'!DI104</f>
        <v>41770.094900207194</v>
      </c>
      <c r="DJ56" s="72">
        <f>'Monthly Data'!DJ104</f>
        <v>1347.4224161357158</v>
      </c>
      <c r="DK56" s="72">
        <f>'Monthly Data'!DK104</f>
        <v>2088.5047450103598</v>
      </c>
      <c r="DL56" s="72">
        <f>'Monthly Data'!DL104</f>
        <v>188639.13825900023</v>
      </c>
      <c r="DM56" s="72">
        <f>'Monthly Data'!DM104</f>
        <v>292390.66430145036</v>
      </c>
    </row>
    <row r="57" spans="1:117">
      <c r="A57" s="93">
        <f>'Monthly Data'!A105</f>
        <v>45505</v>
      </c>
      <c r="B57" s="4">
        <f>'Monthly Data'!B105</f>
        <v>2024</v>
      </c>
      <c r="C57" s="4">
        <f>'Monthly Data'!C105</f>
        <v>8</v>
      </c>
      <c r="D57" s="56">
        <f>'Monthly Data'!D105</f>
        <v>7256052</v>
      </c>
      <c r="E57" s="56">
        <f>'Monthly Data'!E105</f>
        <v>171975.81332804327</v>
      </c>
      <c r="F57" s="56">
        <f>'Monthly Data'!F105</f>
        <v>7428027.8133280436</v>
      </c>
      <c r="G57" s="301">
        <f>'Monthly Data'!G105</f>
        <v>10354</v>
      </c>
      <c r="H57" s="56">
        <f>'Monthly Data'!H105</f>
        <v>2359668</v>
      </c>
      <c r="I57" s="56">
        <f>'Monthly Data'!I105</f>
        <v>250070.63859959555</v>
      </c>
      <c r="J57" s="56">
        <f>'Monthly Data'!J105</f>
        <v>2609738.6385995955</v>
      </c>
      <c r="K57" s="6">
        <f>'Monthly Data'!K105</f>
        <v>1278</v>
      </c>
      <c r="L57" s="5">
        <f>'Monthly Data'!L105</f>
        <v>5346249</v>
      </c>
      <c r="M57" s="2">
        <f>'Monthly Data'!M105</f>
        <v>242729.3405843419</v>
      </c>
      <c r="N57" s="56">
        <f>'Monthly Data'!N105</f>
        <v>5588978.3405843414</v>
      </c>
      <c r="O57" s="5">
        <f>'Monthly Data'!O105</f>
        <v>13895.1</v>
      </c>
      <c r="P57" s="6">
        <f>'Monthly Data'!P105</f>
        <v>139</v>
      </c>
      <c r="Q57" s="5">
        <f>'Monthly Data'!Q105</f>
        <v>72150</v>
      </c>
      <c r="R57" s="5">
        <f>'Monthly Data'!R105</f>
        <v>230.5</v>
      </c>
      <c r="S57" s="6">
        <f>'Monthly Data'!S105</f>
        <v>2906</v>
      </c>
      <c r="T57" s="6">
        <f>'Monthly Data'!T105</f>
        <v>13885</v>
      </c>
      <c r="U57" s="6">
        <f>'Monthly Data'!U105</f>
        <v>37.700000000000003</v>
      </c>
      <c r="V57" s="6">
        <f>'Monthly Data'!V105</f>
        <v>172</v>
      </c>
      <c r="W57" s="5">
        <f>'Monthly Data'!W105</f>
        <v>49967</v>
      </c>
      <c r="X57" s="56">
        <f>'Monthly Data'!X105</f>
        <v>18</v>
      </c>
      <c r="Y57" s="56">
        <f>'Monthly Data'!Y105</f>
        <v>371.2</v>
      </c>
      <c r="Z57" s="56">
        <f>'Monthly Data'!Z105</f>
        <v>380.8</v>
      </c>
      <c r="AA57" s="56">
        <f>'Monthly Data'!AA105</f>
        <v>5345877.8</v>
      </c>
      <c r="AB57" s="56">
        <f>'Monthly Data'!AB105</f>
        <v>5588607.1405843413</v>
      </c>
      <c r="AC57" s="56">
        <f>'Monthly Data'!AC105</f>
        <v>13514.300000000001</v>
      </c>
      <c r="AD57" s="111">
        <f>'Monthly Data'!AD105</f>
        <v>876619.7</v>
      </c>
      <c r="AE57" s="111">
        <f>'Monthly Data'!AE105</f>
        <v>890079</v>
      </c>
      <c r="AF57" s="111">
        <f>'Monthly Data'!AF105</f>
        <v>8167</v>
      </c>
      <c r="AG57" s="111">
        <f>'Monthly Data'!AG105</f>
        <v>8245.1</v>
      </c>
      <c r="AH57" s="111">
        <f>'Monthly Data'!AH105</f>
        <v>690.3</v>
      </c>
      <c r="AI57" s="111">
        <f>'Monthly Data'!AI105</f>
        <v>702.3</v>
      </c>
      <c r="AJ57" s="111">
        <f>'Monthly Data'!AJ105</f>
        <v>127</v>
      </c>
      <c r="AK57" s="111">
        <f>'Monthly Data'!AK105</f>
        <v>129.5</v>
      </c>
      <c r="AL57" s="111">
        <f>'Monthly Data'!AL105</f>
        <v>7.5</v>
      </c>
      <c r="AM57" s="111">
        <f>'Monthly Data'!AM105</f>
        <v>10.599999999999909</v>
      </c>
      <c r="AN57" s="111">
        <f>'Monthly Data'!AN105</f>
        <v>10760.099999999977</v>
      </c>
      <c r="AO57" s="111">
        <f>'Monthly Data'!AO105</f>
        <v>1346</v>
      </c>
      <c r="AP57" s="28">
        <f>'Monthly Data'!AP105</f>
        <v>18.859677419354838</v>
      </c>
      <c r="AQ57" s="28">
        <f>'Monthly Data'!AQ105</f>
        <v>63.7</v>
      </c>
      <c r="AR57" s="28">
        <f>'Monthly Data'!AR105</f>
        <v>28.349999999999994</v>
      </c>
      <c r="AS57" s="28">
        <f>'Monthly Data'!AS105</f>
        <v>30.883333333333333</v>
      </c>
      <c r="AT57" s="28">
        <f>'Monthly Data'!AT105</f>
        <v>57.533333333333317</v>
      </c>
      <c r="AU57" s="28">
        <f>'Monthly Data'!AU105</f>
        <v>9.0208333333333321</v>
      </c>
      <c r="AV57" s="28">
        <f>'Monthly Data'!AV105</f>
        <v>97.670833333333292</v>
      </c>
      <c r="AW57" s="28">
        <f>'Monthly Data'!AW105</f>
        <v>1.2541666666666682</v>
      </c>
      <c r="AX57" s="28">
        <f>'Monthly Data'!AX105</f>
        <v>151.90416666666661</v>
      </c>
      <c r="AY57" s="28">
        <f>'Monthly Data'!AY105</f>
        <v>0</v>
      </c>
      <c r="AZ57" s="28">
        <f>'Monthly Data'!AZ105</f>
        <v>212.65</v>
      </c>
      <c r="BA57" s="28">
        <f>'Monthly Data'!BA105</f>
        <v>0</v>
      </c>
      <c r="BB57" s="28">
        <f>'Monthly Data'!BB105</f>
        <v>274.65000000000003</v>
      </c>
      <c r="BC57" s="28">
        <f>'Monthly Data'!BC105</f>
        <v>0</v>
      </c>
      <c r="BD57" s="28">
        <f>'Monthly Data'!BD105</f>
        <v>336.65000000000003</v>
      </c>
      <c r="BE57">
        <f>'Monthly Data'!BE105</f>
        <v>0</v>
      </c>
      <c r="BF57">
        <f>'Monthly Data'!BF105</f>
        <v>0</v>
      </c>
      <c r="BG57">
        <f>'Monthly Data'!BG105</f>
        <v>0</v>
      </c>
      <c r="BH57">
        <f>'Monthly Data'!BH105</f>
        <v>0</v>
      </c>
      <c r="BI57">
        <f>'Monthly Data'!BI105</f>
        <v>0</v>
      </c>
      <c r="BJ57">
        <f>'Monthly Data'!BJ105</f>
        <v>0</v>
      </c>
      <c r="BK57">
        <f>'Monthly Data'!BK105</f>
        <v>0</v>
      </c>
      <c r="BL57">
        <f>'Monthly Data'!BL105</f>
        <v>1</v>
      </c>
      <c r="BM57">
        <f>'Monthly Data'!BM105</f>
        <v>0</v>
      </c>
      <c r="BN57">
        <f>'Monthly Data'!BN105</f>
        <v>0</v>
      </c>
      <c r="BO57">
        <f>'Monthly Data'!BO105</f>
        <v>0</v>
      </c>
      <c r="BP57">
        <f>'Monthly Data'!BP105</f>
        <v>0</v>
      </c>
      <c r="BQ57" s="1">
        <f>'Monthly Data'!BQ105</f>
        <v>0</v>
      </c>
      <c r="BR57" s="1">
        <f>'Monthly Data'!BR105</f>
        <v>0</v>
      </c>
      <c r="BS57" s="1">
        <f>'Monthly Data'!BS105</f>
        <v>0</v>
      </c>
      <c r="BT57" s="1">
        <f>'Monthly Data'!BT105</f>
        <v>104</v>
      </c>
      <c r="BU57">
        <f>'Monthly Data'!BU105</f>
        <v>31</v>
      </c>
      <c r="BV57" s="1">
        <f>'Monthly Data'!BV105</f>
        <v>22</v>
      </c>
      <c r="BW57" s="1">
        <f>'Monthly Data'!BW105</f>
        <v>0</v>
      </c>
      <c r="BX57" s="1">
        <f>'Monthly Data'!BX105</f>
        <v>0</v>
      </c>
      <c r="BY57" s="1">
        <f>'Monthly Data'!BY105</f>
        <v>0.25</v>
      </c>
      <c r="BZ57" s="1">
        <f>'Monthly Data'!BZ105</f>
        <v>0</v>
      </c>
      <c r="CA57">
        <f>'Monthly Data'!CA105</f>
        <v>0</v>
      </c>
      <c r="CB57">
        <f>'Monthly Data'!CB105</f>
        <v>0</v>
      </c>
      <c r="CC57">
        <f>'Monthly Data'!CC105</f>
        <v>0</v>
      </c>
      <c r="CD57">
        <f>'Monthly Data'!CD105</f>
        <v>0</v>
      </c>
      <c r="CE57">
        <f>'Monthly Data'!CE105</f>
        <v>0</v>
      </c>
      <c r="CF57">
        <f>'Monthly Data'!CF105</f>
        <v>0</v>
      </c>
      <c r="CG57">
        <f>'Monthly Data'!CG105</f>
        <v>0</v>
      </c>
      <c r="CH57">
        <f>'Monthly Data'!CH105</f>
        <v>0</v>
      </c>
      <c r="CI57">
        <f>'Monthly Data'!CI105</f>
        <v>0</v>
      </c>
      <c r="CJ57">
        <f>'Monthly Data'!CJ105</f>
        <v>0</v>
      </c>
      <c r="CK57">
        <f>'Monthly Data'!CK105</f>
        <v>0</v>
      </c>
      <c r="CL57">
        <f>'Monthly Data'!CL105</f>
        <v>0</v>
      </c>
      <c r="CM57">
        <f>'Monthly Data'!CM105</f>
        <v>0</v>
      </c>
      <c r="CN57">
        <f>'Monthly Data'!CN105</f>
        <v>0</v>
      </c>
      <c r="CO57" s="14">
        <f>'Monthly Data'!CO105</f>
        <v>15.925000000000001</v>
      </c>
      <c r="CP57" s="14">
        <f>'Monthly Data'!CP105</f>
        <v>7.0874999999999986</v>
      </c>
      <c r="CQ57" s="14">
        <f>'Monthly Data'!CQ105</f>
        <v>7.7208333333333332</v>
      </c>
      <c r="CR57" s="14">
        <f>'Monthly Data'!CR105</f>
        <v>14.383333333333329</v>
      </c>
      <c r="CS57" s="14">
        <f>'Monthly Data'!CS105</f>
        <v>2.255208333333333</v>
      </c>
      <c r="CT57" s="14">
        <f>'Monthly Data'!CT105</f>
        <v>24.417708333333323</v>
      </c>
      <c r="CU57" s="14">
        <f>'Monthly Data'!CU105</f>
        <v>0.31354166666666705</v>
      </c>
      <c r="CV57" s="14">
        <f>'Monthly Data'!CV105</f>
        <v>37.976041666666653</v>
      </c>
      <c r="CW57" s="14">
        <f>'Monthly Data'!CW105</f>
        <v>0</v>
      </c>
      <c r="CX57" s="14">
        <f>'Monthly Data'!CX105</f>
        <v>53.162500000000001</v>
      </c>
      <c r="CY57" s="14">
        <f>'Monthly Data'!CY105</f>
        <v>0</v>
      </c>
      <c r="CZ57" s="14">
        <f>'Monthly Data'!CZ105</f>
        <v>68.662500000000009</v>
      </c>
      <c r="DA57" s="14">
        <f>'Monthly Data'!DA105</f>
        <v>0</v>
      </c>
      <c r="DB57" s="14">
        <f>'Monthly Data'!DB105</f>
        <v>84.162500000000009</v>
      </c>
      <c r="DC57" s="72">
        <f>'Monthly Data'!DC105</f>
        <v>717.40658811358355</v>
      </c>
      <c r="DD57" s="72">
        <f>'Monthly Data'!DD105</f>
        <v>23.142148003663987</v>
      </c>
      <c r="DE57" s="71">
        <f>'Monthly Data'!DE105</f>
        <v>239613.80042993688</v>
      </c>
      <c r="DF57" s="72">
        <f>'Monthly Data'!DF105</f>
        <v>2042.0490129887289</v>
      </c>
      <c r="DG57" s="72">
        <f>'Monthly Data'!DG105</f>
        <v>65.872548806088034</v>
      </c>
      <c r="DH57" s="72">
        <f>'Monthly Data'!DH105</f>
        <v>84185.117374180496</v>
      </c>
      <c r="DI57" s="72">
        <f>'Monthly Data'!DI105</f>
        <v>40208.477270390948</v>
      </c>
      <c r="DJ57" s="72">
        <f>'Monthly Data'!DJ105</f>
        <v>1297.047653883579</v>
      </c>
      <c r="DK57" s="72">
        <f>'Monthly Data'!DK105</f>
        <v>1827.6580577450432</v>
      </c>
      <c r="DL57" s="72">
        <f>'Monthly Data'!DL105</f>
        <v>180289.62388981748</v>
      </c>
      <c r="DM57" s="72">
        <f>'Monthly Data'!DM105</f>
        <v>254044.47002656097</v>
      </c>
    </row>
    <row r="58" spans="1:117">
      <c r="A58" s="93">
        <f>'Monthly Data'!A106</f>
        <v>45536</v>
      </c>
      <c r="B58" s="4">
        <f>'Monthly Data'!B106</f>
        <v>2024</v>
      </c>
      <c r="C58" s="4">
        <f>'Monthly Data'!C106</f>
        <v>9</v>
      </c>
      <c r="D58" s="56">
        <f>'Monthly Data'!D106</f>
        <v>6086500</v>
      </c>
      <c r="E58" s="56">
        <f>'Monthly Data'!E106</f>
        <v>172410.37948428589</v>
      </c>
      <c r="F58" s="56">
        <f>'Monthly Data'!F106</f>
        <v>6258910.3794842856</v>
      </c>
      <c r="G58" s="301">
        <f>'Monthly Data'!G106</f>
        <v>10358</v>
      </c>
      <c r="H58" s="56">
        <f>'Monthly Data'!H106</f>
        <v>2082104</v>
      </c>
      <c r="I58" s="56">
        <f>'Monthly Data'!I106</f>
        <v>252000.40592967282</v>
      </c>
      <c r="J58" s="56">
        <f>'Monthly Data'!J106</f>
        <v>2334104.405929673</v>
      </c>
      <c r="K58" s="6">
        <f>'Monthly Data'!K106</f>
        <v>1276</v>
      </c>
      <c r="L58" s="5">
        <f>'Monthly Data'!L106</f>
        <v>5113993</v>
      </c>
      <c r="M58" s="2">
        <f>'Monthly Data'!M106</f>
        <v>244956.39513967608</v>
      </c>
      <c r="N58" s="56">
        <f>'Monthly Data'!N106</f>
        <v>5358949.3951396765</v>
      </c>
      <c r="O58" s="5">
        <f>'Monthly Data'!O106</f>
        <v>19139.2</v>
      </c>
      <c r="P58" s="6">
        <f>'Monthly Data'!P106</f>
        <v>139</v>
      </c>
      <c r="Q58" s="5">
        <f>'Monthly Data'!Q106</f>
        <v>79660</v>
      </c>
      <c r="R58" s="5">
        <f>'Monthly Data'!R106</f>
        <v>230.5</v>
      </c>
      <c r="S58" s="6">
        <f>'Monthly Data'!S106</f>
        <v>2906</v>
      </c>
      <c r="T58" s="6">
        <f>'Monthly Data'!T106</f>
        <v>13771</v>
      </c>
      <c r="U58" s="6">
        <f>'Monthly Data'!U106</f>
        <v>37.5</v>
      </c>
      <c r="V58" s="6">
        <f>'Monthly Data'!V106</f>
        <v>172</v>
      </c>
      <c r="W58" s="5">
        <f>'Monthly Data'!W106</f>
        <v>48874</v>
      </c>
      <c r="X58" s="56">
        <f>'Monthly Data'!X106</f>
        <v>18</v>
      </c>
      <c r="Y58" s="56">
        <f>'Monthly Data'!Y106</f>
        <v>304</v>
      </c>
      <c r="Z58" s="56">
        <f>'Monthly Data'!Z106</f>
        <v>800</v>
      </c>
      <c r="AA58" s="56">
        <f>'Monthly Data'!AA106</f>
        <v>5113689</v>
      </c>
      <c r="AB58" s="56">
        <f>'Monthly Data'!AB106</f>
        <v>5358645.3951396765</v>
      </c>
      <c r="AC58" s="56">
        <f>'Monthly Data'!AC106</f>
        <v>18339.2</v>
      </c>
      <c r="AD58" s="111">
        <f>'Monthly Data'!AD106</f>
        <v>876619.7</v>
      </c>
      <c r="AE58" s="111">
        <f>'Monthly Data'!AE106</f>
        <v>890079</v>
      </c>
      <c r="AF58" s="111">
        <f>'Monthly Data'!AF106</f>
        <v>8182.9</v>
      </c>
      <c r="AG58" s="111">
        <f>'Monthly Data'!AG106</f>
        <v>8217.2000000000007</v>
      </c>
      <c r="AH58" s="111">
        <f>'Monthly Data'!AH106</f>
        <v>699.9</v>
      </c>
      <c r="AI58" s="111">
        <f>'Monthly Data'!AI106</f>
        <v>703.5</v>
      </c>
      <c r="AJ58" s="111">
        <f>'Monthly Data'!AJ106</f>
        <v>130.5</v>
      </c>
      <c r="AK58" s="111">
        <f>'Monthly Data'!AK106</f>
        <v>148.70000000000073</v>
      </c>
      <c r="AL58" s="111">
        <f>'Monthly Data'!AL106</f>
        <v>15.100000000000023</v>
      </c>
      <c r="AM58" s="111">
        <f>'Monthly Data'!AM106</f>
        <v>16.200000000000045</v>
      </c>
      <c r="AN58" s="111">
        <f>'Monthly Data'!AN106</f>
        <v>10760.099999999977</v>
      </c>
      <c r="AO58" s="111">
        <f>'Monthly Data'!AO106</f>
        <v>1346</v>
      </c>
      <c r="AP58" s="28">
        <f>'Monthly Data'!AP106</f>
        <v>15.967222222222224</v>
      </c>
      <c r="AQ58" s="28">
        <f>'Monthly Data'!AQ106</f>
        <v>120.98333333333333</v>
      </c>
      <c r="AR58" s="28">
        <f>'Monthly Data'!AR106</f>
        <v>0</v>
      </c>
      <c r="AS58" s="28">
        <f>'Monthly Data'!AS106</f>
        <v>70.695833333333326</v>
      </c>
      <c r="AT58" s="28">
        <f>'Monthly Data'!AT106</f>
        <v>9.7124999999999879</v>
      </c>
      <c r="AU58" s="28">
        <f>'Monthly Data'!AU106</f>
        <v>36.037500000000001</v>
      </c>
      <c r="AV58" s="28">
        <f>'Monthly Data'!AV106</f>
        <v>35.054166666666646</v>
      </c>
      <c r="AW58" s="28">
        <f>'Monthly Data'!AW106</f>
        <v>17.058333333333337</v>
      </c>
      <c r="AX58" s="28">
        <f>'Monthly Data'!AX106</f>
        <v>76.075000000000003</v>
      </c>
      <c r="AY58" s="28">
        <f>'Monthly Data'!AY106</f>
        <v>8.1791666666666654</v>
      </c>
      <c r="AZ58" s="28">
        <f>'Monthly Data'!AZ106</f>
        <v>127.19583333333331</v>
      </c>
      <c r="BA58" s="28">
        <f>'Monthly Data'!BA106</f>
        <v>2.4333333333333318</v>
      </c>
      <c r="BB58" s="28">
        <f>'Monthly Data'!BB106</f>
        <v>181.45</v>
      </c>
      <c r="BC58" s="28">
        <f>'Monthly Data'!BC106</f>
        <v>2.0833333333332149E-2</v>
      </c>
      <c r="BD58" s="28">
        <f>'Monthly Data'!BD106</f>
        <v>239.03749999999997</v>
      </c>
      <c r="BE58">
        <f>'Monthly Data'!BE106</f>
        <v>0</v>
      </c>
      <c r="BF58">
        <f>'Monthly Data'!BF106</f>
        <v>0</v>
      </c>
      <c r="BG58">
        <f>'Monthly Data'!BG106</f>
        <v>0</v>
      </c>
      <c r="BH58">
        <f>'Monthly Data'!BH106</f>
        <v>0</v>
      </c>
      <c r="BI58">
        <f>'Monthly Data'!BI106</f>
        <v>0</v>
      </c>
      <c r="BJ58">
        <f>'Monthly Data'!BJ106</f>
        <v>0</v>
      </c>
      <c r="BK58">
        <f>'Monthly Data'!BK106</f>
        <v>0</v>
      </c>
      <c r="BL58">
        <f>'Monthly Data'!BL106</f>
        <v>0</v>
      </c>
      <c r="BM58">
        <f>'Monthly Data'!BM106</f>
        <v>1</v>
      </c>
      <c r="BN58">
        <f>'Monthly Data'!BN106</f>
        <v>0</v>
      </c>
      <c r="BO58">
        <f>'Monthly Data'!BO106</f>
        <v>0</v>
      </c>
      <c r="BP58">
        <f>'Monthly Data'!BP106</f>
        <v>0</v>
      </c>
      <c r="BQ58" s="1">
        <f>'Monthly Data'!BQ106</f>
        <v>0</v>
      </c>
      <c r="BR58" s="1">
        <f>'Monthly Data'!BR106</f>
        <v>1</v>
      </c>
      <c r="BS58" s="1">
        <f>'Monthly Data'!BS106</f>
        <v>1</v>
      </c>
      <c r="BT58" s="1">
        <f>'Monthly Data'!BT106</f>
        <v>105</v>
      </c>
      <c r="BU58">
        <f>'Monthly Data'!BU106</f>
        <v>30</v>
      </c>
      <c r="BV58" s="1">
        <f>'Monthly Data'!BV106</f>
        <v>20</v>
      </c>
      <c r="BW58" s="1">
        <f>'Monthly Data'!BW106</f>
        <v>0</v>
      </c>
      <c r="BX58" s="1">
        <f>'Monthly Data'!BX106</f>
        <v>0</v>
      </c>
      <c r="BY58" s="1">
        <f>'Monthly Data'!BY106</f>
        <v>0.25</v>
      </c>
      <c r="BZ58" s="1">
        <f>'Monthly Data'!BZ106</f>
        <v>0</v>
      </c>
      <c r="CA58">
        <f>'Monthly Data'!CA106</f>
        <v>0</v>
      </c>
      <c r="CB58">
        <f>'Monthly Data'!CB106</f>
        <v>0</v>
      </c>
      <c r="CC58">
        <f>'Monthly Data'!CC106</f>
        <v>0</v>
      </c>
      <c r="CD58">
        <f>'Monthly Data'!CD106</f>
        <v>0</v>
      </c>
      <c r="CE58">
        <f>'Monthly Data'!CE106</f>
        <v>0</v>
      </c>
      <c r="CF58">
        <f>'Monthly Data'!CF106</f>
        <v>0</v>
      </c>
      <c r="CG58">
        <f>'Monthly Data'!CG106</f>
        <v>0</v>
      </c>
      <c r="CH58">
        <f>'Monthly Data'!CH106</f>
        <v>0</v>
      </c>
      <c r="CI58">
        <f>'Monthly Data'!CI106</f>
        <v>0</v>
      </c>
      <c r="CJ58">
        <f>'Monthly Data'!CJ106</f>
        <v>0</v>
      </c>
      <c r="CK58">
        <f>'Monthly Data'!CK106</f>
        <v>0</v>
      </c>
      <c r="CL58">
        <f>'Monthly Data'!CL106</f>
        <v>0</v>
      </c>
      <c r="CM58">
        <f>'Monthly Data'!CM106</f>
        <v>0</v>
      </c>
      <c r="CN58">
        <f>'Monthly Data'!CN106</f>
        <v>0</v>
      </c>
      <c r="CO58" s="14">
        <f>'Monthly Data'!CO106</f>
        <v>30.245833333333334</v>
      </c>
      <c r="CP58" s="14">
        <f>'Monthly Data'!CP106</f>
        <v>0</v>
      </c>
      <c r="CQ58" s="14">
        <f>'Monthly Data'!CQ106</f>
        <v>17.673958333333331</v>
      </c>
      <c r="CR58" s="14">
        <f>'Monthly Data'!CR106</f>
        <v>2.428124999999997</v>
      </c>
      <c r="CS58" s="14">
        <f>'Monthly Data'!CS106</f>
        <v>9.0093750000000004</v>
      </c>
      <c r="CT58" s="14">
        <f>'Monthly Data'!CT106</f>
        <v>8.7635416666666615</v>
      </c>
      <c r="CU58" s="14">
        <f>'Monthly Data'!CU106</f>
        <v>4.2645833333333343</v>
      </c>
      <c r="CV58" s="14">
        <f>'Monthly Data'!CV106</f>
        <v>19.018750000000001</v>
      </c>
      <c r="CW58" s="14">
        <f>'Monthly Data'!CW106</f>
        <v>2.0447916666666663</v>
      </c>
      <c r="CX58" s="14">
        <f>'Monthly Data'!CX106</f>
        <v>31.798958333333328</v>
      </c>
      <c r="CY58" s="14">
        <f>'Monthly Data'!CY106</f>
        <v>0.60833333333333295</v>
      </c>
      <c r="CZ58" s="14">
        <f>'Monthly Data'!CZ106</f>
        <v>45.362499999999997</v>
      </c>
      <c r="DA58" s="14">
        <f>'Monthly Data'!DA106</f>
        <v>5.2083333333330373E-3</v>
      </c>
      <c r="DB58" s="14">
        <f>'Monthly Data'!DB106</f>
        <v>59.759374999999991</v>
      </c>
      <c r="DC58" s="72">
        <f>'Monthly Data'!DC106</f>
        <v>604.25858075731662</v>
      </c>
      <c r="DD58" s="72">
        <f>'Monthly Data'!DD106</f>
        <v>20.141952691910554</v>
      </c>
      <c r="DE58" s="71">
        <f>'Monthly Data'!DE106</f>
        <v>208630.34598280952</v>
      </c>
      <c r="DF58" s="72">
        <f>'Monthly Data'!DF106</f>
        <v>1829.2354278445714</v>
      </c>
      <c r="DG58" s="72">
        <f>'Monthly Data'!DG106</f>
        <v>60.974514261485716</v>
      </c>
      <c r="DH58" s="72">
        <f>'Monthly Data'!DH106</f>
        <v>77803.480197655765</v>
      </c>
      <c r="DI58" s="72">
        <f>'Monthly Data'!DI106</f>
        <v>38553.592770789037</v>
      </c>
      <c r="DJ58" s="72">
        <f>'Monthly Data'!DJ106</f>
        <v>1285.1197590263012</v>
      </c>
      <c r="DK58" s="72">
        <f>'Monthly Data'!DK106</f>
        <v>1927.6796385394518</v>
      </c>
      <c r="DL58" s="72">
        <f>'Monthly Data'!DL106</f>
        <v>178631.64650465589</v>
      </c>
      <c r="DM58" s="72">
        <f>'Monthly Data'!DM106</f>
        <v>267947.4697569838</v>
      </c>
    </row>
    <row r="59" spans="1:117">
      <c r="A59" s="93">
        <f>'Monthly Data'!A107</f>
        <v>45566</v>
      </c>
      <c r="B59" s="4">
        <f>'Monthly Data'!B107</f>
        <v>2024</v>
      </c>
      <c r="C59" s="4">
        <f>'Monthly Data'!C107</f>
        <v>10</v>
      </c>
      <c r="D59" s="56">
        <f>'Monthly Data'!D107</f>
        <v>5987770</v>
      </c>
      <c r="E59" s="56">
        <f>'Monthly Data'!E107</f>
        <v>172844.94564052852</v>
      </c>
      <c r="F59" s="56">
        <f>'Monthly Data'!F107</f>
        <v>6160614.9456405286</v>
      </c>
      <c r="G59" s="301">
        <f>'Monthly Data'!G107</f>
        <v>10359</v>
      </c>
      <c r="H59" s="56">
        <f>'Monthly Data'!H107</f>
        <v>2141072</v>
      </c>
      <c r="I59" s="56">
        <f>'Monthly Data'!I107</f>
        <v>253930.1732597501</v>
      </c>
      <c r="J59" s="56">
        <f>'Monthly Data'!J107</f>
        <v>2395002.17325975</v>
      </c>
      <c r="K59" s="6">
        <f>'Monthly Data'!K107</f>
        <v>1274</v>
      </c>
      <c r="L59" s="5">
        <f>'Monthly Data'!L107</f>
        <v>5118189</v>
      </c>
      <c r="M59" s="2">
        <f>'Monthly Data'!M107</f>
        <v>247183.44969501023</v>
      </c>
      <c r="N59" s="56">
        <f>'Monthly Data'!N107</f>
        <v>5365372.4496950107</v>
      </c>
      <c r="O59" s="5">
        <f>'Monthly Data'!O107</f>
        <v>16271</v>
      </c>
      <c r="P59" s="6">
        <f>'Monthly Data'!P107</f>
        <v>138</v>
      </c>
      <c r="Q59" s="5">
        <f>'Monthly Data'!Q107</f>
        <v>92876</v>
      </c>
      <c r="R59" s="5">
        <f>'Monthly Data'!R107</f>
        <v>230.5</v>
      </c>
      <c r="S59" s="6">
        <f>'Monthly Data'!S107</f>
        <v>2906</v>
      </c>
      <c r="T59" s="6">
        <f>'Monthly Data'!T107</f>
        <v>13634</v>
      </c>
      <c r="U59" s="6">
        <f>'Monthly Data'!U107</f>
        <v>37.1</v>
      </c>
      <c r="V59" s="6">
        <f>'Monthly Data'!V107</f>
        <v>172</v>
      </c>
      <c r="W59" s="5">
        <f>'Monthly Data'!W107</f>
        <v>49892</v>
      </c>
      <c r="X59" s="56">
        <f>'Monthly Data'!X107</f>
        <v>18</v>
      </c>
      <c r="Y59" s="56">
        <f>'Monthly Data'!Y107</f>
        <v>148430.39999999999</v>
      </c>
      <c r="Z59" s="56">
        <f>'Monthly Data'!Z107</f>
        <v>2908.8</v>
      </c>
      <c r="AA59" s="56">
        <f>'Monthly Data'!AA107</f>
        <v>4969758.5999999996</v>
      </c>
      <c r="AB59" s="56">
        <f>'Monthly Data'!AB107</f>
        <v>5216942.0496950103</v>
      </c>
      <c r="AC59" s="56">
        <f>'Monthly Data'!AC107</f>
        <v>13362.2</v>
      </c>
      <c r="AD59" s="111">
        <f>'Monthly Data'!AD107</f>
        <v>876619.7</v>
      </c>
      <c r="AE59" s="111">
        <f>'Monthly Data'!AE107</f>
        <v>893201</v>
      </c>
      <c r="AF59" s="111">
        <f>'Monthly Data'!AF107</f>
        <v>8184.5</v>
      </c>
      <c r="AG59" s="111">
        <f>'Monthly Data'!AG107</f>
        <v>8197.6</v>
      </c>
      <c r="AH59" s="111">
        <f>'Monthly Data'!AH107</f>
        <v>706.4</v>
      </c>
      <c r="AI59" s="111">
        <f>'Monthly Data'!AI107</f>
        <v>702.8</v>
      </c>
      <c r="AJ59" s="111">
        <f>'Monthly Data'!AJ107</f>
        <v>126.19999999999982</v>
      </c>
      <c r="AK59" s="111">
        <f>'Monthly Data'!AK107</f>
        <v>147.5</v>
      </c>
      <c r="AL59" s="111">
        <f>'Monthly Data'!AL107</f>
        <v>16</v>
      </c>
      <c r="AM59" s="111">
        <f>'Monthly Data'!AM107</f>
        <v>14</v>
      </c>
      <c r="AN59" s="111">
        <f>'Monthly Data'!AN107</f>
        <v>10760.099999999977</v>
      </c>
      <c r="AO59" s="111">
        <f>'Monthly Data'!AO107</f>
        <v>3122</v>
      </c>
      <c r="AP59" s="28">
        <f>'Monthly Data'!AP107</f>
        <v>8.3852150537634422</v>
      </c>
      <c r="AQ59" s="28">
        <f>'Monthly Data'!AQ107</f>
        <v>360.05833333333328</v>
      </c>
      <c r="AR59" s="28">
        <f>'Monthly Data'!AR107</f>
        <v>0</v>
      </c>
      <c r="AS59" s="28">
        <f>'Monthly Data'!AS107</f>
        <v>299.2833333333333</v>
      </c>
      <c r="AT59" s="28">
        <f>'Monthly Data'!AT107</f>
        <v>1.2250000000000014</v>
      </c>
      <c r="AU59" s="28">
        <f>'Monthly Data'!AU107</f>
        <v>239.28333333333327</v>
      </c>
      <c r="AV59" s="28">
        <f>'Monthly Data'!AV107</f>
        <v>3.2250000000000014</v>
      </c>
      <c r="AW59" s="28">
        <f>'Monthly Data'!AW107</f>
        <v>181.74583333333334</v>
      </c>
      <c r="AX59" s="28">
        <f>'Monthly Data'!AX107</f>
        <v>7.6875000000000036</v>
      </c>
      <c r="AY59" s="28">
        <f>'Monthly Data'!AY107</f>
        <v>132.20416666666668</v>
      </c>
      <c r="AZ59" s="28">
        <f>'Monthly Data'!AZ107</f>
        <v>20.145833333333339</v>
      </c>
      <c r="BA59" s="28">
        <f>'Monthly Data'!BA107</f>
        <v>89.8</v>
      </c>
      <c r="BB59" s="28">
        <f>'Monthly Data'!BB107</f>
        <v>39.741666666666674</v>
      </c>
      <c r="BC59" s="28">
        <f>'Monthly Data'!BC107</f>
        <v>51.55416666666666</v>
      </c>
      <c r="BD59" s="28">
        <f>'Monthly Data'!BD107</f>
        <v>63.495833333333337</v>
      </c>
      <c r="BE59">
        <f>'Monthly Data'!BE107</f>
        <v>0</v>
      </c>
      <c r="BF59">
        <f>'Monthly Data'!BF107</f>
        <v>0</v>
      </c>
      <c r="BG59">
        <f>'Monthly Data'!BG107</f>
        <v>0</v>
      </c>
      <c r="BH59">
        <f>'Monthly Data'!BH107</f>
        <v>0</v>
      </c>
      <c r="BI59">
        <f>'Monthly Data'!BI107</f>
        <v>0</v>
      </c>
      <c r="BJ59">
        <f>'Monthly Data'!BJ107</f>
        <v>0</v>
      </c>
      <c r="BK59">
        <f>'Monthly Data'!BK107</f>
        <v>0</v>
      </c>
      <c r="BL59">
        <f>'Monthly Data'!BL107</f>
        <v>0</v>
      </c>
      <c r="BM59">
        <f>'Monthly Data'!BM107</f>
        <v>0</v>
      </c>
      <c r="BN59">
        <f>'Monthly Data'!BN107</f>
        <v>1</v>
      </c>
      <c r="BO59">
        <f>'Monthly Data'!BO107</f>
        <v>0</v>
      </c>
      <c r="BP59">
        <f>'Monthly Data'!BP107</f>
        <v>0</v>
      </c>
      <c r="BQ59" s="1">
        <f>'Monthly Data'!BQ107</f>
        <v>0</v>
      </c>
      <c r="BR59" s="1">
        <f>'Monthly Data'!BR107</f>
        <v>1</v>
      </c>
      <c r="BS59" s="1">
        <f>'Monthly Data'!BS107</f>
        <v>1</v>
      </c>
      <c r="BT59" s="1">
        <f>'Monthly Data'!BT107</f>
        <v>106</v>
      </c>
      <c r="BU59">
        <f>'Monthly Data'!BU107</f>
        <v>31</v>
      </c>
      <c r="BV59" s="1">
        <f>'Monthly Data'!BV107</f>
        <v>20</v>
      </c>
      <c r="BW59" s="1">
        <f>'Monthly Data'!BW107</f>
        <v>0</v>
      </c>
      <c r="BX59" s="1">
        <f>'Monthly Data'!BX107</f>
        <v>0</v>
      </c>
      <c r="BY59" s="1">
        <f>'Monthly Data'!BY107</f>
        <v>0.25</v>
      </c>
      <c r="BZ59" s="1">
        <f>'Monthly Data'!BZ107</f>
        <v>0</v>
      </c>
      <c r="CA59">
        <f>'Monthly Data'!CA107</f>
        <v>0</v>
      </c>
      <c r="CB59">
        <f>'Monthly Data'!CB107</f>
        <v>0</v>
      </c>
      <c r="CC59">
        <f>'Monthly Data'!CC107</f>
        <v>0</v>
      </c>
      <c r="CD59">
        <f>'Monthly Data'!CD107</f>
        <v>0</v>
      </c>
      <c r="CE59">
        <f>'Monthly Data'!CE107</f>
        <v>0</v>
      </c>
      <c r="CF59">
        <f>'Monthly Data'!CF107</f>
        <v>0</v>
      </c>
      <c r="CG59">
        <f>'Monthly Data'!CG107</f>
        <v>0</v>
      </c>
      <c r="CH59">
        <f>'Monthly Data'!CH107</f>
        <v>0</v>
      </c>
      <c r="CI59">
        <f>'Monthly Data'!CI107</f>
        <v>0</v>
      </c>
      <c r="CJ59">
        <f>'Monthly Data'!CJ107</f>
        <v>0</v>
      </c>
      <c r="CK59">
        <f>'Monthly Data'!CK107</f>
        <v>0</v>
      </c>
      <c r="CL59">
        <f>'Monthly Data'!CL107</f>
        <v>0</v>
      </c>
      <c r="CM59">
        <f>'Monthly Data'!CM107</f>
        <v>0</v>
      </c>
      <c r="CN59">
        <f>'Monthly Data'!CN107</f>
        <v>0</v>
      </c>
      <c r="CO59" s="14">
        <f>'Monthly Data'!CO107</f>
        <v>90.01458333333332</v>
      </c>
      <c r="CP59" s="14">
        <f>'Monthly Data'!CP107</f>
        <v>0</v>
      </c>
      <c r="CQ59" s="14">
        <f>'Monthly Data'!CQ107</f>
        <v>74.820833333333326</v>
      </c>
      <c r="CR59" s="14">
        <f>'Monthly Data'!CR107</f>
        <v>0.30625000000000036</v>
      </c>
      <c r="CS59" s="14">
        <f>'Monthly Data'!CS107</f>
        <v>59.820833333333319</v>
      </c>
      <c r="CT59" s="14">
        <f>'Monthly Data'!CT107</f>
        <v>0.80625000000000036</v>
      </c>
      <c r="CU59" s="14">
        <f>'Monthly Data'!CU107</f>
        <v>45.436458333333334</v>
      </c>
      <c r="CV59" s="14">
        <f>'Monthly Data'!CV107</f>
        <v>1.9218750000000009</v>
      </c>
      <c r="CW59" s="14">
        <f>'Monthly Data'!CW107</f>
        <v>33.05104166666667</v>
      </c>
      <c r="CX59" s="14">
        <f>'Monthly Data'!CX107</f>
        <v>5.0364583333333348</v>
      </c>
      <c r="CY59" s="14">
        <f>'Monthly Data'!CY107</f>
        <v>22.45</v>
      </c>
      <c r="CZ59" s="14">
        <f>'Monthly Data'!CZ107</f>
        <v>9.9354166666666686</v>
      </c>
      <c r="DA59" s="14">
        <f>'Monthly Data'!DA107</f>
        <v>12.888541666666665</v>
      </c>
      <c r="DB59" s="14">
        <f>'Monthly Data'!DB107</f>
        <v>15.873958333333334</v>
      </c>
      <c r="DC59" s="72">
        <f>'Monthly Data'!DC107</f>
        <v>594.71135685302909</v>
      </c>
      <c r="DD59" s="72">
        <f>'Monthly Data'!DD107</f>
        <v>19.184237317839649</v>
      </c>
      <c r="DE59" s="71">
        <f>'Monthly Data'!DE107</f>
        <v>198729.51437550093</v>
      </c>
      <c r="DF59" s="72">
        <f>'Monthly Data'!DF107</f>
        <v>1879.9075143326138</v>
      </c>
      <c r="DG59" s="72">
        <f>'Monthly Data'!DG107</f>
        <v>60.642177881697222</v>
      </c>
      <c r="DH59" s="72">
        <f>'Monthly Data'!DH107</f>
        <v>77258.134621282254</v>
      </c>
      <c r="DI59" s="72">
        <f>'Monthly Data'!DI107</f>
        <v>38879.510505036313</v>
      </c>
      <c r="DJ59" s="72">
        <f>'Monthly Data'!DJ107</f>
        <v>1254.1777582269779</v>
      </c>
      <c r="DK59" s="72">
        <f>'Monthly Data'!DK107</f>
        <v>1943.9755252518157</v>
      </c>
      <c r="DL59" s="72">
        <f>'Monthly Data'!DL107</f>
        <v>173076.53063532294</v>
      </c>
      <c r="DM59" s="72">
        <f>'Monthly Data'!DM107</f>
        <v>268268.62248475052</v>
      </c>
    </row>
    <row r="60" spans="1:117">
      <c r="A60" s="93">
        <f>'Monthly Data'!A108</f>
        <v>45597</v>
      </c>
      <c r="B60" s="4">
        <f>'Monthly Data'!B108</f>
        <v>2024</v>
      </c>
      <c r="C60" s="4">
        <f>'Monthly Data'!C108</f>
        <v>11</v>
      </c>
      <c r="D60" s="56">
        <f>'Monthly Data'!D108</f>
        <v>6661271</v>
      </c>
      <c r="E60" s="56">
        <f>'Monthly Data'!E108</f>
        <v>173279.51179677114</v>
      </c>
      <c r="F60" s="56">
        <f>'Monthly Data'!F108</f>
        <v>6834550.5117967715</v>
      </c>
      <c r="G60" s="301">
        <f>'Monthly Data'!G108</f>
        <v>10364</v>
      </c>
      <c r="H60" s="56">
        <f>'Monthly Data'!H108</f>
        <v>2343080</v>
      </c>
      <c r="I60" s="56">
        <f>'Monthly Data'!I108</f>
        <v>255859.94058982737</v>
      </c>
      <c r="J60" s="56">
        <f>'Monthly Data'!J108</f>
        <v>2598939.9405898275</v>
      </c>
      <c r="K60" s="6">
        <f>'Monthly Data'!K108</f>
        <v>1271</v>
      </c>
      <c r="L60" s="5">
        <f>'Monthly Data'!L108</f>
        <v>5084244</v>
      </c>
      <c r="M60" s="2">
        <f>'Monthly Data'!M108</f>
        <v>249410.50425034438</v>
      </c>
      <c r="N60" s="56">
        <f>'Monthly Data'!N108</f>
        <v>5333654.5042503448</v>
      </c>
      <c r="O60" s="5">
        <f>'Monthly Data'!O108</f>
        <v>15760.5</v>
      </c>
      <c r="P60" s="6">
        <f>'Monthly Data'!P108</f>
        <v>137</v>
      </c>
      <c r="Q60" s="5">
        <f>'Monthly Data'!Q108</f>
        <v>98927</v>
      </c>
      <c r="R60" s="5">
        <f>'Monthly Data'!R108</f>
        <v>230.5</v>
      </c>
      <c r="S60" s="6">
        <f>'Monthly Data'!S108</f>
        <v>2906</v>
      </c>
      <c r="T60" s="6">
        <f>'Monthly Data'!T108</f>
        <v>13622</v>
      </c>
      <c r="U60" s="6">
        <f>'Monthly Data'!U108</f>
        <v>37.099999999999994</v>
      </c>
      <c r="V60" s="6">
        <f>'Monthly Data'!V108</f>
        <v>177</v>
      </c>
      <c r="W60" s="5">
        <f>'Monthly Data'!W108</f>
        <v>48758</v>
      </c>
      <c r="X60" s="56">
        <f>'Monthly Data'!X108</f>
        <v>20</v>
      </c>
      <c r="Y60" s="56">
        <f>'Monthly Data'!Y108</f>
        <v>63941.599999999999</v>
      </c>
      <c r="Z60" s="56">
        <f>'Monthly Data'!Z108</f>
        <v>2969.6</v>
      </c>
      <c r="AA60" s="56">
        <f>'Monthly Data'!AA108</f>
        <v>5020302.4000000004</v>
      </c>
      <c r="AB60" s="56">
        <f>'Monthly Data'!AB108</f>
        <v>5269712.9042503452</v>
      </c>
      <c r="AC60" s="56">
        <f>'Monthly Data'!AC108</f>
        <v>12790.9</v>
      </c>
      <c r="AD60" s="111">
        <f>'Monthly Data'!AD108</f>
        <v>876619.7</v>
      </c>
      <c r="AE60" s="111">
        <f>'Monthly Data'!AE108</f>
        <v>893201</v>
      </c>
      <c r="AF60" s="111">
        <f>'Monthly Data'!AF108</f>
        <v>8185.4</v>
      </c>
      <c r="AG60" s="111">
        <f>'Monthly Data'!AG108</f>
        <v>8185.1</v>
      </c>
      <c r="AH60" s="111">
        <f>'Monthly Data'!AH108</f>
        <v>708.3</v>
      </c>
      <c r="AI60" s="111">
        <f>'Monthly Data'!AI108</f>
        <v>700.7</v>
      </c>
      <c r="AJ60" s="111">
        <f>'Monthly Data'!AJ108</f>
        <v>123.29999999999927</v>
      </c>
      <c r="AK60" s="111">
        <f>'Monthly Data'!AK108</f>
        <v>138.90000000000055</v>
      </c>
      <c r="AL60" s="111">
        <f>'Monthly Data'!AL108</f>
        <v>16.299999999999955</v>
      </c>
      <c r="AM60" s="111">
        <f>'Monthly Data'!AM108</f>
        <v>13.700000000000045</v>
      </c>
      <c r="AN60" s="111">
        <f>'Monthly Data'!AN108</f>
        <v>10760.099999999977</v>
      </c>
      <c r="AO60" s="111">
        <f>'Monthly Data'!AO108</f>
        <v>3122</v>
      </c>
      <c r="AP60" s="28">
        <f>'Monthly Data'!AP108</f>
        <v>3.1184722222222234</v>
      </c>
      <c r="AQ60" s="28">
        <f>'Monthly Data'!AQ108</f>
        <v>506.44583333333338</v>
      </c>
      <c r="AR60" s="28">
        <f>'Monthly Data'!AR108</f>
        <v>0</v>
      </c>
      <c r="AS60" s="28">
        <f>'Monthly Data'!AS108</f>
        <v>446.44583333333333</v>
      </c>
      <c r="AT60" s="28">
        <f>'Monthly Data'!AT108</f>
        <v>0</v>
      </c>
      <c r="AU60" s="28">
        <f>'Monthly Data'!AU108</f>
        <v>386.44583333333333</v>
      </c>
      <c r="AV60" s="28">
        <f>'Monthly Data'!AV108</f>
        <v>0</v>
      </c>
      <c r="AW60" s="28">
        <f>'Monthly Data'!AW108</f>
        <v>327.05000000000007</v>
      </c>
      <c r="AX60" s="28">
        <f>'Monthly Data'!AX108</f>
        <v>0.6041666666666643</v>
      </c>
      <c r="AY60" s="28">
        <f>'Monthly Data'!AY108</f>
        <v>269.08333333333337</v>
      </c>
      <c r="AZ60" s="28">
        <f>'Monthly Data'!AZ108</f>
        <v>2.6374999999999975</v>
      </c>
      <c r="BA60" s="28">
        <f>'Monthly Data'!BA108</f>
        <v>213.08333333333331</v>
      </c>
      <c r="BB60" s="28">
        <f>'Monthly Data'!BB108</f>
        <v>6.6374999999999975</v>
      </c>
      <c r="BC60" s="28">
        <f>'Monthly Data'!BC108</f>
        <v>157.08333333333331</v>
      </c>
      <c r="BD60" s="28">
        <f>'Monthly Data'!BD108</f>
        <v>10.637499999999998</v>
      </c>
      <c r="BE60">
        <f>'Monthly Data'!BE108</f>
        <v>0</v>
      </c>
      <c r="BF60">
        <f>'Monthly Data'!BF108</f>
        <v>0</v>
      </c>
      <c r="BG60">
        <f>'Monthly Data'!BG108</f>
        <v>0</v>
      </c>
      <c r="BH60">
        <f>'Monthly Data'!BH108</f>
        <v>0</v>
      </c>
      <c r="BI60">
        <f>'Monthly Data'!BI108</f>
        <v>0</v>
      </c>
      <c r="BJ60">
        <f>'Monthly Data'!BJ108</f>
        <v>0</v>
      </c>
      <c r="BK60">
        <f>'Monthly Data'!BK108</f>
        <v>0</v>
      </c>
      <c r="BL60">
        <f>'Monthly Data'!BL108</f>
        <v>0</v>
      </c>
      <c r="BM60">
        <f>'Monthly Data'!BM108</f>
        <v>0</v>
      </c>
      <c r="BN60">
        <f>'Monthly Data'!BN108</f>
        <v>0</v>
      </c>
      <c r="BO60">
        <f>'Monthly Data'!BO108</f>
        <v>1</v>
      </c>
      <c r="BP60">
        <f>'Monthly Data'!BP108</f>
        <v>0</v>
      </c>
      <c r="BQ60" s="1">
        <f>'Monthly Data'!BQ108</f>
        <v>0</v>
      </c>
      <c r="BR60" s="1">
        <f>'Monthly Data'!BR108</f>
        <v>1</v>
      </c>
      <c r="BS60" s="1">
        <f>'Monthly Data'!BS108</f>
        <v>1</v>
      </c>
      <c r="BT60" s="1">
        <f>'Monthly Data'!BT108</f>
        <v>107</v>
      </c>
      <c r="BU60">
        <f>'Monthly Data'!BU108</f>
        <v>30</v>
      </c>
      <c r="BV60" s="1">
        <f>'Monthly Data'!BV108</f>
        <v>22</v>
      </c>
      <c r="BW60" s="1">
        <f>'Monthly Data'!BW108</f>
        <v>0</v>
      </c>
      <c r="BX60" s="1">
        <f>'Monthly Data'!BX108</f>
        <v>0</v>
      </c>
      <c r="BY60" s="1">
        <f>'Monthly Data'!BY108</f>
        <v>0.25</v>
      </c>
      <c r="BZ60" s="1">
        <f>'Monthly Data'!BZ108</f>
        <v>0</v>
      </c>
      <c r="CA60">
        <f>'Monthly Data'!CA108</f>
        <v>0</v>
      </c>
      <c r="CB60">
        <f>'Monthly Data'!CB108</f>
        <v>0</v>
      </c>
      <c r="CC60">
        <f>'Monthly Data'!CC108</f>
        <v>0</v>
      </c>
      <c r="CD60">
        <f>'Monthly Data'!CD108</f>
        <v>0</v>
      </c>
      <c r="CE60">
        <f>'Monthly Data'!CE108</f>
        <v>0</v>
      </c>
      <c r="CF60">
        <f>'Monthly Data'!CF108</f>
        <v>0</v>
      </c>
      <c r="CG60">
        <f>'Monthly Data'!CG108</f>
        <v>0</v>
      </c>
      <c r="CH60">
        <f>'Monthly Data'!CH108</f>
        <v>0</v>
      </c>
      <c r="CI60">
        <f>'Monthly Data'!CI108</f>
        <v>0</v>
      </c>
      <c r="CJ60">
        <f>'Monthly Data'!CJ108</f>
        <v>0</v>
      </c>
      <c r="CK60">
        <f>'Monthly Data'!CK108</f>
        <v>0</v>
      </c>
      <c r="CL60">
        <f>'Monthly Data'!CL108</f>
        <v>0</v>
      </c>
      <c r="CM60">
        <f>'Monthly Data'!CM108</f>
        <v>0</v>
      </c>
      <c r="CN60">
        <f>'Monthly Data'!CN108</f>
        <v>0</v>
      </c>
      <c r="CO60" s="14">
        <f>'Monthly Data'!CO108</f>
        <v>126.61145833333335</v>
      </c>
      <c r="CP60" s="14">
        <f>'Monthly Data'!CP108</f>
        <v>0</v>
      </c>
      <c r="CQ60" s="14">
        <f>'Monthly Data'!CQ108</f>
        <v>111.61145833333333</v>
      </c>
      <c r="CR60" s="14">
        <f>'Monthly Data'!CR108</f>
        <v>0</v>
      </c>
      <c r="CS60" s="14">
        <f>'Monthly Data'!CS108</f>
        <v>96.611458333333331</v>
      </c>
      <c r="CT60" s="14">
        <f>'Monthly Data'!CT108</f>
        <v>0</v>
      </c>
      <c r="CU60" s="14">
        <f>'Monthly Data'!CU108</f>
        <v>81.762500000000017</v>
      </c>
      <c r="CV60" s="14">
        <f>'Monthly Data'!CV108</f>
        <v>0.15104166666666607</v>
      </c>
      <c r="CW60" s="14">
        <f>'Monthly Data'!CW108</f>
        <v>67.270833333333343</v>
      </c>
      <c r="CX60" s="14">
        <f>'Monthly Data'!CX108</f>
        <v>0.65937499999999938</v>
      </c>
      <c r="CY60" s="14">
        <f>'Monthly Data'!CY108</f>
        <v>53.270833333333329</v>
      </c>
      <c r="CZ60" s="14">
        <f>'Monthly Data'!CZ108</f>
        <v>1.6593749999999994</v>
      </c>
      <c r="DA60" s="14">
        <f>'Monthly Data'!DA108</f>
        <v>39.270833333333329</v>
      </c>
      <c r="DB60" s="14">
        <f>'Monthly Data'!DB108</f>
        <v>2.6593749999999994</v>
      </c>
      <c r="DC60" s="72">
        <f>'Monthly Data'!DC108</f>
        <v>659.45103355816013</v>
      </c>
      <c r="DD60" s="72">
        <f>'Monthly Data'!DD108</f>
        <v>21.981701118605336</v>
      </c>
      <c r="DE60" s="71">
        <f>'Monthly Data'!DE108</f>
        <v>227818.35039322573</v>
      </c>
      <c r="DF60" s="72">
        <f>'Monthly Data'!DF108</f>
        <v>2044.799323831493</v>
      </c>
      <c r="DG60" s="72">
        <f>'Monthly Data'!DG108</f>
        <v>68.159977461049763</v>
      </c>
      <c r="DH60" s="72">
        <f>'Monthly Data'!DH108</f>
        <v>86631.331352994253</v>
      </c>
      <c r="DI60" s="72">
        <f>'Monthly Data'!DI108</f>
        <v>38931.784702557263</v>
      </c>
      <c r="DJ60" s="72">
        <f>'Monthly Data'!DJ108</f>
        <v>1297.7261567519088</v>
      </c>
      <c r="DK60" s="72">
        <f>'Monthly Data'!DK108</f>
        <v>1769.6265773889666</v>
      </c>
      <c r="DL60" s="72">
        <f>'Monthly Data'!DL108</f>
        <v>177788.48347501148</v>
      </c>
      <c r="DM60" s="72">
        <f>'Monthly Data'!DM108</f>
        <v>242438.8411022884</v>
      </c>
    </row>
    <row r="61" spans="1:117">
      <c r="A61" s="93">
        <f>'Monthly Data'!A109</f>
        <v>45627</v>
      </c>
      <c r="B61" s="4">
        <f>'Monthly Data'!B109</f>
        <v>2024</v>
      </c>
      <c r="C61" s="4">
        <f>'Monthly Data'!C109</f>
        <v>12</v>
      </c>
      <c r="D61" s="56">
        <f>'Monthly Data'!D109</f>
        <v>8908313</v>
      </c>
      <c r="E61" s="56">
        <f>'Monthly Data'!E109</f>
        <v>173714.07795301377</v>
      </c>
      <c r="F61" s="56">
        <f>'Monthly Data'!F109</f>
        <v>9082027.0779530145</v>
      </c>
      <c r="G61" s="301">
        <f>'Monthly Data'!G109</f>
        <v>10367</v>
      </c>
      <c r="H61" s="56">
        <f>'Monthly Data'!H109</f>
        <v>2971477</v>
      </c>
      <c r="I61" s="56">
        <f>'Monthly Data'!I109</f>
        <v>257789.70791990467</v>
      </c>
      <c r="J61" s="56">
        <f>'Monthly Data'!J109</f>
        <v>3229266.7079199045</v>
      </c>
      <c r="K61" s="6">
        <f>'Monthly Data'!K109</f>
        <v>1271</v>
      </c>
      <c r="L61" s="5">
        <f>'Monthly Data'!L109</f>
        <v>6023740</v>
      </c>
      <c r="M61" s="2">
        <f>'Monthly Data'!M109</f>
        <v>251637.55880567856</v>
      </c>
      <c r="N61" s="56">
        <f>'Monthly Data'!N109</f>
        <v>6275377.558805679</v>
      </c>
      <c r="O61" s="5">
        <f>'Monthly Data'!O109</f>
        <v>16712.82</v>
      </c>
      <c r="P61" s="6">
        <f>'Monthly Data'!P109</f>
        <v>137</v>
      </c>
      <c r="Q61" s="5">
        <f>'Monthly Data'!Q109</f>
        <v>107149</v>
      </c>
      <c r="R61" s="5">
        <f>'Monthly Data'!R109</f>
        <v>230.5</v>
      </c>
      <c r="S61" s="6">
        <f>'Monthly Data'!S109</f>
        <v>2906</v>
      </c>
      <c r="T61" s="6">
        <f>'Monthly Data'!T109</f>
        <v>13911</v>
      </c>
      <c r="U61" s="6">
        <f>'Monthly Data'!U109</f>
        <v>38.400000000000006</v>
      </c>
      <c r="V61" s="6">
        <f>'Monthly Data'!V109</f>
        <v>177</v>
      </c>
      <c r="W61" s="5">
        <f>'Monthly Data'!W109</f>
        <v>49715</v>
      </c>
      <c r="X61" s="56">
        <f>'Monthly Data'!X109</f>
        <v>19</v>
      </c>
      <c r="Y61" s="56">
        <f>'Monthly Data'!Y109</f>
        <v>426684.8</v>
      </c>
      <c r="Z61" s="56">
        <f>'Monthly Data'!Z109</f>
        <v>3744</v>
      </c>
      <c r="AA61" s="56">
        <f>'Monthly Data'!AA109</f>
        <v>5597055.2000000002</v>
      </c>
      <c r="AB61" s="56">
        <f>'Monthly Data'!AB109</f>
        <v>5848692.7588056792</v>
      </c>
      <c r="AC61" s="56">
        <f>'Monthly Data'!AC109</f>
        <v>12968.82</v>
      </c>
      <c r="AD61" s="111">
        <f>'Monthly Data'!AD109</f>
        <v>876619.7</v>
      </c>
      <c r="AE61" s="111">
        <f>'Monthly Data'!AE109</f>
        <v>893201</v>
      </c>
      <c r="AF61" s="111">
        <f>'Monthly Data'!AF109</f>
        <v>8187.7</v>
      </c>
      <c r="AG61" s="111">
        <f>'Monthly Data'!AG109</f>
        <v>8176.6</v>
      </c>
      <c r="AH61" s="111">
        <f>'Monthly Data'!AH109</f>
        <v>708.4</v>
      </c>
      <c r="AI61" s="111">
        <f>'Monthly Data'!AI109</f>
        <v>702.3</v>
      </c>
      <c r="AJ61" s="111">
        <f>'Monthly Data'!AJ109</f>
        <v>135.19999999999982</v>
      </c>
      <c r="AK61" s="111">
        <f>'Monthly Data'!AK109</f>
        <v>127.60000000000036</v>
      </c>
      <c r="AL61" s="111">
        <f>'Monthly Data'!AL109</f>
        <v>17.399999999999977</v>
      </c>
      <c r="AM61" s="111">
        <f>'Monthly Data'!AM109</f>
        <v>14.699999999999932</v>
      </c>
      <c r="AN61" s="111">
        <f>'Monthly Data'!AN109</f>
        <v>10760.099999999977</v>
      </c>
      <c r="AO61" s="111">
        <f>'Monthly Data'!AO109</f>
        <v>3122</v>
      </c>
      <c r="AP61" s="28">
        <f>'Monthly Data'!AP109</f>
        <v>-5.6983198924731173</v>
      </c>
      <c r="AQ61" s="28">
        <f>'Monthly Data'!AQ109</f>
        <v>796.64791666666656</v>
      </c>
      <c r="AR61" s="28">
        <f>'Monthly Data'!AR109</f>
        <v>0</v>
      </c>
      <c r="AS61" s="28">
        <f>'Monthly Data'!AS109</f>
        <v>734.64791666666656</v>
      </c>
      <c r="AT61" s="28">
        <f>'Monthly Data'!AT109</f>
        <v>0</v>
      </c>
      <c r="AU61" s="28">
        <f>'Monthly Data'!AU109</f>
        <v>672.64791666666656</v>
      </c>
      <c r="AV61" s="28">
        <f>'Monthly Data'!AV109</f>
        <v>0</v>
      </c>
      <c r="AW61" s="28">
        <f>'Monthly Data'!AW109</f>
        <v>610.64791666666656</v>
      </c>
      <c r="AX61" s="28">
        <f>'Monthly Data'!AX109</f>
        <v>0</v>
      </c>
      <c r="AY61" s="28">
        <f>'Monthly Data'!AY109</f>
        <v>548.64791666666667</v>
      </c>
      <c r="AZ61" s="28">
        <f>'Monthly Data'!AZ109</f>
        <v>0</v>
      </c>
      <c r="BA61" s="28">
        <f>'Monthly Data'!BA109</f>
        <v>486.6479166666665</v>
      </c>
      <c r="BB61" s="28">
        <f>'Monthly Data'!BB109</f>
        <v>0</v>
      </c>
      <c r="BC61" s="28">
        <f>'Monthly Data'!BC109</f>
        <v>424.64791666666656</v>
      </c>
      <c r="BD61" s="28">
        <f>'Monthly Data'!BD109</f>
        <v>0</v>
      </c>
      <c r="BE61">
        <f>'Monthly Data'!BE109</f>
        <v>0</v>
      </c>
      <c r="BF61">
        <f>'Monthly Data'!BF109</f>
        <v>0</v>
      </c>
      <c r="BG61">
        <f>'Monthly Data'!BG109</f>
        <v>0</v>
      </c>
      <c r="BH61">
        <f>'Monthly Data'!BH109</f>
        <v>0</v>
      </c>
      <c r="BI61">
        <f>'Monthly Data'!BI109</f>
        <v>0</v>
      </c>
      <c r="BJ61">
        <f>'Monthly Data'!BJ109</f>
        <v>0</v>
      </c>
      <c r="BK61">
        <f>'Monthly Data'!BK109</f>
        <v>0</v>
      </c>
      <c r="BL61">
        <f>'Monthly Data'!BL109</f>
        <v>0</v>
      </c>
      <c r="BM61">
        <f>'Monthly Data'!BM109</f>
        <v>0</v>
      </c>
      <c r="BN61">
        <f>'Monthly Data'!BN109</f>
        <v>0</v>
      </c>
      <c r="BO61">
        <f>'Monthly Data'!BO109</f>
        <v>0</v>
      </c>
      <c r="BP61">
        <f>'Monthly Data'!BP109</f>
        <v>1</v>
      </c>
      <c r="BQ61" s="1">
        <f>'Monthly Data'!BQ109</f>
        <v>0</v>
      </c>
      <c r="BR61" s="1">
        <f>'Monthly Data'!BR109</f>
        <v>0</v>
      </c>
      <c r="BS61" s="1">
        <f>'Monthly Data'!BS109</f>
        <v>0</v>
      </c>
      <c r="BT61" s="1">
        <f>'Monthly Data'!BT109</f>
        <v>108</v>
      </c>
      <c r="BU61">
        <f>'Monthly Data'!BU109</f>
        <v>31</v>
      </c>
      <c r="BV61" s="1">
        <f>'Monthly Data'!BV109</f>
        <v>20</v>
      </c>
      <c r="BW61" s="1">
        <f>'Monthly Data'!BW109</f>
        <v>0</v>
      </c>
      <c r="BX61" s="1">
        <f>'Monthly Data'!BX109</f>
        <v>0</v>
      </c>
      <c r="BY61" s="1">
        <f>'Monthly Data'!BY109</f>
        <v>0.25</v>
      </c>
      <c r="BZ61" s="1">
        <f>'Monthly Data'!BZ109</f>
        <v>0</v>
      </c>
      <c r="CA61">
        <f>'Monthly Data'!CA109</f>
        <v>0</v>
      </c>
      <c r="CB61">
        <f>'Monthly Data'!CB109</f>
        <v>0</v>
      </c>
      <c r="CC61">
        <f>'Monthly Data'!CC109</f>
        <v>0</v>
      </c>
      <c r="CD61">
        <f>'Monthly Data'!CD109</f>
        <v>0</v>
      </c>
      <c r="CE61">
        <f>'Monthly Data'!CE109</f>
        <v>0</v>
      </c>
      <c r="CF61">
        <f>'Monthly Data'!CF109</f>
        <v>0</v>
      </c>
      <c r="CG61">
        <f>'Monthly Data'!CG109</f>
        <v>0</v>
      </c>
      <c r="CH61">
        <f>'Monthly Data'!CH109</f>
        <v>0</v>
      </c>
      <c r="CI61">
        <f>'Monthly Data'!CI109</f>
        <v>0</v>
      </c>
      <c r="CJ61">
        <f>'Monthly Data'!CJ109</f>
        <v>0</v>
      </c>
      <c r="CK61">
        <f>'Monthly Data'!CK109</f>
        <v>0</v>
      </c>
      <c r="CL61">
        <f>'Monthly Data'!CL109</f>
        <v>0</v>
      </c>
      <c r="CM61">
        <f>'Monthly Data'!CM109</f>
        <v>0</v>
      </c>
      <c r="CN61">
        <f>'Monthly Data'!CN109</f>
        <v>0</v>
      </c>
      <c r="CO61" s="14">
        <f>'Monthly Data'!CO109</f>
        <v>199.16197916666664</v>
      </c>
      <c r="CP61" s="14">
        <f>'Monthly Data'!CP109</f>
        <v>0</v>
      </c>
      <c r="CQ61" s="14">
        <f>'Monthly Data'!CQ109</f>
        <v>183.66197916666664</v>
      </c>
      <c r="CR61" s="14">
        <f>'Monthly Data'!CR109</f>
        <v>0</v>
      </c>
      <c r="CS61" s="14">
        <f>'Monthly Data'!CS109</f>
        <v>168.16197916666664</v>
      </c>
      <c r="CT61" s="14">
        <f>'Monthly Data'!CT109</f>
        <v>0</v>
      </c>
      <c r="CU61" s="14">
        <f>'Monthly Data'!CU109</f>
        <v>152.66197916666664</v>
      </c>
      <c r="CV61" s="14">
        <f>'Monthly Data'!CV109</f>
        <v>0</v>
      </c>
      <c r="CW61" s="14">
        <f>'Monthly Data'!CW109</f>
        <v>137.16197916666667</v>
      </c>
      <c r="CX61" s="14">
        <f>'Monthly Data'!CX109</f>
        <v>0</v>
      </c>
      <c r="CY61" s="14">
        <f>'Monthly Data'!CY109</f>
        <v>121.66197916666663</v>
      </c>
      <c r="CZ61" s="14">
        <f>'Monthly Data'!CZ109</f>
        <v>0</v>
      </c>
      <c r="DA61" s="14">
        <f>'Monthly Data'!DA109</f>
        <v>106.16197916666664</v>
      </c>
      <c r="DB61" s="14">
        <f>'Monthly Data'!DB109</f>
        <v>0</v>
      </c>
      <c r="DC61" s="72">
        <f>'Monthly Data'!DC109</f>
        <v>876.05161357702468</v>
      </c>
      <c r="DD61" s="72">
        <f>'Monthly Data'!DD109</f>
        <v>28.259729470226603</v>
      </c>
      <c r="DE61" s="71">
        <f>'Monthly Data'!DE109</f>
        <v>292968.6154178392</v>
      </c>
      <c r="DF61" s="72">
        <f>'Monthly Data'!DF109</f>
        <v>2540.7291171675092</v>
      </c>
      <c r="DG61" s="72">
        <f>'Monthly Data'!DG109</f>
        <v>81.959003779597069</v>
      </c>
      <c r="DH61" s="72">
        <f>'Monthly Data'!DH109</f>
        <v>104169.89380386789</v>
      </c>
      <c r="DI61" s="72">
        <f>'Monthly Data'!DI109</f>
        <v>45805.675611720282</v>
      </c>
      <c r="DJ61" s="72">
        <f>'Monthly Data'!DJ109</f>
        <v>1477.602439087751</v>
      </c>
      <c r="DK61" s="72">
        <f>'Monthly Data'!DK109</f>
        <v>2290.283780586014</v>
      </c>
      <c r="DL61" s="72">
        <f>'Monthly Data'!DL109</f>
        <v>202431.53415502192</v>
      </c>
      <c r="DM61" s="72">
        <f>'Monthly Data'!DM109</f>
        <v>313768.87794028397</v>
      </c>
    </row>
    <row r="62" spans="1:117">
      <c r="A62" s="93">
        <f>'Monthly Data'!A110</f>
        <v>45658</v>
      </c>
      <c r="B62" s="4">
        <f>'Monthly Data'!B110</f>
        <v>2025</v>
      </c>
      <c r="C62" s="4">
        <f>'Monthly Data'!C110</f>
        <v>1</v>
      </c>
      <c r="D62" s="56">
        <f>'Monthly Data'!D110</f>
        <v>9630824</v>
      </c>
      <c r="E62" s="56">
        <f>'Monthly Data'!E110</f>
        <v>177494.07398799036</v>
      </c>
      <c r="F62" s="56">
        <f>'Monthly Data'!F110</f>
        <v>9808318.0739879906</v>
      </c>
      <c r="G62" s="301">
        <f>'Monthly Data'!G110</f>
        <v>10366</v>
      </c>
      <c r="H62" s="56">
        <f>'Monthly Data'!H110</f>
        <v>3258471</v>
      </c>
      <c r="I62" s="56">
        <f>'Monthly Data'!I110</f>
        <v>262833.20194214321</v>
      </c>
      <c r="J62" s="56">
        <f>'Monthly Data'!J110</f>
        <v>3521304.201942143</v>
      </c>
      <c r="K62" s="6">
        <f>'Monthly Data'!K110</f>
        <v>1271</v>
      </c>
      <c r="L62" s="5">
        <f>'Monthly Data'!L110</f>
        <v>6140478</v>
      </c>
      <c r="M62" s="2">
        <f>'Monthly Data'!M110</f>
        <v>256672.11206260309</v>
      </c>
      <c r="N62" s="56">
        <f>'Monthly Data'!N110</f>
        <v>6397150.1120626032</v>
      </c>
      <c r="O62" s="5">
        <f>'Monthly Data'!O110</f>
        <v>18379</v>
      </c>
      <c r="P62" s="6">
        <f>'Monthly Data'!P110</f>
        <v>137</v>
      </c>
      <c r="Q62" s="5">
        <f>'Monthly Data'!Q110</f>
        <v>104402</v>
      </c>
      <c r="R62" s="5">
        <f>'Monthly Data'!R110</f>
        <v>230.5</v>
      </c>
      <c r="S62" s="6">
        <f>'Monthly Data'!S110</f>
        <v>2906</v>
      </c>
      <c r="T62" s="6">
        <f>'Monthly Data'!T110</f>
        <v>13692</v>
      </c>
      <c r="U62" s="6">
        <f>'Monthly Data'!U110</f>
        <v>37.199999999999996</v>
      </c>
      <c r="V62" s="6">
        <f>'Monthly Data'!V110</f>
        <v>177</v>
      </c>
      <c r="W62" s="5">
        <f>'Monthly Data'!W110</f>
        <v>44213</v>
      </c>
      <c r="X62" s="56">
        <f>'Monthly Data'!X110</f>
        <v>19</v>
      </c>
      <c r="Y62" s="56">
        <f>'Monthly Data'!Y110</f>
        <v>143449.60000000001</v>
      </c>
      <c r="Z62" s="56">
        <f>'Monthly Data'!Z110</f>
        <v>4665.6000000000004</v>
      </c>
      <c r="AA62" s="56">
        <f>'Monthly Data'!AA110</f>
        <v>5997028.4000000004</v>
      </c>
      <c r="AB62" s="56">
        <f>'Monthly Data'!AB110</f>
        <v>6253700.5120626036</v>
      </c>
      <c r="AC62" s="56">
        <f>'Monthly Data'!AC110</f>
        <v>13713.4</v>
      </c>
      <c r="AD62" s="111">
        <f>'Monthly Data'!AD110</f>
        <v>887796.60117499996</v>
      </c>
      <c r="AE62" s="111">
        <f>'Monthly Data'!AE110</f>
        <v>897095.97550000006</v>
      </c>
      <c r="AF62" s="111">
        <f>'Monthly Data'!AF110</f>
        <v>8205.7000000000007</v>
      </c>
      <c r="AG62" s="111">
        <f>'Monthly Data'!AG110</f>
        <v>8161.4</v>
      </c>
      <c r="AH62" s="111">
        <f>'Monthly Data'!AH110</f>
        <v>707.9</v>
      </c>
      <c r="AI62" s="111">
        <f>'Monthly Data'!AI110</f>
        <v>701</v>
      </c>
      <c r="AJ62" s="111">
        <f>'Monthly Data'!AJ110</f>
        <v>154.70000000000073</v>
      </c>
      <c r="AK62" s="111">
        <f>'Monthly Data'!AK110</f>
        <v>141.69999999999982</v>
      </c>
      <c r="AL62" s="111">
        <f>'Monthly Data'!AL110</f>
        <v>18.799999999999955</v>
      </c>
      <c r="AM62" s="111">
        <f>'Monthly Data'!AM110</f>
        <v>15.899999999999977</v>
      </c>
      <c r="AN62" s="111">
        <f>'Monthly Data'!AN110</f>
        <v>11176.901175000006</v>
      </c>
      <c r="AO62" s="111">
        <f>'Monthly Data'!AO110</f>
        <v>3894.9755000000587</v>
      </c>
      <c r="AP62" s="28">
        <f>'Monthly Data'!AP110</f>
        <v>-10.018481182795702</v>
      </c>
      <c r="AQ62" s="28">
        <f>'Monthly Data'!AQ110</f>
        <v>930.57291666666663</v>
      </c>
      <c r="AR62" s="28">
        <f>'Monthly Data'!AR110</f>
        <v>0</v>
      </c>
      <c r="AS62" s="28">
        <f>'Monthly Data'!AS110</f>
        <v>868.57291666666663</v>
      </c>
      <c r="AT62" s="28">
        <f>'Monthly Data'!AT110</f>
        <v>0</v>
      </c>
      <c r="AU62" s="28">
        <f>'Monthly Data'!AU110</f>
        <v>806.57291666666663</v>
      </c>
      <c r="AV62" s="28">
        <f>'Monthly Data'!AV110</f>
        <v>0</v>
      </c>
      <c r="AW62" s="28">
        <f>'Monthly Data'!AW110</f>
        <v>744.57291666666663</v>
      </c>
      <c r="AX62" s="28">
        <f>'Monthly Data'!AX110</f>
        <v>0</v>
      </c>
      <c r="AY62" s="28">
        <f>'Monthly Data'!AY110</f>
        <v>682.57291666666663</v>
      </c>
      <c r="AZ62" s="28">
        <f>'Monthly Data'!AZ110</f>
        <v>0</v>
      </c>
      <c r="BA62" s="28">
        <f>'Monthly Data'!BA110</f>
        <v>620.57291666666663</v>
      </c>
      <c r="BB62" s="28">
        <f>'Monthly Data'!BB110</f>
        <v>0</v>
      </c>
      <c r="BC62" s="28">
        <f>'Monthly Data'!BC110</f>
        <v>558.57291666666663</v>
      </c>
      <c r="BD62" s="28">
        <f>'Monthly Data'!BD110</f>
        <v>0</v>
      </c>
      <c r="BE62">
        <f>'Monthly Data'!BE110</f>
        <v>1</v>
      </c>
      <c r="BF62">
        <f>'Monthly Data'!BF110</f>
        <v>0</v>
      </c>
      <c r="BG62">
        <f>'Monthly Data'!BG110</f>
        <v>0</v>
      </c>
      <c r="BH62">
        <f>'Monthly Data'!BH110</f>
        <v>0</v>
      </c>
      <c r="BI62">
        <f>'Monthly Data'!BI110</f>
        <v>0</v>
      </c>
      <c r="BJ62">
        <f>'Monthly Data'!BJ110</f>
        <v>0</v>
      </c>
      <c r="BK62">
        <f>'Monthly Data'!BK110</f>
        <v>0</v>
      </c>
      <c r="BL62">
        <f>'Monthly Data'!BL110</f>
        <v>0</v>
      </c>
      <c r="BM62">
        <f>'Monthly Data'!BM110</f>
        <v>0</v>
      </c>
      <c r="BN62">
        <f>'Monthly Data'!BN110</f>
        <v>0</v>
      </c>
      <c r="BO62">
        <f>'Monthly Data'!BO110</f>
        <v>0</v>
      </c>
      <c r="BP62">
        <f>'Monthly Data'!BP110</f>
        <v>0</v>
      </c>
      <c r="BQ62" s="1">
        <f>'Monthly Data'!BQ110</f>
        <v>0</v>
      </c>
      <c r="BR62" s="1">
        <f>'Monthly Data'!BR110</f>
        <v>0</v>
      </c>
      <c r="BS62" s="1">
        <f>'Monthly Data'!BS110</f>
        <v>0</v>
      </c>
      <c r="BT62" s="1">
        <f>'Monthly Data'!BT110</f>
        <v>109</v>
      </c>
      <c r="BU62">
        <f>'Monthly Data'!BU110</f>
        <v>31</v>
      </c>
      <c r="BV62" s="1">
        <f>'Monthly Data'!BV110</f>
        <v>21</v>
      </c>
      <c r="BW62" s="1">
        <f>'Monthly Data'!BW110</f>
        <v>0</v>
      </c>
      <c r="BX62" s="1">
        <f>'Monthly Data'!BX110</f>
        <v>0</v>
      </c>
      <c r="BY62" s="1">
        <f>'Monthly Data'!BY110</f>
        <v>0.25</v>
      </c>
      <c r="BZ62" s="1">
        <f>'Monthly Data'!BZ110</f>
        <v>0</v>
      </c>
      <c r="CA62">
        <f>'Monthly Data'!CA110</f>
        <v>0</v>
      </c>
      <c r="CB62">
        <f>'Monthly Data'!CB110</f>
        <v>0</v>
      </c>
      <c r="CC62">
        <f>'Monthly Data'!CC110</f>
        <v>0</v>
      </c>
      <c r="CD62">
        <f>'Monthly Data'!CD110</f>
        <v>0</v>
      </c>
      <c r="CE62">
        <f>'Monthly Data'!CE110</f>
        <v>0</v>
      </c>
      <c r="CF62">
        <f>'Monthly Data'!CF110</f>
        <v>0</v>
      </c>
      <c r="CG62">
        <f>'Monthly Data'!CG110</f>
        <v>0</v>
      </c>
      <c r="CH62">
        <f>'Monthly Data'!CH110</f>
        <v>0</v>
      </c>
      <c r="CI62">
        <f>'Monthly Data'!CI110</f>
        <v>0</v>
      </c>
      <c r="CJ62">
        <f>'Monthly Data'!CJ110</f>
        <v>0</v>
      </c>
      <c r="CK62">
        <f>'Monthly Data'!CK110</f>
        <v>0</v>
      </c>
      <c r="CL62">
        <f>'Monthly Data'!CL110</f>
        <v>0</v>
      </c>
      <c r="CM62">
        <f>'Monthly Data'!CM110</f>
        <v>0</v>
      </c>
      <c r="CN62">
        <f>'Monthly Data'!CN110</f>
        <v>0</v>
      </c>
      <c r="CO62" s="14">
        <f>'Monthly Data'!CO110</f>
        <v>232.64322916666666</v>
      </c>
      <c r="CP62" s="14">
        <f>'Monthly Data'!CP110</f>
        <v>0</v>
      </c>
      <c r="CQ62" s="14">
        <f>'Monthly Data'!CQ110</f>
        <v>217.14322916666666</v>
      </c>
      <c r="CR62" s="14">
        <f>'Monthly Data'!CR110</f>
        <v>0</v>
      </c>
      <c r="CS62" s="14">
        <f>'Monthly Data'!CS110</f>
        <v>201.64322916666666</v>
      </c>
      <c r="CT62" s="14">
        <f>'Monthly Data'!CT110</f>
        <v>0</v>
      </c>
      <c r="CU62" s="14">
        <f>'Monthly Data'!CU110</f>
        <v>186.14322916666666</v>
      </c>
      <c r="CV62" s="14">
        <f>'Monthly Data'!CV110</f>
        <v>0</v>
      </c>
      <c r="CW62" s="14">
        <f>'Monthly Data'!CW110</f>
        <v>170.64322916666666</v>
      </c>
      <c r="CX62" s="14">
        <f>'Monthly Data'!CX110</f>
        <v>0</v>
      </c>
      <c r="CY62" s="14">
        <f>'Monthly Data'!CY110</f>
        <v>155.14322916666666</v>
      </c>
      <c r="CZ62" s="14">
        <f>'Monthly Data'!CZ110</f>
        <v>0</v>
      </c>
      <c r="DA62" s="14">
        <f>'Monthly Data'!DA110</f>
        <v>139.64322916666666</v>
      </c>
      <c r="DB62" s="14">
        <f>'Monthly Data'!DB110</f>
        <v>0</v>
      </c>
      <c r="DC62" s="72">
        <f>'Monthly Data'!DC110</f>
        <v>946.20085606675582</v>
      </c>
      <c r="DD62" s="72">
        <f>'Monthly Data'!DD110</f>
        <v>30.522608260217929</v>
      </c>
      <c r="DE62" s="71">
        <f>'Monthly Data'!DE110</f>
        <v>316397.35722541908</v>
      </c>
      <c r="DF62" s="72">
        <f>'Monthly Data'!DF110</f>
        <v>2770.4989787113636</v>
      </c>
      <c r="DG62" s="72">
        <f>'Monthly Data'!DG110</f>
        <v>89.370934797140762</v>
      </c>
      <c r="DH62" s="72">
        <f>'Monthly Data'!DH110</f>
        <v>113590.4581271659</v>
      </c>
      <c r="DI62" s="72">
        <f>'Monthly Data'!DI110</f>
        <v>46694.526365420461</v>
      </c>
      <c r="DJ62" s="72">
        <f>'Monthly Data'!DJ110</f>
        <v>1506.2750440458212</v>
      </c>
      <c r="DK62" s="72">
        <f>'Monthly Data'!DK110</f>
        <v>2223.5488745438315</v>
      </c>
      <c r="DL62" s="72">
        <f>'Monthly Data'!DL110</f>
        <v>206359.68103427751</v>
      </c>
      <c r="DM62" s="72">
        <f>'Monthly Data'!DM110</f>
        <v>304626.19581250491</v>
      </c>
    </row>
    <row r="63" spans="1:117">
      <c r="A63" s="93">
        <f>'Monthly Data'!A111</f>
        <v>45689</v>
      </c>
      <c r="B63" s="4">
        <f>'Monthly Data'!B111</f>
        <v>2025</v>
      </c>
      <c r="C63" s="4">
        <f>'Monthly Data'!C111</f>
        <v>2</v>
      </c>
      <c r="D63" s="56">
        <f>'Monthly Data'!D111</f>
        <v>8685959</v>
      </c>
      <c r="E63" s="56">
        <f>'Monthly Data'!E111</f>
        <v>178316.75530723183</v>
      </c>
      <c r="F63" s="56">
        <f>'Monthly Data'!F111</f>
        <v>8864275.7553072311</v>
      </c>
      <c r="G63" s="301">
        <f>'Monthly Data'!G111</f>
        <v>10371</v>
      </c>
      <c r="H63" s="56">
        <f>'Monthly Data'!H111</f>
        <v>2984017</v>
      </c>
      <c r="I63" s="56">
        <f>'Monthly Data'!I111</f>
        <v>264920.83052049839</v>
      </c>
      <c r="J63" s="56">
        <f>'Monthly Data'!J111</f>
        <v>3248937.8305204986</v>
      </c>
      <c r="K63" s="6">
        <f>'Monthly Data'!K111</f>
        <v>1272</v>
      </c>
      <c r="L63" s="5">
        <f>'Monthly Data'!L111</f>
        <v>5784148</v>
      </c>
      <c r="M63" s="2">
        <f>'Monthly Data'!M111</f>
        <v>258976.55917077139</v>
      </c>
      <c r="N63" s="56">
        <f>'Monthly Data'!N111</f>
        <v>6043124.5591707714</v>
      </c>
      <c r="O63" s="5">
        <f>'Monthly Data'!O111</f>
        <v>18918.100000000002</v>
      </c>
      <c r="P63" s="6">
        <f>'Monthly Data'!P111</f>
        <v>137</v>
      </c>
      <c r="Q63" s="5">
        <f>'Monthly Data'!Q111</f>
        <v>86922</v>
      </c>
      <c r="R63" s="5">
        <f>'Monthly Data'!R111</f>
        <v>230.5</v>
      </c>
      <c r="S63" s="6">
        <f>'Monthly Data'!S111</f>
        <v>2906</v>
      </c>
      <c r="T63" s="6">
        <f>'Monthly Data'!T111</f>
        <v>13858</v>
      </c>
      <c r="U63" s="6">
        <f>'Monthly Data'!U111</f>
        <v>37.599999999999994</v>
      </c>
      <c r="V63" s="6">
        <f>'Monthly Data'!V111</f>
        <v>177</v>
      </c>
      <c r="W63" s="5">
        <f>'Monthly Data'!W111</f>
        <v>47741</v>
      </c>
      <c r="X63" s="56">
        <f>'Monthly Data'!X111</f>
        <v>19</v>
      </c>
      <c r="Y63" s="56">
        <f>'Monthly Data'!Y111</f>
        <v>393060</v>
      </c>
      <c r="Z63" s="56">
        <f>'Monthly Data'!Z111</f>
        <v>5612.8</v>
      </c>
      <c r="AA63" s="56">
        <f>'Monthly Data'!AA111</f>
        <v>5391088</v>
      </c>
      <c r="AB63" s="56">
        <f>'Monthly Data'!AB111</f>
        <v>5650064.5591707714</v>
      </c>
      <c r="AC63" s="56">
        <f>'Monthly Data'!AC111</f>
        <v>13305.300000000003</v>
      </c>
      <c r="AD63" s="111">
        <f>'Monthly Data'!AD111</f>
        <v>887796.60117499996</v>
      </c>
      <c r="AE63" s="111">
        <f>'Monthly Data'!AE111</f>
        <v>897095.97550000006</v>
      </c>
      <c r="AF63" s="111">
        <f>'Monthly Data'!AF111</f>
        <v>8230</v>
      </c>
      <c r="AG63" s="111">
        <f>'Monthly Data'!AG111</f>
        <v>8165.5</v>
      </c>
      <c r="AH63" s="111">
        <f>'Monthly Data'!AH111</f>
        <v>707.4</v>
      </c>
      <c r="AI63" s="111">
        <f>'Monthly Data'!AI111</f>
        <v>701.7</v>
      </c>
      <c r="AJ63" s="111">
        <f>'Monthly Data'!AJ111</f>
        <v>182.10000000000036</v>
      </c>
      <c r="AK63" s="111">
        <f>'Monthly Data'!AK111</f>
        <v>174.10000000000036</v>
      </c>
      <c r="AL63" s="111">
        <f>'Monthly Data'!AL111</f>
        <v>19.5</v>
      </c>
      <c r="AM63" s="111">
        <f>'Monthly Data'!AM111</f>
        <v>15.800000000000068</v>
      </c>
      <c r="AN63" s="111">
        <f>'Monthly Data'!AN111</f>
        <v>11176.901175000006</v>
      </c>
      <c r="AO63" s="111">
        <f>'Monthly Data'!AO111</f>
        <v>3894.9755000000587</v>
      </c>
      <c r="AP63" s="28">
        <f>'Monthly Data'!AP111</f>
        <v>-10.394642857142859</v>
      </c>
      <c r="AQ63" s="28">
        <f>'Monthly Data'!AQ111</f>
        <v>851.05000000000007</v>
      </c>
      <c r="AR63" s="28">
        <f>'Monthly Data'!AR111</f>
        <v>0</v>
      </c>
      <c r="AS63" s="28">
        <f>'Monthly Data'!AS111</f>
        <v>795.05000000000007</v>
      </c>
      <c r="AT63" s="28">
        <f>'Monthly Data'!AT111</f>
        <v>0</v>
      </c>
      <c r="AU63" s="28">
        <f>'Monthly Data'!AU111</f>
        <v>739.05000000000007</v>
      </c>
      <c r="AV63" s="28">
        <f>'Monthly Data'!AV111</f>
        <v>0</v>
      </c>
      <c r="AW63" s="28">
        <f>'Monthly Data'!AW111</f>
        <v>683.05000000000007</v>
      </c>
      <c r="AX63" s="28">
        <f>'Monthly Data'!AX111</f>
        <v>0</v>
      </c>
      <c r="AY63" s="28">
        <f>'Monthly Data'!AY111</f>
        <v>627.05000000000007</v>
      </c>
      <c r="AZ63" s="28">
        <f>'Monthly Data'!AZ111</f>
        <v>0</v>
      </c>
      <c r="BA63" s="28">
        <f>'Monthly Data'!BA111</f>
        <v>571.05000000000007</v>
      </c>
      <c r="BB63" s="28">
        <f>'Monthly Data'!BB111</f>
        <v>0</v>
      </c>
      <c r="BC63" s="28">
        <f>'Monthly Data'!BC111</f>
        <v>515.05000000000018</v>
      </c>
      <c r="BD63" s="28">
        <f>'Monthly Data'!BD111</f>
        <v>0</v>
      </c>
      <c r="BE63">
        <f>'Monthly Data'!BE111</f>
        <v>0</v>
      </c>
      <c r="BF63">
        <f>'Monthly Data'!BF111</f>
        <v>1</v>
      </c>
      <c r="BG63">
        <f>'Monthly Data'!BG111</f>
        <v>0</v>
      </c>
      <c r="BH63">
        <f>'Monthly Data'!BH111</f>
        <v>0</v>
      </c>
      <c r="BI63">
        <f>'Monthly Data'!BI111</f>
        <v>0</v>
      </c>
      <c r="BJ63">
        <f>'Monthly Data'!BJ111</f>
        <v>0</v>
      </c>
      <c r="BK63">
        <f>'Monthly Data'!BK111</f>
        <v>0</v>
      </c>
      <c r="BL63">
        <f>'Monthly Data'!BL111</f>
        <v>0</v>
      </c>
      <c r="BM63">
        <f>'Monthly Data'!BM111</f>
        <v>0</v>
      </c>
      <c r="BN63">
        <f>'Monthly Data'!BN111</f>
        <v>0</v>
      </c>
      <c r="BO63">
        <f>'Monthly Data'!BO111</f>
        <v>0</v>
      </c>
      <c r="BP63">
        <f>'Monthly Data'!BP111</f>
        <v>0</v>
      </c>
      <c r="BQ63" s="1">
        <f>'Monthly Data'!BQ111</f>
        <v>0</v>
      </c>
      <c r="BR63" s="1">
        <f>'Monthly Data'!BR111</f>
        <v>0</v>
      </c>
      <c r="BS63" s="1">
        <f>'Monthly Data'!BS111</f>
        <v>0</v>
      </c>
      <c r="BT63" s="1">
        <f>'Monthly Data'!BT111</f>
        <v>110</v>
      </c>
      <c r="BU63">
        <f>'Monthly Data'!BU111</f>
        <v>28</v>
      </c>
      <c r="BV63" s="1">
        <f>'Monthly Data'!BV111</f>
        <v>19</v>
      </c>
      <c r="BW63" s="1">
        <f>'Monthly Data'!BW111</f>
        <v>0</v>
      </c>
      <c r="BX63" s="1">
        <f>'Monthly Data'!BX111</f>
        <v>0</v>
      </c>
      <c r="BY63" s="1">
        <f>'Monthly Data'!BY111</f>
        <v>0.25</v>
      </c>
      <c r="BZ63" s="1">
        <f>'Monthly Data'!BZ111</f>
        <v>0</v>
      </c>
      <c r="CA63">
        <f>'Monthly Data'!CA111</f>
        <v>0</v>
      </c>
      <c r="CB63">
        <f>'Monthly Data'!CB111</f>
        <v>0</v>
      </c>
      <c r="CC63">
        <f>'Monthly Data'!CC111</f>
        <v>0</v>
      </c>
      <c r="CD63">
        <f>'Monthly Data'!CD111</f>
        <v>0</v>
      </c>
      <c r="CE63">
        <f>'Monthly Data'!CE111</f>
        <v>0</v>
      </c>
      <c r="CF63">
        <f>'Monthly Data'!CF111</f>
        <v>0</v>
      </c>
      <c r="CG63">
        <f>'Monthly Data'!CG111</f>
        <v>0</v>
      </c>
      <c r="CH63">
        <f>'Monthly Data'!CH111</f>
        <v>0</v>
      </c>
      <c r="CI63">
        <f>'Monthly Data'!CI111</f>
        <v>0</v>
      </c>
      <c r="CJ63">
        <f>'Monthly Data'!CJ111</f>
        <v>0</v>
      </c>
      <c r="CK63">
        <f>'Monthly Data'!CK111</f>
        <v>0</v>
      </c>
      <c r="CL63">
        <f>'Monthly Data'!CL111</f>
        <v>0</v>
      </c>
      <c r="CM63">
        <f>'Monthly Data'!CM111</f>
        <v>0</v>
      </c>
      <c r="CN63">
        <f>'Monthly Data'!CN111</f>
        <v>0</v>
      </c>
      <c r="CO63" s="14">
        <f>'Monthly Data'!CO111</f>
        <v>212.76250000000002</v>
      </c>
      <c r="CP63" s="14">
        <f>'Monthly Data'!CP111</f>
        <v>0</v>
      </c>
      <c r="CQ63" s="14">
        <f>'Monthly Data'!CQ111</f>
        <v>198.76250000000002</v>
      </c>
      <c r="CR63" s="14">
        <f>'Monthly Data'!CR111</f>
        <v>0</v>
      </c>
      <c r="CS63" s="14">
        <f>'Monthly Data'!CS111</f>
        <v>184.76250000000002</v>
      </c>
      <c r="CT63" s="14">
        <f>'Monthly Data'!CT111</f>
        <v>0</v>
      </c>
      <c r="CU63" s="14">
        <f>'Monthly Data'!CU111</f>
        <v>170.76250000000002</v>
      </c>
      <c r="CV63" s="14">
        <f>'Monthly Data'!CV111</f>
        <v>0</v>
      </c>
      <c r="CW63" s="14">
        <f>'Monthly Data'!CW111</f>
        <v>156.76250000000002</v>
      </c>
      <c r="CX63" s="14">
        <f>'Monthly Data'!CX111</f>
        <v>0</v>
      </c>
      <c r="CY63" s="14">
        <f>'Monthly Data'!CY111</f>
        <v>142.76250000000002</v>
      </c>
      <c r="CZ63" s="14">
        <f>'Monthly Data'!CZ111</f>
        <v>0</v>
      </c>
      <c r="DA63" s="14">
        <f>'Monthly Data'!DA111</f>
        <v>128.76250000000005</v>
      </c>
      <c r="DB63" s="14">
        <f>'Monthly Data'!DB111</f>
        <v>0</v>
      </c>
      <c r="DC63" s="72">
        <f>'Monthly Data'!DC111</f>
        <v>854.71755426740253</v>
      </c>
      <c r="DD63" s="72">
        <f>'Monthly Data'!DD111</f>
        <v>30.525626938121519</v>
      </c>
      <c r="DE63" s="71">
        <f>'Monthly Data'!DE111</f>
        <v>316581.27697525825</v>
      </c>
      <c r="DF63" s="72">
        <f>'Monthly Data'!DF111</f>
        <v>2554.1964076419013</v>
      </c>
      <c r="DG63" s="72">
        <f>'Monthly Data'!DG111</f>
        <v>91.221300272925049</v>
      </c>
      <c r="DH63" s="72">
        <f>'Monthly Data'!DH111</f>
        <v>116033.49394716066</v>
      </c>
      <c r="DI63" s="72">
        <f>'Monthly Data'!DI111</f>
        <v>44110.398242122421</v>
      </c>
      <c r="DJ63" s="72">
        <f>'Monthly Data'!DJ111</f>
        <v>1575.3713657900864</v>
      </c>
      <c r="DK63" s="72">
        <f>'Monthly Data'!DK111</f>
        <v>2321.5999074801275</v>
      </c>
      <c r="DL63" s="72">
        <f>'Monthly Data'!DL111</f>
        <v>215825.87711324185</v>
      </c>
      <c r="DM63" s="72">
        <f>'Monthly Data'!DM111</f>
        <v>318059.18732477742</v>
      </c>
    </row>
    <row r="64" spans="1:117">
      <c r="A64" s="93">
        <f>'Monthly Data'!A112</f>
        <v>45717</v>
      </c>
      <c r="B64" s="4">
        <f>'Monthly Data'!B112</f>
        <v>2025</v>
      </c>
      <c r="C64" s="4">
        <f>'Monthly Data'!C112</f>
        <v>3</v>
      </c>
      <c r="D64" s="56">
        <f>'Monthly Data'!D112</f>
        <v>8094438</v>
      </c>
      <c r="E64" s="56">
        <f>'Monthly Data'!E112</f>
        <v>179139.4366264733</v>
      </c>
      <c r="F64" s="56">
        <f>'Monthly Data'!F112</f>
        <v>8273577.4366264734</v>
      </c>
      <c r="G64" s="301">
        <f>'Monthly Data'!G112</f>
        <v>10390</v>
      </c>
      <c r="H64" s="56">
        <f>'Monthly Data'!H112</f>
        <v>2855748</v>
      </c>
      <c r="I64" s="56">
        <f>'Monthly Data'!I112</f>
        <v>267008.45909885352</v>
      </c>
      <c r="J64" s="56">
        <f>'Monthly Data'!J112</f>
        <v>3122756.4590988536</v>
      </c>
      <c r="K64" s="6">
        <f>'Monthly Data'!K112</f>
        <v>1273</v>
      </c>
      <c r="L64" s="5">
        <f>'Monthly Data'!L112</f>
        <v>5561728</v>
      </c>
      <c r="M64" s="2">
        <f>'Monthly Data'!M112</f>
        <v>261281.00627893972</v>
      </c>
      <c r="N64" s="56">
        <f>'Monthly Data'!N112</f>
        <v>5823009.0062789395</v>
      </c>
      <c r="O64" s="5">
        <f>'Monthly Data'!O112</f>
        <v>14776.099999999999</v>
      </c>
      <c r="P64" s="6">
        <f>'Monthly Data'!P112</f>
        <v>137</v>
      </c>
      <c r="Q64" s="5">
        <f>'Monthly Data'!Q112</f>
        <v>86422</v>
      </c>
      <c r="R64" s="5">
        <f>'Monthly Data'!R112</f>
        <v>230.5</v>
      </c>
      <c r="S64" s="6">
        <f>'Monthly Data'!S112</f>
        <v>2906</v>
      </c>
      <c r="T64" s="6">
        <f>'Monthly Data'!T112</f>
        <v>13858</v>
      </c>
      <c r="U64" s="6">
        <f>'Monthly Data'!U112</f>
        <v>37.599999999999994</v>
      </c>
      <c r="V64" s="6">
        <f>'Monthly Data'!V112</f>
        <v>177</v>
      </c>
      <c r="W64" s="5">
        <f>'Monthly Data'!W112</f>
        <v>50345</v>
      </c>
      <c r="X64" s="56">
        <f>'Monthly Data'!X112</f>
        <v>19</v>
      </c>
      <c r="Y64" s="56">
        <f>'Monthly Data'!Y112</f>
        <v>94755.199999999997</v>
      </c>
      <c r="Z64" s="56">
        <f>'Monthly Data'!Z112</f>
        <v>1369.6</v>
      </c>
      <c r="AA64" s="56">
        <f>'Monthly Data'!AA112</f>
        <v>5466972.7999999998</v>
      </c>
      <c r="AB64" s="56">
        <f>'Monthly Data'!AB112</f>
        <v>5728253.8062789394</v>
      </c>
      <c r="AC64" s="56">
        <f>'Monthly Data'!AC112</f>
        <v>13406.499999999998</v>
      </c>
      <c r="AD64" s="111">
        <f>'Monthly Data'!AD112</f>
        <v>887796.60117499996</v>
      </c>
      <c r="AE64" s="111">
        <f>'Monthly Data'!AE112</f>
        <v>897095.97550000006</v>
      </c>
      <c r="AF64" s="111">
        <f>'Monthly Data'!AF112</f>
        <v>8233.7999999999993</v>
      </c>
      <c r="AG64" s="111">
        <f>'Monthly Data'!AG112</f>
        <v>8155.5</v>
      </c>
      <c r="AH64" s="111">
        <f>'Monthly Data'!AH112</f>
        <v>710</v>
      </c>
      <c r="AI64" s="111">
        <f>'Monthly Data'!AI112</f>
        <v>705.5</v>
      </c>
      <c r="AJ64" s="111">
        <f>'Monthly Data'!AJ112</f>
        <v>167.79999999999927</v>
      </c>
      <c r="AK64" s="111">
        <f>'Monthly Data'!AK112</f>
        <v>166.89999999999964</v>
      </c>
      <c r="AL64" s="111">
        <f>'Monthly Data'!AL112</f>
        <v>27</v>
      </c>
      <c r="AM64" s="111">
        <f>'Monthly Data'!AM112</f>
        <v>25.299999999999955</v>
      </c>
      <c r="AN64" s="111">
        <f>'Monthly Data'!AN112</f>
        <v>11176.901175000006</v>
      </c>
      <c r="AO64" s="111">
        <f>'Monthly Data'!AO112</f>
        <v>3894.9755000000587</v>
      </c>
      <c r="AP64" s="28">
        <f>'Monthly Data'!AP112</f>
        <v>-2.0059139784946241</v>
      </c>
      <c r="AQ64" s="28">
        <f>'Monthly Data'!AQ112</f>
        <v>682.18333333333362</v>
      </c>
      <c r="AR64" s="28">
        <f>'Monthly Data'!AR112</f>
        <v>0</v>
      </c>
      <c r="AS64" s="28">
        <f>'Monthly Data'!AS112</f>
        <v>620.18333333333362</v>
      </c>
      <c r="AT64" s="28">
        <f>'Monthly Data'!AT112</f>
        <v>0</v>
      </c>
      <c r="AU64" s="28">
        <f>'Monthly Data'!AU112</f>
        <v>558.18333333333351</v>
      </c>
      <c r="AV64" s="28">
        <f>'Monthly Data'!AV112</f>
        <v>0</v>
      </c>
      <c r="AW64" s="28">
        <f>'Monthly Data'!AW112</f>
        <v>496.18333333333339</v>
      </c>
      <c r="AX64" s="28">
        <f>'Monthly Data'!AX112</f>
        <v>0</v>
      </c>
      <c r="AY64" s="28">
        <f>'Monthly Data'!AY112</f>
        <v>434.18333333333334</v>
      </c>
      <c r="AZ64" s="28">
        <f>'Monthly Data'!AZ112</f>
        <v>0</v>
      </c>
      <c r="BA64" s="28">
        <f>'Monthly Data'!BA112</f>
        <v>372.18333333333328</v>
      </c>
      <c r="BB64" s="28">
        <f>'Monthly Data'!BB112</f>
        <v>0</v>
      </c>
      <c r="BC64" s="28">
        <f>'Monthly Data'!BC112</f>
        <v>310.18333333333328</v>
      </c>
      <c r="BD64" s="28">
        <f>'Monthly Data'!BD112</f>
        <v>0</v>
      </c>
      <c r="BE64">
        <f>'Monthly Data'!BE112</f>
        <v>0</v>
      </c>
      <c r="BF64">
        <f>'Monthly Data'!BF112</f>
        <v>0</v>
      </c>
      <c r="BG64">
        <f>'Monthly Data'!BG112</f>
        <v>1</v>
      </c>
      <c r="BH64">
        <f>'Monthly Data'!BH112</f>
        <v>0</v>
      </c>
      <c r="BI64">
        <f>'Monthly Data'!BI112</f>
        <v>0</v>
      </c>
      <c r="BJ64">
        <f>'Monthly Data'!BJ112</f>
        <v>0</v>
      </c>
      <c r="BK64">
        <f>'Monthly Data'!BK112</f>
        <v>0</v>
      </c>
      <c r="BL64">
        <f>'Monthly Data'!BL112</f>
        <v>0</v>
      </c>
      <c r="BM64">
        <f>'Monthly Data'!BM112</f>
        <v>0</v>
      </c>
      <c r="BN64">
        <f>'Monthly Data'!BN112</f>
        <v>0</v>
      </c>
      <c r="BO64">
        <f>'Monthly Data'!BO112</f>
        <v>0</v>
      </c>
      <c r="BP64">
        <f>'Monthly Data'!BP112</f>
        <v>0</v>
      </c>
      <c r="BQ64" s="1">
        <f>'Monthly Data'!BQ112</f>
        <v>1</v>
      </c>
      <c r="BR64" s="1">
        <f>'Monthly Data'!BR112</f>
        <v>0</v>
      </c>
      <c r="BS64" s="1">
        <f>'Monthly Data'!BS112</f>
        <v>1</v>
      </c>
      <c r="BT64" s="1">
        <f>'Monthly Data'!BT112</f>
        <v>111</v>
      </c>
      <c r="BU64">
        <f>'Monthly Data'!BU112</f>
        <v>31</v>
      </c>
      <c r="BV64" s="1">
        <f>'Monthly Data'!BV112</f>
        <v>23</v>
      </c>
      <c r="BW64" s="1">
        <f>'Monthly Data'!BW112</f>
        <v>0</v>
      </c>
      <c r="BX64" s="1">
        <f>'Monthly Data'!BX112</f>
        <v>0</v>
      </c>
      <c r="BY64" s="1">
        <f>'Monthly Data'!BY112</f>
        <v>0.25</v>
      </c>
      <c r="BZ64" s="1">
        <f>'Monthly Data'!BZ112</f>
        <v>0</v>
      </c>
      <c r="CA64">
        <f>'Monthly Data'!CA112</f>
        <v>0</v>
      </c>
      <c r="CB64">
        <f>'Monthly Data'!CB112</f>
        <v>0</v>
      </c>
      <c r="CC64">
        <f>'Monthly Data'!CC112</f>
        <v>0</v>
      </c>
      <c r="CD64">
        <f>'Monthly Data'!CD112</f>
        <v>0</v>
      </c>
      <c r="CE64">
        <f>'Monthly Data'!CE112</f>
        <v>0</v>
      </c>
      <c r="CF64">
        <f>'Monthly Data'!CF112</f>
        <v>0</v>
      </c>
      <c r="CG64">
        <f>'Monthly Data'!CG112</f>
        <v>0</v>
      </c>
      <c r="CH64">
        <f>'Monthly Data'!CH112</f>
        <v>0</v>
      </c>
      <c r="CI64">
        <f>'Monthly Data'!CI112</f>
        <v>0</v>
      </c>
      <c r="CJ64">
        <f>'Monthly Data'!CJ112</f>
        <v>0</v>
      </c>
      <c r="CK64">
        <f>'Monthly Data'!CK112</f>
        <v>0</v>
      </c>
      <c r="CL64">
        <f>'Monthly Data'!CL112</f>
        <v>0</v>
      </c>
      <c r="CM64">
        <f>'Monthly Data'!CM112</f>
        <v>0</v>
      </c>
      <c r="CN64">
        <f>'Monthly Data'!CN112</f>
        <v>0</v>
      </c>
      <c r="CO64" s="14">
        <f>'Monthly Data'!CO112</f>
        <v>170.54583333333341</v>
      </c>
      <c r="CP64" s="14">
        <f>'Monthly Data'!CP112</f>
        <v>0</v>
      </c>
      <c r="CQ64" s="14">
        <f>'Monthly Data'!CQ112</f>
        <v>155.04583333333341</v>
      </c>
      <c r="CR64" s="14">
        <f>'Monthly Data'!CR112</f>
        <v>0</v>
      </c>
      <c r="CS64" s="14">
        <f>'Monthly Data'!CS112</f>
        <v>139.54583333333338</v>
      </c>
      <c r="CT64" s="14">
        <f>'Monthly Data'!CT112</f>
        <v>0</v>
      </c>
      <c r="CU64" s="14">
        <f>'Monthly Data'!CU112</f>
        <v>124.04583333333335</v>
      </c>
      <c r="CV64" s="14">
        <f>'Monthly Data'!CV112</f>
        <v>0</v>
      </c>
      <c r="CW64" s="14">
        <f>'Monthly Data'!CW112</f>
        <v>108.54583333333333</v>
      </c>
      <c r="CX64" s="14">
        <f>'Monthly Data'!CX112</f>
        <v>0</v>
      </c>
      <c r="CY64" s="14">
        <f>'Monthly Data'!CY112</f>
        <v>93.04583333333332</v>
      </c>
      <c r="CZ64" s="14">
        <f>'Monthly Data'!CZ112</f>
        <v>0</v>
      </c>
      <c r="DA64" s="14">
        <f>'Monthly Data'!DA112</f>
        <v>77.54583333333332</v>
      </c>
      <c r="DB64" s="14">
        <f>'Monthly Data'!DB112</f>
        <v>0</v>
      </c>
      <c r="DC64" s="72">
        <f>'Monthly Data'!DC112</f>
        <v>796.30196695153734</v>
      </c>
      <c r="DD64" s="72">
        <f>'Monthly Data'!DD112</f>
        <v>25.68716022424314</v>
      </c>
      <c r="DE64" s="71">
        <f>'Monthly Data'!DE112</f>
        <v>266889.59472988622</v>
      </c>
      <c r="DF64" s="72">
        <f>'Monthly Data'!DF112</f>
        <v>2453.0687031412831</v>
      </c>
      <c r="DG64" s="72">
        <f>'Monthly Data'!DG112</f>
        <v>79.131248488428483</v>
      </c>
      <c r="DH64" s="72">
        <f>'Monthly Data'!DH112</f>
        <v>100734.07932576947</v>
      </c>
      <c r="DI64" s="72">
        <f>'Monthly Data'!DI112</f>
        <v>42503.71537429883</v>
      </c>
      <c r="DJ64" s="72">
        <f>'Monthly Data'!DJ112</f>
        <v>1371.0875927193172</v>
      </c>
      <c r="DK64" s="72">
        <f>'Monthly Data'!DK112</f>
        <v>1847.9876249695144</v>
      </c>
      <c r="DL64" s="72">
        <f>'Monthly Data'!DL112</f>
        <v>187839.00020254645</v>
      </c>
      <c r="DM64" s="72">
        <f>'Monthly Data'!DM112</f>
        <v>253174.30462082344</v>
      </c>
    </row>
    <row r="65" spans="1:117">
      <c r="A65" s="93">
        <f>'Monthly Data'!A113</f>
        <v>45748</v>
      </c>
      <c r="B65" s="4">
        <f>'Monthly Data'!B113</f>
        <v>2025</v>
      </c>
      <c r="C65" s="4">
        <f>'Monthly Data'!C113</f>
        <v>4</v>
      </c>
      <c r="D65" s="56">
        <f>'Monthly Data'!D113</f>
        <v>6743989</v>
      </c>
      <c r="E65" s="56">
        <f>'Monthly Data'!E113</f>
        <v>179962.11794571477</v>
      </c>
      <c r="F65" s="56">
        <f>'Monthly Data'!F113</f>
        <v>6923951.1179457149</v>
      </c>
      <c r="G65" s="301">
        <f>'Monthly Data'!G113</f>
        <v>10390</v>
      </c>
      <c r="H65" s="56">
        <f>'Monthly Data'!H113</f>
        <v>2382953</v>
      </c>
      <c r="I65" s="56">
        <f>'Monthly Data'!I113</f>
        <v>269096.08767720865</v>
      </c>
      <c r="J65" s="56">
        <f>'Monthly Data'!J113</f>
        <v>2652049.0876772087</v>
      </c>
      <c r="K65" s="6">
        <f>'Monthly Data'!K113</f>
        <v>1268</v>
      </c>
      <c r="L65" s="5">
        <f>'Monthly Data'!L113</f>
        <v>4897517</v>
      </c>
      <c r="M65" s="2">
        <f>'Monthly Data'!M113</f>
        <v>263585.45338710805</v>
      </c>
      <c r="N65" s="56">
        <f>'Monthly Data'!N113</f>
        <v>5161102.4533871077</v>
      </c>
      <c r="O65" s="5">
        <f>'Monthly Data'!O113</f>
        <v>17824.500000000004</v>
      </c>
      <c r="P65" s="6">
        <f>'Monthly Data'!P113</f>
        <v>136</v>
      </c>
      <c r="Q65" s="5">
        <f>'Monthly Data'!Q113</f>
        <v>72976</v>
      </c>
      <c r="R65" s="5">
        <f>'Monthly Data'!R113</f>
        <v>230.5</v>
      </c>
      <c r="S65" s="6">
        <f>'Monthly Data'!S113</f>
        <v>2906</v>
      </c>
      <c r="T65" s="6">
        <f>'Monthly Data'!T113</f>
        <v>13708</v>
      </c>
      <c r="U65" s="6">
        <f>'Monthly Data'!U113</f>
        <v>36.799999999999997</v>
      </c>
      <c r="V65" s="6">
        <f>'Monthly Data'!V113</f>
        <v>177</v>
      </c>
      <c r="W65" s="5">
        <f>'Monthly Data'!W113</f>
        <v>48833</v>
      </c>
      <c r="X65" s="56">
        <f>'Monthly Data'!X113</f>
        <v>19</v>
      </c>
      <c r="Y65" s="56">
        <f>'Monthly Data'!Y113</f>
        <v>4427.2</v>
      </c>
      <c r="Z65" s="56">
        <f>'Monthly Data'!Z113</f>
        <v>4288</v>
      </c>
      <c r="AA65" s="56">
        <f>'Monthly Data'!AA113</f>
        <v>4893089.8</v>
      </c>
      <c r="AB65" s="56">
        <f>'Monthly Data'!AB113</f>
        <v>5156675.2533871075</v>
      </c>
      <c r="AC65" s="56">
        <f>'Monthly Data'!AC113</f>
        <v>13536.500000000004</v>
      </c>
      <c r="AD65" s="111">
        <f>'Monthly Data'!AD113</f>
        <v>887796.60117499996</v>
      </c>
      <c r="AE65" s="111">
        <f>'Monthly Data'!AE113</f>
        <v>900064.34574999998</v>
      </c>
      <c r="AF65" s="111">
        <f>'Monthly Data'!AF113</f>
        <v>8220.2999999999993</v>
      </c>
      <c r="AG65" s="111">
        <f>'Monthly Data'!AG113</f>
        <v>8165.3</v>
      </c>
      <c r="AH65" s="111">
        <f>'Monthly Data'!AH113</f>
        <v>708</v>
      </c>
      <c r="AI65" s="111">
        <f>'Monthly Data'!AI113</f>
        <v>704.9</v>
      </c>
      <c r="AJ65" s="111">
        <f>'Monthly Data'!AJ113</f>
        <v>133.19999999999891</v>
      </c>
      <c r="AK65" s="111">
        <f>'Monthly Data'!AK113</f>
        <v>132</v>
      </c>
      <c r="AL65" s="111">
        <f>'Monthly Data'!AL113</f>
        <v>29.799999999999955</v>
      </c>
      <c r="AM65" s="111">
        <f>'Monthly Data'!AM113</f>
        <v>29.100000000000023</v>
      </c>
      <c r="AN65" s="111">
        <f>'Monthly Data'!AN113</f>
        <v>11176.901175000006</v>
      </c>
      <c r="AO65" s="111">
        <f>'Monthly Data'!AO113</f>
        <v>2968.3702499999199</v>
      </c>
      <c r="AP65" s="28">
        <f>'Monthly Data'!AP113</f>
        <v>4.0188194444444445</v>
      </c>
      <c r="AQ65" s="28">
        <f>'Monthly Data'!AQ113</f>
        <v>479.43541666666664</v>
      </c>
      <c r="AR65" s="28">
        <f>'Monthly Data'!AR113</f>
        <v>0</v>
      </c>
      <c r="AS65" s="28">
        <f>'Monthly Data'!AS113</f>
        <v>419.4354166666667</v>
      </c>
      <c r="AT65" s="28">
        <f>'Monthly Data'!AT113</f>
        <v>0</v>
      </c>
      <c r="AU65" s="28">
        <f>'Monthly Data'!AU113</f>
        <v>359.45624999999995</v>
      </c>
      <c r="AV65" s="28">
        <f>'Monthly Data'!AV113</f>
        <v>2.0833333333332149E-2</v>
      </c>
      <c r="AW65" s="28">
        <f>'Monthly Data'!AW113</f>
        <v>301.45625000000001</v>
      </c>
      <c r="AX65" s="28">
        <f>'Monthly Data'!AX113</f>
        <v>2.0208333333333321</v>
      </c>
      <c r="AY65" s="28">
        <f>'Monthly Data'!AY113</f>
        <v>244.1229166666667</v>
      </c>
      <c r="AZ65" s="28">
        <f>'Monthly Data'!AZ113</f>
        <v>4.6874999999999982</v>
      </c>
      <c r="BA65" s="28">
        <f>'Monthly Data'!BA113</f>
        <v>188.24375000000001</v>
      </c>
      <c r="BB65" s="28">
        <f>'Monthly Data'!BB113</f>
        <v>8.80833333333333</v>
      </c>
      <c r="BC65" s="28">
        <f>'Monthly Data'!BC113</f>
        <v>138.13124999999997</v>
      </c>
      <c r="BD65" s="28">
        <f>'Monthly Data'!BD113</f>
        <v>18.695833333333333</v>
      </c>
      <c r="BE65">
        <f>'Monthly Data'!BE113</f>
        <v>0</v>
      </c>
      <c r="BF65">
        <f>'Monthly Data'!BF113</f>
        <v>0</v>
      </c>
      <c r="BG65">
        <f>'Monthly Data'!BG113</f>
        <v>0</v>
      </c>
      <c r="BH65">
        <f>'Monthly Data'!BH113</f>
        <v>1</v>
      </c>
      <c r="BI65">
        <f>'Monthly Data'!BI113</f>
        <v>0</v>
      </c>
      <c r="BJ65">
        <f>'Monthly Data'!BJ113</f>
        <v>0</v>
      </c>
      <c r="BK65">
        <f>'Monthly Data'!BK113</f>
        <v>0</v>
      </c>
      <c r="BL65">
        <f>'Monthly Data'!BL113</f>
        <v>0</v>
      </c>
      <c r="BM65">
        <f>'Monthly Data'!BM113</f>
        <v>0</v>
      </c>
      <c r="BN65">
        <f>'Monthly Data'!BN113</f>
        <v>0</v>
      </c>
      <c r="BO65">
        <f>'Monthly Data'!BO113</f>
        <v>0</v>
      </c>
      <c r="BP65">
        <f>'Monthly Data'!BP113</f>
        <v>0</v>
      </c>
      <c r="BQ65" s="1">
        <f>'Monthly Data'!BQ113</f>
        <v>1</v>
      </c>
      <c r="BR65" s="1">
        <f>'Monthly Data'!BR113</f>
        <v>0</v>
      </c>
      <c r="BS65" s="1">
        <f>'Monthly Data'!BS113</f>
        <v>1</v>
      </c>
      <c r="BT65" s="1">
        <f>'Monthly Data'!BT113</f>
        <v>112</v>
      </c>
      <c r="BU65">
        <f>'Monthly Data'!BU113</f>
        <v>30</v>
      </c>
      <c r="BV65" s="1">
        <f>'Monthly Data'!BV113</f>
        <v>19</v>
      </c>
      <c r="BW65" s="1">
        <f>'Monthly Data'!BW113</f>
        <v>0</v>
      </c>
      <c r="BX65" s="1">
        <f>'Monthly Data'!BX113</f>
        <v>0</v>
      </c>
      <c r="BY65" s="1">
        <f>'Monthly Data'!BY113</f>
        <v>0.25</v>
      </c>
      <c r="BZ65" s="1">
        <f>'Monthly Data'!BZ113</f>
        <v>0</v>
      </c>
      <c r="CA65">
        <f>'Monthly Data'!CA113</f>
        <v>0</v>
      </c>
      <c r="CB65">
        <f>'Monthly Data'!CB113</f>
        <v>0</v>
      </c>
      <c r="CC65">
        <f>'Monthly Data'!CC113</f>
        <v>0</v>
      </c>
      <c r="CD65">
        <f>'Monthly Data'!CD113</f>
        <v>0</v>
      </c>
      <c r="CE65">
        <f>'Monthly Data'!CE113</f>
        <v>0</v>
      </c>
      <c r="CF65">
        <f>'Monthly Data'!CF113</f>
        <v>0</v>
      </c>
      <c r="CG65">
        <f>'Monthly Data'!CG113</f>
        <v>0</v>
      </c>
      <c r="CH65">
        <f>'Monthly Data'!CH113</f>
        <v>0</v>
      </c>
      <c r="CI65">
        <f>'Monthly Data'!CI113</f>
        <v>0</v>
      </c>
      <c r="CJ65">
        <f>'Monthly Data'!CJ113</f>
        <v>0</v>
      </c>
      <c r="CK65">
        <f>'Monthly Data'!CK113</f>
        <v>0</v>
      </c>
      <c r="CL65">
        <f>'Monthly Data'!CL113</f>
        <v>0</v>
      </c>
      <c r="CM65">
        <f>'Monthly Data'!CM113</f>
        <v>0</v>
      </c>
      <c r="CN65">
        <f>'Monthly Data'!CN113</f>
        <v>0</v>
      </c>
      <c r="CO65" s="14">
        <f>'Monthly Data'!CO113</f>
        <v>119.85885416666666</v>
      </c>
      <c r="CP65" s="14">
        <f>'Monthly Data'!CP113</f>
        <v>0</v>
      </c>
      <c r="CQ65" s="14">
        <f>'Monthly Data'!CQ113</f>
        <v>104.85885416666667</v>
      </c>
      <c r="CR65" s="14">
        <f>'Monthly Data'!CR113</f>
        <v>0</v>
      </c>
      <c r="CS65" s="14">
        <f>'Monthly Data'!CS113</f>
        <v>89.864062499999989</v>
      </c>
      <c r="CT65" s="14">
        <f>'Monthly Data'!CT113</f>
        <v>5.2083333333330373E-3</v>
      </c>
      <c r="CU65" s="14">
        <f>'Monthly Data'!CU113</f>
        <v>75.364062500000003</v>
      </c>
      <c r="CV65" s="14">
        <f>'Monthly Data'!CV113</f>
        <v>0.50520833333333304</v>
      </c>
      <c r="CW65" s="14">
        <f>'Monthly Data'!CW113</f>
        <v>61.030729166666674</v>
      </c>
      <c r="CX65" s="14">
        <f>'Monthly Data'!CX113</f>
        <v>1.1718749999999996</v>
      </c>
      <c r="CY65" s="14">
        <f>'Monthly Data'!CY113</f>
        <v>47.060937500000001</v>
      </c>
      <c r="CZ65" s="14">
        <f>'Monthly Data'!CZ113</f>
        <v>2.2020833333333325</v>
      </c>
      <c r="DA65" s="14">
        <f>'Monthly Data'!DA113</f>
        <v>34.532812499999991</v>
      </c>
      <c r="DB65" s="14">
        <f>'Monthly Data'!DB113</f>
        <v>4.6739583333333332</v>
      </c>
      <c r="DC65" s="72">
        <f>'Monthly Data'!DC113</f>
        <v>666.40530490334118</v>
      </c>
      <c r="DD65" s="72">
        <f>'Monthly Data'!DD113</f>
        <v>22.213510163444706</v>
      </c>
      <c r="DE65" s="71">
        <f>'Monthly Data'!DE113</f>
        <v>230798.37059819049</v>
      </c>
      <c r="DF65" s="72">
        <f>'Monthly Data'!DF113</f>
        <v>2091.5213625214578</v>
      </c>
      <c r="DG65" s="72">
        <f>'Monthly Data'!DG113</f>
        <v>69.717378750715255</v>
      </c>
      <c r="DH65" s="72">
        <f>'Monthly Data'!DH113</f>
        <v>88401.636255906953</v>
      </c>
      <c r="DI65" s="72">
        <f>'Monthly Data'!DI113</f>
        <v>37949.282745493438</v>
      </c>
      <c r="DJ65" s="72">
        <f>'Monthly Data'!DJ113</f>
        <v>1264.9760915164479</v>
      </c>
      <c r="DK65" s="72">
        <f>'Monthly Data'!DK113</f>
        <v>1997.3306708154441</v>
      </c>
      <c r="DL65" s="72">
        <f>'Monthly Data'!DL113</f>
        <v>172036.74844623692</v>
      </c>
      <c r="DM65" s="72">
        <f>'Monthly Data'!DM113</f>
        <v>271636.97123090038</v>
      </c>
    </row>
    <row r="66" spans="1:117">
      <c r="A66" s="93">
        <f>'Monthly Data'!A114</f>
        <v>45778</v>
      </c>
      <c r="B66" s="4">
        <f>'Monthly Data'!B114</f>
        <v>2025</v>
      </c>
      <c r="C66" s="4">
        <f>'Monthly Data'!C114</f>
        <v>5</v>
      </c>
      <c r="D66" s="56">
        <f>'Monthly Data'!D114</f>
        <v>5933055</v>
      </c>
      <c r="E66" s="56">
        <f>'Monthly Data'!E114</f>
        <v>180784.79926495624</v>
      </c>
      <c r="F66" s="56">
        <f>'Monthly Data'!F114</f>
        <v>6113839.7992649563</v>
      </c>
      <c r="G66" s="301">
        <f>'Monthly Data'!G114</f>
        <v>10389</v>
      </c>
      <c r="H66" s="56">
        <f>'Monthly Data'!H114</f>
        <v>2106592</v>
      </c>
      <c r="I66" s="56">
        <f>'Monthly Data'!I114</f>
        <v>271183.71625556378</v>
      </c>
      <c r="J66" s="56">
        <f>'Monthly Data'!J114</f>
        <v>2377775.7162555638</v>
      </c>
      <c r="K66" s="6">
        <f>'Monthly Data'!K114</f>
        <v>1271</v>
      </c>
      <c r="L66" s="5">
        <f>'Monthly Data'!L114</f>
        <v>4754657</v>
      </c>
      <c r="M66" s="2">
        <f>'Monthly Data'!M114</f>
        <v>265889.90049527638</v>
      </c>
      <c r="N66" s="56">
        <f>'Monthly Data'!N114</f>
        <v>5020546.9004952768</v>
      </c>
      <c r="O66" s="5">
        <f>'Monthly Data'!O114</f>
        <v>16578.900000000001</v>
      </c>
      <c r="P66" s="6">
        <f>'Monthly Data'!P114</f>
        <v>136</v>
      </c>
      <c r="Q66" s="5">
        <f>'Monthly Data'!Q114</f>
        <v>66310</v>
      </c>
      <c r="R66" s="5">
        <f>'Monthly Data'!R114</f>
        <v>230.5</v>
      </c>
      <c r="S66" s="6">
        <f>'Monthly Data'!S114</f>
        <v>2906</v>
      </c>
      <c r="T66" s="6">
        <f>'Monthly Data'!T114</f>
        <v>13124</v>
      </c>
      <c r="U66" s="6">
        <f>'Monthly Data'!U114</f>
        <v>36</v>
      </c>
      <c r="V66" s="6">
        <f>'Monthly Data'!V114</f>
        <v>177</v>
      </c>
      <c r="W66" s="5">
        <f>'Monthly Data'!W114</f>
        <v>49967</v>
      </c>
      <c r="X66" s="56">
        <f>'Monthly Data'!X114</f>
        <v>19</v>
      </c>
      <c r="Y66" s="56">
        <f>'Monthly Data'!Y114</f>
        <v>6524</v>
      </c>
      <c r="Z66" s="56">
        <f>'Monthly Data'!Z114</f>
        <v>3824</v>
      </c>
      <c r="AA66" s="56">
        <f>'Monthly Data'!AA114</f>
        <v>4748133</v>
      </c>
      <c r="AB66" s="56">
        <f>'Monthly Data'!AB114</f>
        <v>5014022.9004952768</v>
      </c>
      <c r="AC66" s="56">
        <f>'Monthly Data'!AC114</f>
        <v>12754.900000000001</v>
      </c>
      <c r="AD66" s="111">
        <f>'Monthly Data'!AD114</f>
        <v>887796.60117499996</v>
      </c>
      <c r="AE66" s="111">
        <f>'Monthly Data'!AE114</f>
        <v>900064.34574999998</v>
      </c>
      <c r="AF66" s="111">
        <f>'Monthly Data'!AF114</f>
        <v>8204.4</v>
      </c>
      <c r="AG66" s="111">
        <f>'Monthly Data'!AG114</f>
        <v>8198.1</v>
      </c>
      <c r="AH66" s="111">
        <f>'Monthly Data'!AH114</f>
        <v>703.6</v>
      </c>
      <c r="AI66" s="111">
        <f>'Monthly Data'!AI114</f>
        <v>705</v>
      </c>
      <c r="AJ66" s="111">
        <f>'Monthly Data'!AJ114</f>
        <v>84.699999999999818</v>
      </c>
      <c r="AK66" s="111">
        <f>'Monthly Data'!AK114</f>
        <v>84.5</v>
      </c>
      <c r="AL66" s="111">
        <f>'Monthly Data'!AL114</f>
        <v>27.100000000000023</v>
      </c>
      <c r="AM66" s="111">
        <f>'Monthly Data'!AM114</f>
        <v>26.799999999999955</v>
      </c>
      <c r="AN66" s="111">
        <f>'Monthly Data'!AN114</f>
        <v>11176.901175000006</v>
      </c>
      <c r="AO66" s="111">
        <f>'Monthly Data'!AO114</f>
        <v>2968.3702499999199</v>
      </c>
      <c r="AP66" s="28">
        <f>'Monthly Data'!AP114</f>
        <v>12.344220430107528</v>
      </c>
      <c r="AQ66" s="28">
        <f>'Monthly Data'!AQ114</f>
        <v>237.32916666666665</v>
      </c>
      <c r="AR66" s="28">
        <f>'Monthly Data'!AR114</f>
        <v>0</v>
      </c>
      <c r="AS66" s="28">
        <f>'Monthly Data'!AS114</f>
        <v>177.67291666666665</v>
      </c>
      <c r="AT66" s="28">
        <f>'Monthly Data'!AT114</f>
        <v>2.34375</v>
      </c>
      <c r="AU66" s="28">
        <f>'Monthly Data'!AU114</f>
        <v>128.02499999999998</v>
      </c>
      <c r="AV66" s="28">
        <f>'Monthly Data'!AV114</f>
        <v>14.695833333333336</v>
      </c>
      <c r="AW66" s="28">
        <f>'Monthly Data'!AW114</f>
        <v>86.63333333333334</v>
      </c>
      <c r="AX66" s="28">
        <f>'Monthly Data'!AX114</f>
        <v>35.304166666666674</v>
      </c>
      <c r="AY66" s="28">
        <f>'Monthly Data'!AY114</f>
        <v>51.35</v>
      </c>
      <c r="AZ66" s="28">
        <f>'Monthly Data'!AZ114</f>
        <v>62.020833333333329</v>
      </c>
      <c r="BA66" s="28">
        <f>'Monthly Data'!BA114</f>
        <v>21.554166666666667</v>
      </c>
      <c r="BB66" s="28">
        <f>'Monthly Data'!BB114</f>
        <v>94.225000000000009</v>
      </c>
      <c r="BC66" s="28">
        <f>'Monthly Data'!BC114</f>
        <v>5.4916666666666663</v>
      </c>
      <c r="BD66" s="28">
        <f>'Monthly Data'!BD114</f>
        <v>140.16249999999997</v>
      </c>
      <c r="BE66">
        <f>'Monthly Data'!BE114</f>
        <v>0</v>
      </c>
      <c r="BF66">
        <f>'Monthly Data'!BF114</f>
        <v>0</v>
      </c>
      <c r="BG66">
        <f>'Monthly Data'!BG114</f>
        <v>0</v>
      </c>
      <c r="BH66">
        <f>'Monthly Data'!BH114</f>
        <v>0</v>
      </c>
      <c r="BI66">
        <f>'Monthly Data'!BI114</f>
        <v>1</v>
      </c>
      <c r="BJ66">
        <f>'Monthly Data'!BJ114</f>
        <v>0</v>
      </c>
      <c r="BK66">
        <f>'Monthly Data'!BK114</f>
        <v>0</v>
      </c>
      <c r="BL66">
        <f>'Monthly Data'!BL114</f>
        <v>0</v>
      </c>
      <c r="BM66">
        <f>'Monthly Data'!BM114</f>
        <v>0</v>
      </c>
      <c r="BN66">
        <f>'Monthly Data'!BN114</f>
        <v>0</v>
      </c>
      <c r="BO66">
        <f>'Monthly Data'!BO114</f>
        <v>0</v>
      </c>
      <c r="BP66">
        <f>'Monthly Data'!BP114</f>
        <v>0</v>
      </c>
      <c r="BQ66" s="1">
        <f>'Monthly Data'!BQ114</f>
        <v>1</v>
      </c>
      <c r="BR66" s="1">
        <f>'Monthly Data'!BR114</f>
        <v>0</v>
      </c>
      <c r="BS66" s="1">
        <f>'Monthly Data'!BS114</f>
        <v>1</v>
      </c>
      <c r="BT66" s="1">
        <f>'Monthly Data'!BT114</f>
        <v>113</v>
      </c>
      <c r="BU66">
        <f>'Monthly Data'!BU114</f>
        <v>31</v>
      </c>
      <c r="BV66" s="1">
        <f>'Monthly Data'!BV114</f>
        <v>22</v>
      </c>
      <c r="BW66" s="1">
        <f>'Monthly Data'!BW114</f>
        <v>0</v>
      </c>
      <c r="BX66" s="1">
        <f>'Monthly Data'!BX114</f>
        <v>0</v>
      </c>
      <c r="BY66" s="1">
        <f>'Monthly Data'!BY114</f>
        <v>0.25</v>
      </c>
      <c r="BZ66" s="1">
        <f>'Monthly Data'!BZ114</f>
        <v>0</v>
      </c>
      <c r="CA66">
        <f>'Monthly Data'!CA114</f>
        <v>0</v>
      </c>
      <c r="CB66">
        <f>'Monthly Data'!CB114</f>
        <v>0</v>
      </c>
      <c r="CC66">
        <f>'Monthly Data'!CC114</f>
        <v>0</v>
      </c>
      <c r="CD66">
        <f>'Monthly Data'!CD114</f>
        <v>0</v>
      </c>
      <c r="CE66">
        <f>'Monthly Data'!CE114</f>
        <v>0</v>
      </c>
      <c r="CF66">
        <f>'Monthly Data'!CF114</f>
        <v>0</v>
      </c>
      <c r="CG66">
        <f>'Monthly Data'!CG114</f>
        <v>0</v>
      </c>
      <c r="CH66">
        <f>'Monthly Data'!CH114</f>
        <v>0</v>
      </c>
      <c r="CI66">
        <f>'Monthly Data'!CI114</f>
        <v>0</v>
      </c>
      <c r="CJ66">
        <f>'Monthly Data'!CJ114</f>
        <v>0</v>
      </c>
      <c r="CK66">
        <f>'Monthly Data'!CK114</f>
        <v>0</v>
      </c>
      <c r="CL66">
        <f>'Monthly Data'!CL114</f>
        <v>0</v>
      </c>
      <c r="CM66">
        <f>'Monthly Data'!CM114</f>
        <v>0</v>
      </c>
      <c r="CN66">
        <f>'Monthly Data'!CN114</f>
        <v>0</v>
      </c>
      <c r="CO66" s="14">
        <f>'Monthly Data'!CO114</f>
        <v>59.332291666666663</v>
      </c>
      <c r="CP66" s="14">
        <f>'Monthly Data'!CP114</f>
        <v>0</v>
      </c>
      <c r="CQ66" s="14">
        <f>'Monthly Data'!CQ114</f>
        <v>44.418229166666663</v>
      </c>
      <c r="CR66" s="14">
        <f>'Monthly Data'!CR114</f>
        <v>0.5859375</v>
      </c>
      <c r="CS66" s="14">
        <f>'Monthly Data'!CS114</f>
        <v>32.006249999999994</v>
      </c>
      <c r="CT66" s="14">
        <f>'Monthly Data'!CT114</f>
        <v>3.6739583333333341</v>
      </c>
      <c r="CU66" s="14">
        <f>'Monthly Data'!CU114</f>
        <v>21.658333333333335</v>
      </c>
      <c r="CV66" s="14">
        <f>'Monthly Data'!CV114</f>
        <v>8.8260416666666686</v>
      </c>
      <c r="CW66" s="14">
        <f>'Monthly Data'!CW114</f>
        <v>12.8375</v>
      </c>
      <c r="CX66" s="14">
        <f>'Monthly Data'!CX114</f>
        <v>15.505208333333332</v>
      </c>
      <c r="CY66" s="14">
        <f>'Monthly Data'!CY114</f>
        <v>5.3885416666666668</v>
      </c>
      <c r="CZ66" s="14">
        <f>'Monthly Data'!CZ114</f>
        <v>23.556250000000002</v>
      </c>
      <c r="DA66" s="14">
        <f>'Monthly Data'!DA114</f>
        <v>1.3729166666666666</v>
      </c>
      <c r="DB66" s="14">
        <f>'Monthly Data'!DB114</f>
        <v>35.040624999999991</v>
      </c>
      <c r="DC66" s="72">
        <f>'Monthly Data'!DC114</f>
        <v>588.4916545639577</v>
      </c>
      <c r="DD66" s="72">
        <f>'Monthly Data'!DD114</f>
        <v>18.983601760127666</v>
      </c>
      <c r="DE66" s="71">
        <f>'Monthly Data'!DE114</f>
        <v>197220.63868596632</v>
      </c>
      <c r="DF66" s="72">
        <f>'Monthly Data'!DF114</f>
        <v>1870.7912795087047</v>
      </c>
      <c r="DG66" s="72">
        <f>'Monthly Data'!DG114</f>
        <v>60.348105790603377</v>
      </c>
      <c r="DH66" s="72">
        <f>'Monthly Data'!DH114</f>
        <v>76702.442459856902</v>
      </c>
      <c r="DI66" s="72">
        <f>'Monthly Data'!DI114</f>
        <v>36915.786033053504</v>
      </c>
      <c r="DJ66" s="72">
        <f>'Monthly Data'!DJ114</f>
        <v>1190.8318075178549</v>
      </c>
      <c r="DK66" s="72">
        <f>'Monthly Data'!DK114</f>
        <v>1677.9902742297047</v>
      </c>
      <c r="DL66" s="72">
        <f>'Monthly Data'!DL114</f>
        <v>161953.12582242829</v>
      </c>
      <c r="DM66" s="72">
        <f>'Monthly Data'!DM114</f>
        <v>228206.67729523985</v>
      </c>
    </row>
    <row r="67" spans="1:117">
      <c r="A67" s="93">
        <f>'Monthly Data'!A115</f>
        <v>45809</v>
      </c>
      <c r="B67" s="4">
        <f>'Monthly Data'!B115</f>
        <v>2025</v>
      </c>
      <c r="C67" s="4">
        <f>'Monthly Data'!C115</f>
        <v>6</v>
      </c>
      <c r="D67" s="56">
        <f>'Monthly Data'!D115</f>
        <v>6900582</v>
      </c>
      <c r="E67" s="56">
        <f>'Monthly Data'!E115</f>
        <v>181607.48058419771</v>
      </c>
      <c r="F67" s="56">
        <f>'Monthly Data'!F115</f>
        <v>7082189.4805841977</v>
      </c>
      <c r="G67" s="301">
        <f>'Monthly Data'!G115</f>
        <v>10389</v>
      </c>
      <c r="H67" s="56">
        <f>'Monthly Data'!H115</f>
        <v>2250178</v>
      </c>
      <c r="I67" s="56">
        <f>'Monthly Data'!I115</f>
        <v>273271.34483391896</v>
      </c>
      <c r="J67" s="56">
        <f>'Monthly Data'!J115</f>
        <v>2523449.3448339188</v>
      </c>
      <c r="K67" s="6">
        <f>'Monthly Data'!K115</f>
        <v>1271</v>
      </c>
      <c r="L67" s="5">
        <f>'Monthly Data'!L115</f>
        <v>5284797</v>
      </c>
      <c r="M67" s="2">
        <f>'Monthly Data'!M115</f>
        <v>268194.34760344465</v>
      </c>
      <c r="N67" s="56">
        <f>'Monthly Data'!N115</f>
        <v>5552991.3476034449</v>
      </c>
      <c r="O67" s="5">
        <f>'Monthly Data'!O115</f>
        <v>16823.5</v>
      </c>
      <c r="P67" s="6">
        <f>'Monthly Data'!P115</f>
        <v>136</v>
      </c>
      <c r="Q67" s="5">
        <f>'Monthly Data'!Q115</f>
        <v>59760</v>
      </c>
      <c r="R67" s="5">
        <f>'Monthly Data'!R115</f>
        <v>230.5</v>
      </c>
      <c r="S67" s="6">
        <f>'Monthly Data'!S115</f>
        <v>2906</v>
      </c>
      <c r="T67" s="6">
        <f>'Monthly Data'!T115</f>
        <v>14144</v>
      </c>
      <c r="U67" s="6">
        <f>'Monthly Data'!U115</f>
        <v>38.599999999999987</v>
      </c>
      <c r="V67" s="6">
        <f>'Monthly Data'!V115</f>
        <v>177</v>
      </c>
      <c r="W67" s="5">
        <f>'Monthly Data'!W115</f>
        <v>48791</v>
      </c>
      <c r="X67" s="56">
        <f>'Monthly Data'!X115</f>
        <v>19</v>
      </c>
      <c r="Y67" s="56">
        <f>'Monthly Data'!Y115</f>
        <v>296.60000000000002</v>
      </c>
      <c r="Z67" s="56">
        <f>'Monthly Data'!Z115</f>
        <v>675.2</v>
      </c>
      <c r="AA67" s="56">
        <f>'Monthly Data'!AA115</f>
        <v>5284500.4000000004</v>
      </c>
      <c r="AB67" s="56">
        <f>'Monthly Data'!AB115</f>
        <v>5552694.7476034453</v>
      </c>
      <c r="AC67" s="56">
        <f>'Monthly Data'!AC115</f>
        <v>16148.3</v>
      </c>
      <c r="AD67" s="111">
        <f>'Monthly Data'!AD115</f>
        <v>887796.60117499996</v>
      </c>
      <c r="AE67" s="111">
        <f>'Monthly Data'!AE115</f>
        <v>900064.34574999998</v>
      </c>
      <c r="AF67" s="111">
        <f>'Monthly Data'!AF115</f>
        <v>8200</v>
      </c>
      <c r="AG67" s="111">
        <f>'Monthly Data'!AG115</f>
        <v>8270</v>
      </c>
      <c r="AH67" s="111">
        <f>'Monthly Data'!AH115</f>
        <v>694.7</v>
      </c>
      <c r="AI67" s="111">
        <f>'Monthly Data'!AI115</f>
        <v>699.7</v>
      </c>
      <c r="AJ67" s="111">
        <f>'Monthly Data'!AJ115</f>
        <v>59.300000000000182</v>
      </c>
      <c r="AK67" s="111">
        <f>'Monthly Data'!AK115</f>
        <v>67.799999999999272</v>
      </c>
      <c r="AL67" s="111">
        <f>'Monthly Data'!AL115</f>
        <v>15.600000000000023</v>
      </c>
      <c r="AM67" s="111">
        <f>'Monthly Data'!AM115</f>
        <v>12.900000000000091</v>
      </c>
      <c r="AN67" s="111">
        <f>'Monthly Data'!AN115</f>
        <v>11176.901175000006</v>
      </c>
      <c r="AO67" s="111">
        <f>'Monthly Data'!AO115</f>
        <v>2968.3702499999199</v>
      </c>
      <c r="AP67" s="28">
        <f>'Monthly Data'!AP115</f>
        <v>18.235833333333332</v>
      </c>
      <c r="AQ67" s="28">
        <f>'Monthly Data'!AQ115</f>
        <v>85.787499999999994</v>
      </c>
      <c r="AR67" s="28">
        <f>'Monthly Data'!AR115</f>
        <v>32.862500000000011</v>
      </c>
      <c r="AS67" s="28">
        <f>'Monthly Data'!AS115</f>
        <v>46.833333333333336</v>
      </c>
      <c r="AT67" s="28">
        <f>'Monthly Data'!AT115</f>
        <v>53.908333333333331</v>
      </c>
      <c r="AU67" s="28">
        <f>'Monthly Data'!AU115</f>
        <v>22.612500000000011</v>
      </c>
      <c r="AV67" s="28">
        <f>'Monthly Data'!AV115</f>
        <v>89.6875</v>
      </c>
      <c r="AW67" s="28">
        <f>'Monthly Data'!AW115</f>
        <v>10.90833333333334</v>
      </c>
      <c r="AX67" s="28">
        <f>'Monthly Data'!AX115</f>
        <v>137.98333333333338</v>
      </c>
      <c r="AY67" s="28">
        <f>'Monthly Data'!AY115</f>
        <v>4.2625000000000011</v>
      </c>
      <c r="AZ67" s="28">
        <f>'Monthly Data'!AZ115</f>
        <v>191.33749999999998</v>
      </c>
      <c r="BA67" s="28">
        <f>'Monthly Data'!BA115</f>
        <v>1.375</v>
      </c>
      <c r="BB67" s="28">
        <f>'Monthly Data'!BB115</f>
        <v>248.45</v>
      </c>
      <c r="BC67" s="28">
        <f>'Monthly Data'!BC115</f>
        <v>0</v>
      </c>
      <c r="BD67" s="28">
        <f>'Monthly Data'!BD115</f>
        <v>307.07499999999999</v>
      </c>
      <c r="BE67">
        <f>'Monthly Data'!BE115</f>
        <v>0</v>
      </c>
      <c r="BF67">
        <f>'Monthly Data'!BF115</f>
        <v>0</v>
      </c>
      <c r="BG67">
        <f>'Monthly Data'!BG115</f>
        <v>0</v>
      </c>
      <c r="BH67">
        <f>'Monthly Data'!BH115</f>
        <v>0</v>
      </c>
      <c r="BI67">
        <f>'Monthly Data'!BI115</f>
        <v>0</v>
      </c>
      <c r="BJ67">
        <f>'Monthly Data'!BJ115</f>
        <v>1</v>
      </c>
      <c r="BK67">
        <f>'Monthly Data'!BK115</f>
        <v>0</v>
      </c>
      <c r="BL67">
        <f>'Monthly Data'!BL115</f>
        <v>0</v>
      </c>
      <c r="BM67">
        <f>'Monthly Data'!BM115</f>
        <v>0</v>
      </c>
      <c r="BN67">
        <f>'Monthly Data'!BN115</f>
        <v>0</v>
      </c>
      <c r="BO67">
        <f>'Monthly Data'!BO115</f>
        <v>0</v>
      </c>
      <c r="BP67">
        <f>'Monthly Data'!BP115</f>
        <v>0</v>
      </c>
      <c r="BQ67" s="1">
        <f>'Monthly Data'!BQ115</f>
        <v>0</v>
      </c>
      <c r="BR67" s="1">
        <f>'Monthly Data'!BR115</f>
        <v>0</v>
      </c>
      <c r="BS67" s="1">
        <f>'Monthly Data'!BS115</f>
        <v>0</v>
      </c>
      <c r="BT67" s="1">
        <f>'Monthly Data'!BT115</f>
        <v>114</v>
      </c>
      <c r="BU67">
        <f>'Monthly Data'!BU115</f>
        <v>30</v>
      </c>
      <c r="BV67" s="1">
        <f>'Monthly Data'!BV115</f>
        <v>22</v>
      </c>
      <c r="BW67" s="1">
        <f>'Monthly Data'!BW115</f>
        <v>0</v>
      </c>
      <c r="BX67" s="1">
        <f>'Monthly Data'!BX115</f>
        <v>0</v>
      </c>
      <c r="BY67" s="1">
        <f>'Monthly Data'!BY115</f>
        <v>0.25</v>
      </c>
      <c r="BZ67" s="1">
        <f>'Monthly Data'!BZ115</f>
        <v>0</v>
      </c>
      <c r="CA67">
        <f>'Monthly Data'!CA115</f>
        <v>0</v>
      </c>
      <c r="CB67">
        <f>'Monthly Data'!CB115</f>
        <v>0</v>
      </c>
      <c r="CC67">
        <f>'Monthly Data'!CC115</f>
        <v>0</v>
      </c>
      <c r="CD67">
        <f>'Monthly Data'!CD115</f>
        <v>0</v>
      </c>
      <c r="CE67">
        <f>'Monthly Data'!CE115</f>
        <v>0</v>
      </c>
      <c r="CF67">
        <f>'Monthly Data'!CF115</f>
        <v>0</v>
      </c>
      <c r="CG67">
        <f>'Monthly Data'!CG115</f>
        <v>0</v>
      </c>
      <c r="CH67">
        <f>'Monthly Data'!CH115</f>
        <v>0</v>
      </c>
      <c r="CI67">
        <f>'Monthly Data'!CI115</f>
        <v>0</v>
      </c>
      <c r="CJ67">
        <f>'Monthly Data'!CJ115</f>
        <v>0</v>
      </c>
      <c r="CK67">
        <f>'Monthly Data'!CK115</f>
        <v>0</v>
      </c>
      <c r="CL67">
        <f>'Monthly Data'!CL115</f>
        <v>0</v>
      </c>
      <c r="CM67">
        <f>'Monthly Data'!CM115</f>
        <v>0</v>
      </c>
      <c r="CN67">
        <f>'Monthly Data'!CN115</f>
        <v>0</v>
      </c>
      <c r="CO67" s="14">
        <f>'Monthly Data'!CO115</f>
        <v>21.446874999999999</v>
      </c>
      <c r="CP67" s="14">
        <f>'Monthly Data'!CP115</f>
        <v>8.2156250000000028</v>
      </c>
      <c r="CQ67" s="14">
        <f>'Monthly Data'!CQ115</f>
        <v>11.708333333333334</v>
      </c>
      <c r="CR67" s="14">
        <f>'Monthly Data'!CR115</f>
        <v>13.477083333333333</v>
      </c>
      <c r="CS67" s="14">
        <f>'Monthly Data'!CS115</f>
        <v>5.6531250000000028</v>
      </c>
      <c r="CT67" s="14">
        <f>'Monthly Data'!CT115</f>
        <v>22.421875</v>
      </c>
      <c r="CU67" s="14">
        <f>'Monthly Data'!CU115</f>
        <v>2.7270833333333351</v>
      </c>
      <c r="CV67" s="14">
        <f>'Monthly Data'!CV115</f>
        <v>34.495833333333344</v>
      </c>
      <c r="CW67" s="14">
        <f>'Monthly Data'!CW115</f>
        <v>1.0656250000000003</v>
      </c>
      <c r="CX67" s="14">
        <f>'Monthly Data'!CX115</f>
        <v>47.834374999999994</v>
      </c>
      <c r="CY67" s="14">
        <f>'Monthly Data'!CY115</f>
        <v>0.34375</v>
      </c>
      <c r="CZ67" s="14">
        <f>'Monthly Data'!CZ115</f>
        <v>62.112499999999997</v>
      </c>
      <c r="DA67" s="14">
        <f>'Monthly Data'!DA115</f>
        <v>0</v>
      </c>
      <c r="DB67" s="14">
        <f>'Monthly Data'!DB115</f>
        <v>76.768749999999997</v>
      </c>
      <c r="DC67" s="72">
        <f>'Monthly Data'!DC115</f>
        <v>681.70078742749035</v>
      </c>
      <c r="DD67" s="72">
        <f>'Monthly Data'!DD115</f>
        <v>22.723359580916345</v>
      </c>
      <c r="DE67" s="71">
        <f>'Monthly Data'!DE115</f>
        <v>236072.98268613993</v>
      </c>
      <c r="DF67" s="72">
        <f>'Monthly Data'!DF115</f>
        <v>1985.4046772886852</v>
      </c>
      <c r="DG67" s="72">
        <f>'Monthly Data'!DG115</f>
        <v>66.18015590962284</v>
      </c>
      <c r="DH67" s="72">
        <f>'Monthly Data'!DH115</f>
        <v>84114.978161130624</v>
      </c>
      <c r="DI67" s="72">
        <f>'Monthly Data'!DI115</f>
        <v>40830.818732378269</v>
      </c>
      <c r="DJ67" s="72">
        <f>'Monthly Data'!DJ115</f>
        <v>1361.0272910792758</v>
      </c>
      <c r="DK67" s="72">
        <f>'Monthly Data'!DK115</f>
        <v>1855.946306017194</v>
      </c>
      <c r="DL67" s="72">
        <f>'Monthly Data'!DL115</f>
        <v>185099.71158678149</v>
      </c>
      <c r="DM67" s="72">
        <f>'Monthly Data'!DM115</f>
        <v>252408.6976183384</v>
      </c>
    </row>
    <row r="68" spans="1:117">
      <c r="A68" s="93">
        <f>'Monthly Data'!A116</f>
        <v>45839</v>
      </c>
      <c r="B68" s="4">
        <f>'Monthly Data'!B116</f>
        <v>2025</v>
      </c>
      <c r="C68" s="4">
        <f>'Monthly Data'!C116</f>
        <v>7</v>
      </c>
      <c r="D68" s="56">
        <f>'Monthly Data'!D116</f>
        <v>8595343</v>
      </c>
      <c r="E68" s="56">
        <f>'Monthly Data'!E116</f>
        <v>182430.16190343918</v>
      </c>
      <c r="F68" s="56">
        <f>'Monthly Data'!F116</f>
        <v>8777773.1619034391</v>
      </c>
      <c r="G68" s="301">
        <f>'Monthly Data'!G116</f>
        <v>10393</v>
      </c>
      <c r="H68" s="56">
        <f>'Monthly Data'!H116</f>
        <v>2662435</v>
      </c>
      <c r="I68" s="56">
        <f>'Monthly Data'!I116</f>
        <v>275358.97341227409</v>
      </c>
      <c r="J68" s="56">
        <f>'Monthly Data'!J116</f>
        <v>2937793.9734122739</v>
      </c>
      <c r="K68" s="6">
        <f>'Monthly Data'!K116</f>
        <v>1270</v>
      </c>
      <c r="L68" s="5">
        <f>'Monthly Data'!L116</f>
        <v>5770963</v>
      </c>
      <c r="M68" s="2">
        <f>'Monthly Data'!M116</f>
        <v>270498.79471161298</v>
      </c>
      <c r="N68" s="56">
        <f>'Monthly Data'!N116</f>
        <v>6041461.7947116131</v>
      </c>
      <c r="O68" s="5">
        <f>'Monthly Data'!O116</f>
        <v>18311</v>
      </c>
      <c r="P68" s="6">
        <f>'Monthly Data'!P116</f>
        <v>135</v>
      </c>
      <c r="Q68" s="5">
        <f>'Monthly Data'!Q116</f>
        <v>64082</v>
      </c>
      <c r="R68" s="5">
        <f>'Monthly Data'!R116</f>
        <v>230.5</v>
      </c>
      <c r="S68" s="6">
        <f>'Monthly Data'!S116</f>
        <v>2906</v>
      </c>
      <c r="T68" s="6">
        <f>'Monthly Data'!T116</f>
        <v>11715</v>
      </c>
      <c r="U68" s="6">
        <f>'Monthly Data'!U116</f>
        <v>37.200000000000003</v>
      </c>
      <c r="V68" s="6">
        <f>'Monthly Data'!V116</f>
        <v>177</v>
      </c>
      <c r="W68" s="5">
        <f>'Monthly Data'!W116</f>
        <v>50303</v>
      </c>
      <c r="X68" s="56">
        <f>'Monthly Data'!X116</f>
        <v>19</v>
      </c>
      <c r="Y68" s="56">
        <f>'Monthly Data'!Y116</f>
        <v>2655.2</v>
      </c>
      <c r="Z68" s="56">
        <f>'Monthly Data'!Z116</f>
        <v>4323.2</v>
      </c>
      <c r="AA68" s="56">
        <f>'Monthly Data'!AA116</f>
        <v>5768307.7999999998</v>
      </c>
      <c r="AB68" s="56">
        <f>'Monthly Data'!AB116</f>
        <v>6038806.5947116129</v>
      </c>
      <c r="AC68" s="56">
        <f>'Monthly Data'!AC116</f>
        <v>13987.8</v>
      </c>
      <c r="AD68" s="111">
        <f>'Monthly Data'!AD116</f>
        <v>887796.60117499996</v>
      </c>
      <c r="AE68" s="111">
        <f>'Monthly Data'!AE116</f>
        <v>901427.50725000002</v>
      </c>
      <c r="AF68" s="111">
        <f>'Monthly Data'!AF116</f>
        <v>8207.5</v>
      </c>
      <c r="AG68" s="111">
        <f>'Monthly Data'!AG116</f>
        <v>8308.4</v>
      </c>
      <c r="AH68" s="111">
        <f>'Monthly Data'!AH116</f>
        <v>692.8</v>
      </c>
      <c r="AI68" s="111">
        <f>'Monthly Data'!AI116</f>
        <v>704.2</v>
      </c>
      <c r="AJ68" s="111">
        <f>'Monthly Data'!AJ116</f>
        <v>46.5</v>
      </c>
      <c r="AK68" s="111">
        <f>'Monthly Data'!AK116</f>
        <v>55.299999999999272</v>
      </c>
      <c r="AL68" s="111">
        <f>'Monthly Data'!AL116</f>
        <v>10.099999999999909</v>
      </c>
      <c r="AM68" s="111">
        <f>'Monthly Data'!AM116</f>
        <v>7.5</v>
      </c>
      <c r="AN68" s="111">
        <f>'Monthly Data'!AN116</f>
        <v>11176.901175000006</v>
      </c>
      <c r="AO68" s="111">
        <f>'Monthly Data'!AO116</f>
        <v>1363.1615000000456</v>
      </c>
      <c r="AP68" s="28">
        <f>'Monthly Data'!AP116</f>
        <v>21.22076612903226</v>
      </c>
      <c r="AQ68" s="28">
        <f>'Monthly Data'!AQ116</f>
        <v>23.716666666666676</v>
      </c>
      <c r="AR68" s="28">
        <f>'Monthly Data'!AR116</f>
        <v>61.560416666666669</v>
      </c>
      <c r="AS68" s="28">
        <f>'Monthly Data'!AS116</f>
        <v>8.0333333333333403</v>
      </c>
      <c r="AT68" s="28">
        <f>'Monthly Data'!AT116</f>
        <v>107.87708333333333</v>
      </c>
      <c r="AU68" s="28">
        <f>'Monthly Data'!AU116</f>
        <v>1.6166666666666689</v>
      </c>
      <c r="AV68" s="28">
        <f>'Monthly Data'!AV116</f>
        <v>163.46041666666662</v>
      </c>
      <c r="AW68" s="28">
        <f>'Monthly Data'!AW116</f>
        <v>0</v>
      </c>
      <c r="AX68" s="28">
        <f>'Monthly Data'!AX116</f>
        <v>223.84375</v>
      </c>
      <c r="AY68" s="28">
        <f>'Monthly Data'!AY116</f>
        <v>0</v>
      </c>
      <c r="AZ68" s="28">
        <f>'Monthly Data'!AZ116</f>
        <v>285.84375000000006</v>
      </c>
      <c r="BA68" s="28">
        <f>'Monthly Data'!BA116</f>
        <v>0</v>
      </c>
      <c r="BB68" s="28">
        <f>'Monthly Data'!BB116</f>
        <v>347.84375000000006</v>
      </c>
      <c r="BC68" s="28">
        <f>'Monthly Data'!BC116</f>
        <v>0</v>
      </c>
      <c r="BD68" s="28">
        <f>'Monthly Data'!BD116</f>
        <v>409.84375000000006</v>
      </c>
      <c r="BE68">
        <f>'Monthly Data'!BE116</f>
        <v>0</v>
      </c>
      <c r="BF68">
        <f>'Monthly Data'!BF116</f>
        <v>0</v>
      </c>
      <c r="BG68">
        <f>'Monthly Data'!BG116</f>
        <v>0</v>
      </c>
      <c r="BH68">
        <f>'Monthly Data'!BH116</f>
        <v>0</v>
      </c>
      <c r="BI68">
        <f>'Monthly Data'!BI116</f>
        <v>0</v>
      </c>
      <c r="BJ68">
        <f>'Monthly Data'!BJ116</f>
        <v>0</v>
      </c>
      <c r="BK68">
        <f>'Monthly Data'!BK116</f>
        <v>1</v>
      </c>
      <c r="BL68">
        <f>'Monthly Data'!BL116</f>
        <v>0</v>
      </c>
      <c r="BM68">
        <f>'Monthly Data'!BM116</f>
        <v>0</v>
      </c>
      <c r="BN68">
        <f>'Monthly Data'!BN116</f>
        <v>0</v>
      </c>
      <c r="BO68">
        <f>'Monthly Data'!BO116</f>
        <v>0</v>
      </c>
      <c r="BP68">
        <f>'Monthly Data'!BP116</f>
        <v>0</v>
      </c>
      <c r="BQ68" s="1">
        <f>'Monthly Data'!BQ116</f>
        <v>0</v>
      </c>
      <c r="BR68" s="1">
        <f>'Monthly Data'!BR116</f>
        <v>0</v>
      </c>
      <c r="BS68" s="1">
        <f>'Monthly Data'!BS116</f>
        <v>0</v>
      </c>
      <c r="BT68" s="1">
        <f>'Monthly Data'!BT116</f>
        <v>115</v>
      </c>
      <c r="BU68">
        <f>'Monthly Data'!BU116</f>
        <v>31</v>
      </c>
      <c r="BV68" s="1">
        <f>'Monthly Data'!BV116</f>
        <v>20</v>
      </c>
      <c r="BW68" s="1">
        <f>'Monthly Data'!BW116</f>
        <v>0</v>
      </c>
      <c r="BX68" s="1">
        <f>'Monthly Data'!BX116</f>
        <v>0</v>
      </c>
      <c r="BY68" s="1">
        <f>'Monthly Data'!BY116</f>
        <v>0.25</v>
      </c>
      <c r="BZ68" s="1">
        <f>'Monthly Data'!BZ116</f>
        <v>0</v>
      </c>
      <c r="CA68">
        <f>'Monthly Data'!CA116</f>
        <v>0</v>
      </c>
      <c r="CB68">
        <f>'Monthly Data'!CB116</f>
        <v>0</v>
      </c>
      <c r="CC68">
        <f>'Monthly Data'!CC116</f>
        <v>0</v>
      </c>
      <c r="CD68">
        <f>'Monthly Data'!CD116</f>
        <v>0</v>
      </c>
      <c r="CE68">
        <f>'Monthly Data'!CE116</f>
        <v>0</v>
      </c>
      <c r="CF68">
        <f>'Monthly Data'!CF116</f>
        <v>0</v>
      </c>
      <c r="CG68">
        <f>'Monthly Data'!CG116</f>
        <v>0</v>
      </c>
      <c r="CH68">
        <f>'Monthly Data'!CH116</f>
        <v>0</v>
      </c>
      <c r="CI68">
        <f>'Monthly Data'!CI116</f>
        <v>0</v>
      </c>
      <c r="CJ68">
        <f>'Monthly Data'!CJ116</f>
        <v>0</v>
      </c>
      <c r="CK68">
        <f>'Monthly Data'!CK116</f>
        <v>0</v>
      </c>
      <c r="CL68">
        <f>'Monthly Data'!CL116</f>
        <v>0</v>
      </c>
      <c r="CM68">
        <f>'Monthly Data'!CM116</f>
        <v>0</v>
      </c>
      <c r="CN68">
        <f>'Monthly Data'!CN116</f>
        <v>0</v>
      </c>
      <c r="CO68" s="14">
        <f>'Monthly Data'!CO116</f>
        <v>5.9291666666666689</v>
      </c>
      <c r="CP68" s="14">
        <f>'Monthly Data'!CP116</f>
        <v>15.390104166666667</v>
      </c>
      <c r="CQ68" s="14">
        <f>'Monthly Data'!CQ116</f>
        <v>2.0083333333333351</v>
      </c>
      <c r="CR68" s="14">
        <f>'Monthly Data'!CR116</f>
        <v>26.969270833333333</v>
      </c>
      <c r="CS68" s="14">
        <f>'Monthly Data'!CS116</f>
        <v>0.40416666666666723</v>
      </c>
      <c r="CT68" s="14">
        <f>'Monthly Data'!CT116</f>
        <v>40.865104166666654</v>
      </c>
      <c r="CU68" s="14">
        <f>'Monthly Data'!CU116</f>
        <v>0</v>
      </c>
      <c r="CV68" s="14">
        <f>'Monthly Data'!CV116</f>
        <v>55.9609375</v>
      </c>
      <c r="CW68" s="14">
        <f>'Monthly Data'!CW116</f>
        <v>0</v>
      </c>
      <c r="CX68" s="14">
        <f>'Monthly Data'!CX116</f>
        <v>71.460937500000014</v>
      </c>
      <c r="CY68" s="14">
        <f>'Monthly Data'!CY116</f>
        <v>0</v>
      </c>
      <c r="CZ68" s="14">
        <f>'Monthly Data'!CZ116</f>
        <v>86.960937500000014</v>
      </c>
      <c r="DA68" s="14">
        <f>'Monthly Data'!DA116</f>
        <v>0</v>
      </c>
      <c r="DB68" s="14">
        <f>'Monthly Data'!DB116</f>
        <v>102.46093750000001</v>
      </c>
      <c r="DC68" s="72">
        <f>'Monthly Data'!DC116</f>
        <v>844.58512093750016</v>
      </c>
      <c r="DD68" s="72">
        <f>'Monthly Data'!DD116</f>
        <v>27.244681320564521</v>
      </c>
      <c r="DE68" s="71">
        <f>'Monthly Data'!DE116</f>
        <v>283153.97296462709</v>
      </c>
      <c r="DF68" s="72">
        <f>'Monthly Data'!DF116</f>
        <v>2313.2236011120267</v>
      </c>
      <c r="DG68" s="72">
        <f>'Monthly Data'!DG116</f>
        <v>74.62011616490409</v>
      </c>
      <c r="DH68" s="72">
        <f>'Monthly Data'!DH116</f>
        <v>94767.547529428193</v>
      </c>
      <c r="DI68" s="72">
        <f>'Monthly Data'!DI116</f>
        <v>44751.568849715652</v>
      </c>
      <c r="DJ68" s="72">
        <f>'Monthly Data'!DJ116</f>
        <v>1443.5989951521178</v>
      </c>
      <c r="DK68" s="72">
        <f>'Monthly Data'!DK116</f>
        <v>2237.5784424857825</v>
      </c>
      <c r="DL68" s="72">
        <f>'Monthly Data'!DL116</f>
        <v>194885.8643455359</v>
      </c>
      <c r="DM68" s="72">
        <f>'Monthly Data'!DM116</f>
        <v>302073.08973558067</v>
      </c>
    </row>
    <row r="69" spans="1:117">
      <c r="A69" s="93">
        <f>'Monthly Data'!A117</f>
        <v>45870</v>
      </c>
      <c r="B69" s="4">
        <f>'Monthly Data'!B117</f>
        <v>2025</v>
      </c>
      <c r="C69" s="4">
        <f>'Monthly Data'!C117</f>
        <v>8</v>
      </c>
      <c r="D69" s="56">
        <f>'Monthly Data'!D117</f>
        <v>7513652</v>
      </c>
      <c r="E69" s="56">
        <f>'Monthly Data'!E117</f>
        <v>183252.84322268065</v>
      </c>
      <c r="F69" s="56">
        <f>'Monthly Data'!F117</f>
        <v>7696904.8432226805</v>
      </c>
      <c r="G69" s="301">
        <f>'Monthly Data'!G117</f>
        <v>10396</v>
      </c>
      <c r="H69" s="56">
        <f>'Monthly Data'!H117</f>
        <v>2354103</v>
      </c>
      <c r="I69" s="56">
        <f>'Monthly Data'!I117</f>
        <v>277446.60199062922</v>
      </c>
      <c r="J69" s="56">
        <f>'Monthly Data'!J117</f>
        <v>2631549.601990629</v>
      </c>
      <c r="K69" s="6">
        <f>'Monthly Data'!K117</f>
        <v>1272</v>
      </c>
      <c r="L69" s="5">
        <f>'Monthly Data'!L117</f>
        <v>5321115</v>
      </c>
      <c r="M69" s="2">
        <f>'Monthly Data'!M117</f>
        <v>272803.24181978131</v>
      </c>
      <c r="N69" s="56">
        <f>'Monthly Data'!N117</f>
        <v>5593918.2418197813</v>
      </c>
      <c r="O69" s="5">
        <f>'Monthly Data'!O117</f>
        <v>16162.4</v>
      </c>
      <c r="P69" s="6">
        <f>'Monthly Data'!P117</f>
        <v>135</v>
      </c>
      <c r="Q69" s="5">
        <f>'Monthly Data'!Q117</f>
        <v>72150</v>
      </c>
      <c r="R69" s="5">
        <f>'Monthly Data'!R117</f>
        <v>230.5</v>
      </c>
      <c r="S69" s="6">
        <f>'Monthly Data'!S117</f>
        <v>2906</v>
      </c>
      <c r="T69" s="6">
        <f>'Monthly Data'!T117</f>
        <v>13634</v>
      </c>
      <c r="U69" s="6">
        <f>'Monthly Data'!U117</f>
        <v>37.199999999999996</v>
      </c>
      <c r="V69" s="6">
        <f>'Monthly Data'!V117</f>
        <v>177</v>
      </c>
      <c r="W69" s="5">
        <f>'Monthly Data'!W117</f>
        <v>50051</v>
      </c>
      <c r="X69" s="56">
        <f>'Monthly Data'!X117</f>
        <v>19</v>
      </c>
      <c r="Y69" s="56">
        <f>'Monthly Data'!Y117</f>
        <v>238.4</v>
      </c>
      <c r="Z69" s="56">
        <f>'Monthly Data'!Z117</f>
        <v>729.6</v>
      </c>
      <c r="AA69" s="56">
        <f>'Monthly Data'!AA117</f>
        <v>5320876.5999999996</v>
      </c>
      <c r="AB69" s="56">
        <f>'Monthly Data'!AB117</f>
        <v>5593679.8418197809</v>
      </c>
      <c r="AC69" s="56">
        <f>'Monthly Data'!AC117</f>
        <v>15432.8</v>
      </c>
      <c r="AD69" s="111">
        <f>'Monthly Data'!AD117</f>
        <v>887796.60117499996</v>
      </c>
      <c r="AE69" s="111">
        <f>'Monthly Data'!AE117</f>
        <v>901427.50725000002</v>
      </c>
      <c r="AF69" s="111">
        <f>'Monthly Data'!AF117</f>
        <v>8204.9</v>
      </c>
      <c r="AG69" s="111">
        <f>'Monthly Data'!AG117</f>
        <v>8291.7000000000007</v>
      </c>
      <c r="AH69" s="111">
        <f>'Monthly Data'!AH117</f>
        <v>687.5</v>
      </c>
      <c r="AI69" s="111">
        <f>'Monthly Data'!AI117</f>
        <v>697.8</v>
      </c>
      <c r="AJ69" s="111">
        <f>'Monthly Data'!AJ117</f>
        <v>37.899999999999636</v>
      </c>
      <c r="AK69" s="111">
        <f>'Monthly Data'!AK117</f>
        <v>46.600000000000364</v>
      </c>
      <c r="AL69" s="111">
        <f>'Monthly Data'!AL117</f>
        <v>-2.7999999999999545</v>
      </c>
      <c r="AM69" s="111">
        <f>'Monthly Data'!AM117</f>
        <v>-4.5</v>
      </c>
      <c r="AN69" s="111">
        <f>'Monthly Data'!AN117</f>
        <v>11176.901175000006</v>
      </c>
      <c r="AO69" s="111">
        <f>'Monthly Data'!AO117</f>
        <v>1363.1615000000456</v>
      </c>
      <c r="AP69" s="28">
        <f>'Monthly Data'!AP117</f>
        <v>19.0567876344086</v>
      </c>
      <c r="AQ69" s="28">
        <f>'Monthly Data'!AQ117</f>
        <v>67.597916666666677</v>
      </c>
      <c r="AR69" s="28">
        <f>'Monthly Data'!AR117</f>
        <v>38.35833333333332</v>
      </c>
      <c r="AS69" s="28">
        <f>'Monthly Data'!AS117</f>
        <v>32.360416666666666</v>
      </c>
      <c r="AT69" s="28">
        <f>'Monthly Data'!AT117</f>
        <v>65.120833333333309</v>
      </c>
      <c r="AU69" s="28">
        <f>'Monthly Data'!AU117</f>
        <v>11.950000000000001</v>
      </c>
      <c r="AV69" s="28">
        <f>'Monthly Data'!AV117</f>
        <v>106.71041666666666</v>
      </c>
      <c r="AW69" s="28">
        <f>'Monthly Data'!AW117</f>
        <v>1.3208333333333346</v>
      </c>
      <c r="AX69" s="28">
        <f>'Monthly Data'!AX117</f>
        <v>158.08124999999998</v>
      </c>
      <c r="AY69" s="28">
        <f>'Monthly Data'!AY117</f>
        <v>0</v>
      </c>
      <c r="AZ69" s="28">
        <f>'Monthly Data'!AZ117</f>
        <v>218.76041666666663</v>
      </c>
      <c r="BA69" s="28">
        <f>'Monthly Data'!BA117</f>
        <v>0</v>
      </c>
      <c r="BB69" s="28">
        <f>'Monthly Data'!BB117</f>
        <v>280.76041666666669</v>
      </c>
      <c r="BC69" s="28">
        <f>'Monthly Data'!BC117</f>
        <v>0</v>
      </c>
      <c r="BD69" s="28">
        <f>'Monthly Data'!BD117</f>
        <v>342.76041666666669</v>
      </c>
      <c r="BE69">
        <f>'Monthly Data'!BE117</f>
        <v>0</v>
      </c>
      <c r="BF69">
        <f>'Monthly Data'!BF117</f>
        <v>0</v>
      </c>
      <c r="BG69">
        <f>'Monthly Data'!BG117</f>
        <v>0</v>
      </c>
      <c r="BH69">
        <f>'Monthly Data'!BH117</f>
        <v>0</v>
      </c>
      <c r="BI69">
        <f>'Monthly Data'!BI117</f>
        <v>0</v>
      </c>
      <c r="BJ69">
        <f>'Monthly Data'!BJ117</f>
        <v>0</v>
      </c>
      <c r="BK69">
        <f>'Monthly Data'!BK117</f>
        <v>0</v>
      </c>
      <c r="BL69">
        <f>'Monthly Data'!BL117</f>
        <v>1</v>
      </c>
      <c r="BM69">
        <f>'Monthly Data'!BM117</f>
        <v>0</v>
      </c>
      <c r="BN69">
        <f>'Monthly Data'!BN117</f>
        <v>0</v>
      </c>
      <c r="BO69">
        <f>'Monthly Data'!BO117</f>
        <v>0</v>
      </c>
      <c r="BP69">
        <f>'Monthly Data'!BP117</f>
        <v>0</v>
      </c>
      <c r="BQ69" s="1">
        <f>'Monthly Data'!BQ117</f>
        <v>0</v>
      </c>
      <c r="BR69" s="1">
        <f>'Monthly Data'!BR117</f>
        <v>0</v>
      </c>
      <c r="BS69" s="1">
        <f>'Monthly Data'!BS117</f>
        <v>0</v>
      </c>
      <c r="BT69" s="1">
        <f>'Monthly Data'!BT117</f>
        <v>116</v>
      </c>
      <c r="BU69">
        <f>'Monthly Data'!BU117</f>
        <v>31</v>
      </c>
      <c r="BV69" s="1">
        <f>'Monthly Data'!BV117</f>
        <v>22</v>
      </c>
      <c r="BW69" s="1">
        <f>'Monthly Data'!BW117</f>
        <v>0</v>
      </c>
      <c r="BX69" s="1">
        <f>'Monthly Data'!BX117</f>
        <v>0</v>
      </c>
      <c r="BY69" s="1">
        <f>'Monthly Data'!BY117</f>
        <v>0.25</v>
      </c>
      <c r="BZ69" s="1">
        <f>'Monthly Data'!BZ117</f>
        <v>0</v>
      </c>
      <c r="CA69">
        <f>'Monthly Data'!CA117</f>
        <v>0</v>
      </c>
      <c r="CB69">
        <f>'Monthly Data'!CB117</f>
        <v>0</v>
      </c>
      <c r="CC69">
        <f>'Monthly Data'!CC117</f>
        <v>0</v>
      </c>
      <c r="CD69">
        <f>'Monthly Data'!CD117</f>
        <v>0</v>
      </c>
      <c r="CE69">
        <f>'Monthly Data'!CE117</f>
        <v>0</v>
      </c>
      <c r="CF69">
        <f>'Monthly Data'!CF117</f>
        <v>0</v>
      </c>
      <c r="CG69">
        <f>'Monthly Data'!CG117</f>
        <v>0</v>
      </c>
      <c r="CH69">
        <f>'Monthly Data'!CH117</f>
        <v>0</v>
      </c>
      <c r="CI69">
        <f>'Monthly Data'!CI117</f>
        <v>0</v>
      </c>
      <c r="CJ69">
        <f>'Monthly Data'!CJ117</f>
        <v>0</v>
      </c>
      <c r="CK69">
        <f>'Monthly Data'!CK117</f>
        <v>0</v>
      </c>
      <c r="CL69">
        <f>'Monthly Data'!CL117</f>
        <v>0</v>
      </c>
      <c r="CM69">
        <f>'Monthly Data'!CM117</f>
        <v>0</v>
      </c>
      <c r="CN69">
        <f>'Monthly Data'!CN117</f>
        <v>0</v>
      </c>
      <c r="CO69" s="14">
        <f>'Monthly Data'!CO117</f>
        <v>16.899479166666669</v>
      </c>
      <c r="CP69" s="14">
        <f>'Monthly Data'!CP117</f>
        <v>9.58958333333333</v>
      </c>
      <c r="CQ69" s="14">
        <f>'Monthly Data'!CQ117</f>
        <v>8.0901041666666664</v>
      </c>
      <c r="CR69" s="14">
        <f>'Monthly Data'!CR117</f>
        <v>16.280208333333327</v>
      </c>
      <c r="CS69" s="14">
        <f>'Monthly Data'!CS117</f>
        <v>2.9875000000000003</v>
      </c>
      <c r="CT69" s="14">
        <f>'Monthly Data'!CT117</f>
        <v>26.677604166666665</v>
      </c>
      <c r="CU69" s="14">
        <f>'Monthly Data'!CU117</f>
        <v>0.33020833333333366</v>
      </c>
      <c r="CV69" s="14">
        <f>'Monthly Data'!CV117</f>
        <v>39.520312499999996</v>
      </c>
      <c r="CW69" s="14">
        <f>'Monthly Data'!CW117</f>
        <v>0</v>
      </c>
      <c r="CX69" s="14">
        <f>'Monthly Data'!CX117</f>
        <v>54.690104166666657</v>
      </c>
      <c r="CY69" s="14">
        <f>'Monthly Data'!CY117</f>
        <v>0</v>
      </c>
      <c r="CZ69" s="14">
        <f>'Monthly Data'!CZ117</f>
        <v>70.190104166666671</v>
      </c>
      <c r="DA69" s="14">
        <f>'Monthly Data'!DA117</f>
        <v>0</v>
      </c>
      <c r="DB69" s="14">
        <f>'Monthly Data'!DB117</f>
        <v>85.690104166666671</v>
      </c>
      <c r="DC69" s="72">
        <f>'Monthly Data'!DC117</f>
        <v>740.37176252622942</v>
      </c>
      <c r="DD69" s="72">
        <f>'Monthly Data'!DD117</f>
        <v>23.882960081491273</v>
      </c>
      <c r="DE69" s="71">
        <f>'Monthly Data'!DE117</f>
        <v>248287.25300718323</v>
      </c>
      <c r="DF69" s="72">
        <f>'Monthly Data'!DF117</f>
        <v>2068.8283034517522</v>
      </c>
      <c r="DG69" s="72">
        <f>'Monthly Data'!DG117</f>
        <v>66.736396885540387</v>
      </c>
      <c r="DH69" s="72">
        <f>'Monthly Data'!DH117</f>
        <v>84888.696838407384</v>
      </c>
      <c r="DI69" s="72">
        <f>'Monthly Data'!DI117</f>
        <v>41436.431420887267</v>
      </c>
      <c r="DJ69" s="72">
        <f>'Monthly Data'!DJ117</f>
        <v>1336.6590780931376</v>
      </c>
      <c r="DK69" s="72">
        <f>'Monthly Data'!DK117</f>
        <v>1883.4741554948757</v>
      </c>
      <c r="DL69" s="72">
        <f>'Monthly Data'!DL117</f>
        <v>180448.97554257358</v>
      </c>
      <c r="DM69" s="72">
        <f>'Monthly Data'!DM117</f>
        <v>254269.01099180823</v>
      </c>
    </row>
    <row r="70" spans="1:117">
      <c r="A70" s="93">
        <f>'Monthly Data'!A118</f>
        <v>45901</v>
      </c>
      <c r="B70" s="4">
        <f>'Monthly Data'!B118</f>
        <v>2025</v>
      </c>
      <c r="C70" s="4">
        <f>'Monthly Data'!C118</f>
        <v>9</v>
      </c>
      <c r="D70" s="56">
        <f>'Monthly Data'!D118</f>
        <v>5575032</v>
      </c>
      <c r="E70" s="56">
        <f>'Monthly Data'!E118</f>
        <v>184075.52454192212</v>
      </c>
      <c r="F70" s="56">
        <f>'Monthly Data'!F118</f>
        <v>5759107.5245419219</v>
      </c>
      <c r="G70" s="301">
        <f>'Monthly Data'!G118</f>
        <v>10397</v>
      </c>
      <c r="H70" s="56">
        <f>'Monthly Data'!H118</f>
        <v>2031324</v>
      </c>
      <c r="I70" s="56">
        <f>'Monthly Data'!I118</f>
        <v>279534.23056898441</v>
      </c>
      <c r="J70" s="56">
        <f>'Monthly Data'!J118</f>
        <v>2310858.2305689845</v>
      </c>
      <c r="K70" s="6">
        <f>'Monthly Data'!K118</f>
        <v>1274</v>
      </c>
      <c r="L70" s="5">
        <f>'Monthly Data'!L118</f>
        <v>4870042</v>
      </c>
      <c r="M70" s="2">
        <f>'Monthly Data'!M118</f>
        <v>275107.68892794964</v>
      </c>
      <c r="N70" s="56">
        <f>'Monthly Data'!N118</f>
        <v>5145149.6889279494</v>
      </c>
      <c r="O70" s="5">
        <f>'Monthly Data'!O118</f>
        <v>14905.3</v>
      </c>
      <c r="P70" s="6">
        <f>'Monthly Data'!P118</f>
        <v>135</v>
      </c>
      <c r="Q70" s="5">
        <f>'Monthly Data'!Q118</f>
        <v>79616</v>
      </c>
      <c r="R70" s="5">
        <f>'Monthly Data'!R118</f>
        <v>230.4</v>
      </c>
      <c r="S70" s="6">
        <f>'Monthly Data'!S118</f>
        <v>2906</v>
      </c>
      <c r="T70" s="6">
        <f>'Monthly Data'!T118</f>
        <v>13634</v>
      </c>
      <c r="U70" s="6">
        <f>'Monthly Data'!U118</f>
        <v>31.6</v>
      </c>
      <c r="V70" s="6">
        <f>'Monthly Data'!V118</f>
        <v>177</v>
      </c>
      <c r="W70" s="5">
        <f>'Monthly Data'!W118</f>
        <v>48875</v>
      </c>
      <c r="X70" s="56">
        <f>'Monthly Data'!X118</f>
        <v>19</v>
      </c>
      <c r="Y70" s="56">
        <f>'Monthly Data'!Y118</f>
        <v>26308.799999999999</v>
      </c>
      <c r="Z70" s="56">
        <f>'Monthly Data'!Z118</f>
        <v>1760</v>
      </c>
      <c r="AA70" s="56">
        <f>'Monthly Data'!AA118</f>
        <v>4843733.2</v>
      </c>
      <c r="AB70" s="56">
        <f>'Monthly Data'!AB118</f>
        <v>5118840.8889279496</v>
      </c>
      <c r="AC70" s="56">
        <f>'Monthly Data'!AC118</f>
        <v>13145.3</v>
      </c>
      <c r="AD70" s="111">
        <f>'Monthly Data'!AD118</f>
        <v>887796.60117499996</v>
      </c>
      <c r="AE70" s="111">
        <f>'Monthly Data'!AE118</f>
        <v>901427.50725000002</v>
      </c>
      <c r="AF70" s="111">
        <f>'Monthly Data'!AF118</f>
        <v>8202.2000000000007</v>
      </c>
      <c r="AG70" s="111">
        <f>'Monthly Data'!AG118</f>
        <v>8234.2999999999993</v>
      </c>
      <c r="AH70" s="111">
        <f>'Monthly Data'!AH118</f>
        <v>678.5</v>
      </c>
      <c r="AI70" s="111">
        <f>'Monthly Data'!AI118</f>
        <v>682.4</v>
      </c>
      <c r="AJ70" s="111">
        <f>'Monthly Data'!AJ118</f>
        <v>19.300000000001091</v>
      </c>
      <c r="AK70" s="111">
        <f>'Monthly Data'!AK118</f>
        <v>17.099999999998545</v>
      </c>
      <c r="AL70" s="111">
        <f>'Monthly Data'!AL118</f>
        <v>-21.399999999999977</v>
      </c>
      <c r="AM70" s="111">
        <f>'Monthly Data'!AM118</f>
        <v>-21.100000000000023</v>
      </c>
      <c r="AN70" s="111">
        <f>'Monthly Data'!AN118</f>
        <v>11176.901175000006</v>
      </c>
      <c r="AO70" s="111">
        <f>'Monthly Data'!AO118</f>
        <v>1363.1615000000456</v>
      </c>
      <c r="AP70" s="28">
        <f>'Monthly Data'!AP118</f>
        <v>14.043194444444445</v>
      </c>
      <c r="AQ70" s="28">
        <f>'Monthly Data'!AQ118</f>
        <v>178.70416666666671</v>
      </c>
      <c r="AR70" s="28">
        <f>'Monthly Data'!AR118</f>
        <v>0</v>
      </c>
      <c r="AS70" s="28">
        <f>'Monthly Data'!AS118</f>
        <v>119.1583333333333</v>
      </c>
      <c r="AT70" s="28">
        <f>'Monthly Data'!AT118</f>
        <v>0.45416666666666572</v>
      </c>
      <c r="AU70" s="28">
        <f>'Monthly Data'!AU118</f>
        <v>67.6875</v>
      </c>
      <c r="AV70" s="28">
        <f>'Monthly Data'!AV118</f>
        <v>8.9833333333333343</v>
      </c>
      <c r="AW70" s="28">
        <f>'Monthly Data'!AW118</f>
        <v>31.791666666666671</v>
      </c>
      <c r="AX70" s="28">
        <f>'Monthly Data'!AX118</f>
        <v>33.087500000000006</v>
      </c>
      <c r="AY70" s="28">
        <f>'Monthly Data'!AY118</f>
        <v>11.725</v>
      </c>
      <c r="AZ70" s="28">
        <f>'Monthly Data'!AZ118</f>
        <v>73.020833333333343</v>
      </c>
      <c r="BA70" s="28">
        <f>'Monthly Data'!BA118</f>
        <v>3.8749999999999982</v>
      </c>
      <c r="BB70" s="28">
        <f>'Monthly Data'!BB118</f>
        <v>125.17083333333335</v>
      </c>
      <c r="BC70" s="28">
        <f>'Monthly Data'!BC118</f>
        <v>1.2583333333333329</v>
      </c>
      <c r="BD70" s="28">
        <f>'Monthly Data'!BD118</f>
        <v>182.55416666666667</v>
      </c>
      <c r="BE70">
        <f>'Monthly Data'!BE118</f>
        <v>0</v>
      </c>
      <c r="BF70">
        <f>'Monthly Data'!BF118</f>
        <v>0</v>
      </c>
      <c r="BG70">
        <f>'Monthly Data'!BG118</f>
        <v>0</v>
      </c>
      <c r="BH70">
        <f>'Monthly Data'!BH118</f>
        <v>0</v>
      </c>
      <c r="BI70">
        <f>'Monthly Data'!BI118</f>
        <v>0</v>
      </c>
      <c r="BJ70">
        <f>'Monthly Data'!BJ118</f>
        <v>0</v>
      </c>
      <c r="BK70">
        <f>'Monthly Data'!BK118</f>
        <v>0</v>
      </c>
      <c r="BL70">
        <f>'Monthly Data'!BL118</f>
        <v>0</v>
      </c>
      <c r="BM70">
        <f>'Monthly Data'!BM118</f>
        <v>1</v>
      </c>
      <c r="BN70">
        <f>'Monthly Data'!BN118</f>
        <v>0</v>
      </c>
      <c r="BO70">
        <f>'Monthly Data'!BO118</f>
        <v>0</v>
      </c>
      <c r="BP70">
        <f>'Monthly Data'!BP118</f>
        <v>0</v>
      </c>
      <c r="BQ70" s="1">
        <f>'Monthly Data'!BQ118</f>
        <v>0</v>
      </c>
      <c r="BR70" s="1">
        <f>'Monthly Data'!BR118</f>
        <v>1</v>
      </c>
      <c r="BS70" s="1">
        <f>'Monthly Data'!BS118</f>
        <v>1</v>
      </c>
      <c r="BT70" s="1">
        <f>'Monthly Data'!BT118</f>
        <v>117</v>
      </c>
      <c r="BU70">
        <f>'Monthly Data'!BU118</f>
        <v>30</v>
      </c>
      <c r="BV70" s="1">
        <f>'Monthly Data'!BV118</f>
        <v>20</v>
      </c>
      <c r="BW70" s="1">
        <f>'Monthly Data'!BW118</f>
        <v>0</v>
      </c>
      <c r="BX70" s="1">
        <f>'Monthly Data'!BX118</f>
        <v>0</v>
      </c>
      <c r="BY70" s="1">
        <f>'Monthly Data'!BY118</f>
        <v>0.25</v>
      </c>
      <c r="BZ70" s="1">
        <f>'Monthly Data'!BZ118</f>
        <v>0</v>
      </c>
      <c r="CA70">
        <f>'Monthly Data'!CA118</f>
        <v>0</v>
      </c>
      <c r="CB70">
        <f>'Monthly Data'!CB118</f>
        <v>0</v>
      </c>
      <c r="CC70">
        <f>'Monthly Data'!CC118</f>
        <v>0</v>
      </c>
      <c r="CD70">
        <f>'Monthly Data'!CD118</f>
        <v>0</v>
      </c>
      <c r="CE70">
        <f>'Monthly Data'!CE118</f>
        <v>0</v>
      </c>
      <c r="CF70">
        <f>'Monthly Data'!CF118</f>
        <v>0</v>
      </c>
      <c r="CG70">
        <f>'Monthly Data'!CG118</f>
        <v>0</v>
      </c>
      <c r="CH70">
        <f>'Monthly Data'!CH118</f>
        <v>0</v>
      </c>
      <c r="CI70">
        <f>'Monthly Data'!CI118</f>
        <v>0</v>
      </c>
      <c r="CJ70">
        <f>'Monthly Data'!CJ118</f>
        <v>0</v>
      </c>
      <c r="CK70">
        <f>'Monthly Data'!CK118</f>
        <v>0</v>
      </c>
      <c r="CL70">
        <f>'Monthly Data'!CL118</f>
        <v>0</v>
      </c>
      <c r="CM70">
        <f>'Monthly Data'!CM118</f>
        <v>0</v>
      </c>
      <c r="CN70">
        <f>'Monthly Data'!CN118</f>
        <v>0</v>
      </c>
      <c r="CO70" s="14">
        <f>'Monthly Data'!CO118</f>
        <v>44.676041666666677</v>
      </c>
      <c r="CP70" s="14">
        <f>'Monthly Data'!CP118</f>
        <v>0</v>
      </c>
      <c r="CQ70" s="14">
        <f>'Monthly Data'!CQ118</f>
        <v>29.789583333333326</v>
      </c>
      <c r="CR70" s="14">
        <f>'Monthly Data'!CR118</f>
        <v>0.11354166666666643</v>
      </c>
      <c r="CS70" s="14">
        <f>'Monthly Data'!CS118</f>
        <v>16.921875</v>
      </c>
      <c r="CT70" s="14">
        <f>'Monthly Data'!CT118</f>
        <v>2.2458333333333336</v>
      </c>
      <c r="CU70" s="14">
        <f>'Monthly Data'!CU118</f>
        <v>7.9479166666666679</v>
      </c>
      <c r="CV70" s="14">
        <f>'Monthly Data'!CV118</f>
        <v>8.2718750000000014</v>
      </c>
      <c r="CW70" s="14">
        <f>'Monthly Data'!CW118</f>
        <v>2.9312499999999999</v>
      </c>
      <c r="CX70" s="14">
        <f>'Monthly Data'!CX118</f>
        <v>18.255208333333336</v>
      </c>
      <c r="CY70" s="14">
        <f>'Monthly Data'!CY118</f>
        <v>0.96874999999999956</v>
      </c>
      <c r="CZ70" s="14">
        <f>'Monthly Data'!CZ118</f>
        <v>31.292708333333337</v>
      </c>
      <c r="DA70" s="14">
        <f>'Monthly Data'!DA118</f>
        <v>0.31458333333333321</v>
      </c>
      <c r="DB70" s="14">
        <f>'Monthly Data'!DB118</f>
        <v>45.638541666666669</v>
      </c>
      <c r="DC70" s="72">
        <f>'Monthly Data'!DC118</f>
        <v>553.92012354928556</v>
      </c>
      <c r="DD70" s="72">
        <f>'Monthly Data'!DD118</f>
        <v>18.464004118309518</v>
      </c>
      <c r="DE70" s="71">
        <f>'Monthly Data'!DE118</f>
        <v>191970.25081806406</v>
      </c>
      <c r="DF70" s="72">
        <f>'Monthly Data'!DF118</f>
        <v>1813.8604635549329</v>
      </c>
      <c r="DG70" s="72">
        <f>'Monthly Data'!DG118</f>
        <v>60.4620154518311</v>
      </c>
      <c r="DH70" s="72">
        <f>'Monthly Data'!DH118</f>
        <v>77028.607685632815</v>
      </c>
      <c r="DI70" s="72">
        <f>'Monthly Data'!DI118</f>
        <v>38112.21991798481</v>
      </c>
      <c r="DJ70" s="72">
        <f>'Monthly Data'!DJ118</f>
        <v>1270.4073305994937</v>
      </c>
      <c r="DK70" s="72">
        <f>'Monthly Data'!DK118</f>
        <v>1905.6109958992406</v>
      </c>
      <c r="DL70" s="72">
        <f>'Monthly Data'!DL118</f>
        <v>171504.98963093164</v>
      </c>
      <c r="DM70" s="72">
        <f>'Monthly Data'!DM118</f>
        <v>257257.48444639746</v>
      </c>
    </row>
    <row r="71" spans="1:117">
      <c r="A71" s="93">
        <f>'Monthly Data'!A119</f>
        <v>45931</v>
      </c>
      <c r="B71" s="4">
        <f>'Monthly Data'!B119</f>
        <v>2025</v>
      </c>
      <c r="C71" s="4">
        <f>'Monthly Data'!C119</f>
        <v>10</v>
      </c>
      <c r="D71" s="56">
        <f>'Monthly Data'!D119</f>
        <v>6000923</v>
      </c>
      <c r="E71" s="56">
        <f>'Monthly Data'!E119</f>
        <v>184898.20586116362</v>
      </c>
      <c r="F71" s="56">
        <f>'Monthly Data'!F119</f>
        <v>6185821.2058611633</v>
      </c>
      <c r="G71" s="301">
        <f>'Monthly Data'!G119</f>
        <v>10402</v>
      </c>
      <c r="H71" s="56">
        <f>'Monthly Data'!H119</f>
        <v>2140792</v>
      </c>
      <c r="I71" s="56">
        <f>'Monthly Data'!I119</f>
        <v>281621.85914733954</v>
      </c>
      <c r="J71" s="56">
        <f>'Monthly Data'!J119</f>
        <v>2422413.8591473396</v>
      </c>
      <c r="K71" s="6">
        <f>'Monthly Data'!K119</f>
        <v>1274</v>
      </c>
      <c r="L71" s="5">
        <f>'Monthly Data'!L119</f>
        <v>5700318</v>
      </c>
      <c r="M71" s="2">
        <f>'Monthly Data'!M119</f>
        <v>277412.13603611797</v>
      </c>
      <c r="N71" s="56">
        <f>'Monthly Data'!N119</f>
        <v>5977730.1360361176</v>
      </c>
      <c r="O71" s="5">
        <f>'Monthly Data'!O119</f>
        <v>18120</v>
      </c>
      <c r="P71" s="6">
        <f>'Monthly Data'!P119</f>
        <v>135</v>
      </c>
      <c r="Q71" s="5">
        <f>'Monthly Data'!Q119</f>
        <v>101120</v>
      </c>
      <c r="R71" s="5">
        <f>'Monthly Data'!R119</f>
        <v>251</v>
      </c>
      <c r="S71" s="6">
        <f>'Monthly Data'!S119</f>
        <v>2988</v>
      </c>
      <c r="T71" s="6">
        <f>'Monthly Data'!T119</f>
        <v>13634</v>
      </c>
      <c r="U71" s="6">
        <f>'Monthly Data'!U119</f>
        <v>37.899999999999991</v>
      </c>
      <c r="V71" s="6">
        <f>'Monthly Data'!V119</f>
        <v>177</v>
      </c>
      <c r="W71" s="5">
        <f>'Monthly Data'!W119</f>
        <v>49925</v>
      </c>
      <c r="X71" s="56">
        <f>'Monthly Data'!X119</f>
        <v>19</v>
      </c>
      <c r="Y71" s="56">
        <f>'Monthly Data'!Y119</f>
        <v>785685.6</v>
      </c>
      <c r="Z71" s="56">
        <f>'Monthly Data'!Z119</f>
        <v>4544</v>
      </c>
      <c r="AA71" s="56">
        <f>'Monthly Data'!AA119</f>
        <v>4914632.4000000004</v>
      </c>
      <c r="AB71" s="56">
        <f>'Monthly Data'!AB119</f>
        <v>5192044.5360361179</v>
      </c>
      <c r="AC71" s="56">
        <f>'Monthly Data'!AC119</f>
        <v>13576</v>
      </c>
      <c r="AD71" s="111">
        <f>'Monthly Data'!AD119</f>
        <v>887796.60117499996</v>
      </c>
      <c r="AE71" s="111">
        <f>'Monthly Data'!AE119</f>
        <v>904589.31275000004</v>
      </c>
      <c r="AF71" s="111">
        <f>'Monthly Data'!AF119</f>
        <v>8214.2999999999993</v>
      </c>
      <c r="AG71" s="111">
        <f>'Monthly Data'!AG119</f>
        <v>8223.9</v>
      </c>
      <c r="AH71" s="111">
        <f>'Monthly Data'!AH119</f>
        <v>670.2</v>
      </c>
      <c r="AI71" s="111">
        <f>'Monthly Data'!AI119</f>
        <v>667.6</v>
      </c>
      <c r="AJ71" s="111">
        <f>'Monthly Data'!AJ119</f>
        <v>29.799999999999272</v>
      </c>
      <c r="AK71" s="111">
        <f>'Monthly Data'!AK119</f>
        <v>26.299999999999272</v>
      </c>
      <c r="AL71" s="111">
        <f>'Monthly Data'!AL119</f>
        <v>-36.199999999999932</v>
      </c>
      <c r="AM71" s="111">
        <f>'Monthly Data'!AM119</f>
        <v>-35.199999999999932</v>
      </c>
      <c r="AN71" s="111">
        <f>'Monthly Data'!AN119</f>
        <v>11176.901175000006</v>
      </c>
      <c r="AO71" s="111">
        <f>'Monthly Data'!AO119</f>
        <v>3161.8055000000168</v>
      </c>
      <c r="AP71" s="28">
        <f>'Monthly Data'!AP119</f>
        <v>8.8896505376344077</v>
      </c>
      <c r="AQ71" s="28">
        <f>'Monthly Data'!AQ119</f>
        <v>347.06666666666666</v>
      </c>
      <c r="AR71" s="28">
        <f>'Monthly Data'!AR119</f>
        <v>2.6458333333333357</v>
      </c>
      <c r="AS71" s="28">
        <f>'Monthly Data'!AS119</f>
        <v>289.06666666666666</v>
      </c>
      <c r="AT71" s="28">
        <f>'Monthly Data'!AT119</f>
        <v>6.6458333333333357</v>
      </c>
      <c r="AU71" s="28">
        <f>'Monthly Data'!AU119</f>
        <v>233.49583333333331</v>
      </c>
      <c r="AV71" s="28">
        <f>'Monthly Data'!AV119</f>
        <v>13.075000000000003</v>
      </c>
      <c r="AW71" s="28">
        <f>'Monthly Data'!AW119</f>
        <v>180.64166666666668</v>
      </c>
      <c r="AX71" s="28">
        <f>'Monthly Data'!AX119</f>
        <v>22.220833333333335</v>
      </c>
      <c r="AY71" s="28">
        <f>'Monthly Data'!AY119</f>
        <v>134.08750000000003</v>
      </c>
      <c r="AZ71" s="28">
        <f>'Monthly Data'!AZ119</f>
        <v>37.666666666666671</v>
      </c>
      <c r="BA71" s="28">
        <f>'Monthly Data'!BA119</f>
        <v>91.36666666666666</v>
      </c>
      <c r="BB71" s="28">
        <f>'Monthly Data'!BB119</f>
        <v>56.94583333333334</v>
      </c>
      <c r="BC71" s="28">
        <f>'Monthly Data'!BC119</f>
        <v>54.525000000000006</v>
      </c>
      <c r="BD71" s="28">
        <f>'Monthly Data'!BD119</f>
        <v>82.104166666666657</v>
      </c>
      <c r="BE71">
        <f>'Monthly Data'!BE119</f>
        <v>0</v>
      </c>
      <c r="BF71">
        <f>'Monthly Data'!BF119</f>
        <v>0</v>
      </c>
      <c r="BG71">
        <f>'Monthly Data'!BG119</f>
        <v>0</v>
      </c>
      <c r="BH71">
        <f>'Monthly Data'!BH119</f>
        <v>0</v>
      </c>
      <c r="BI71">
        <f>'Monthly Data'!BI119</f>
        <v>0</v>
      </c>
      <c r="BJ71">
        <f>'Monthly Data'!BJ119</f>
        <v>0</v>
      </c>
      <c r="BK71">
        <f>'Monthly Data'!BK119</f>
        <v>0</v>
      </c>
      <c r="BL71">
        <f>'Monthly Data'!BL119</f>
        <v>0</v>
      </c>
      <c r="BM71">
        <f>'Monthly Data'!BM119</f>
        <v>0</v>
      </c>
      <c r="BN71">
        <f>'Monthly Data'!BN119</f>
        <v>1</v>
      </c>
      <c r="BO71">
        <f>'Monthly Data'!BO119</f>
        <v>0</v>
      </c>
      <c r="BP71">
        <f>'Monthly Data'!BP119</f>
        <v>0</v>
      </c>
      <c r="BQ71" s="1">
        <f>'Monthly Data'!BQ119</f>
        <v>0</v>
      </c>
      <c r="BR71" s="1">
        <f>'Monthly Data'!BR119</f>
        <v>1</v>
      </c>
      <c r="BS71" s="1">
        <f>'Monthly Data'!BS119</f>
        <v>1</v>
      </c>
      <c r="BT71" s="1">
        <f>'Monthly Data'!BT119</f>
        <v>118</v>
      </c>
      <c r="BU71">
        <f>'Monthly Data'!BU119</f>
        <v>31</v>
      </c>
      <c r="BV71" s="1">
        <f>'Monthly Data'!BV119</f>
        <v>21</v>
      </c>
      <c r="BW71" s="1">
        <f>'Monthly Data'!BW119</f>
        <v>0</v>
      </c>
      <c r="BX71" s="1">
        <f>'Monthly Data'!BX119</f>
        <v>0</v>
      </c>
      <c r="BY71" s="1">
        <f>'Monthly Data'!BY119</f>
        <v>0.25</v>
      </c>
      <c r="BZ71" s="1">
        <f>'Monthly Data'!BZ119</f>
        <v>0</v>
      </c>
      <c r="CA71">
        <f>'Monthly Data'!CA119</f>
        <v>0</v>
      </c>
      <c r="CB71">
        <f>'Monthly Data'!CB119</f>
        <v>0</v>
      </c>
      <c r="CC71">
        <f>'Monthly Data'!CC119</f>
        <v>0</v>
      </c>
      <c r="CD71">
        <f>'Monthly Data'!CD119</f>
        <v>0</v>
      </c>
      <c r="CE71">
        <f>'Monthly Data'!CE119</f>
        <v>0</v>
      </c>
      <c r="CF71">
        <f>'Monthly Data'!CF119</f>
        <v>0</v>
      </c>
      <c r="CG71">
        <f>'Monthly Data'!CG119</f>
        <v>0</v>
      </c>
      <c r="CH71">
        <f>'Monthly Data'!CH119</f>
        <v>0</v>
      </c>
      <c r="CI71">
        <f>'Monthly Data'!CI119</f>
        <v>0</v>
      </c>
      <c r="CJ71">
        <f>'Monthly Data'!CJ119</f>
        <v>0</v>
      </c>
      <c r="CK71">
        <f>'Monthly Data'!CK119</f>
        <v>0</v>
      </c>
      <c r="CL71">
        <f>'Monthly Data'!CL119</f>
        <v>0</v>
      </c>
      <c r="CM71">
        <f>'Monthly Data'!CM119</f>
        <v>0</v>
      </c>
      <c r="CN71">
        <f>'Monthly Data'!CN119</f>
        <v>0</v>
      </c>
      <c r="CO71" s="14">
        <f>'Monthly Data'!CO119</f>
        <v>86.766666666666666</v>
      </c>
      <c r="CP71" s="14">
        <f>'Monthly Data'!CP119</f>
        <v>0.66145833333333393</v>
      </c>
      <c r="CQ71" s="14">
        <f>'Monthly Data'!CQ119</f>
        <v>72.266666666666666</v>
      </c>
      <c r="CR71" s="14">
        <f>'Monthly Data'!CR119</f>
        <v>1.6614583333333339</v>
      </c>
      <c r="CS71" s="14">
        <f>'Monthly Data'!CS119</f>
        <v>58.373958333333327</v>
      </c>
      <c r="CT71" s="14">
        <f>'Monthly Data'!CT119</f>
        <v>3.2687500000000007</v>
      </c>
      <c r="CU71" s="14">
        <f>'Monthly Data'!CU119</f>
        <v>45.16041666666667</v>
      </c>
      <c r="CV71" s="14">
        <f>'Monthly Data'!CV119</f>
        <v>5.5552083333333337</v>
      </c>
      <c r="CW71" s="14">
        <f>'Monthly Data'!CW119</f>
        <v>33.521875000000009</v>
      </c>
      <c r="CX71" s="14">
        <f>'Monthly Data'!CX119</f>
        <v>9.4166666666666679</v>
      </c>
      <c r="CY71" s="14">
        <f>'Monthly Data'!CY119</f>
        <v>22.841666666666665</v>
      </c>
      <c r="CZ71" s="14">
        <f>'Monthly Data'!CZ119</f>
        <v>14.236458333333335</v>
      </c>
      <c r="DA71" s="14">
        <f>'Monthly Data'!DA119</f>
        <v>13.631250000000001</v>
      </c>
      <c r="DB71" s="14">
        <f>'Monthly Data'!DB119</f>
        <v>20.526041666666664</v>
      </c>
      <c r="DC71" s="72">
        <f>'Monthly Data'!DC119</f>
        <v>594.67613976746429</v>
      </c>
      <c r="DD71" s="72">
        <f>'Monthly Data'!DD119</f>
        <v>19.183101282821429</v>
      </c>
      <c r="DE71" s="71">
        <f>'Monthly Data'!DE119</f>
        <v>199542.61954390848</v>
      </c>
      <c r="DF71" s="72">
        <f>'Monthly Data'!DF119</f>
        <v>1901.4237512930451</v>
      </c>
      <c r="DG71" s="72">
        <f>'Monthly Data'!DG119</f>
        <v>61.336250041711132</v>
      </c>
      <c r="DH71" s="72">
        <f>'Monthly Data'!DH119</f>
        <v>78142.382553139993</v>
      </c>
      <c r="DI71" s="72">
        <f>'Monthly Data'!DI119</f>
        <v>44279.482489156428</v>
      </c>
      <c r="DJ71" s="72">
        <f>'Monthly Data'!DJ119</f>
        <v>1428.3704028760137</v>
      </c>
      <c r="DK71" s="72">
        <f>'Monthly Data'!DK119</f>
        <v>2108.5467851979251</v>
      </c>
      <c r="DL71" s="72">
        <f>'Monthly Data'!DL119</f>
        <v>192830.00438826185</v>
      </c>
      <c r="DM71" s="72">
        <f>'Monthly Data'!DM119</f>
        <v>284653.81600171991</v>
      </c>
    </row>
    <row r="72" spans="1:117">
      <c r="A72" s="93">
        <f>'Monthly Data'!A120</f>
        <v>45962</v>
      </c>
      <c r="B72" s="4">
        <f>'Monthly Data'!B120</f>
        <v>2025</v>
      </c>
      <c r="C72" s="4">
        <f>'Monthly Data'!C120</f>
        <v>11</v>
      </c>
      <c r="D72" s="56">
        <f>'Monthly Data'!D120</f>
        <v>7503196</v>
      </c>
      <c r="E72" s="56">
        <f>'Monthly Data'!E120</f>
        <v>185720.88718040509</v>
      </c>
      <c r="F72" s="56">
        <f>'Monthly Data'!F120</f>
        <v>7688916.8871804047</v>
      </c>
      <c r="G72" s="301">
        <f>'Monthly Data'!G120</f>
        <v>10407</v>
      </c>
      <c r="H72" s="56">
        <f>'Monthly Data'!H120</f>
        <v>2559296</v>
      </c>
      <c r="I72" s="56">
        <f>'Monthly Data'!I120</f>
        <v>283709.48772569466</v>
      </c>
      <c r="J72" s="56">
        <f>'Monthly Data'!J120</f>
        <v>2843005.4877256947</v>
      </c>
      <c r="K72" s="6">
        <f>'Monthly Data'!K120</f>
        <v>1272</v>
      </c>
      <c r="L72" s="5">
        <f>'Monthly Data'!L120</f>
        <v>7741533</v>
      </c>
      <c r="M72" s="2">
        <f>'Monthly Data'!M120</f>
        <v>279716.5831442863</v>
      </c>
      <c r="N72" s="56">
        <f>'Monthly Data'!N120</f>
        <v>8021249.5831442866</v>
      </c>
      <c r="O72" s="5">
        <f>'Monthly Data'!O120</f>
        <v>18737.600000000002</v>
      </c>
      <c r="P72" s="6">
        <f>'Monthly Data'!P120</f>
        <v>135</v>
      </c>
      <c r="Q72" s="5">
        <f>'Monthly Data'!Q120</f>
        <v>106949</v>
      </c>
      <c r="R72" s="5">
        <f>'Monthly Data'!R120</f>
        <v>249.2</v>
      </c>
      <c r="S72" s="6">
        <f>'Monthly Data'!S120</f>
        <v>2973</v>
      </c>
      <c r="T72" s="6">
        <f>'Monthly Data'!T120</f>
        <v>13630</v>
      </c>
      <c r="U72" s="6">
        <f>'Monthly Data'!U120</f>
        <v>38</v>
      </c>
      <c r="V72" s="6">
        <f>'Monthly Data'!V120</f>
        <v>177</v>
      </c>
      <c r="W72" s="5">
        <f>'Monthly Data'!W120</f>
        <v>48581</v>
      </c>
      <c r="X72" s="56">
        <f>'Monthly Data'!X120</f>
        <v>19</v>
      </c>
      <c r="Y72" s="56">
        <f>'Monthly Data'!Y120</f>
        <v>2541758.4</v>
      </c>
      <c r="Z72" s="56">
        <f>'Monthly Data'!Z120</f>
        <v>6064</v>
      </c>
      <c r="AA72" s="56">
        <f>'Monthly Data'!AA120</f>
        <v>5199774.5999999996</v>
      </c>
      <c r="AB72" s="56">
        <f>'Monthly Data'!AB120</f>
        <v>5479491.1831442863</v>
      </c>
      <c r="AC72" s="56">
        <f>'Monthly Data'!AC120</f>
        <v>12673.600000000002</v>
      </c>
      <c r="AD72" s="111">
        <f>'Monthly Data'!AD120</f>
        <v>887796.60117499996</v>
      </c>
      <c r="AE72" s="111">
        <f>'Monthly Data'!AE120</f>
        <v>904589.31275000004</v>
      </c>
      <c r="AF72" s="111">
        <f>'Monthly Data'!AF120</f>
        <v>8236.4</v>
      </c>
      <c r="AG72" s="111">
        <f>'Monthly Data'!AG120</f>
        <v>8231.2999999999993</v>
      </c>
      <c r="AH72" s="111">
        <f>'Monthly Data'!AH120</f>
        <v>665.6</v>
      </c>
      <c r="AI72" s="111">
        <f>'Monthly Data'!AI120</f>
        <v>658</v>
      </c>
      <c r="AJ72" s="111">
        <f>'Monthly Data'!AJ120</f>
        <v>51</v>
      </c>
      <c r="AK72" s="111">
        <f>'Monthly Data'!AK120</f>
        <v>46.199999999998909</v>
      </c>
      <c r="AL72" s="111">
        <f>'Monthly Data'!AL120</f>
        <v>-42.699999999999932</v>
      </c>
      <c r="AM72" s="111">
        <f>'Monthly Data'!AM120</f>
        <v>-42.700000000000045</v>
      </c>
      <c r="AN72" s="111">
        <f>'Monthly Data'!AN120</f>
        <v>11176.901175000006</v>
      </c>
      <c r="AO72" s="111">
        <f>'Monthly Data'!AO120</f>
        <v>3161.8055000000168</v>
      </c>
      <c r="AP72" s="28">
        <f>'Monthly Data'!AP120</f>
        <v>-0.24097222222222214</v>
      </c>
      <c r="AQ72" s="28">
        <f>'Monthly Data'!AQ120</f>
        <v>607.22916666666652</v>
      </c>
      <c r="AR72" s="28">
        <f>'Monthly Data'!AR120</f>
        <v>0</v>
      </c>
      <c r="AS72" s="28">
        <f>'Monthly Data'!AS120</f>
        <v>547.22916666666663</v>
      </c>
      <c r="AT72" s="28">
        <f>'Monthly Data'!AT120</f>
        <v>0</v>
      </c>
      <c r="AU72" s="28">
        <f>'Monthly Data'!AU120</f>
        <v>487.22916666666669</v>
      </c>
      <c r="AV72" s="28">
        <f>'Monthly Data'!AV120</f>
        <v>0</v>
      </c>
      <c r="AW72" s="28">
        <f>'Monthly Data'!AW120</f>
        <v>427.22916666666674</v>
      </c>
      <c r="AX72" s="28">
        <f>'Monthly Data'!AX120</f>
        <v>0</v>
      </c>
      <c r="AY72" s="28">
        <f>'Monthly Data'!AY120</f>
        <v>367.22916666666669</v>
      </c>
      <c r="AZ72" s="28">
        <f>'Monthly Data'!AZ120</f>
        <v>0</v>
      </c>
      <c r="BA72" s="28">
        <f>'Monthly Data'!BA120</f>
        <v>307.22916666666669</v>
      </c>
      <c r="BB72" s="28">
        <f>'Monthly Data'!BB120</f>
        <v>0</v>
      </c>
      <c r="BC72" s="28">
        <f>'Monthly Data'!BC120</f>
        <v>247.22916666666666</v>
      </c>
      <c r="BD72" s="28">
        <f>'Monthly Data'!BD120</f>
        <v>0</v>
      </c>
      <c r="BE72">
        <f>'Monthly Data'!BE120</f>
        <v>0</v>
      </c>
      <c r="BF72">
        <f>'Monthly Data'!BF120</f>
        <v>0</v>
      </c>
      <c r="BG72">
        <f>'Monthly Data'!BG120</f>
        <v>0</v>
      </c>
      <c r="BH72">
        <f>'Monthly Data'!BH120</f>
        <v>0</v>
      </c>
      <c r="BI72">
        <f>'Monthly Data'!BI120</f>
        <v>0</v>
      </c>
      <c r="BJ72">
        <f>'Monthly Data'!BJ120</f>
        <v>0</v>
      </c>
      <c r="BK72">
        <f>'Monthly Data'!BK120</f>
        <v>0</v>
      </c>
      <c r="BL72">
        <f>'Monthly Data'!BL120</f>
        <v>0</v>
      </c>
      <c r="BM72">
        <f>'Monthly Data'!BM120</f>
        <v>0</v>
      </c>
      <c r="BN72">
        <f>'Monthly Data'!BN120</f>
        <v>0</v>
      </c>
      <c r="BO72">
        <f>'Monthly Data'!BO120</f>
        <v>1</v>
      </c>
      <c r="BP72">
        <f>'Monthly Data'!BP120</f>
        <v>0</v>
      </c>
      <c r="BQ72" s="1">
        <f>'Monthly Data'!BQ120</f>
        <v>0</v>
      </c>
      <c r="BR72" s="1">
        <f>'Monthly Data'!BR120</f>
        <v>1</v>
      </c>
      <c r="BS72" s="1">
        <f>'Monthly Data'!BS120</f>
        <v>1</v>
      </c>
      <c r="BT72" s="1">
        <f>'Monthly Data'!BT120</f>
        <v>119</v>
      </c>
      <c r="BU72">
        <f>'Monthly Data'!BU120</f>
        <v>30</v>
      </c>
      <c r="BV72" s="1">
        <f>'Monthly Data'!BV120</f>
        <v>22</v>
      </c>
      <c r="BW72" s="1">
        <f>'Monthly Data'!BW120</f>
        <v>0</v>
      </c>
      <c r="BX72" s="1">
        <f>'Monthly Data'!BX120</f>
        <v>0</v>
      </c>
      <c r="BY72" s="1">
        <f>'Monthly Data'!BY120</f>
        <v>0.25</v>
      </c>
      <c r="BZ72" s="1">
        <f>'Monthly Data'!BZ120</f>
        <v>0</v>
      </c>
      <c r="CA72">
        <f>'Monthly Data'!CA120</f>
        <v>0</v>
      </c>
      <c r="CB72">
        <f>'Monthly Data'!CB120</f>
        <v>0</v>
      </c>
      <c r="CC72">
        <f>'Monthly Data'!CC120</f>
        <v>0</v>
      </c>
      <c r="CD72">
        <f>'Monthly Data'!CD120</f>
        <v>0</v>
      </c>
      <c r="CE72">
        <f>'Monthly Data'!CE120</f>
        <v>0</v>
      </c>
      <c r="CF72">
        <f>'Monthly Data'!CF120</f>
        <v>0</v>
      </c>
      <c r="CG72">
        <f>'Monthly Data'!CG120</f>
        <v>0</v>
      </c>
      <c r="CH72">
        <f>'Monthly Data'!CH120</f>
        <v>0</v>
      </c>
      <c r="CI72">
        <f>'Monthly Data'!CI120</f>
        <v>0</v>
      </c>
      <c r="CJ72">
        <f>'Monthly Data'!CJ120</f>
        <v>0</v>
      </c>
      <c r="CK72">
        <f>'Monthly Data'!CK120</f>
        <v>0</v>
      </c>
      <c r="CL72">
        <f>'Monthly Data'!CL120</f>
        <v>0</v>
      </c>
      <c r="CM72">
        <f>'Monthly Data'!CM120</f>
        <v>0</v>
      </c>
      <c r="CN72">
        <f>'Monthly Data'!CN120</f>
        <v>0</v>
      </c>
      <c r="CO72" s="14">
        <f>'Monthly Data'!CO120</f>
        <v>151.80729166666663</v>
      </c>
      <c r="CP72" s="14">
        <f>'Monthly Data'!CP120</f>
        <v>0</v>
      </c>
      <c r="CQ72" s="14">
        <f>'Monthly Data'!CQ120</f>
        <v>136.80729166666666</v>
      </c>
      <c r="CR72" s="14">
        <f>'Monthly Data'!CR120</f>
        <v>0</v>
      </c>
      <c r="CS72" s="14">
        <f>'Monthly Data'!CS120</f>
        <v>121.80729166666667</v>
      </c>
      <c r="CT72" s="14">
        <f>'Monthly Data'!CT120</f>
        <v>0</v>
      </c>
      <c r="CU72" s="14">
        <f>'Monthly Data'!CU120</f>
        <v>106.80729166666669</v>
      </c>
      <c r="CV72" s="14">
        <f>'Monthly Data'!CV120</f>
        <v>0</v>
      </c>
      <c r="CW72" s="14">
        <f>'Monthly Data'!CW120</f>
        <v>91.807291666666671</v>
      </c>
      <c r="CX72" s="14">
        <f>'Monthly Data'!CX120</f>
        <v>0</v>
      </c>
      <c r="CY72" s="14">
        <f>'Monthly Data'!CY120</f>
        <v>76.807291666666671</v>
      </c>
      <c r="CZ72" s="14">
        <f>'Monthly Data'!CZ120</f>
        <v>0</v>
      </c>
      <c r="DA72" s="14">
        <f>'Monthly Data'!DA120</f>
        <v>61.807291666666664</v>
      </c>
      <c r="DB72" s="14">
        <f>'Monthly Data'!DB120</f>
        <v>0</v>
      </c>
      <c r="DC72" s="72">
        <f>'Monthly Data'!DC120</f>
        <v>738.8216476583458</v>
      </c>
      <c r="DD72" s="72">
        <f>'Monthly Data'!DD120</f>
        <v>24.627388255278195</v>
      </c>
      <c r="DE72" s="71">
        <f>'Monthly Data'!DE120</f>
        <v>256297.22957268017</v>
      </c>
      <c r="DF72" s="72">
        <f>'Monthly Data'!DF120</f>
        <v>2235.0672073315209</v>
      </c>
      <c r="DG72" s="72">
        <f>'Monthly Data'!DG120</f>
        <v>74.502240244384026</v>
      </c>
      <c r="DH72" s="72">
        <f>'Monthly Data'!DH120</f>
        <v>94766.849590856495</v>
      </c>
      <c r="DI72" s="72">
        <f>'Monthly Data'!DI120</f>
        <v>59416.663578846565</v>
      </c>
      <c r="DJ72" s="72">
        <f>'Monthly Data'!DJ120</f>
        <v>1980.5554526282187</v>
      </c>
      <c r="DK72" s="72">
        <f>'Monthly Data'!DK120</f>
        <v>2700.7574354021167</v>
      </c>
      <c r="DL72" s="72">
        <f>'Monthly Data'!DL120</f>
        <v>267374.98610480956</v>
      </c>
      <c r="DM72" s="72">
        <f>'Monthly Data'!DM120</f>
        <v>364602.25377928576</v>
      </c>
    </row>
    <row r="73" spans="1:117">
      <c r="A73" s="93">
        <f>'Monthly Data'!A121</f>
        <v>45992</v>
      </c>
      <c r="B73" s="4">
        <f>'Monthly Data'!B121</f>
        <v>2025</v>
      </c>
      <c r="C73" s="4">
        <f>'Monthly Data'!C121</f>
        <v>12</v>
      </c>
      <c r="D73" s="56">
        <f>'Monthly Data'!D121</f>
        <v>9796058</v>
      </c>
      <c r="E73" s="56">
        <f>'Monthly Data'!E121</f>
        <v>186543.56849964656</v>
      </c>
      <c r="F73" s="56">
        <f>'Monthly Data'!F121</f>
        <v>9982601.5684996471</v>
      </c>
      <c r="G73" s="301">
        <f>'Monthly Data'!G121</f>
        <v>10411</v>
      </c>
      <c r="H73" s="56">
        <f>'Monthly Data'!H121</f>
        <v>3164060</v>
      </c>
      <c r="I73" s="56">
        <f>'Monthly Data'!I121</f>
        <v>285797.11630404979</v>
      </c>
      <c r="J73" s="56">
        <f>'Monthly Data'!J121</f>
        <v>3449857.1163040497</v>
      </c>
      <c r="K73" s="6">
        <f>'Monthly Data'!K121</f>
        <v>1273</v>
      </c>
      <c r="L73" s="5">
        <f>'Monthly Data'!L121</f>
        <v>10274882</v>
      </c>
      <c r="M73" s="2">
        <f>'Monthly Data'!M121</f>
        <v>282021.03025245457</v>
      </c>
      <c r="N73" s="56">
        <f>'Monthly Data'!N121</f>
        <v>10556903.030252455</v>
      </c>
      <c r="O73" s="5">
        <f>'Monthly Data'!O121</f>
        <v>24640.2</v>
      </c>
      <c r="P73" s="6">
        <f>'Monthly Data'!P121</f>
        <v>135</v>
      </c>
      <c r="Q73" s="5">
        <f>'Monthly Data'!Q121</f>
        <v>115943</v>
      </c>
      <c r="R73" s="5">
        <f>'Monthly Data'!R121</f>
        <v>249.4</v>
      </c>
      <c r="S73" s="6">
        <f>'Monthly Data'!S121</f>
        <v>2983</v>
      </c>
      <c r="T73" s="6">
        <f>'Monthly Data'!T121</f>
        <v>13634</v>
      </c>
      <c r="U73" s="6">
        <f>'Monthly Data'!U121</f>
        <v>37.899999999999991</v>
      </c>
      <c r="V73" s="6">
        <f>'Monthly Data'!V121</f>
        <v>177</v>
      </c>
      <c r="W73" s="5">
        <f>'Monthly Data'!W121</f>
        <v>49547</v>
      </c>
      <c r="X73" s="56">
        <f>'Monthly Data'!X121</f>
        <v>19</v>
      </c>
      <c r="Y73" s="56">
        <f>'Monthly Data'!Y121</f>
        <v>4442053.5999999996</v>
      </c>
      <c r="Z73" s="56">
        <f>'Monthly Data'!Z121</f>
        <v>11526.4</v>
      </c>
      <c r="AA73" s="56">
        <f>'Monthly Data'!AA121</f>
        <v>5832828.4000000004</v>
      </c>
      <c r="AB73" s="56">
        <f>'Monthly Data'!AB121</f>
        <v>6114849.4302524552</v>
      </c>
      <c r="AC73" s="56">
        <f>'Monthly Data'!AC121</f>
        <v>13113.800000000001</v>
      </c>
      <c r="AD73" s="111">
        <f>'Monthly Data'!AD121</f>
        <v>887796.60117499996</v>
      </c>
      <c r="AE73" s="111">
        <f>'Monthly Data'!AE121</f>
        <v>904589.31275000004</v>
      </c>
      <c r="AF73" s="111">
        <f>'Monthly Data'!AF121</f>
        <v>8261.1</v>
      </c>
      <c r="AG73" s="111">
        <f>'Monthly Data'!AG121</f>
        <v>8248.1</v>
      </c>
      <c r="AH73" s="111">
        <f>'Monthly Data'!AH121</f>
        <v>670.8</v>
      </c>
      <c r="AI73" s="111">
        <f>'Monthly Data'!AI121</f>
        <v>665.2</v>
      </c>
      <c r="AJ73" s="111">
        <f>'Monthly Data'!AJ121</f>
        <v>73.400000000000546</v>
      </c>
      <c r="AK73" s="111">
        <f>'Monthly Data'!AK121</f>
        <v>71.5</v>
      </c>
      <c r="AL73" s="111">
        <f>'Monthly Data'!AL121</f>
        <v>-37.600000000000023</v>
      </c>
      <c r="AM73" s="111">
        <f>'Monthly Data'!AM121</f>
        <v>-37.099999999999909</v>
      </c>
      <c r="AN73" s="111">
        <f>'Monthly Data'!AN121</f>
        <v>11176.901175000006</v>
      </c>
      <c r="AO73" s="111">
        <f>'Monthly Data'!AO121</f>
        <v>3161.8055000000168</v>
      </c>
      <c r="AP73" s="28">
        <f>'Monthly Data'!AP121</f>
        <v>-9.5466397849462368</v>
      </c>
      <c r="AQ73" s="28">
        <f>'Monthly Data'!AQ121</f>
        <v>915.94583333333321</v>
      </c>
      <c r="AR73" s="28">
        <f>'Monthly Data'!AR121</f>
        <v>0</v>
      </c>
      <c r="AS73" s="28">
        <f>'Monthly Data'!AS121</f>
        <v>853.94583333333321</v>
      </c>
      <c r="AT73" s="28">
        <f>'Monthly Data'!AT121</f>
        <v>0</v>
      </c>
      <c r="AU73" s="28">
        <f>'Monthly Data'!AU121</f>
        <v>791.94583333333321</v>
      </c>
      <c r="AV73" s="28">
        <f>'Monthly Data'!AV121</f>
        <v>0</v>
      </c>
      <c r="AW73" s="28">
        <f>'Monthly Data'!AW121</f>
        <v>729.94583333333321</v>
      </c>
      <c r="AX73" s="28">
        <f>'Monthly Data'!AX121</f>
        <v>0</v>
      </c>
      <c r="AY73" s="28">
        <f>'Monthly Data'!AY121</f>
        <v>667.94583333333333</v>
      </c>
      <c r="AZ73" s="28">
        <f>'Monthly Data'!AZ121</f>
        <v>0</v>
      </c>
      <c r="BA73" s="28">
        <f>'Monthly Data'!BA121</f>
        <v>605.94583333333333</v>
      </c>
      <c r="BB73" s="28">
        <f>'Monthly Data'!BB121</f>
        <v>0</v>
      </c>
      <c r="BC73" s="28">
        <f>'Monthly Data'!BC121</f>
        <v>543.94583333333344</v>
      </c>
      <c r="BD73" s="28">
        <f>'Monthly Data'!BD121</f>
        <v>0</v>
      </c>
      <c r="BE73">
        <f>'Monthly Data'!BE121</f>
        <v>0</v>
      </c>
      <c r="BF73">
        <f>'Monthly Data'!BF121</f>
        <v>0</v>
      </c>
      <c r="BG73">
        <f>'Monthly Data'!BG121</f>
        <v>0</v>
      </c>
      <c r="BH73">
        <f>'Monthly Data'!BH121</f>
        <v>0</v>
      </c>
      <c r="BI73">
        <f>'Monthly Data'!BI121</f>
        <v>0</v>
      </c>
      <c r="BJ73">
        <f>'Monthly Data'!BJ121</f>
        <v>0</v>
      </c>
      <c r="BK73">
        <f>'Monthly Data'!BK121</f>
        <v>0</v>
      </c>
      <c r="BL73">
        <f>'Monthly Data'!BL121</f>
        <v>0</v>
      </c>
      <c r="BM73">
        <f>'Monthly Data'!BM121</f>
        <v>0</v>
      </c>
      <c r="BN73">
        <f>'Monthly Data'!BN121</f>
        <v>0</v>
      </c>
      <c r="BO73">
        <f>'Monthly Data'!BO121</f>
        <v>0</v>
      </c>
      <c r="BP73">
        <f>'Monthly Data'!BP121</f>
        <v>1</v>
      </c>
      <c r="BQ73" s="1">
        <f>'Monthly Data'!BQ121</f>
        <v>0</v>
      </c>
      <c r="BR73" s="1">
        <f>'Monthly Data'!BR121</f>
        <v>0</v>
      </c>
      <c r="BS73" s="1">
        <f>'Monthly Data'!BS121</f>
        <v>0</v>
      </c>
      <c r="BT73" s="1">
        <f>'Monthly Data'!BT121</f>
        <v>120</v>
      </c>
      <c r="BU73">
        <f>'Monthly Data'!BU121</f>
        <v>31</v>
      </c>
      <c r="BV73" s="1">
        <f>'Monthly Data'!BV121</f>
        <v>19</v>
      </c>
      <c r="BW73" s="1">
        <f>'Monthly Data'!BW121</f>
        <v>0</v>
      </c>
      <c r="BX73" s="1">
        <f>'Monthly Data'!BX121</f>
        <v>0</v>
      </c>
      <c r="BY73" s="1">
        <f>'Monthly Data'!BY121</f>
        <v>0.25</v>
      </c>
      <c r="BZ73" s="1">
        <f>'Monthly Data'!BZ121</f>
        <v>0</v>
      </c>
      <c r="CA73">
        <f>'Monthly Data'!CA121</f>
        <v>0</v>
      </c>
      <c r="CB73">
        <f>'Monthly Data'!CB121</f>
        <v>0</v>
      </c>
      <c r="CC73">
        <f>'Monthly Data'!CC121</f>
        <v>0</v>
      </c>
      <c r="CD73">
        <f>'Monthly Data'!CD121</f>
        <v>0</v>
      </c>
      <c r="CE73">
        <f>'Monthly Data'!CE121</f>
        <v>0</v>
      </c>
      <c r="CF73">
        <f>'Monthly Data'!CF121</f>
        <v>0</v>
      </c>
      <c r="CG73">
        <f>'Monthly Data'!CG121</f>
        <v>0</v>
      </c>
      <c r="CH73">
        <f>'Monthly Data'!CH121</f>
        <v>0</v>
      </c>
      <c r="CI73">
        <f>'Monthly Data'!CI121</f>
        <v>0</v>
      </c>
      <c r="CJ73">
        <f>'Monthly Data'!CJ121</f>
        <v>0</v>
      </c>
      <c r="CK73">
        <f>'Monthly Data'!CK121</f>
        <v>0</v>
      </c>
      <c r="CL73">
        <f>'Monthly Data'!CL121</f>
        <v>0</v>
      </c>
      <c r="CM73">
        <f>'Monthly Data'!CM121</f>
        <v>0</v>
      </c>
      <c r="CN73">
        <f>'Monthly Data'!CN121</f>
        <v>0</v>
      </c>
      <c r="CO73" s="14">
        <f>'Monthly Data'!CO121</f>
        <v>228.9864583333333</v>
      </c>
      <c r="CP73" s="14">
        <f>'Monthly Data'!CP121</f>
        <v>0</v>
      </c>
      <c r="CQ73" s="14">
        <f>'Monthly Data'!CQ121</f>
        <v>213.4864583333333</v>
      </c>
      <c r="CR73" s="14">
        <f>'Monthly Data'!CR121</f>
        <v>0</v>
      </c>
      <c r="CS73" s="14">
        <f>'Monthly Data'!CS121</f>
        <v>197.9864583333333</v>
      </c>
      <c r="CT73" s="14">
        <f>'Monthly Data'!CT121</f>
        <v>0</v>
      </c>
      <c r="CU73" s="14">
        <f>'Monthly Data'!CU121</f>
        <v>182.4864583333333</v>
      </c>
      <c r="CV73" s="14">
        <f>'Monthly Data'!CV121</f>
        <v>0</v>
      </c>
      <c r="CW73" s="14">
        <f>'Monthly Data'!CW121</f>
        <v>166.98645833333333</v>
      </c>
      <c r="CX73" s="14">
        <f>'Monthly Data'!CX121</f>
        <v>0</v>
      </c>
      <c r="CY73" s="14">
        <f>'Monthly Data'!CY121</f>
        <v>151.48645833333333</v>
      </c>
      <c r="CZ73" s="14">
        <f>'Monthly Data'!CZ121</f>
        <v>0</v>
      </c>
      <c r="DA73" s="14">
        <f>'Monthly Data'!DA121</f>
        <v>135.98645833333336</v>
      </c>
      <c r="DB73" s="14">
        <f>'Monthly Data'!DB121</f>
        <v>0</v>
      </c>
      <c r="DC73" s="72">
        <f>'Monthly Data'!DC121</f>
        <v>958.85136571891724</v>
      </c>
      <c r="DD73" s="72">
        <f>'Monthly Data'!DD121</f>
        <v>30.930689216739264</v>
      </c>
      <c r="DE73" s="71">
        <f>'Monthly Data'!DE121</f>
        <v>322019.40543547249</v>
      </c>
      <c r="DF73" s="72">
        <f>'Monthly Data'!DF121</f>
        <v>2710.0213011029455</v>
      </c>
      <c r="DG73" s="72">
        <f>'Monthly Data'!DG121</f>
        <v>87.420041971062759</v>
      </c>
      <c r="DH73" s="72">
        <f>'Monthly Data'!DH121</f>
        <v>111285.71342916289</v>
      </c>
      <c r="DI73" s="72">
        <f>'Monthly Data'!DI121</f>
        <v>78199.28170557374</v>
      </c>
      <c r="DJ73" s="72">
        <f>'Monthly Data'!DJ121</f>
        <v>2522.5574743733464</v>
      </c>
      <c r="DK73" s="72">
        <f>'Monthly Data'!DK121</f>
        <v>4115.7516687144071</v>
      </c>
      <c r="DL73" s="72">
        <f>'Monthly Data'!DL121</f>
        <v>340545.25904040178</v>
      </c>
      <c r="DM73" s="72">
        <f>'Monthly Data'!DM121</f>
        <v>555626.47527644504</v>
      </c>
    </row>
    <row r="74" spans="1:117">
      <c r="A74" s="93"/>
      <c r="B74" s="4"/>
      <c r="C74" s="4"/>
    </row>
  </sheetData>
  <sheetProtection sheet="1" objects="1" scenarios="1"/>
  <pageMargins left="0.75" right="0.75" top="1" bottom="1" header="0.5" footer="0.5"/>
  <pageSetup scale="10" fitToHeight="0" orientation="landscape" verticalDpi="1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tabColor theme="7" tint="0.79998168889431442"/>
  </sheetPr>
  <dimension ref="A2:AD223"/>
  <sheetViews>
    <sheetView topLeftCell="G1" workbookViewId="0">
      <selection activeCell="T22" sqref="T22"/>
    </sheetView>
  </sheetViews>
  <sheetFormatPr defaultColWidth="9.33203125" defaultRowHeight="13.15" customHeight="1"/>
  <cols>
    <col min="1" max="1" width="11.33203125" bestFit="1" customWidth="1"/>
    <col min="4" max="7" width="10.33203125" bestFit="1" customWidth="1"/>
    <col min="8" max="8" width="12.6640625" bestFit="1" customWidth="1"/>
    <col min="9" max="15" width="11" customWidth="1"/>
    <col min="16" max="16" width="12" customWidth="1"/>
    <col min="17" max="17" width="8.33203125" customWidth="1"/>
    <col min="18" max="18" width="14" bestFit="1" customWidth="1"/>
    <col min="19" max="19" width="13.5" bestFit="1" customWidth="1"/>
    <col min="20" max="20" width="13" bestFit="1" customWidth="1"/>
    <col min="21" max="21" width="18.83203125" customWidth="1"/>
    <col min="22" max="22" width="12.1640625" customWidth="1"/>
    <col min="23" max="24" width="6.6640625" customWidth="1"/>
    <col min="25" max="26" width="14.33203125" bestFit="1" customWidth="1"/>
    <col min="27" max="28" width="9.5" bestFit="1" customWidth="1"/>
  </cols>
  <sheetData>
    <row r="2" spans="1:30" ht="13.15" customHeight="1">
      <c r="A2" t="s">
        <v>26</v>
      </c>
      <c r="B2" t="s">
        <v>27</v>
      </c>
      <c r="D2" t="s">
        <v>57</v>
      </c>
      <c r="E2" t="s">
        <v>58</v>
      </c>
      <c r="F2" t="s">
        <v>59</v>
      </c>
      <c r="G2" t="s">
        <v>60</v>
      </c>
      <c r="H2" t="s">
        <v>55</v>
      </c>
      <c r="I2" t="s">
        <v>56</v>
      </c>
      <c r="J2" t="str">
        <f t="shared" ref="J2:O2" si="0">D2</f>
        <v>Ont_FTEAdj</v>
      </c>
      <c r="K2" t="str">
        <f t="shared" si="0"/>
        <v>Ont_FTE</v>
      </c>
      <c r="L2" t="str">
        <f t="shared" si="0"/>
        <v>Ott_FTEAdj</v>
      </c>
      <c r="M2" t="str">
        <f t="shared" si="0"/>
        <v>Ott_FTE</v>
      </c>
      <c r="N2" t="str">
        <f t="shared" si="0"/>
        <v>ON GDP</v>
      </c>
      <c r="O2" t="str">
        <f t="shared" si="0"/>
        <v>OEA_GDP</v>
      </c>
      <c r="W2" s="9"/>
      <c r="X2" s="9"/>
      <c r="Y2" s="9"/>
      <c r="Z2" s="9"/>
      <c r="AA2" s="9"/>
      <c r="AB2" s="9"/>
      <c r="AC2" s="9"/>
      <c r="AD2" s="9"/>
    </row>
    <row r="3" spans="1:30" ht="13.15" customHeight="1">
      <c r="D3" s="577" t="s">
        <v>145</v>
      </c>
      <c r="E3" s="577"/>
      <c r="F3" s="577"/>
      <c r="G3" s="577"/>
      <c r="H3" s="326" t="s">
        <v>146</v>
      </c>
      <c r="I3" s="326" t="s">
        <v>147</v>
      </c>
      <c r="J3" s="108" t="s">
        <v>148</v>
      </c>
      <c r="K3" s="108" t="s">
        <v>148</v>
      </c>
      <c r="L3" s="108" t="s">
        <v>148</v>
      </c>
      <c r="M3" s="108" t="s">
        <v>148</v>
      </c>
      <c r="N3" s="108" t="s">
        <v>148</v>
      </c>
      <c r="O3" s="108" t="s">
        <v>148</v>
      </c>
      <c r="W3" s="9"/>
      <c r="X3" s="9"/>
      <c r="Y3" s="9"/>
      <c r="Z3" s="9"/>
      <c r="AA3" s="9"/>
      <c r="AB3" s="9"/>
      <c r="AC3" s="9"/>
      <c r="AD3" s="9"/>
    </row>
    <row r="4" spans="1:30" ht="13.15" customHeight="1">
      <c r="A4" s="9">
        <v>42370</v>
      </c>
      <c r="B4">
        <f t="shared" ref="B4:B39" si="1">YEAR(A4)</f>
        <v>2016</v>
      </c>
      <c r="C4" t="s">
        <v>149</v>
      </c>
      <c r="D4" s="18">
        <v>6882.9</v>
      </c>
      <c r="E4" s="18">
        <v>6848.3</v>
      </c>
      <c r="F4" s="18">
        <v>554.5</v>
      </c>
      <c r="G4" s="18">
        <v>552</v>
      </c>
      <c r="H4" s="18">
        <v>743976.2</v>
      </c>
      <c r="I4" s="8">
        <v>743835</v>
      </c>
      <c r="J4" s="18"/>
      <c r="K4" s="18"/>
      <c r="L4" s="18"/>
      <c r="M4" s="18"/>
      <c r="N4" s="31"/>
      <c r="O4" s="18"/>
    </row>
    <row r="5" spans="1:30" ht="13.15" customHeight="1">
      <c r="A5" s="9">
        <v>42401</v>
      </c>
      <c r="B5">
        <f t="shared" si="1"/>
        <v>2016</v>
      </c>
      <c r="C5" t="s">
        <v>149</v>
      </c>
      <c r="D5" s="18">
        <v>6899.5</v>
      </c>
      <c r="E5" s="18">
        <v>6829.1</v>
      </c>
      <c r="F5" s="18">
        <v>557.6</v>
      </c>
      <c r="G5" s="18">
        <v>554.20000000000005</v>
      </c>
      <c r="H5" s="18">
        <v>743976.2</v>
      </c>
      <c r="I5" s="8">
        <v>743835</v>
      </c>
      <c r="J5" s="18"/>
      <c r="K5" s="18"/>
      <c r="L5" s="18"/>
      <c r="M5" s="18"/>
      <c r="N5" s="31"/>
      <c r="O5" s="18"/>
    </row>
    <row r="6" spans="1:30" ht="13.15" customHeight="1">
      <c r="A6" s="9">
        <v>42430</v>
      </c>
      <c r="B6">
        <f t="shared" si="1"/>
        <v>2016</v>
      </c>
      <c r="C6" t="s">
        <v>149</v>
      </c>
      <c r="D6" s="18">
        <v>6908.6</v>
      </c>
      <c r="E6" s="18">
        <v>6808.7</v>
      </c>
      <c r="F6" s="18">
        <v>559.70000000000005</v>
      </c>
      <c r="G6" s="18">
        <v>555.6</v>
      </c>
      <c r="H6" s="18">
        <v>743976.2</v>
      </c>
      <c r="I6" s="8">
        <v>743835</v>
      </c>
      <c r="J6" s="18"/>
      <c r="K6" s="18"/>
      <c r="L6" s="18"/>
      <c r="M6" s="18"/>
      <c r="N6" s="31"/>
      <c r="O6" s="18"/>
    </row>
    <row r="7" spans="1:30" ht="13.15" customHeight="1">
      <c r="A7" s="9">
        <v>42461</v>
      </c>
      <c r="B7">
        <f t="shared" si="1"/>
        <v>2016</v>
      </c>
      <c r="C7" t="s">
        <v>150</v>
      </c>
      <c r="D7" s="18">
        <v>6909</v>
      </c>
      <c r="E7" s="18">
        <v>6823.1</v>
      </c>
      <c r="F7" s="18">
        <v>556.9</v>
      </c>
      <c r="G7" s="18">
        <v>555.4</v>
      </c>
      <c r="H7" s="18">
        <v>743976.2</v>
      </c>
      <c r="I7" s="8">
        <v>740829</v>
      </c>
      <c r="J7" s="18"/>
      <c r="K7" s="18"/>
      <c r="L7" s="18"/>
      <c r="M7" s="18"/>
      <c r="N7" s="31"/>
      <c r="O7" s="18"/>
      <c r="S7" t="s">
        <v>151</v>
      </c>
    </row>
    <row r="8" spans="1:30" ht="13.15" customHeight="1">
      <c r="A8" s="9">
        <v>42491</v>
      </c>
      <c r="B8">
        <f t="shared" si="1"/>
        <v>2016</v>
      </c>
      <c r="C8" t="s">
        <v>150</v>
      </c>
      <c r="D8" s="18">
        <v>6919.1</v>
      </c>
      <c r="E8" s="18">
        <v>6889.6</v>
      </c>
      <c r="F8" s="18">
        <v>561.4</v>
      </c>
      <c r="G8" s="18">
        <v>562.4</v>
      </c>
      <c r="H8" s="18">
        <v>743976.2</v>
      </c>
      <c r="I8" s="8">
        <v>740829</v>
      </c>
      <c r="J8" s="18"/>
      <c r="K8" s="18"/>
      <c r="L8" s="18"/>
      <c r="M8" s="18"/>
      <c r="N8" s="31"/>
      <c r="O8" s="18"/>
      <c r="X8" s="94"/>
    </row>
    <row r="9" spans="1:30" ht="13.15" customHeight="1">
      <c r="A9" s="9">
        <v>42522</v>
      </c>
      <c r="B9">
        <f t="shared" si="1"/>
        <v>2016</v>
      </c>
      <c r="C9" t="s">
        <v>150</v>
      </c>
      <c r="D9" s="18">
        <v>6930</v>
      </c>
      <c r="E9" s="18">
        <v>6973</v>
      </c>
      <c r="F9" s="18">
        <v>564.4</v>
      </c>
      <c r="G9" s="18">
        <v>568.20000000000005</v>
      </c>
      <c r="H9" s="18">
        <v>743976.2</v>
      </c>
      <c r="I9" s="8">
        <v>740829</v>
      </c>
      <c r="J9" s="18"/>
      <c r="K9" s="18"/>
      <c r="L9" s="18"/>
      <c r="M9" s="18"/>
      <c r="N9" s="31"/>
      <c r="O9" s="18"/>
      <c r="R9" s="95"/>
      <c r="S9" s="96" t="s">
        <v>152</v>
      </c>
      <c r="T9" s="97" t="s">
        <v>153</v>
      </c>
      <c r="U9" s="97" t="s">
        <v>154</v>
      </c>
      <c r="V9" s="97" t="s">
        <v>155</v>
      </c>
      <c r="W9" s="97" t="s">
        <v>156</v>
      </c>
      <c r="X9" s="98"/>
    </row>
    <row r="10" spans="1:30" ht="13.15" customHeight="1">
      <c r="A10" s="9">
        <v>42552</v>
      </c>
      <c r="B10">
        <f t="shared" si="1"/>
        <v>2016</v>
      </c>
      <c r="C10" t="s">
        <v>157</v>
      </c>
      <c r="D10" s="18">
        <v>6933.8</v>
      </c>
      <c r="E10" s="18">
        <v>7021.7</v>
      </c>
      <c r="F10" s="18">
        <v>570.70000000000005</v>
      </c>
      <c r="G10" s="18">
        <v>576.4</v>
      </c>
      <c r="H10" s="18">
        <v>743976.2</v>
      </c>
      <c r="I10" s="8">
        <v>746710</v>
      </c>
      <c r="J10" s="18"/>
      <c r="K10" s="18"/>
      <c r="L10" s="18"/>
      <c r="M10" s="18"/>
      <c r="N10" s="31"/>
      <c r="O10" s="18"/>
      <c r="R10" s="99"/>
      <c r="S10" s="403">
        <v>46136</v>
      </c>
      <c r="T10" s="404">
        <v>46082</v>
      </c>
      <c r="U10" s="403">
        <v>46105</v>
      </c>
      <c r="V10" s="403">
        <v>46099</v>
      </c>
      <c r="X10" s="100"/>
    </row>
    <row r="11" spans="1:30" ht="13.15" customHeight="1">
      <c r="A11" s="9">
        <v>42583</v>
      </c>
      <c r="B11">
        <f t="shared" si="1"/>
        <v>2016</v>
      </c>
      <c r="C11" t="s">
        <v>157</v>
      </c>
      <c r="D11" s="18">
        <v>6931.2</v>
      </c>
      <c r="E11" s="18">
        <v>7018.7</v>
      </c>
      <c r="F11" s="18">
        <v>571.79999999999995</v>
      </c>
      <c r="G11" s="18">
        <v>574.1</v>
      </c>
      <c r="H11" s="18">
        <v>743976.2</v>
      </c>
      <c r="I11" s="8">
        <v>746710</v>
      </c>
      <c r="J11" s="18"/>
      <c r="K11" s="18"/>
      <c r="L11" s="18"/>
      <c r="M11" s="18"/>
      <c r="N11" s="31"/>
      <c r="O11" s="18"/>
      <c r="Q11" s="102" t="s">
        <v>158</v>
      </c>
      <c r="R11" s="99">
        <v>2025</v>
      </c>
      <c r="S11" s="405">
        <v>1.2999999999999999E-2</v>
      </c>
      <c r="T11" s="405">
        <v>1.2E-2</v>
      </c>
      <c r="U11" s="405">
        <v>1.2E-2</v>
      </c>
      <c r="V11" s="405">
        <v>1.4E-2</v>
      </c>
      <c r="W11" s="61">
        <f>AVERAGE(S11:V11)</f>
        <v>1.2750000000000001E-2</v>
      </c>
      <c r="X11" s="101"/>
    </row>
    <row r="12" spans="1:30" ht="13.15" customHeight="1">
      <c r="A12" s="9">
        <v>42614</v>
      </c>
      <c r="B12">
        <f t="shared" si="1"/>
        <v>2016</v>
      </c>
      <c r="C12" t="s">
        <v>157</v>
      </c>
      <c r="D12" s="18">
        <v>6929.7</v>
      </c>
      <c r="E12" s="18">
        <v>6973.4</v>
      </c>
      <c r="F12" s="18">
        <v>569.20000000000005</v>
      </c>
      <c r="G12" s="18">
        <v>567.20000000000005</v>
      </c>
      <c r="H12" s="18">
        <v>743976.2</v>
      </c>
      <c r="I12" s="8">
        <v>746710</v>
      </c>
      <c r="J12" s="18"/>
      <c r="K12" s="18"/>
      <c r="L12" s="18"/>
      <c r="M12" s="18"/>
      <c r="N12" s="31"/>
      <c r="O12" s="18"/>
      <c r="Q12" s="38"/>
      <c r="R12" s="99">
        <v>2026</v>
      </c>
      <c r="S12" s="406">
        <v>8.0000000000000002E-3</v>
      </c>
      <c r="T12" s="406">
        <v>8.9999999999999993E-3</v>
      </c>
      <c r="U12" s="406">
        <v>8.0000000000000002E-3</v>
      </c>
      <c r="V12" s="406">
        <v>8.9999999999999993E-3</v>
      </c>
      <c r="W12" s="61">
        <f>AVERAGE(S12:V12)</f>
        <v>8.5000000000000006E-3</v>
      </c>
      <c r="X12" s="100"/>
    </row>
    <row r="13" spans="1:30" ht="13.15" customHeight="1">
      <c r="A13" s="9">
        <v>42644</v>
      </c>
      <c r="B13">
        <f t="shared" si="1"/>
        <v>2016</v>
      </c>
      <c r="C13" t="s">
        <v>159</v>
      </c>
      <c r="D13" s="18">
        <v>6942</v>
      </c>
      <c r="E13" s="18">
        <v>6966.9</v>
      </c>
      <c r="F13" s="18">
        <v>571</v>
      </c>
      <c r="G13" s="18">
        <v>568.29999999999995</v>
      </c>
      <c r="H13" s="18">
        <v>743976.2</v>
      </c>
      <c r="I13" s="8">
        <v>745246</v>
      </c>
      <c r="J13" s="18"/>
      <c r="K13" s="18"/>
      <c r="L13" s="18"/>
      <c r="M13" s="18"/>
      <c r="N13" s="31"/>
      <c r="O13" s="18"/>
      <c r="R13" s="99">
        <v>2027</v>
      </c>
      <c r="S13" s="406">
        <v>2.2000000000000002E-2</v>
      </c>
      <c r="T13" s="406">
        <v>1.2999999999999999E-2</v>
      </c>
      <c r="U13" s="406">
        <v>1.7000000000000001E-2</v>
      </c>
      <c r="V13" s="406">
        <v>1.7999999999999999E-2</v>
      </c>
      <c r="W13" s="61">
        <f>AVERAGE(S13:V13)</f>
        <v>1.7500000000000002E-2</v>
      </c>
      <c r="X13" s="100"/>
    </row>
    <row r="14" spans="1:30" ht="13.15" customHeight="1">
      <c r="A14" s="9">
        <v>42675</v>
      </c>
      <c r="B14">
        <f t="shared" si="1"/>
        <v>2016</v>
      </c>
      <c r="C14" t="s">
        <v>159</v>
      </c>
      <c r="D14" s="18">
        <v>6959</v>
      </c>
      <c r="E14" s="18">
        <v>6964.3</v>
      </c>
      <c r="F14" s="18">
        <v>572.9</v>
      </c>
      <c r="G14" s="18">
        <v>571</v>
      </c>
      <c r="H14" s="18">
        <v>743976.2</v>
      </c>
      <c r="I14" s="8">
        <v>745246</v>
      </c>
      <c r="J14" s="18"/>
      <c r="K14" s="18"/>
      <c r="L14" s="18"/>
      <c r="M14" s="18"/>
      <c r="N14" s="31"/>
      <c r="O14" s="18"/>
      <c r="R14" s="103"/>
      <c r="W14" s="61"/>
      <c r="X14" s="100"/>
    </row>
    <row r="15" spans="1:30" ht="13.15" customHeight="1">
      <c r="A15" s="9">
        <v>42705</v>
      </c>
      <c r="B15">
        <f t="shared" si="1"/>
        <v>2016</v>
      </c>
      <c r="C15" t="s">
        <v>159</v>
      </c>
      <c r="D15" s="18">
        <v>6974.4</v>
      </c>
      <c r="E15" s="18">
        <v>6983</v>
      </c>
      <c r="F15" s="18">
        <v>574.5</v>
      </c>
      <c r="G15" s="18">
        <v>575.20000000000005</v>
      </c>
      <c r="H15" s="18">
        <v>743976.2</v>
      </c>
      <c r="I15" s="8">
        <v>745246</v>
      </c>
      <c r="J15" s="18"/>
      <c r="K15" s="18"/>
      <c r="L15" s="18"/>
      <c r="M15" s="18"/>
      <c r="N15" s="31"/>
      <c r="O15" s="18"/>
      <c r="R15" s="99"/>
      <c r="S15" s="403">
        <v>46136</v>
      </c>
      <c r="T15" s="404">
        <v>46082</v>
      </c>
      <c r="U15" s="403">
        <v>46105</v>
      </c>
      <c r="V15" s="403">
        <v>46099</v>
      </c>
      <c r="X15" s="101"/>
    </row>
    <row r="16" spans="1:30" ht="13.15" customHeight="1">
      <c r="A16" s="9">
        <v>42736</v>
      </c>
      <c r="B16">
        <f t="shared" si="1"/>
        <v>2017</v>
      </c>
      <c r="C16" t="str">
        <f t="shared" ref="C16:C60" si="2">C4</f>
        <v>Q1</v>
      </c>
      <c r="D16" s="18">
        <v>6998.9</v>
      </c>
      <c r="E16" s="18">
        <v>6968.1</v>
      </c>
      <c r="F16" s="18">
        <v>576.20000000000005</v>
      </c>
      <c r="G16" s="18">
        <v>576.70000000000005</v>
      </c>
      <c r="H16" s="18">
        <v>764464.8</v>
      </c>
      <c r="I16" s="8">
        <v>756670</v>
      </c>
      <c r="J16" s="18">
        <f t="shared" ref="J16:J47" si="3">D16-D4</f>
        <v>116</v>
      </c>
      <c r="K16" s="18">
        <f t="shared" ref="K16:K47" si="4">E16-E4</f>
        <v>119.80000000000018</v>
      </c>
      <c r="L16" s="18">
        <f t="shared" ref="L16:L47" si="5">F16-F4</f>
        <v>21.700000000000045</v>
      </c>
      <c r="M16" s="18">
        <f t="shared" ref="M16:M47" si="6">G16-G4</f>
        <v>24.700000000000045</v>
      </c>
      <c r="N16" s="31">
        <f t="shared" ref="N16:N47" si="7">H16-H4</f>
        <v>20488.600000000093</v>
      </c>
      <c r="O16" s="18">
        <f t="shared" ref="O16:O47" si="8">I16-I13</f>
        <v>11424</v>
      </c>
      <c r="Q16" s="38"/>
      <c r="R16" s="99">
        <v>2025</v>
      </c>
      <c r="S16" s="36">
        <v>0.01</v>
      </c>
      <c r="T16" s="36">
        <v>0.01</v>
      </c>
      <c r="U16" s="36">
        <v>0.01</v>
      </c>
      <c r="V16" s="36">
        <v>0.01</v>
      </c>
      <c r="W16" s="61">
        <f>AVERAGE(S16:V16)</f>
        <v>0.01</v>
      </c>
      <c r="X16" s="101"/>
    </row>
    <row r="17" spans="1:24" ht="13.15" customHeight="1">
      <c r="A17" s="9">
        <v>42767</v>
      </c>
      <c r="B17">
        <f t="shared" si="1"/>
        <v>2017</v>
      </c>
      <c r="C17" t="str">
        <f t="shared" si="2"/>
        <v>Q1</v>
      </c>
      <c r="D17" s="18">
        <v>7017.3</v>
      </c>
      <c r="E17" s="18">
        <v>6948.4</v>
      </c>
      <c r="F17" s="18">
        <v>577.20000000000005</v>
      </c>
      <c r="G17" s="18">
        <v>576.9</v>
      </c>
      <c r="H17" s="18">
        <v>764464.8</v>
      </c>
      <c r="I17" s="8">
        <v>756670</v>
      </c>
      <c r="J17" s="18">
        <f t="shared" si="3"/>
        <v>117.80000000000018</v>
      </c>
      <c r="K17" s="18">
        <f t="shared" si="4"/>
        <v>119.29999999999927</v>
      </c>
      <c r="L17" s="18">
        <f t="shared" si="5"/>
        <v>19.600000000000023</v>
      </c>
      <c r="M17" s="18">
        <f t="shared" si="6"/>
        <v>22.699999999999932</v>
      </c>
      <c r="N17" s="31">
        <f t="shared" si="7"/>
        <v>20488.600000000093</v>
      </c>
      <c r="O17" s="18">
        <f t="shared" si="8"/>
        <v>11424</v>
      </c>
      <c r="Q17" s="102" t="s">
        <v>160</v>
      </c>
      <c r="R17" s="99">
        <v>2026</v>
      </c>
      <c r="S17" s="36">
        <v>-1E-3</v>
      </c>
      <c r="T17" s="36">
        <v>0</v>
      </c>
      <c r="U17" s="36">
        <v>2E-3</v>
      </c>
      <c r="V17" s="36">
        <v>-2E-3</v>
      </c>
      <c r="W17" s="61">
        <f>AVERAGE(S17:V17)</f>
        <v>-2.5000000000000001E-4</v>
      </c>
      <c r="X17" s="101"/>
    </row>
    <row r="18" spans="1:24" ht="13.15" customHeight="1">
      <c r="A18" s="9">
        <v>42795</v>
      </c>
      <c r="B18">
        <f t="shared" si="1"/>
        <v>2017</v>
      </c>
      <c r="C18" t="str">
        <f t="shared" si="2"/>
        <v>Q1</v>
      </c>
      <c r="D18" s="18">
        <v>7035.4</v>
      </c>
      <c r="E18" s="18">
        <v>6933.2</v>
      </c>
      <c r="F18" s="18">
        <v>578.4</v>
      </c>
      <c r="G18" s="18">
        <v>577.1</v>
      </c>
      <c r="H18" s="18">
        <v>764464.8</v>
      </c>
      <c r="I18" s="8">
        <v>756670</v>
      </c>
      <c r="J18" s="18">
        <f t="shared" si="3"/>
        <v>126.79999999999927</v>
      </c>
      <c r="K18" s="18">
        <f t="shared" si="4"/>
        <v>124.5</v>
      </c>
      <c r="L18" s="18">
        <f t="shared" si="5"/>
        <v>18.699999999999932</v>
      </c>
      <c r="M18" s="18">
        <f t="shared" si="6"/>
        <v>21.5</v>
      </c>
      <c r="N18" s="31">
        <f t="shared" si="7"/>
        <v>20488.600000000093</v>
      </c>
      <c r="O18" s="18">
        <f t="shared" si="8"/>
        <v>11424</v>
      </c>
      <c r="Q18" s="38"/>
      <c r="R18" s="99">
        <v>2027</v>
      </c>
      <c r="S18" s="36">
        <v>6.0000000000000001E-3</v>
      </c>
      <c r="T18" s="36">
        <v>1E-3</v>
      </c>
      <c r="U18" s="36">
        <v>8.9999999999999993E-3</v>
      </c>
      <c r="V18" s="36">
        <v>5.0000000000000001E-3</v>
      </c>
      <c r="W18" s="61">
        <f>AVERAGE(S18:V18)</f>
        <v>5.2500000000000003E-3</v>
      </c>
      <c r="X18" s="101"/>
    </row>
    <row r="19" spans="1:24" ht="13.15" customHeight="1">
      <c r="A19" s="9">
        <v>42826</v>
      </c>
      <c r="B19">
        <f t="shared" si="1"/>
        <v>2017</v>
      </c>
      <c r="C19" t="str">
        <f t="shared" si="2"/>
        <v>Q2</v>
      </c>
      <c r="D19" s="18">
        <v>7041.8</v>
      </c>
      <c r="E19" s="18">
        <v>6951.9</v>
      </c>
      <c r="F19" s="18">
        <v>578.20000000000005</v>
      </c>
      <c r="G19" s="18">
        <v>576.1</v>
      </c>
      <c r="H19" s="18">
        <v>764464.8</v>
      </c>
      <c r="I19" s="8">
        <v>764676</v>
      </c>
      <c r="J19" s="18">
        <f t="shared" si="3"/>
        <v>132.80000000000018</v>
      </c>
      <c r="K19" s="18">
        <f t="shared" si="4"/>
        <v>128.79999999999927</v>
      </c>
      <c r="L19" s="18">
        <f t="shared" si="5"/>
        <v>21.300000000000068</v>
      </c>
      <c r="M19" s="18">
        <f t="shared" si="6"/>
        <v>20.700000000000045</v>
      </c>
      <c r="N19" s="31">
        <f t="shared" si="7"/>
        <v>20488.600000000093</v>
      </c>
      <c r="O19" s="18">
        <f t="shared" si="8"/>
        <v>8006</v>
      </c>
      <c r="R19" s="104"/>
      <c r="S19" s="107"/>
      <c r="T19" s="107"/>
      <c r="U19" s="107"/>
      <c r="V19" s="107"/>
      <c r="W19" s="105"/>
      <c r="X19" s="106"/>
    </row>
    <row r="20" spans="1:24" ht="13.15" customHeight="1">
      <c r="A20" s="9">
        <v>42856</v>
      </c>
      <c r="B20">
        <f t="shared" si="1"/>
        <v>2017</v>
      </c>
      <c r="C20" t="str">
        <f t="shared" si="2"/>
        <v>Q2</v>
      </c>
      <c r="D20" s="18">
        <v>7055.9</v>
      </c>
      <c r="E20" s="18">
        <v>7023.7</v>
      </c>
      <c r="F20" s="18">
        <v>574</v>
      </c>
      <c r="G20" s="18">
        <v>574.79999999999995</v>
      </c>
      <c r="H20" s="18">
        <v>764464.8</v>
      </c>
      <c r="I20" s="8">
        <v>764676</v>
      </c>
      <c r="J20" s="18">
        <f t="shared" si="3"/>
        <v>136.79999999999927</v>
      </c>
      <c r="K20" s="18">
        <f t="shared" si="4"/>
        <v>134.09999999999945</v>
      </c>
      <c r="L20" s="18">
        <f t="shared" si="5"/>
        <v>12.600000000000023</v>
      </c>
      <c r="M20" s="18">
        <f t="shared" si="6"/>
        <v>12.399999999999977</v>
      </c>
      <c r="N20" s="31">
        <f t="shared" si="7"/>
        <v>20488.600000000093</v>
      </c>
      <c r="O20" s="18">
        <f t="shared" si="8"/>
        <v>8006</v>
      </c>
    </row>
    <row r="21" spans="1:24" ht="13.15" customHeight="1">
      <c r="A21" s="9">
        <v>42887</v>
      </c>
      <c r="B21">
        <f t="shared" si="1"/>
        <v>2017</v>
      </c>
      <c r="C21" t="str">
        <f t="shared" si="2"/>
        <v>Q2</v>
      </c>
      <c r="D21" s="18">
        <v>7071</v>
      </c>
      <c r="E21" s="18">
        <v>7112.9</v>
      </c>
      <c r="F21" s="18">
        <v>572.70000000000005</v>
      </c>
      <c r="G21" s="18">
        <v>576.79999999999995</v>
      </c>
      <c r="H21" s="18">
        <v>764464.8</v>
      </c>
      <c r="I21" s="8">
        <v>764676</v>
      </c>
      <c r="J21" s="18">
        <f t="shared" si="3"/>
        <v>141</v>
      </c>
      <c r="K21" s="18">
        <f t="shared" si="4"/>
        <v>139.89999999999964</v>
      </c>
      <c r="L21" s="18">
        <f t="shared" si="5"/>
        <v>8.3000000000000682</v>
      </c>
      <c r="M21" s="18">
        <f t="shared" si="6"/>
        <v>8.5999999999999091</v>
      </c>
      <c r="N21" s="31">
        <f t="shared" si="7"/>
        <v>20488.600000000093</v>
      </c>
      <c r="O21" s="18">
        <f t="shared" si="8"/>
        <v>8006</v>
      </c>
      <c r="Q21" s="63"/>
      <c r="R21" s="62"/>
      <c r="S21" s="407" t="s">
        <v>161</v>
      </c>
      <c r="T21" s="407" t="s">
        <v>162</v>
      </c>
      <c r="U21" s="407" t="s">
        <v>163</v>
      </c>
      <c r="V21" s="407" t="s">
        <v>164</v>
      </c>
      <c r="W21" s="407"/>
      <c r="X21" s="281"/>
    </row>
    <row r="22" spans="1:24" ht="13.15" customHeight="1">
      <c r="A22" s="9">
        <v>42917</v>
      </c>
      <c r="B22">
        <f t="shared" si="1"/>
        <v>2017</v>
      </c>
      <c r="C22" t="str">
        <f t="shared" si="2"/>
        <v>Q3</v>
      </c>
      <c r="D22" s="18">
        <v>7099.1</v>
      </c>
      <c r="E22" s="18">
        <v>7186.7</v>
      </c>
      <c r="F22" s="18">
        <v>569.1</v>
      </c>
      <c r="G22" s="18">
        <v>575</v>
      </c>
      <c r="H22" s="18">
        <v>764464.8</v>
      </c>
      <c r="I22" s="8">
        <v>765009</v>
      </c>
      <c r="J22" s="18">
        <f t="shared" si="3"/>
        <v>165.30000000000018</v>
      </c>
      <c r="K22" s="18">
        <f t="shared" si="4"/>
        <v>165</v>
      </c>
      <c r="L22" s="18">
        <f t="shared" si="5"/>
        <v>-1.6000000000000227</v>
      </c>
      <c r="M22" s="18">
        <f t="shared" si="6"/>
        <v>-1.3999999999999773</v>
      </c>
      <c r="N22" s="31">
        <f t="shared" si="7"/>
        <v>20488.600000000093</v>
      </c>
      <c r="O22" s="18">
        <f t="shared" si="8"/>
        <v>333</v>
      </c>
      <c r="R22" s="11"/>
      <c r="S22" s="281"/>
      <c r="T22" s="281"/>
      <c r="U22" s="281"/>
      <c r="V22" s="281"/>
      <c r="W22" s="281"/>
      <c r="X22" s="281"/>
    </row>
    <row r="23" spans="1:24" ht="13.15" customHeight="1">
      <c r="A23" s="9">
        <v>42948</v>
      </c>
      <c r="B23">
        <f t="shared" si="1"/>
        <v>2017</v>
      </c>
      <c r="C23" t="str">
        <f t="shared" si="2"/>
        <v>Q3</v>
      </c>
      <c r="D23" s="18">
        <v>7118</v>
      </c>
      <c r="E23" s="18">
        <v>7207.6</v>
      </c>
      <c r="F23" s="18">
        <v>570</v>
      </c>
      <c r="G23" s="18">
        <v>572.9</v>
      </c>
      <c r="H23" s="18">
        <v>764464.8</v>
      </c>
      <c r="I23" s="8">
        <v>765009</v>
      </c>
      <c r="J23" s="18">
        <f t="shared" si="3"/>
        <v>186.80000000000018</v>
      </c>
      <c r="K23" s="18">
        <f t="shared" si="4"/>
        <v>188.90000000000055</v>
      </c>
      <c r="L23" s="18">
        <f t="shared" si="5"/>
        <v>-1.7999999999999545</v>
      </c>
      <c r="M23" s="18">
        <f t="shared" si="6"/>
        <v>-1.2000000000000455</v>
      </c>
      <c r="N23" s="31">
        <f t="shared" si="7"/>
        <v>20488.600000000093</v>
      </c>
      <c r="O23" s="18">
        <f t="shared" si="8"/>
        <v>333</v>
      </c>
    </row>
    <row r="24" spans="1:24" ht="13.15" customHeight="1">
      <c r="A24" s="9">
        <v>42979</v>
      </c>
      <c r="B24">
        <f t="shared" si="1"/>
        <v>2017</v>
      </c>
      <c r="C24" t="str">
        <f t="shared" si="2"/>
        <v>Q3</v>
      </c>
      <c r="D24" s="18">
        <v>7143.3</v>
      </c>
      <c r="E24" s="18">
        <v>7185.7</v>
      </c>
      <c r="F24" s="18">
        <v>569.9</v>
      </c>
      <c r="G24" s="18">
        <v>568.1</v>
      </c>
      <c r="H24" s="18">
        <v>764464.8</v>
      </c>
      <c r="I24" s="8">
        <v>765009</v>
      </c>
      <c r="J24" s="18">
        <f t="shared" si="3"/>
        <v>213.60000000000036</v>
      </c>
      <c r="K24" s="18">
        <f t="shared" si="4"/>
        <v>212.30000000000018</v>
      </c>
      <c r="L24" s="18">
        <f t="shared" si="5"/>
        <v>0.69999999999993179</v>
      </c>
      <c r="M24" s="18">
        <f t="shared" si="6"/>
        <v>0.89999999999997726</v>
      </c>
      <c r="N24" s="31">
        <f t="shared" si="7"/>
        <v>20488.600000000093</v>
      </c>
      <c r="O24" s="18">
        <f t="shared" si="8"/>
        <v>333</v>
      </c>
    </row>
    <row r="25" spans="1:24" ht="13.15" customHeight="1">
      <c r="A25" s="9">
        <v>43009</v>
      </c>
      <c r="B25">
        <f t="shared" si="1"/>
        <v>2017</v>
      </c>
      <c r="C25" t="str">
        <f t="shared" si="2"/>
        <v>Q4</v>
      </c>
      <c r="D25" s="18">
        <v>7158.3</v>
      </c>
      <c r="E25" s="18">
        <v>7179.8</v>
      </c>
      <c r="F25" s="18">
        <v>569.1</v>
      </c>
      <c r="G25" s="18">
        <v>566</v>
      </c>
      <c r="H25" s="18">
        <v>764464.8</v>
      </c>
      <c r="I25" s="8">
        <v>771506</v>
      </c>
      <c r="J25" s="18">
        <f t="shared" si="3"/>
        <v>216.30000000000018</v>
      </c>
      <c r="K25" s="18">
        <f t="shared" si="4"/>
        <v>212.90000000000055</v>
      </c>
      <c r="L25" s="18">
        <f t="shared" si="5"/>
        <v>-1.8999999999999773</v>
      </c>
      <c r="M25" s="18">
        <f t="shared" si="6"/>
        <v>-2.2999999999999545</v>
      </c>
      <c r="N25" s="31">
        <f t="shared" si="7"/>
        <v>20488.600000000093</v>
      </c>
      <c r="O25" s="18">
        <f t="shared" si="8"/>
        <v>6497</v>
      </c>
      <c r="Q25" s="10"/>
      <c r="R25" s="12"/>
      <c r="S25" s="281"/>
      <c r="T25" s="281"/>
      <c r="U25" s="281"/>
      <c r="V25" s="281"/>
      <c r="W25" s="281"/>
      <c r="X25" s="281"/>
    </row>
    <row r="26" spans="1:24" ht="13.15" customHeight="1">
      <c r="A26" s="9">
        <v>43040</v>
      </c>
      <c r="B26">
        <f t="shared" si="1"/>
        <v>2017</v>
      </c>
      <c r="C26" t="str">
        <f t="shared" si="2"/>
        <v>Q4</v>
      </c>
      <c r="D26" s="18">
        <v>7182.2</v>
      </c>
      <c r="E26" s="18">
        <v>7182.5</v>
      </c>
      <c r="F26" s="18">
        <v>572.5</v>
      </c>
      <c r="G26" s="18">
        <v>569.4</v>
      </c>
      <c r="H26" s="18">
        <v>764464.8</v>
      </c>
      <c r="I26" s="8">
        <v>771506</v>
      </c>
      <c r="J26" s="18">
        <f t="shared" si="3"/>
        <v>223.19999999999982</v>
      </c>
      <c r="K26" s="18">
        <f t="shared" si="4"/>
        <v>218.19999999999982</v>
      </c>
      <c r="L26" s="18">
        <f t="shared" si="5"/>
        <v>-0.39999999999997726</v>
      </c>
      <c r="M26" s="18">
        <f t="shared" si="6"/>
        <v>-1.6000000000000227</v>
      </c>
      <c r="N26" s="31">
        <f t="shared" si="7"/>
        <v>20488.600000000093</v>
      </c>
      <c r="O26" s="18">
        <f t="shared" si="8"/>
        <v>6497</v>
      </c>
    </row>
    <row r="27" spans="1:24" ht="13.15" customHeight="1">
      <c r="A27" s="9">
        <v>43070</v>
      </c>
      <c r="B27">
        <f t="shared" si="1"/>
        <v>2017</v>
      </c>
      <c r="C27" t="str">
        <f t="shared" si="2"/>
        <v>Q4</v>
      </c>
      <c r="D27" s="18">
        <v>7196.8</v>
      </c>
      <c r="E27" s="18">
        <v>7205</v>
      </c>
      <c r="F27" s="18">
        <v>576.4</v>
      </c>
      <c r="G27" s="18">
        <v>576.1</v>
      </c>
      <c r="H27" s="18">
        <v>764464.8</v>
      </c>
      <c r="I27" s="8">
        <v>771506</v>
      </c>
      <c r="J27" s="18">
        <f t="shared" si="3"/>
        <v>222.40000000000055</v>
      </c>
      <c r="K27" s="18">
        <f t="shared" si="4"/>
        <v>222</v>
      </c>
      <c r="L27" s="18">
        <f t="shared" si="5"/>
        <v>1.8999999999999773</v>
      </c>
      <c r="M27" s="18">
        <f t="shared" si="6"/>
        <v>0.89999999999997726</v>
      </c>
      <c r="N27" s="31">
        <f t="shared" si="7"/>
        <v>20488.600000000093</v>
      </c>
      <c r="O27" s="18">
        <f t="shared" si="8"/>
        <v>6497</v>
      </c>
    </row>
    <row r="28" spans="1:24" ht="13.15" customHeight="1">
      <c r="A28" s="9">
        <v>43101</v>
      </c>
      <c r="B28">
        <f t="shared" si="1"/>
        <v>2018</v>
      </c>
      <c r="C28" t="str">
        <f t="shared" si="2"/>
        <v>Q1</v>
      </c>
      <c r="D28" s="18">
        <v>7195</v>
      </c>
      <c r="E28" s="18">
        <v>7165</v>
      </c>
      <c r="F28" s="18">
        <v>580.5</v>
      </c>
      <c r="G28" s="18">
        <v>579.20000000000005</v>
      </c>
      <c r="H28" s="18">
        <v>789531.6</v>
      </c>
      <c r="I28" s="8">
        <v>779694</v>
      </c>
      <c r="J28" s="18">
        <f t="shared" si="3"/>
        <v>196.10000000000036</v>
      </c>
      <c r="K28" s="18">
        <f t="shared" si="4"/>
        <v>196.89999999999964</v>
      </c>
      <c r="L28" s="18">
        <f t="shared" si="5"/>
        <v>4.2999999999999545</v>
      </c>
      <c r="M28" s="18">
        <f t="shared" si="6"/>
        <v>2.5</v>
      </c>
      <c r="N28" s="31">
        <f t="shared" si="7"/>
        <v>25066.79999999993</v>
      </c>
      <c r="O28" s="18">
        <f t="shared" si="8"/>
        <v>8188</v>
      </c>
      <c r="W28" s="280"/>
    </row>
    <row r="29" spans="1:24" ht="13.15" customHeight="1">
      <c r="A29" s="9">
        <v>43132</v>
      </c>
      <c r="B29">
        <f t="shared" si="1"/>
        <v>2018</v>
      </c>
      <c r="C29" t="str">
        <f t="shared" si="2"/>
        <v>Q1</v>
      </c>
      <c r="D29" s="18">
        <v>7183.9</v>
      </c>
      <c r="E29" s="18">
        <v>7116</v>
      </c>
      <c r="F29" s="18">
        <v>580.20000000000005</v>
      </c>
      <c r="G29" s="18">
        <v>578.70000000000005</v>
      </c>
      <c r="H29" s="18">
        <v>789531.6</v>
      </c>
      <c r="I29" s="8">
        <v>779694</v>
      </c>
      <c r="J29" s="18">
        <f t="shared" si="3"/>
        <v>166.59999999999945</v>
      </c>
      <c r="K29" s="18">
        <f t="shared" si="4"/>
        <v>167.60000000000036</v>
      </c>
      <c r="L29" s="18">
        <f t="shared" si="5"/>
        <v>3</v>
      </c>
      <c r="M29" s="18">
        <f t="shared" si="6"/>
        <v>1.8000000000000682</v>
      </c>
      <c r="N29" s="31">
        <f t="shared" si="7"/>
        <v>25066.79999999993</v>
      </c>
      <c r="O29" s="18">
        <f t="shared" si="8"/>
        <v>8188</v>
      </c>
    </row>
    <row r="30" spans="1:24" ht="13.15" customHeight="1">
      <c r="A30" s="9">
        <v>43160</v>
      </c>
      <c r="B30">
        <f t="shared" si="1"/>
        <v>2018</v>
      </c>
      <c r="C30" t="str">
        <f t="shared" si="2"/>
        <v>Q1</v>
      </c>
      <c r="D30" s="18">
        <v>7183.7</v>
      </c>
      <c r="E30" s="18">
        <v>7080.1</v>
      </c>
      <c r="F30" s="18">
        <v>584</v>
      </c>
      <c r="G30" s="18">
        <v>581</v>
      </c>
      <c r="H30" s="18">
        <v>789531.6</v>
      </c>
      <c r="I30" s="8">
        <v>779694</v>
      </c>
      <c r="J30" s="18">
        <f t="shared" si="3"/>
        <v>148.30000000000018</v>
      </c>
      <c r="K30" s="18">
        <f t="shared" si="4"/>
        <v>146.90000000000055</v>
      </c>
      <c r="L30" s="18">
        <f t="shared" si="5"/>
        <v>5.6000000000000227</v>
      </c>
      <c r="M30" s="18">
        <f t="shared" si="6"/>
        <v>3.8999999999999773</v>
      </c>
      <c r="N30" s="31">
        <f t="shared" si="7"/>
        <v>25066.79999999993</v>
      </c>
      <c r="O30" s="18">
        <f t="shared" si="8"/>
        <v>8188</v>
      </c>
      <c r="U30" s="61"/>
      <c r="W30" s="9"/>
    </row>
    <row r="31" spans="1:24" ht="13.15" customHeight="1">
      <c r="A31" s="9">
        <v>43191</v>
      </c>
      <c r="B31">
        <f t="shared" si="1"/>
        <v>2018</v>
      </c>
      <c r="C31" t="str">
        <f t="shared" si="2"/>
        <v>Q2</v>
      </c>
      <c r="D31" s="18">
        <v>7196</v>
      </c>
      <c r="E31" s="18">
        <v>7107.1</v>
      </c>
      <c r="F31" s="18">
        <v>590.79999999999995</v>
      </c>
      <c r="G31" s="18">
        <v>590.29999999999995</v>
      </c>
      <c r="H31" s="18">
        <v>789531.6</v>
      </c>
      <c r="I31" s="8">
        <v>785185</v>
      </c>
      <c r="J31" s="18">
        <f t="shared" si="3"/>
        <v>154.19999999999982</v>
      </c>
      <c r="K31" s="18">
        <f t="shared" si="4"/>
        <v>155.20000000000073</v>
      </c>
      <c r="L31" s="18">
        <f t="shared" si="5"/>
        <v>12.599999999999909</v>
      </c>
      <c r="M31" s="18">
        <f t="shared" si="6"/>
        <v>14.199999999999932</v>
      </c>
      <c r="N31" s="31">
        <f t="shared" si="7"/>
        <v>25066.79999999993</v>
      </c>
      <c r="O31" s="18">
        <f t="shared" si="8"/>
        <v>5491</v>
      </c>
    </row>
    <row r="32" spans="1:24" ht="13.15" customHeight="1">
      <c r="A32" s="9">
        <v>43221</v>
      </c>
      <c r="B32">
        <f t="shared" si="1"/>
        <v>2018</v>
      </c>
      <c r="C32" t="str">
        <f t="shared" si="2"/>
        <v>Q2</v>
      </c>
      <c r="D32" s="18">
        <v>7205</v>
      </c>
      <c r="E32" s="18">
        <v>7172.4</v>
      </c>
      <c r="F32" s="18">
        <v>593.70000000000005</v>
      </c>
      <c r="G32" s="18">
        <v>595.9</v>
      </c>
      <c r="H32" s="18">
        <v>789531.6</v>
      </c>
      <c r="I32" s="8">
        <v>785185</v>
      </c>
      <c r="J32" s="18">
        <f t="shared" si="3"/>
        <v>149.10000000000036</v>
      </c>
      <c r="K32" s="18">
        <f t="shared" si="4"/>
        <v>148.69999999999982</v>
      </c>
      <c r="L32" s="18">
        <f t="shared" si="5"/>
        <v>19.700000000000045</v>
      </c>
      <c r="M32" s="18">
        <f t="shared" si="6"/>
        <v>21.100000000000023</v>
      </c>
      <c r="N32" s="31">
        <f t="shared" si="7"/>
        <v>25066.79999999993</v>
      </c>
      <c r="O32" s="18">
        <f t="shared" si="8"/>
        <v>5491</v>
      </c>
    </row>
    <row r="33" spans="1:17" ht="13.15" customHeight="1">
      <c r="A33" s="9">
        <v>43252</v>
      </c>
      <c r="B33">
        <f t="shared" si="1"/>
        <v>2018</v>
      </c>
      <c r="C33" t="str">
        <f t="shared" si="2"/>
        <v>Q2</v>
      </c>
      <c r="D33" s="18">
        <v>7216.7</v>
      </c>
      <c r="E33" s="18">
        <v>7258</v>
      </c>
      <c r="F33" s="18">
        <v>593.70000000000005</v>
      </c>
      <c r="G33" s="18">
        <v>599.9</v>
      </c>
      <c r="H33" s="18">
        <v>789531.6</v>
      </c>
      <c r="I33" s="8">
        <v>785185</v>
      </c>
      <c r="J33" s="18">
        <f t="shared" si="3"/>
        <v>145.69999999999982</v>
      </c>
      <c r="K33" s="18">
        <f t="shared" si="4"/>
        <v>145.10000000000036</v>
      </c>
      <c r="L33" s="18">
        <f t="shared" si="5"/>
        <v>21</v>
      </c>
      <c r="M33" s="18">
        <f t="shared" si="6"/>
        <v>23.100000000000023</v>
      </c>
      <c r="N33" s="31">
        <f t="shared" si="7"/>
        <v>25066.79999999993</v>
      </c>
      <c r="O33" s="18">
        <f t="shared" si="8"/>
        <v>5491</v>
      </c>
    </row>
    <row r="34" spans="1:17" ht="13.15" customHeight="1">
      <c r="A34" s="9">
        <v>43282</v>
      </c>
      <c r="B34">
        <f t="shared" si="1"/>
        <v>2018</v>
      </c>
      <c r="C34" t="str">
        <f t="shared" si="2"/>
        <v>Q3</v>
      </c>
      <c r="D34" s="18">
        <v>7249.1</v>
      </c>
      <c r="E34" s="18">
        <v>7338.7</v>
      </c>
      <c r="F34" s="18">
        <v>590.1</v>
      </c>
      <c r="G34" s="18">
        <v>599.29999999999995</v>
      </c>
      <c r="H34" s="18">
        <v>789531.6</v>
      </c>
      <c r="I34" s="8">
        <v>794512</v>
      </c>
      <c r="J34" s="18">
        <f t="shared" si="3"/>
        <v>150</v>
      </c>
      <c r="K34" s="18">
        <f t="shared" si="4"/>
        <v>152</v>
      </c>
      <c r="L34" s="18">
        <f t="shared" si="5"/>
        <v>21</v>
      </c>
      <c r="M34" s="18">
        <f t="shared" si="6"/>
        <v>24.299999999999955</v>
      </c>
      <c r="N34" s="31">
        <f t="shared" si="7"/>
        <v>25066.79999999993</v>
      </c>
      <c r="O34" s="18">
        <f t="shared" si="8"/>
        <v>9327</v>
      </c>
    </row>
    <row r="35" spans="1:17" ht="13.15" customHeight="1">
      <c r="A35" s="9">
        <v>43313</v>
      </c>
      <c r="B35">
        <f t="shared" si="1"/>
        <v>2018</v>
      </c>
      <c r="C35" t="str">
        <f t="shared" si="2"/>
        <v>Q3</v>
      </c>
      <c r="D35" s="18">
        <v>7257.7</v>
      </c>
      <c r="E35" s="18">
        <v>7350.2</v>
      </c>
      <c r="F35" s="18">
        <v>589.4</v>
      </c>
      <c r="G35" s="18">
        <v>596.20000000000005</v>
      </c>
      <c r="H35" s="18">
        <v>789531.6</v>
      </c>
      <c r="I35" s="8">
        <v>794512</v>
      </c>
      <c r="J35" s="18">
        <f t="shared" si="3"/>
        <v>139.69999999999982</v>
      </c>
      <c r="K35" s="18">
        <f t="shared" si="4"/>
        <v>142.59999999999945</v>
      </c>
      <c r="L35" s="18">
        <f t="shared" si="5"/>
        <v>19.399999999999977</v>
      </c>
      <c r="M35" s="18">
        <f t="shared" si="6"/>
        <v>23.300000000000068</v>
      </c>
      <c r="N35" s="31">
        <f t="shared" si="7"/>
        <v>25066.79999999993</v>
      </c>
      <c r="O35" s="18">
        <f t="shared" si="8"/>
        <v>9327</v>
      </c>
    </row>
    <row r="36" spans="1:17" ht="13.15" customHeight="1">
      <c r="A36" s="9">
        <v>43344</v>
      </c>
      <c r="B36">
        <f t="shared" si="1"/>
        <v>2018</v>
      </c>
      <c r="C36" t="str">
        <f t="shared" si="2"/>
        <v>Q3</v>
      </c>
      <c r="D36" s="18">
        <v>7273.8</v>
      </c>
      <c r="E36" s="18">
        <v>7316.6</v>
      </c>
      <c r="F36" s="18">
        <v>589.79999999999995</v>
      </c>
      <c r="G36" s="18">
        <v>591.4</v>
      </c>
      <c r="H36" s="18">
        <v>789531.6</v>
      </c>
      <c r="I36" s="8">
        <v>794512</v>
      </c>
      <c r="J36" s="18">
        <f t="shared" si="3"/>
        <v>130.5</v>
      </c>
      <c r="K36" s="18">
        <f t="shared" si="4"/>
        <v>130.90000000000055</v>
      </c>
      <c r="L36" s="18">
        <f t="shared" si="5"/>
        <v>19.899999999999977</v>
      </c>
      <c r="M36" s="18">
        <f t="shared" si="6"/>
        <v>23.299999999999955</v>
      </c>
      <c r="N36" s="31">
        <f t="shared" si="7"/>
        <v>25066.79999999993</v>
      </c>
      <c r="O36" s="18">
        <f t="shared" si="8"/>
        <v>9327</v>
      </c>
    </row>
    <row r="37" spans="1:17" ht="13.15" customHeight="1">
      <c r="A37" s="9">
        <v>43374</v>
      </c>
      <c r="B37">
        <f t="shared" si="1"/>
        <v>2018</v>
      </c>
      <c r="C37" t="str">
        <f t="shared" si="2"/>
        <v>Q4</v>
      </c>
      <c r="D37" s="18">
        <v>7269.1</v>
      </c>
      <c r="E37" s="18">
        <v>7285.3</v>
      </c>
      <c r="F37" s="18">
        <v>590.4</v>
      </c>
      <c r="G37" s="18">
        <v>587</v>
      </c>
      <c r="H37" s="18">
        <v>789531.6</v>
      </c>
      <c r="I37" s="8">
        <v>799922</v>
      </c>
      <c r="J37" s="18">
        <f t="shared" si="3"/>
        <v>110.80000000000018</v>
      </c>
      <c r="K37" s="18">
        <f t="shared" si="4"/>
        <v>105.5</v>
      </c>
      <c r="L37" s="18">
        <f t="shared" si="5"/>
        <v>21.299999999999955</v>
      </c>
      <c r="M37" s="18">
        <f t="shared" si="6"/>
        <v>21</v>
      </c>
      <c r="N37" s="31">
        <f t="shared" si="7"/>
        <v>25066.79999999993</v>
      </c>
      <c r="O37" s="18">
        <f t="shared" si="8"/>
        <v>5410</v>
      </c>
    </row>
    <row r="38" spans="1:17" ht="13.15" customHeight="1">
      <c r="A38" s="9">
        <v>43405</v>
      </c>
      <c r="B38">
        <f t="shared" si="1"/>
        <v>2018</v>
      </c>
      <c r="C38" t="str">
        <f t="shared" si="2"/>
        <v>Q4</v>
      </c>
      <c r="D38" s="18">
        <v>7289.9</v>
      </c>
      <c r="E38" s="18">
        <v>7286.3</v>
      </c>
      <c r="F38" s="18">
        <v>589.29999999999995</v>
      </c>
      <c r="G38" s="18">
        <v>585</v>
      </c>
      <c r="H38" s="18">
        <v>789531.6</v>
      </c>
      <c r="I38" s="8">
        <v>799922</v>
      </c>
      <c r="J38" s="18">
        <f t="shared" si="3"/>
        <v>107.69999999999982</v>
      </c>
      <c r="K38" s="18">
        <f t="shared" si="4"/>
        <v>103.80000000000018</v>
      </c>
      <c r="L38" s="18">
        <f t="shared" si="5"/>
        <v>16.799999999999955</v>
      </c>
      <c r="M38" s="18">
        <f t="shared" si="6"/>
        <v>15.600000000000023</v>
      </c>
      <c r="N38" s="31">
        <f t="shared" si="7"/>
        <v>25066.79999999993</v>
      </c>
      <c r="O38" s="18">
        <f t="shared" si="8"/>
        <v>5410</v>
      </c>
    </row>
    <row r="39" spans="1:17" ht="13.15" customHeight="1">
      <c r="A39" s="9">
        <v>43435</v>
      </c>
      <c r="B39">
        <f t="shared" si="1"/>
        <v>2018</v>
      </c>
      <c r="C39" t="str">
        <f t="shared" si="2"/>
        <v>Q4</v>
      </c>
      <c r="D39" s="18">
        <v>7296.4</v>
      </c>
      <c r="E39" s="18">
        <v>7306.9</v>
      </c>
      <c r="F39" s="18">
        <v>587.20000000000005</v>
      </c>
      <c r="G39" s="18">
        <v>585.9</v>
      </c>
      <c r="H39" s="18">
        <v>789531.6</v>
      </c>
      <c r="I39" s="8">
        <v>799922</v>
      </c>
      <c r="J39" s="18">
        <f t="shared" si="3"/>
        <v>99.599999999999454</v>
      </c>
      <c r="K39" s="18">
        <f t="shared" si="4"/>
        <v>101.89999999999964</v>
      </c>
      <c r="L39" s="18">
        <f t="shared" si="5"/>
        <v>10.800000000000068</v>
      </c>
      <c r="M39" s="18">
        <f t="shared" si="6"/>
        <v>9.7999999999999545</v>
      </c>
      <c r="N39" s="31">
        <f t="shared" si="7"/>
        <v>25066.79999999993</v>
      </c>
      <c r="O39" s="18">
        <f t="shared" si="8"/>
        <v>5410</v>
      </c>
    </row>
    <row r="40" spans="1:17" ht="13.15" customHeight="1">
      <c r="A40" s="9">
        <v>43466</v>
      </c>
      <c r="B40">
        <f t="shared" ref="B40:B99" si="9">YEAR(A40)</f>
        <v>2019</v>
      </c>
      <c r="C40" t="str">
        <f t="shared" si="2"/>
        <v>Q1</v>
      </c>
      <c r="D40" s="18">
        <v>7306.5</v>
      </c>
      <c r="E40" s="18">
        <v>7280.1</v>
      </c>
      <c r="F40" s="18">
        <v>588.4</v>
      </c>
      <c r="G40" s="18">
        <v>585.29999999999995</v>
      </c>
      <c r="H40" s="18">
        <v>807274.5</v>
      </c>
      <c r="I40" s="8">
        <v>800743</v>
      </c>
      <c r="J40" s="18">
        <f t="shared" si="3"/>
        <v>111.5</v>
      </c>
      <c r="K40" s="18">
        <f t="shared" si="4"/>
        <v>115.10000000000036</v>
      </c>
      <c r="L40" s="18">
        <f t="shared" si="5"/>
        <v>7.8999999999999773</v>
      </c>
      <c r="M40" s="18">
        <f t="shared" si="6"/>
        <v>6.0999999999999091</v>
      </c>
      <c r="N40" s="31">
        <f t="shared" si="7"/>
        <v>17742.900000000023</v>
      </c>
      <c r="O40" s="18">
        <f t="shared" si="8"/>
        <v>821</v>
      </c>
    </row>
    <row r="41" spans="1:17" ht="13.15" customHeight="1">
      <c r="A41" s="9">
        <v>43497</v>
      </c>
      <c r="B41">
        <f t="shared" si="9"/>
        <v>2019</v>
      </c>
      <c r="C41" t="str">
        <f t="shared" si="2"/>
        <v>Q1</v>
      </c>
      <c r="D41" s="18">
        <v>7329.7</v>
      </c>
      <c r="E41" s="18">
        <v>7264.2</v>
      </c>
      <c r="F41" s="18">
        <v>594.4</v>
      </c>
      <c r="G41" s="18">
        <v>591.5</v>
      </c>
      <c r="H41" s="18">
        <v>807274.5</v>
      </c>
      <c r="I41" s="8">
        <v>800743</v>
      </c>
      <c r="J41" s="18">
        <f t="shared" si="3"/>
        <v>145.80000000000018</v>
      </c>
      <c r="K41" s="18">
        <f t="shared" si="4"/>
        <v>148.19999999999982</v>
      </c>
      <c r="L41" s="18">
        <f t="shared" si="5"/>
        <v>14.199999999999932</v>
      </c>
      <c r="M41" s="18">
        <f t="shared" si="6"/>
        <v>12.799999999999955</v>
      </c>
      <c r="N41" s="31">
        <f t="shared" si="7"/>
        <v>17742.900000000023</v>
      </c>
      <c r="O41" s="18">
        <f t="shared" si="8"/>
        <v>821</v>
      </c>
    </row>
    <row r="42" spans="1:17" ht="13.15" customHeight="1">
      <c r="A42" s="9">
        <v>43525</v>
      </c>
      <c r="B42">
        <f t="shared" si="9"/>
        <v>2019</v>
      </c>
      <c r="C42" t="str">
        <f t="shared" si="2"/>
        <v>Q1</v>
      </c>
      <c r="D42" s="18">
        <v>7341.9</v>
      </c>
      <c r="E42" s="18">
        <v>7239.5</v>
      </c>
      <c r="F42" s="18">
        <v>596.9</v>
      </c>
      <c r="G42" s="18">
        <v>591.9</v>
      </c>
      <c r="H42" s="18">
        <v>807274.5</v>
      </c>
      <c r="I42" s="8">
        <v>800743</v>
      </c>
      <c r="J42" s="18">
        <f t="shared" si="3"/>
        <v>158.19999999999982</v>
      </c>
      <c r="K42" s="18">
        <f t="shared" si="4"/>
        <v>159.39999999999964</v>
      </c>
      <c r="L42" s="18">
        <f t="shared" si="5"/>
        <v>12.899999999999977</v>
      </c>
      <c r="M42" s="18">
        <f t="shared" si="6"/>
        <v>10.899999999999977</v>
      </c>
      <c r="N42" s="31">
        <f t="shared" si="7"/>
        <v>17742.900000000023</v>
      </c>
      <c r="O42" s="18">
        <f t="shared" si="8"/>
        <v>821</v>
      </c>
    </row>
    <row r="43" spans="1:17" ht="13.15" customHeight="1">
      <c r="A43" s="9">
        <v>43556</v>
      </c>
      <c r="B43">
        <f t="shared" si="9"/>
        <v>2019</v>
      </c>
      <c r="C43" t="str">
        <f t="shared" si="2"/>
        <v>Q2</v>
      </c>
      <c r="D43" s="18">
        <v>7361.6</v>
      </c>
      <c r="E43" s="18">
        <v>7275.7</v>
      </c>
      <c r="F43" s="18">
        <v>595</v>
      </c>
      <c r="G43" s="18">
        <v>593.70000000000005</v>
      </c>
      <c r="H43" s="18">
        <v>807274.5</v>
      </c>
      <c r="I43" s="8">
        <v>806729</v>
      </c>
      <c r="J43" s="18">
        <f t="shared" si="3"/>
        <v>165.60000000000036</v>
      </c>
      <c r="K43" s="18">
        <f t="shared" si="4"/>
        <v>168.59999999999945</v>
      </c>
      <c r="L43" s="18">
        <f t="shared" si="5"/>
        <v>4.2000000000000455</v>
      </c>
      <c r="M43" s="18">
        <f t="shared" si="6"/>
        <v>3.4000000000000909</v>
      </c>
      <c r="N43" s="31">
        <f t="shared" si="7"/>
        <v>17742.900000000023</v>
      </c>
      <c r="O43" s="18">
        <f t="shared" si="8"/>
        <v>5986</v>
      </c>
      <c r="Q43" s="89"/>
    </row>
    <row r="44" spans="1:17" ht="13.15" customHeight="1">
      <c r="A44" s="9">
        <v>43586</v>
      </c>
      <c r="B44">
        <f t="shared" si="9"/>
        <v>2019</v>
      </c>
      <c r="C44" t="str">
        <f t="shared" si="2"/>
        <v>Q2</v>
      </c>
      <c r="D44" s="18">
        <v>7376.4</v>
      </c>
      <c r="E44" s="18">
        <v>7345.7</v>
      </c>
      <c r="F44" s="18">
        <v>595.29999999999995</v>
      </c>
      <c r="G44" s="18">
        <v>597.1</v>
      </c>
      <c r="H44" s="18">
        <v>807274.5</v>
      </c>
      <c r="I44" s="8">
        <v>806729</v>
      </c>
      <c r="J44" s="18">
        <f t="shared" si="3"/>
        <v>171.39999999999964</v>
      </c>
      <c r="K44" s="18">
        <f t="shared" si="4"/>
        <v>173.30000000000018</v>
      </c>
      <c r="L44" s="18">
        <f t="shared" si="5"/>
        <v>1.5999999999999091</v>
      </c>
      <c r="M44" s="18">
        <f t="shared" si="6"/>
        <v>1.2000000000000455</v>
      </c>
      <c r="N44" s="31">
        <f t="shared" si="7"/>
        <v>17742.900000000023</v>
      </c>
      <c r="O44" s="18">
        <f t="shared" si="8"/>
        <v>5986</v>
      </c>
      <c r="Q44" s="89"/>
    </row>
    <row r="45" spans="1:17" ht="13.15" customHeight="1">
      <c r="A45" s="9">
        <v>43617</v>
      </c>
      <c r="B45">
        <f t="shared" si="9"/>
        <v>2019</v>
      </c>
      <c r="C45" t="str">
        <f t="shared" si="2"/>
        <v>Q2</v>
      </c>
      <c r="D45" s="18">
        <v>7396.1</v>
      </c>
      <c r="E45" s="18">
        <v>7436.8</v>
      </c>
      <c r="F45" s="18">
        <v>597.1</v>
      </c>
      <c r="G45" s="18">
        <v>603.4</v>
      </c>
      <c r="H45" s="18">
        <v>807274.5</v>
      </c>
      <c r="I45" s="8">
        <v>806729</v>
      </c>
      <c r="J45" s="18">
        <f t="shared" si="3"/>
        <v>179.40000000000055</v>
      </c>
      <c r="K45" s="18">
        <f t="shared" si="4"/>
        <v>178.80000000000018</v>
      </c>
      <c r="L45" s="18">
        <f t="shared" si="5"/>
        <v>3.3999999999999773</v>
      </c>
      <c r="M45" s="18">
        <f t="shared" si="6"/>
        <v>3.5</v>
      </c>
      <c r="N45" s="31">
        <f t="shared" si="7"/>
        <v>17742.900000000023</v>
      </c>
      <c r="O45" s="18">
        <f t="shared" si="8"/>
        <v>5986</v>
      </c>
      <c r="Q45" s="89"/>
    </row>
    <row r="46" spans="1:17" ht="13.15" customHeight="1">
      <c r="A46" s="9">
        <v>43647</v>
      </c>
      <c r="B46">
        <f t="shared" si="9"/>
        <v>2019</v>
      </c>
      <c r="C46" t="str">
        <f t="shared" si="2"/>
        <v>Q3</v>
      </c>
      <c r="D46" s="18">
        <v>7399.6</v>
      </c>
      <c r="E46" s="18">
        <v>7484.5</v>
      </c>
      <c r="F46" s="18">
        <v>604.6</v>
      </c>
      <c r="G46" s="18">
        <v>614.5</v>
      </c>
      <c r="H46" s="18">
        <v>807274.5</v>
      </c>
      <c r="I46" s="8">
        <v>810697</v>
      </c>
      <c r="J46" s="18">
        <f t="shared" si="3"/>
        <v>150.5</v>
      </c>
      <c r="K46" s="18">
        <f t="shared" si="4"/>
        <v>145.80000000000018</v>
      </c>
      <c r="L46" s="18">
        <f t="shared" si="5"/>
        <v>14.5</v>
      </c>
      <c r="M46" s="18">
        <f t="shared" si="6"/>
        <v>15.200000000000045</v>
      </c>
      <c r="N46" s="31">
        <f t="shared" si="7"/>
        <v>17742.900000000023</v>
      </c>
      <c r="O46" s="18">
        <f t="shared" si="8"/>
        <v>3968</v>
      </c>
    </row>
    <row r="47" spans="1:17" ht="13.15" customHeight="1">
      <c r="A47" s="9">
        <v>43678</v>
      </c>
      <c r="B47">
        <f t="shared" si="9"/>
        <v>2019</v>
      </c>
      <c r="C47" t="str">
        <f t="shared" si="2"/>
        <v>Q3</v>
      </c>
      <c r="D47" s="18">
        <v>7414</v>
      </c>
      <c r="E47" s="18">
        <v>7501.5</v>
      </c>
      <c r="F47" s="18">
        <v>616.6</v>
      </c>
      <c r="G47" s="18">
        <v>624.4</v>
      </c>
      <c r="H47" s="18">
        <v>807274.5</v>
      </c>
      <c r="I47" s="8">
        <v>810697</v>
      </c>
      <c r="J47" s="18">
        <f t="shared" si="3"/>
        <v>156.30000000000018</v>
      </c>
      <c r="K47" s="18">
        <f t="shared" si="4"/>
        <v>151.30000000000018</v>
      </c>
      <c r="L47" s="18">
        <f t="shared" si="5"/>
        <v>27.200000000000045</v>
      </c>
      <c r="M47" s="18">
        <f t="shared" si="6"/>
        <v>28.199999999999932</v>
      </c>
      <c r="N47" s="31">
        <f t="shared" si="7"/>
        <v>17742.900000000023</v>
      </c>
      <c r="O47" s="18">
        <f t="shared" si="8"/>
        <v>3968</v>
      </c>
    </row>
    <row r="48" spans="1:17" ht="13.15" customHeight="1">
      <c r="A48" s="9">
        <v>43709</v>
      </c>
      <c r="B48">
        <f t="shared" si="9"/>
        <v>2019</v>
      </c>
      <c r="C48" t="str">
        <f t="shared" si="2"/>
        <v>Q3</v>
      </c>
      <c r="D48" s="18">
        <v>7432.4</v>
      </c>
      <c r="E48" s="18">
        <v>7489.3</v>
      </c>
      <c r="F48" s="18">
        <v>627.70000000000005</v>
      </c>
      <c r="G48" s="18">
        <v>629.9</v>
      </c>
      <c r="H48" s="18">
        <v>807274.5</v>
      </c>
      <c r="I48" s="8">
        <v>810697</v>
      </c>
      <c r="J48" s="18">
        <f t="shared" ref="J48:J79" si="10">D48-D36</f>
        <v>158.59999999999945</v>
      </c>
      <c r="K48" s="18">
        <f t="shared" ref="K48:K79" si="11">E48-E36</f>
        <v>172.69999999999982</v>
      </c>
      <c r="L48" s="18">
        <f t="shared" ref="L48:L79" si="12">F48-F36</f>
        <v>37.900000000000091</v>
      </c>
      <c r="M48" s="18">
        <f t="shared" ref="M48:M79" si="13">G48-G36</f>
        <v>38.5</v>
      </c>
      <c r="N48" s="31">
        <f t="shared" ref="N48:N79" si="14">H48-H36</f>
        <v>17742.900000000023</v>
      </c>
      <c r="O48" s="18">
        <f t="shared" ref="O48:O79" si="15">I48-I45</f>
        <v>3968</v>
      </c>
    </row>
    <row r="49" spans="1:30" ht="13.15" customHeight="1">
      <c r="A49" s="9">
        <v>43739</v>
      </c>
      <c r="B49">
        <f t="shared" si="9"/>
        <v>2019</v>
      </c>
      <c r="C49" t="str">
        <f t="shared" si="2"/>
        <v>Q4</v>
      </c>
      <c r="D49" s="18">
        <v>7450</v>
      </c>
      <c r="E49" s="18">
        <v>7491.1</v>
      </c>
      <c r="F49" s="18">
        <v>639.1</v>
      </c>
      <c r="G49" s="18">
        <v>635.79999999999995</v>
      </c>
      <c r="H49" s="18">
        <v>807274.5</v>
      </c>
      <c r="I49" s="8">
        <v>812164</v>
      </c>
      <c r="J49" s="18">
        <f t="shared" si="10"/>
        <v>180.89999999999964</v>
      </c>
      <c r="K49" s="18">
        <f t="shared" si="11"/>
        <v>205.80000000000018</v>
      </c>
      <c r="L49" s="18">
        <f t="shared" si="12"/>
        <v>48.700000000000045</v>
      </c>
      <c r="M49" s="18">
        <f t="shared" si="13"/>
        <v>48.799999999999955</v>
      </c>
      <c r="N49" s="31">
        <f t="shared" si="14"/>
        <v>17742.900000000023</v>
      </c>
      <c r="O49" s="18">
        <f t="shared" si="15"/>
        <v>1467</v>
      </c>
    </row>
    <row r="50" spans="1:30" ht="13.15" customHeight="1">
      <c r="A50" s="9">
        <v>43770</v>
      </c>
      <c r="B50">
        <f t="shared" si="9"/>
        <v>2019</v>
      </c>
      <c r="C50" t="str">
        <f t="shared" si="2"/>
        <v>Q4</v>
      </c>
      <c r="D50" s="18">
        <v>7458.2</v>
      </c>
      <c r="E50" s="18">
        <v>7479.5</v>
      </c>
      <c r="F50" s="18">
        <v>639.9</v>
      </c>
      <c r="G50" s="18">
        <v>637</v>
      </c>
      <c r="H50" s="18">
        <v>807274.5</v>
      </c>
      <c r="I50" s="8">
        <v>812164</v>
      </c>
      <c r="J50" s="18">
        <f t="shared" si="10"/>
        <v>168.30000000000018</v>
      </c>
      <c r="K50" s="18">
        <f t="shared" si="11"/>
        <v>193.19999999999982</v>
      </c>
      <c r="L50" s="18">
        <f t="shared" si="12"/>
        <v>50.600000000000023</v>
      </c>
      <c r="M50" s="18">
        <f t="shared" si="13"/>
        <v>52</v>
      </c>
      <c r="N50" s="31">
        <f t="shared" si="14"/>
        <v>17742.900000000023</v>
      </c>
      <c r="O50" s="18">
        <f t="shared" si="15"/>
        <v>1467</v>
      </c>
    </row>
    <row r="51" spans="1:30" ht="13.15" customHeight="1">
      <c r="A51" s="9">
        <v>43800</v>
      </c>
      <c r="B51">
        <f t="shared" si="9"/>
        <v>2019</v>
      </c>
      <c r="C51" t="str">
        <f t="shared" si="2"/>
        <v>Q4</v>
      </c>
      <c r="D51" s="18">
        <v>7474</v>
      </c>
      <c r="E51" s="18">
        <v>7485.8</v>
      </c>
      <c r="F51" s="18">
        <v>641.70000000000005</v>
      </c>
      <c r="G51" s="18">
        <v>640.29999999999995</v>
      </c>
      <c r="H51" s="18">
        <v>807274.5</v>
      </c>
      <c r="I51" s="8">
        <v>812164</v>
      </c>
      <c r="J51" s="18">
        <f t="shared" si="10"/>
        <v>177.60000000000036</v>
      </c>
      <c r="K51" s="18">
        <f t="shared" si="11"/>
        <v>178.90000000000055</v>
      </c>
      <c r="L51" s="18">
        <f t="shared" si="12"/>
        <v>54.5</v>
      </c>
      <c r="M51" s="18">
        <f t="shared" si="13"/>
        <v>54.399999999999977</v>
      </c>
      <c r="N51" s="31">
        <f t="shared" si="14"/>
        <v>17742.900000000023</v>
      </c>
      <c r="O51" s="18">
        <f t="shared" si="15"/>
        <v>1467</v>
      </c>
    </row>
    <row r="52" spans="1:30" ht="13.15" customHeight="1">
      <c r="A52" s="9">
        <v>43831</v>
      </c>
      <c r="B52">
        <f t="shared" si="9"/>
        <v>2020</v>
      </c>
      <c r="C52" t="str">
        <f t="shared" si="2"/>
        <v>Q1</v>
      </c>
      <c r="D52" s="18">
        <v>7498.1</v>
      </c>
      <c r="E52" s="18">
        <v>7464.7</v>
      </c>
      <c r="F52" s="18">
        <v>635.9</v>
      </c>
      <c r="G52" s="18">
        <v>631.6</v>
      </c>
      <c r="H52" s="18">
        <v>769942</v>
      </c>
      <c r="I52" s="8">
        <v>801246</v>
      </c>
      <c r="J52" s="18">
        <f t="shared" si="10"/>
        <v>191.60000000000036</v>
      </c>
      <c r="K52" s="18">
        <f t="shared" si="11"/>
        <v>184.59999999999945</v>
      </c>
      <c r="L52" s="18">
        <f t="shared" si="12"/>
        <v>47.5</v>
      </c>
      <c r="M52" s="18">
        <f t="shared" si="13"/>
        <v>46.300000000000068</v>
      </c>
      <c r="N52" s="31">
        <f t="shared" si="14"/>
        <v>-37332.5</v>
      </c>
      <c r="O52" s="18">
        <f t="shared" si="15"/>
        <v>-10918</v>
      </c>
      <c r="P52" s="81"/>
      <c r="Q52" s="18"/>
      <c r="R52" s="18"/>
      <c r="S52" s="18"/>
      <c r="T52" s="18"/>
      <c r="U52" s="18"/>
      <c r="X52" s="17"/>
      <c r="Y52" s="17"/>
      <c r="Z52" s="17"/>
      <c r="AA52" s="17"/>
      <c r="AB52" s="17"/>
      <c r="AC52" s="17"/>
      <c r="AD52" s="17"/>
    </row>
    <row r="53" spans="1:30" ht="13.15" customHeight="1">
      <c r="A53" s="9">
        <v>43862</v>
      </c>
      <c r="B53">
        <f t="shared" si="9"/>
        <v>2020</v>
      </c>
      <c r="C53" t="str">
        <f t="shared" si="2"/>
        <v>Q1</v>
      </c>
      <c r="D53" s="18">
        <v>7508</v>
      </c>
      <c r="E53" s="18">
        <v>7439</v>
      </c>
      <c r="F53" s="18">
        <v>627.79999999999995</v>
      </c>
      <c r="G53" s="18">
        <v>621.9</v>
      </c>
      <c r="H53" s="18">
        <v>769942</v>
      </c>
      <c r="I53" s="8">
        <v>801246</v>
      </c>
      <c r="J53" s="18">
        <f t="shared" si="10"/>
        <v>178.30000000000018</v>
      </c>
      <c r="K53" s="18">
        <f t="shared" si="11"/>
        <v>174.80000000000018</v>
      </c>
      <c r="L53" s="18">
        <f t="shared" si="12"/>
        <v>33.399999999999977</v>
      </c>
      <c r="M53" s="18">
        <f t="shared" si="13"/>
        <v>30.399999999999977</v>
      </c>
      <c r="N53" s="31">
        <f t="shared" si="14"/>
        <v>-37332.5</v>
      </c>
      <c r="O53" s="18">
        <f t="shared" si="15"/>
        <v>-10918</v>
      </c>
      <c r="P53" s="81"/>
      <c r="Q53" s="18"/>
      <c r="R53" s="18"/>
      <c r="S53" s="18"/>
      <c r="T53" s="18"/>
      <c r="U53" s="18"/>
      <c r="X53" s="17"/>
      <c r="Y53" s="17"/>
      <c r="Z53" s="17"/>
      <c r="AA53" s="17"/>
      <c r="AB53" s="17"/>
      <c r="AC53" s="17"/>
      <c r="AD53" s="17"/>
    </row>
    <row r="54" spans="1:30" ht="13.15" customHeight="1">
      <c r="A54" s="9">
        <v>43891</v>
      </c>
      <c r="B54">
        <f t="shared" si="9"/>
        <v>2020</v>
      </c>
      <c r="C54" t="str">
        <f t="shared" si="2"/>
        <v>Q1</v>
      </c>
      <c r="D54" s="18">
        <v>7351.6</v>
      </c>
      <c r="E54" s="18">
        <v>7258.8</v>
      </c>
      <c r="F54" s="18">
        <v>611.6</v>
      </c>
      <c r="G54" s="18">
        <v>605.20000000000005</v>
      </c>
      <c r="H54" s="18">
        <v>769942</v>
      </c>
      <c r="I54" s="8">
        <v>801246</v>
      </c>
      <c r="J54" s="18">
        <f t="shared" si="10"/>
        <v>9.7000000000007276</v>
      </c>
      <c r="K54" s="18">
        <f t="shared" si="11"/>
        <v>19.300000000000182</v>
      </c>
      <c r="L54" s="18">
        <f t="shared" si="12"/>
        <v>14.700000000000045</v>
      </c>
      <c r="M54" s="18">
        <f t="shared" si="13"/>
        <v>13.300000000000068</v>
      </c>
      <c r="N54" s="31">
        <f t="shared" si="14"/>
        <v>-37332.5</v>
      </c>
      <c r="O54" s="18">
        <f t="shared" si="15"/>
        <v>-10918</v>
      </c>
      <c r="P54" s="81"/>
      <c r="Q54" s="18"/>
      <c r="R54" s="18"/>
      <c r="S54" s="18"/>
      <c r="T54" s="18"/>
      <c r="U54" s="18"/>
      <c r="X54" s="17"/>
      <c r="Y54" s="17"/>
      <c r="Z54" s="17"/>
      <c r="AA54" s="17"/>
      <c r="AB54" s="17"/>
      <c r="AC54" s="17"/>
      <c r="AD54" s="17"/>
    </row>
    <row r="55" spans="1:30" ht="13.15" customHeight="1">
      <c r="A55" s="9">
        <v>43922</v>
      </c>
      <c r="B55">
        <f t="shared" si="9"/>
        <v>2020</v>
      </c>
      <c r="C55" t="str">
        <f t="shared" si="2"/>
        <v>Q2</v>
      </c>
      <c r="D55" s="18">
        <v>6961.6</v>
      </c>
      <c r="E55" s="18">
        <v>6893.7</v>
      </c>
      <c r="F55" s="18">
        <v>585</v>
      </c>
      <c r="G55" s="18">
        <v>582.4</v>
      </c>
      <c r="H55" s="18">
        <v>769942</v>
      </c>
      <c r="I55" s="8">
        <v>705711</v>
      </c>
      <c r="J55" s="18">
        <f t="shared" si="10"/>
        <v>-400</v>
      </c>
      <c r="K55" s="18">
        <f t="shared" si="11"/>
        <v>-382</v>
      </c>
      <c r="L55" s="18">
        <f t="shared" si="12"/>
        <v>-10</v>
      </c>
      <c r="M55" s="18">
        <f t="shared" si="13"/>
        <v>-11.300000000000068</v>
      </c>
      <c r="N55" s="31">
        <f t="shared" si="14"/>
        <v>-37332.5</v>
      </c>
      <c r="O55" s="18">
        <f t="shared" si="15"/>
        <v>-95535</v>
      </c>
      <c r="P55" s="81"/>
      <c r="Q55" s="18"/>
      <c r="R55" s="18"/>
      <c r="S55" s="18"/>
      <c r="T55" s="18"/>
      <c r="U55" s="18"/>
      <c r="X55" s="17"/>
      <c r="Y55" s="17"/>
      <c r="Z55" s="17"/>
      <c r="AA55" s="17"/>
      <c r="AB55" s="17"/>
      <c r="AC55" s="17"/>
      <c r="AD55" s="17"/>
    </row>
    <row r="56" spans="1:30" ht="13.15" customHeight="1">
      <c r="A56" s="9">
        <v>43952</v>
      </c>
      <c r="B56">
        <f t="shared" si="9"/>
        <v>2020</v>
      </c>
      <c r="C56" t="str">
        <f t="shared" si="2"/>
        <v>Q2</v>
      </c>
      <c r="D56" s="18">
        <v>6572.6</v>
      </c>
      <c r="E56" s="18">
        <v>6550.9</v>
      </c>
      <c r="F56" s="18">
        <v>564.20000000000005</v>
      </c>
      <c r="G56" s="18">
        <v>564.5</v>
      </c>
      <c r="H56" s="18">
        <v>769942</v>
      </c>
      <c r="I56" s="8">
        <v>705711</v>
      </c>
      <c r="J56" s="18">
        <f t="shared" si="10"/>
        <v>-803.79999999999927</v>
      </c>
      <c r="K56" s="18">
        <f t="shared" si="11"/>
        <v>-794.80000000000018</v>
      </c>
      <c r="L56" s="18">
        <f t="shared" si="12"/>
        <v>-31.099999999999909</v>
      </c>
      <c r="M56" s="18">
        <f t="shared" si="13"/>
        <v>-32.600000000000023</v>
      </c>
      <c r="N56" s="31">
        <f t="shared" si="14"/>
        <v>-37332.5</v>
      </c>
      <c r="O56" s="18">
        <f t="shared" si="15"/>
        <v>-95535</v>
      </c>
      <c r="P56" s="81"/>
      <c r="Q56" s="18"/>
      <c r="R56" s="18"/>
      <c r="S56" s="18"/>
      <c r="T56" s="18"/>
      <c r="U56" s="18"/>
      <c r="X56" s="17"/>
      <c r="Y56" s="17"/>
      <c r="Z56" s="17"/>
      <c r="AA56" s="17"/>
      <c r="AB56" s="17"/>
      <c r="AC56" s="17"/>
      <c r="AD56" s="17"/>
    </row>
    <row r="57" spans="1:30" ht="13.15" customHeight="1">
      <c r="A57" s="9">
        <v>43983</v>
      </c>
      <c r="B57">
        <f t="shared" si="9"/>
        <v>2020</v>
      </c>
      <c r="C57" t="str">
        <f t="shared" si="2"/>
        <v>Q2</v>
      </c>
      <c r="D57" s="18">
        <v>6477.4</v>
      </c>
      <c r="E57" s="18">
        <v>6515.6</v>
      </c>
      <c r="F57" s="18">
        <v>555.70000000000005</v>
      </c>
      <c r="G57" s="18">
        <v>560.1</v>
      </c>
      <c r="H57" s="18">
        <v>769942</v>
      </c>
      <c r="I57" s="8">
        <v>705711</v>
      </c>
      <c r="J57" s="18">
        <f t="shared" si="10"/>
        <v>-918.70000000000073</v>
      </c>
      <c r="K57" s="18">
        <f t="shared" si="11"/>
        <v>-921.19999999999982</v>
      </c>
      <c r="L57" s="18">
        <f t="shared" si="12"/>
        <v>-41.399999999999977</v>
      </c>
      <c r="M57" s="18">
        <f t="shared" si="13"/>
        <v>-43.299999999999955</v>
      </c>
      <c r="N57" s="31">
        <f t="shared" si="14"/>
        <v>-37332.5</v>
      </c>
      <c r="O57" s="18">
        <f t="shared" si="15"/>
        <v>-95535</v>
      </c>
      <c r="P57" s="81"/>
      <c r="Q57" s="18"/>
      <c r="R57" s="18"/>
      <c r="S57" s="18"/>
      <c r="T57" s="18"/>
      <c r="U57" s="18"/>
      <c r="X57" s="17"/>
      <c r="Y57" s="17"/>
      <c r="Z57" s="17"/>
      <c r="AA57" s="17"/>
      <c r="AB57" s="17"/>
      <c r="AC57" s="17"/>
      <c r="AD57" s="17"/>
    </row>
    <row r="58" spans="1:30" ht="13.15" customHeight="1">
      <c r="A58" s="9">
        <v>44013</v>
      </c>
      <c r="B58">
        <f t="shared" si="9"/>
        <v>2020</v>
      </c>
      <c r="C58" t="str">
        <f t="shared" si="2"/>
        <v>Q3</v>
      </c>
      <c r="D58" s="18">
        <v>6666.4</v>
      </c>
      <c r="E58" s="18">
        <v>6730.9</v>
      </c>
      <c r="F58" s="18">
        <v>567.1</v>
      </c>
      <c r="G58" s="18">
        <v>575.70000000000005</v>
      </c>
      <c r="H58" s="18">
        <v>769942</v>
      </c>
      <c r="I58" s="8">
        <v>778294</v>
      </c>
      <c r="J58" s="18">
        <f t="shared" si="10"/>
        <v>-733.20000000000073</v>
      </c>
      <c r="K58" s="18">
        <f t="shared" si="11"/>
        <v>-753.60000000000036</v>
      </c>
      <c r="L58" s="18">
        <f t="shared" si="12"/>
        <v>-37.5</v>
      </c>
      <c r="M58" s="18">
        <f t="shared" si="13"/>
        <v>-38.799999999999955</v>
      </c>
      <c r="N58" s="31">
        <f t="shared" si="14"/>
        <v>-37332.5</v>
      </c>
      <c r="O58" s="18">
        <f t="shared" si="15"/>
        <v>72583</v>
      </c>
      <c r="P58" s="81"/>
      <c r="Q58" s="18"/>
      <c r="R58" s="18"/>
      <c r="S58" s="18"/>
      <c r="T58" s="18"/>
      <c r="U58" s="18"/>
      <c r="X58" s="17"/>
      <c r="Y58" s="17"/>
      <c r="Z58" s="17"/>
      <c r="AA58" s="17"/>
      <c r="AB58" s="17"/>
      <c r="AC58" s="17"/>
      <c r="AD58" s="17"/>
    </row>
    <row r="59" spans="1:30" ht="13.15" customHeight="1">
      <c r="A59" s="9">
        <v>44044</v>
      </c>
      <c r="B59">
        <f t="shared" si="9"/>
        <v>2020</v>
      </c>
      <c r="C59" t="str">
        <f t="shared" si="2"/>
        <v>Q3</v>
      </c>
      <c r="D59" s="18">
        <v>6904.3</v>
      </c>
      <c r="E59" s="18">
        <v>6971.5</v>
      </c>
      <c r="F59" s="18">
        <v>579.20000000000005</v>
      </c>
      <c r="G59" s="18">
        <v>586.6</v>
      </c>
      <c r="H59" s="18">
        <v>769942</v>
      </c>
      <c r="I59" s="8">
        <v>778294</v>
      </c>
      <c r="J59" s="18">
        <f t="shared" si="10"/>
        <v>-509.69999999999982</v>
      </c>
      <c r="K59" s="18">
        <f t="shared" si="11"/>
        <v>-530</v>
      </c>
      <c r="L59" s="18">
        <f t="shared" si="12"/>
        <v>-37.399999999999977</v>
      </c>
      <c r="M59" s="18">
        <f t="shared" si="13"/>
        <v>-37.799999999999955</v>
      </c>
      <c r="N59" s="31">
        <f t="shared" si="14"/>
        <v>-37332.5</v>
      </c>
      <c r="O59" s="18">
        <f t="shared" si="15"/>
        <v>72583</v>
      </c>
      <c r="P59" s="81"/>
      <c r="Q59" s="81"/>
      <c r="R59" s="81"/>
      <c r="S59" s="81"/>
      <c r="T59" s="81"/>
      <c r="U59" s="81"/>
      <c r="X59" s="17"/>
      <c r="Y59" s="17"/>
      <c r="Z59" s="17"/>
      <c r="AA59" s="17"/>
      <c r="AB59" s="17"/>
      <c r="AC59" s="17"/>
      <c r="AD59" s="17"/>
    </row>
    <row r="60" spans="1:30" ht="13.15" customHeight="1">
      <c r="A60" s="9">
        <v>44075</v>
      </c>
      <c r="B60">
        <f t="shared" si="9"/>
        <v>2020</v>
      </c>
      <c r="C60" t="str">
        <f t="shared" si="2"/>
        <v>Q3</v>
      </c>
      <c r="D60" s="18">
        <v>7065.2</v>
      </c>
      <c r="E60" s="18">
        <v>7098.8</v>
      </c>
      <c r="F60" s="18">
        <v>589.6</v>
      </c>
      <c r="G60" s="18">
        <v>592</v>
      </c>
      <c r="H60" s="18">
        <v>769942</v>
      </c>
      <c r="I60" s="8">
        <v>778294</v>
      </c>
      <c r="J60" s="18">
        <f t="shared" si="10"/>
        <v>-367.19999999999982</v>
      </c>
      <c r="K60" s="18">
        <f t="shared" si="11"/>
        <v>-390.5</v>
      </c>
      <c r="L60" s="18">
        <f t="shared" si="12"/>
        <v>-38.100000000000023</v>
      </c>
      <c r="M60" s="18">
        <f t="shared" si="13"/>
        <v>-37.899999999999977</v>
      </c>
      <c r="N60" s="31">
        <f t="shared" si="14"/>
        <v>-37332.5</v>
      </c>
      <c r="O60" s="18">
        <f t="shared" si="15"/>
        <v>72583</v>
      </c>
      <c r="P60" s="81"/>
      <c r="Q60" s="81"/>
      <c r="R60" s="81"/>
      <c r="S60" s="81"/>
      <c r="T60" s="81"/>
      <c r="U60" s="81"/>
      <c r="X60" s="17"/>
      <c r="Y60" s="17"/>
      <c r="Z60" s="17"/>
      <c r="AA60" s="17"/>
      <c r="AB60" s="17"/>
      <c r="AC60" s="17"/>
      <c r="AD60" s="17"/>
    </row>
    <row r="61" spans="1:30" ht="13.15" customHeight="1">
      <c r="A61" s="9">
        <v>44105</v>
      </c>
      <c r="B61">
        <f t="shared" si="9"/>
        <v>2020</v>
      </c>
      <c r="C61" t="str">
        <f t="shared" ref="C61:C124" si="16">C49</f>
        <v>Q4</v>
      </c>
      <c r="D61" s="18">
        <v>7186.6</v>
      </c>
      <c r="E61" s="18">
        <v>7210.7</v>
      </c>
      <c r="F61" s="18">
        <v>591.20000000000005</v>
      </c>
      <c r="G61" s="18">
        <v>588.29999999999995</v>
      </c>
      <c r="H61" s="18">
        <v>769942</v>
      </c>
      <c r="I61" s="8">
        <v>797313</v>
      </c>
      <c r="J61" s="18">
        <f t="shared" si="10"/>
        <v>-263.39999999999964</v>
      </c>
      <c r="K61" s="18">
        <f t="shared" si="11"/>
        <v>-280.40000000000055</v>
      </c>
      <c r="L61" s="18">
        <f t="shared" si="12"/>
        <v>-47.899999999999977</v>
      </c>
      <c r="M61" s="18">
        <f t="shared" si="13"/>
        <v>-47.5</v>
      </c>
      <c r="N61" s="31">
        <f t="shared" si="14"/>
        <v>-37332.5</v>
      </c>
      <c r="O61" s="18">
        <f t="shared" si="15"/>
        <v>19019</v>
      </c>
      <c r="P61" s="81"/>
      <c r="Q61" s="81"/>
      <c r="R61" s="81"/>
      <c r="S61" s="81"/>
      <c r="T61" s="81"/>
      <c r="U61" s="81"/>
      <c r="X61" s="17"/>
      <c r="Y61" s="17"/>
      <c r="Z61" s="17"/>
      <c r="AA61" s="17"/>
      <c r="AB61" s="17"/>
      <c r="AC61" s="17"/>
      <c r="AD61" s="17"/>
    </row>
    <row r="62" spans="1:30" ht="13.15" customHeight="1">
      <c r="A62" s="9">
        <v>44136</v>
      </c>
      <c r="B62">
        <f t="shared" si="9"/>
        <v>2020</v>
      </c>
      <c r="C62" t="str">
        <f t="shared" si="16"/>
        <v>Q4</v>
      </c>
      <c r="D62" s="18">
        <v>7271.8</v>
      </c>
      <c r="E62" s="18">
        <v>7283</v>
      </c>
      <c r="F62" s="18">
        <v>592.70000000000005</v>
      </c>
      <c r="G62" s="18">
        <v>588.9</v>
      </c>
      <c r="H62" s="18">
        <v>769942</v>
      </c>
      <c r="I62" s="8">
        <v>797313</v>
      </c>
      <c r="J62" s="18">
        <f t="shared" si="10"/>
        <v>-186.39999999999964</v>
      </c>
      <c r="K62" s="18">
        <f t="shared" si="11"/>
        <v>-196.5</v>
      </c>
      <c r="L62" s="18">
        <f t="shared" si="12"/>
        <v>-47.199999999999932</v>
      </c>
      <c r="M62" s="18">
        <f t="shared" si="13"/>
        <v>-48.100000000000023</v>
      </c>
      <c r="N62" s="31">
        <f t="shared" si="14"/>
        <v>-37332.5</v>
      </c>
      <c r="O62" s="18">
        <f t="shared" si="15"/>
        <v>19019</v>
      </c>
      <c r="P62" s="81"/>
      <c r="Q62" s="81"/>
      <c r="R62" s="81"/>
      <c r="S62" s="81"/>
      <c r="T62" s="81"/>
      <c r="U62" s="81"/>
      <c r="X62" s="17"/>
      <c r="Y62" s="17"/>
      <c r="Z62" s="17"/>
      <c r="AA62" s="17"/>
      <c r="AB62" s="17"/>
      <c r="AC62" s="17"/>
      <c r="AD62" s="17"/>
    </row>
    <row r="63" spans="1:30" ht="13.15" customHeight="1">
      <c r="A63" s="9">
        <v>44166</v>
      </c>
      <c r="B63">
        <f t="shared" si="9"/>
        <v>2020</v>
      </c>
      <c r="C63" t="str">
        <f t="shared" si="16"/>
        <v>Q4</v>
      </c>
      <c r="D63" s="18">
        <v>7289.8</v>
      </c>
      <c r="E63" s="18">
        <v>7300.6</v>
      </c>
      <c r="F63" s="18">
        <v>596.70000000000005</v>
      </c>
      <c r="G63" s="18">
        <v>594.4</v>
      </c>
      <c r="H63" s="18">
        <v>769942</v>
      </c>
      <c r="I63" s="8">
        <v>797313</v>
      </c>
      <c r="J63" s="18">
        <f t="shared" si="10"/>
        <v>-184.19999999999982</v>
      </c>
      <c r="K63" s="18">
        <f t="shared" si="11"/>
        <v>-185.19999999999982</v>
      </c>
      <c r="L63" s="18">
        <f t="shared" si="12"/>
        <v>-45</v>
      </c>
      <c r="M63" s="18">
        <f t="shared" si="13"/>
        <v>-45.899999999999977</v>
      </c>
      <c r="N63" s="31">
        <f t="shared" si="14"/>
        <v>-37332.5</v>
      </c>
      <c r="O63" s="18">
        <f t="shared" si="15"/>
        <v>19019</v>
      </c>
      <c r="P63" s="81"/>
      <c r="Q63" s="81"/>
      <c r="R63" s="81"/>
      <c r="S63" s="81"/>
      <c r="T63" s="81"/>
      <c r="U63" s="81"/>
      <c r="X63" s="17"/>
      <c r="Y63" s="17"/>
      <c r="Z63" s="17"/>
      <c r="AA63" s="17"/>
      <c r="AB63" s="17"/>
      <c r="AC63" s="17"/>
      <c r="AD63" s="17"/>
    </row>
    <row r="64" spans="1:30" ht="13.15" customHeight="1">
      <c r="A64" s="9">
        <v>44197</v>
      </c>
      <c r="B64">
        <f t="shared" si="9"/>
        <v>2021</v>
      </c>
      <c r="C64" t="str">
        <f t="shared" si="16"/>
        <v>Q1</v>
      </c>
      <c r="D64" s="18">
        <v>7234.6</v>
      </c>
      <c r="E64" s="18">
        <v>7207.2</v>
      </c>
      <c r="F64" s="18">
        <v>605.20000000000005</v>
      </c>
      <c r="G64" s="18">
        <v>598.5</v>
      </c>
      <c r="H64" s="18">
        <v>817265.5</v>
      </c>
      <c r="I64" s="8">
        <v>809994</v>
      </c>
      <c r="J64" s="18">
        <f t="shared" si="10"/>
        <v>-263.5</v>
      </c>
      <c r="K64" s="18">
        <f t="shared" si="11"/>
        <v>-257.5</v>
      </c>
      <c r="L64" s="18">
        <f t="shared" si="12"/>
        <v>-30.699999999999932</v>
      </c>
      <c r="M64" s="18">
        <f t="shared" si="13"/>
        <v>-33.100000000000023</v>
      </c>
      <c r="N64" s="31">
        <f t="shared" si="14"/>
        <v>47323.5</v>
      </c>
      <c r="O64" s="18">
        <f t="shared" si="15"/>
        <v>12681</v>
      </c>
      <c r="P64" s="81"/>
      <c r="Q64" s="81"/>
      <c r="R64" s="81"/>
      <c r="S64" s="81"/>
      <c r="T64" s="81"/>
      <c r="U64" s="81"/>
      <c r="X64" s="17"/>
      <c r="Y64" s="17"/>
      <c r="Z64" s="17"/>
      <c r="AA64" s="17"/>
      <c r="AB64" s="17"/>
      <c r="AC64" s="17"/>
      <c r="AD64" s="17"/>
    </row>
    <row r="65" spans="1:30" ht="13.15" customHeight="1">
      <c r="A65" s="9">
        <v>44228</v>
      </c>
      <c r="B65">
        <f t="shared" si="9"/>
        <v>2021</v>
      </c>
      <c r="C65" t="str">
        <f t="shared" si="16"/>
        <v>Q1</v>
      </c>
      <c r="D65" s="18">
        <v>7209.5</v>
      </c>
      <c r="E65" s="18">
        <v>7151.3</v>
      </c>
      <c r="F65" s="18">
        <v>616.4</v>
      </c>
      <c r="G65" s="18">
        <v>610.9</v>
      </c>
      <c r="H65" s="18">
        <v>817265.5</v>
      </c>
      <c r="I65" s="8">
        <v>809994</v>
      </c>
      <c r="J65" s="18">
        <f t="shared" si="10"/>
        <v>-298.5</v>
      </c>
      <c r="K65" s="18">
        <f t="shared" si="11"/>
        <v>-287.69999999999982</v>
      </c>
      <c r="L65" s="18">
        <f t="shared" si="12"/>
        <v>-11.399999999999977</v>
      </c>
      <c r="M65" s="18">
        <f t="shared" si="13"/>
        <v>-11</v>
      </c>
      <c r="N65" s="31">
        <f t="shared" si="14"/>
        <v>47323.5</v>
      </c>
      <c r="O65" s="18">
        <f t="shared" si="15"/>
        <v>12681</v>
      </c>
      <c r="P65" s="81"/>
      <c r="Q65" s="81"/>
      <c r="R65" s="81"/>
      <c r="S65" s="81"/>
      <c r="T65" s="81"/>
      <c r="U65" s="81"/>
      <c r="X65" s="17"/>
      <c r="Y65" s="17"/>
      <c r="Z65" s="17"/>
      <c r="AA65" s="17"/>
      <c r="AB65" s="17"/>
      <c r="AC65" s="17"/>
      <c r="AD65" s="17"/>
    </row>
    <row r="66" spans="1:30" ht="13.15" customHeight="1">
      <c r="A66" s="9">
        <v>44256</v>
      </c>
      <c r="B66">
        <f t="shared" si="9"/>
        <v>2021</v>
      </c>
      <c r="C66" t="str">
        <f t="shared" si="16"/>
        <v>Q1</v>
      </c>
      <c r="D66" s="18">
        <v>7237.4</v>
      </c>
      <c r="E66" s="18">
        <v>7153.7</v>
      </c>
      <c r="F66" s="18">
        <v>622.29999999999995</v>
      </c>
      <c r="G66" s="18">
        <v>615.6</v>
      </c>
      <c r="H66" s="18">
        <v>817265.5</v>
      </c>
      <c r="I66" s="8">
        <v>809994</v>
      </c>
      <c r="J66" s="18">
        <f t="shared" si="10"/>
        <v>-114.20000000000073</v>
      </c>
      <c r="K66" s="18">
        <f t="shared" si="11"/>
        <v>-105.10000000000036</v>
      </c>
      <c r="L66" s="18">
        <f t="shared" si="12"/>
        <v>10.699999999999932</v>
      </c>
      <c r="M66" s="18">
        <f t="shared" si="13"/>
        <v>10.399999999999977</v>
      </c>
      <c r="N66" s="31">
        <f t="shared" si="14"/>
        <v>47323.5</v>
      </c>
      <c r="O66" s="18">
        <f t="shared" si="15"/>
        <v>12681</v>
      </c>
      <c r="P66" s="81"/>
      <c r="Q66" s="81"/>
      <c r="R66" s="81"/>
      <c r="S66" s="81"/>
      <c r="T66" s="81"/>
      <c r="U66" s="81"/>
      <c r="X66" s="17"/>
      <c r="Y66" s="17"/>
      <c r="Z66" s="17"/>
      <c r="AA66" s="17"/>
      <c r="AB66" s="17"/>
      <c r="AC66" s="17"/>
      <c r="AD66" s="17"/>
    </row>
    <row r="67" spans="1:30" ht="13.15" customHeight="1">
      <c r="A67" s="9">
        <v>44287</v>
      </c>
      <c r="B67">
        <f t="shared" si="9"/>
        <v>2021</v>
      </c>
      <c r="C67" t="str">
        <f t="shared" si="16"/>
        <v>Q2</v>
      </c>
      <c r="D67" s="18">
        <v>7276.1</v>
      </c>
      <c r="E67" s="18">
        <v>7213.2</v>
      </c>
      <c r="F67" s="18">
        <v>625.70000000000005</v>
      </c>
      <c r="G67" s="18">
        <v>623.70000000000005</v>
      </c>
      <c r="H67" s="18">
        <v>817265.5</v>
      </c>
      <c r="I67" s="8">
        <v>803585</v>
      </c>
      <c r="J67" s="18">
        <f t="shared" si="10"/>
        <v>314.5</v>
      </c>
      <c r="K67" s="18">
        <f t="shared" si="11"/>
        <v>319.5</v>
      </c>
      <c r="L67" s="18">
        <f t="shared" si="12"/>
        <v>40.700000000000045</v>
      </c>
      <c r="M67" s="18">
        <f t="shared" si="13"/>
        <v>41.300000000000068</v>
      </c>
      <c r="N67" s="31">
        <f t="shared" si="14"/>
        <v>47323.5</v>
      </c>
      <c r="O67" s="18">
        <f t="shared" si="15"/>
        <v>-6409</v>
      </c>
      <c r="P67" s="81"/>
      <c r="Q67" s="81"/>
      <c r="R67" s="81"/>
      <c r="S67" s="81"/>
      <c r="T67" s="81"/>
      <c r="U67" s="81"/>
      <c r="X67" s="17"/>
      <c r="Y67" s="17"/>
      <c r="Z67" s="17"/>
      <c r="AA67" s="17"/>
      <c r="AB67" s="17"/>
      <c r="AC67" s="17"/>
      <c r="AD67" s="17"/>
    </row>
    <row r="68" spans="1:30" ht="13.15" customHeight="1">
      <c r="A68" s="9">
        <v>44317</v>
      </c>
      <c r="B68">
        <f t="shared" si="9"/>
        <v>2021</v>
      </c>
      <c r="C68" t="str">
        <f t="shared" si="16"/>
        <v>Q2</v>
      </c>
      <c r="D68" s="18">
        <v>7265.7</v>
      </c>
      <c r="E68" s="18">
        <v>7247.3</v>
      </c>
      <c r="F68" s="18">
        <v>626.1</v>
      </c>
      <c r="G68" s="18">
        <v>625.1</v>
      </c>
      <c r="H68" s="18">
        <v>817265.5</v>
      </c>
      <c r="I68" s="8">
        <v>803585</v>
      </c>
      <c r="J68" s="18">
        <f t="shared" si="10"/>
        <v>693.09999999999945</v>
      </c>
      <c r="K68" s="18">
        <f t="shared" si="11"/>
        <v>696.40000000000055</v>
      </c>
      <c r="L68" s="18">
        <f t="shared" si="12"/>
        <v>61.899999999999977</v>
      </c>
      <c r="M68" s="18">
        <f t="shared" si="13"/>
        <v>60.600000000000023</v>
      </c>
      <c r="N68" s="31">
        <f t="shared" si="14"/>
        <v>47323.5</v>
      </c>
      <c r="O68" s="18">
        <f t="shared" si="15"/>
        <v>-6409</v>
      </c>
      <c r="P68" s="81"/>
      <c r="Q68" s="81"/>
      <c r="R68" s="81"/>
      <c r="S68" s="81"/>
      <c r="T68" s="81"/>
      <c r="U68" s="81"/>
      <c r="X68" s="17"/>
      <c r="Y68" s="17"/>
      <c r="Z68" s="17"/>
      <c r="AA68" s="17"/>
      <c r="AB68" s="17"/>
      <c r="AC68" s="17"/>
      <c r="AD68" s="17"/>
    </row>
    <row r="69" spans="1:30" ht="13.15" customHeight="1">
      <c r="A69" s="9">
        <v>44348</v>
      </c>
      <c r="B69">
        <f t="shared" si="9"/>
        <v>2021</v>
      </c>
      <c r="C69" t="str">
        <f t="shared" si="16"/>
        <v>Q2</v>
      </c>
      <c r="D69" s="18">
        <v>7250</v>
      </c>
      <c r="E69" s="18">
        <v>7295.8</v>
      </c>
      <c r="F69" s="18">
        <v>628.20000000000005</v>
      </c>
      <c r="G69" s="18">
        <v>632.6</v>
      </c>
      <c r="H69" s="18">
        <v>817265.5</v>
      </c>
      <c r="I69" s="8">
        <v>803585</v>
      </c>
      <c r="J69" s="18">
        <f t="shared" si="10"/>
        <v>772.60000000000036</v>
      </c>
      <c r="K69" s="18">
        <f t="shared" si="11"/>
        <v>780.19999999999982</v>
      </c>
      <c r="L69" s="18">
        <f t="shared" si="12"/>
        <v>72.5</v>
      </c>
      <c r="M69" s="18">
        <f t="shared" si="13"/>
        <v>72.5</v>
      </c>
      <c r="N69" s="31">
        <f t="shared" si="14"/>
        <v>47323.5</v>
      </c>
      <c r="O69" s="18">
        <f t="shared" si="15"/>
        <v>-6409</v>
      </c>
      <c r="P69" s="81"/>
      <c r="Q69" s="81"/>
      <c r="R69" s="81"/>
      <c r="S69" s="81"/>
      <c r="T69" s="81"/>
      <c r="U69" s="81"/>
      <c r="X69" s="17"/>
      <c r="Y69" s="17"/>
      <c r="Z69" s="17"/>
      <c r="AA69" s="17"/>
      <c r="AB69" s="17"/>
      <c r="AC69" s="17"/>
      <c r="AD69" s="17"/>
    </row>
    <row r="70" spans="1:30" ht="13.15" customHeight="1">
      <c r="A70" s="9">
        <v>44378</v>
      </c>
      <c r="B70">
        <f t="shared" si="9"/>
        <v>2021</v>
      </c>
      <c r="C70" t="str">
        <f t="shared" si="16"/>
        <v>Q3</v>
      </c>
      <c r="D70" s="18">
        <v>7317</v>
      </c>
      <c r="E70" s="18">
        <v>7392.6</v>
      </c>
      <c r="F70" s="18">
        <v>630.5</v>
      </c>
      <c r="G70" s="18">
        <v>639.6</v>
      </c>
      <c r="H70" s="18">
        <v>817265.5</v>
      </c>
      <c r="I70" s="8">
        <v>821006</v>
      </c>
      <c r="J70" s="18">
        <f t="shared" si="10"/>
        <v>650.60000000000036</v>
      </c>
      <c r="K70" s="18">
        <f t="shared" si="11"/>
        <v>661.70000000000073</v>
      </c>
      <c r="L70" s="18">
        <f t="shared" si="12"/>
        <v>63.399999999999977</v>
      </c>
      <c r="M70" s="18">
        <f t="shared" si="13"/>
        <v>63.899999999999977</v>
      </c>
      <c r="N70" s="31">
        <f t="shared" si="14"/>
        <v>47323.5</v>
      </c>
      <c r="O70" s="18">
        <f t="shared" si="15"/>
        <v>17421</v>
      </c>
      <c r="P70" s="81"/>
      <c r="Q70" s="81"/>
      <c r="R70" s="81"/>
      <c r="S70" s="81"/>
      <c r="T70" s="81"/>
      <c r="U70" s="81"/>
      <c r="X70" s="17"/>
      <c r="Y70" s="17"/>
      <c r="Z70" s="17"/>
      <c r="AA70" s="17"/>
      <c r="AB70" s="17"/>
      <c r="AC70" s="17"/>
      <c r="AD70" s="17"/>
    </row>
    <row r="71" spans="1:30" ht="13.15" customHeight="1">
      <c r="A71" s="9">
        <v>44409</v>
      </c>
      <c r="B71">
        <f t="shared" si="9"/>
        <v>2021</v>
      </c>
      <c r="C71" t="str">
        <f t="shared" si="16"/>
        <v>Q3</v>
      </c>
      <c r="D71" s="18">
        <v>7405.9</v>
      </c>
      <c r="E71" s="18">
        <v>7474.7</v>
      </c>
      <c r="F71" s="18">
        <v>625.20000000000005</v>
      </c>
      <c r="G71" s="18">
        <v>632.4</v>
      </c>
      <c r="H71" s="18">
        <v>817265.5</v>
      </c>
      <c r="I71" s="8">
        <v>821006</v>
      </c>
      <c r="J71" s="18">
        <f t="shared" si="10"/>
        <v>501.59999999999945</v>
      </c>
      <c r="K71" s="18">
        <f t="shared" si="11"/>
        <v>503.19999999999982</v>
      </c>
      <c r="L71" s="18">
        <f t="shared" si="12"/>
        <v>46</v>
      </c>
      <c r="M71" s="18">
        <f t="shared" si="13"/>
        <v>45.799999999999955</v>
      </c>
      <c r="N71" s="31">
        <f t="shared" si="14"/>
        <v>47323.5</v>
      </c>
      <c r="O71" s="18">
        <f t="shared" si="15"/>
        <v>17421</v>
      </c>
      <c r="P71" s="81"/>
      <c r="Q71" s="81"/>
      <c r="R71" s="81"/>
      <c r="S71" s="81"/>
      <c r="T71" s="81"/>
      <c r="U71" s="81"/>
      <c r="X71" s="17"/>
      <c r="Y71" s="17"/>
      <c r="Z71" s="17"/>
      <c r="AA71" s="17"/>
      <c r="AB71" s="17"/>
      <c r="AC71" s="17"/>
      <c r="AD71" s="17"/>
    </row>
    <row r="72" spans="1:30" ht="13.15" customHeight="1">
      <c r="A72" s="9">
        <v>44440</v>
      </c>
      <c r="B72">
        <f t="shared" si="9"/>
        <v>2021</v>
      </c>
      <c r="C72" t="str">
        <f t="shared" si="16"/>
        <v>Q3</v>
      </c>
      <c r="D72" s="18">
        <v>7482</v>
      </c>
      <c r="E72" s="18">
        <v>7507</v>
      </c>
      <c r="F72" s="18">
        <v>617.79999999999995</v>
      </c>
      <c r="G72" s="18">
        <v>619.9</v>
      </c>
      <c r="H72" s="18">
        <v>817265.5</v>
      </c>
      <c r="I72" s="8">
        <v>821006</v>
      </c>
      <c r="J72" s="18">
        <f t="shared" si="10"/>
        <v>416.80000000000018</v>
      </c>
      <c r="K72" s="18">
        <f t="shared" si="11"/>
        <v>408.19999999999982</v>
      </c>
      <c r="L72" s="18">
        <f t="shared" si="12"/>
        <v>28.199999999999932</v>
      </c>
      <c r="M72" s="18">
        <f t="shared" si="13"/>
        <v>27.899999999999977</v>
      </c>
      <c r="N72" s="31">
        <f t="shared" si="14"/>
        <v>47323.5</v>
      </c>
      <c r="O72" s="18">
        <f t="shared" si="15"/>
        <v>17421</v>
      </c>
      <c r="P72" s="81"/>
      <c r="Q72" s="81"/>
      <c r="R72" s="81"/>
      <c r="S72" s="81"/>
      <c r="T72" s="81"/>
      <c r="U72" s="81"/>
      <c r="X72" s="17"/>
      <c r="Y72" s="17"/>
      <c r="Z72" s="17"/>
      <c r="AA72" s="17"/>
      <c r="AB72" s="17"/>
      <c r="AC72" s="17"/>
      <c r="AD72" s="17"/>
    </row>
    <row r="73" spans="1:30" ht="13.15" customHeight="1">
      <c r="A73" s="9">
        <v>44470</v>
      </c>
      <c r="B73">
        <f t="shared" si="9"/>
        <v>2021</v>
      </c>
      <c r="C73" t="str">
        <f t="shared" si="16"/>
        <v>Q4</v>
      </c>
      <c r="D73" s="18">
        <v>7537.7</v>
      </c>
      <c r="E73" s="18">
        <v>7547.1</v>
      </c>
      <c r="F73" s="18">
        <v>613.5</v>
      </c>
      <c r="G73" s="18">
        <v>610.29999999999995</v>
      </c>
      <c r="H73" s="18">
        <v>817265.5</v>
      </c>
      <c r="I73" s="8">
        <v>840399</v>
      </c>
      <c r="J73" s="18">
        <f t="shared" si="10"/>
        <v>351.09999999999945</v>
      </c>
      <c r="K73" s="18">
        <f t="shared" si="11"/>
        <v>336.40000000000055</v>
      </c>
      <c r="L73" s="18">
        <f t="shared" si="12"/>
        <v>22.299999999999955</v>
      </c>
      <c r="M73" s="18">
        <f t="shared" si="13"/>
        <v>22</v>
      </c>
      <c r="N73" s="31">
        <f t="shared" si="14"/>
        <v>47323.5</v>
      </c>
      <c r="O73" s="18">
        <f t="shared" si="15"/>
        <v>19393</v>
      </c>
      <c r="P73" s="81"/>
      <c r="Q73" s="81"/>
      <c r="R73" s="81"/>
      <c r="S73" s="81"/>
      <c r="T73" s="81"/>
      <c r="U73" s="81"/>
      <c r="X73" s="17"/>
      <c r="Y73" s="17"/>
      <c r="Z73" s="17"/>
      <c r="AA73" s="17"/>
      <c r="AB73" s="17"/>
      <c r="AC73" s="17"/>
      <c r="AD73" s="17"/>
    </row>
    <row r="74" spans="1:30" ht="13.15" customHeight="1">
      <c r="A74" s="9">
        <v>44501</v>
      </c>
      <c r="B74">
        <f t="shared" si="9"/>
        <v>2021</v>
      </c>
      <c r="C74" t="str">
        <f t="shared" si="16"/>
        <v>Q4</v>
      </c>
      <c r="D74" s="18">
        <v>7604</v>
      </c>
      <c r="E74" s="18">
        <v>7604.8</v>
      </c>
      <c r="F74" s="18">
        <v>614.20000000000005</v>
      </c>
      <c r="G74" s="18">
        <v>610</v>
      </c>
      <c r="H74" s="18">
        <v>817265.5</v>
      </c>
      <c r="I74" s="8">
        <v>840399</v>
      </c>
      <c r="J74" s="18">
        <f t="shared" si="10"/>
        <v>332.19999999999982</v>
      </c>
      <c r="K74" s="18">
        <f t="shared" si="11"/>
        <v>321.80000000000018</v>
      </c>
      <c r="L74" s="18">
        <f t="shared" si="12"/>
        <v>21.5</v>
      </c>
      <c r="M74" s="18">
        <f t="shared" si="13"/>
        <v>21.100000000000023</v>
      </c>
      <c r="N74" s="31">
        <f t="shared" si="14"/>
        <v>47323.5</v>
      </c>
      <c r="O74" s="18">
        <f t="shared" si="15"/>
        <v>19393</v>
      </c>
      <c r="P74" s="81"/>
      <c r="Q74" s="81"/>
      <c r="R74" s="81"/>
      <c r="S74" s="81"/>
      <c r="T74" s="81"/>
      <c r="U74" s="81"/>
      <c r="X74" s="17"/>
      <c r="Y74" s="17"/>
      <c r="Z74" s="17"/>
      <c r="AA74" s="17"/>
      <c r="AB74" s="17"/>
      <c r="AC74" s="17"/>
      <c r="AD74" s="17"/>
    </row>
    <row r="75" spans="1:30" ht="13.15" customHeight="1">
      <c r="A75" s="9">
        <v>44531</v>
      </c>
      <c r="B75">
        <f t="shared" si="9"/>
        <v>2021</v>
      </c>
      <c r="C75" t="str">
        <f t="shared" si="16"/>
        <v>Q4</v>
      </c>
      <c r="D75" s="18">
        <v>7658.5</v>
      </c>
      <c r="E75" s="18">
        <v>7662.8</v>
      </c>
      <c r="F75" s="18">
        <v>616.4</v>
      </c>
      <c r="G75" s="18">
        <v>613.20000000000005</v>
      </c>
      <c r="H75" s="18">
        <v>817265.5</v>
      </c>
      <c r="I75" s="8">
        <v>840399</v>
      </c>
      <c r="J75" s="18">
        <f t="shared" si="10"/>
        <v>368.69999999999982</v>
      </c>
      <c r="K75" s="18">
        <f t="shared" si="11"/>
        <v>362.19999999999982</v>
      </c>
      <c r="L75" s="18">
        <f t="shared" si="12"/>
        <v>19.699999999999932</v>
      </c>
      <c r="M75" s="18">
        <f t="shared" si="13"/>
        <v>18.800000000000068</v>
      </c>
      <c r="N75" s="31">
        <f t="shared" si="14"/>
        <v>47323.5</v>
      </c>
      <c r="O75" s="18">
        <f t="shared" si="15"/>
        <v>19393</v>
      </c>
      <c r="P75" s="81"/>
      <c r="Q75" s="81"/>
      <c r="R75" s="81"/>
      <c r="S75" s="81"/>
      <c r="T75" s="81"/>
      <c r="U75" s="81"/>
      <c r="X75" s="17"/>
      <c r="Y75" s="17"/>
      <c r="Z75" s="17"/>
      <c r="AA75" s="17"/>
      <c r="AB75" s="17"/>
      <c r="AC75" s="17"/>
      <c r="AD75" s="17"/>
    </row>
    <row r="76" spans="1:30" ht="13.15" customHeight="1">
      <c r="A76" s="9">
        <v>44562</v>
      </c>
      <c r="B76">
        <f t="shared" si="9"/>
        <v>2022</v>
      </c>
      <c r="C76" t="str">
        <f t="shared" si="16"/>
        <v>Q1</v>
      </c>
      <c r="D76" s="18">
        <v>7643.6</v>
      </c>
      <c r="E76" s="18">
        <v>7611.7</v>
      </c>
      <c r="F76" s="18">
        <v>618.20000000000005</v>
      </c>
      <c r="G76" s="18">
        <v>610.20000000000005</v>
      </c>
      <c r="H76" s="18">
        <v>850461.9</v>
      </c>
      <c r="I76" s="8">
        <v>847546</v>
      </c>
      <c r="J76" s="18">
        <f t="shared" si="10"/>
        <v>409</v>
      </c>
      <c r="K76" s="18">
        <f t="shared" si="11"/>
        <v>404.5</v>
      </c>
      <c r="L76" s="18">
        <f t="shared" si="12"/>
        <v>13</v>
      </c>
      <c r="M76" s="18">
        <f t="shared" si="13"/>
        <v>11.700000000000045</v>
      </c>
      <c r="N76" s="31">
        <f t="shared" si="14"/>
        <v>33196.400000000023</v>
      </c>
      <c r="O76" s="18">
        <f t="shared" si="15"/>
        <v>7147</v>
      </c>
    </row>
    <row r="77" spans="1:30" ht="13.15" customHeight="1">
      <c r="A77" s="9">
        <v>44593</v>
      </c>
      <c r="B77">
        <f t="shared" si="9"/>
        <v>2022</v>
      </c>
      <c r="C77" t="str">
        <f t="shared" si="16"/>
        <v>Q1</v>
      </c>
      <c r="D77" s="18">
        <v>7668.9</v>
      </c>
      <c r="E77" s="18">
        <v>7606.7</v>
      </c>
      <c r="F77" s="18">
        <v>623.29999999999995</v>
      </c>
      <c r="G77" s="18">
        <v>616.5</v>
      </c>
      <c r="H77" s="18">
        <v>850461.9</v>
      </c>
      <c r="I77" s="8">
        <v>847546</v>
      </c>
      <c r="J77" s="18">
        <f t="shared" si="10"/>
        <v>459.39999999999964</v>
      </c>
      <c r="K77" s="18">
        <f t="shared" si="11"/>
        <v>455.39999999999964</v>
      </c>
      <c r="L77" s="18">
        <f t="shared" si="12"/>
        <v>6.8999999999999773</v>
      </c>
      <c r="M77" s="18">
        <f t="shared" si="13"/>
        <v>5.6000000000000227</v>
      </c>
      <c r="N77" s="31">
        <f t="shared" si="14"/>
        <v>33196.400000000023</v>
      </c>
      <c r="O77" s="18">
        <f t="shared" si="15"/>
        <v>7147</v>
      </c>
      <c r="P77" s="18"/>
      <c r="Q77" s="18"/>
      <c r="R77" s="18"/>
      <c r="S77" s="18"/>
      <c r="T77" s="18"/>
      <c r="U77" s="18"/>
    </row>
    <row r="78" spans="1:30" ht="13.15" customHeight="1">
      <c r="A78" s="9">
        <v>44621</v>
      </c>
      <c r="B78">
        <f t="shared" si="9"/>
        <v>2022</v>
      </c>
      <c r="C78" t="str">
        <f t="shared" si="16"/>
        <v>Q1</v>
      </c>
      <c r="D78" s="18">
        <v>7681.1</v>
      </c>
      <c r="E78" s="18">
        <v>7595.3</v>
      </c>
      <c r="F78" s="18">
        <v>630.4</v>
      </c>
      <c r="G78" s="18">
        <v>621.79999999999995</v>
      </c>
      <c r="H78" s="18">
        <v>850461.9</v>
      </c>
      <c r="I78" s="8">
        <v>847546</v>
      </c>
      <c r="J78" s="18">
        <f t="shared" si="10"/>
        <v>443.70000000000073</v>
      </c>
      <c r="K78" s="18">
        <f t="shared" si="11"/>
        <v>441.60000000000036</v>
      </c>
      <c r="L78" s="18">
        <f t="shared" si="12"/>
        <v>8.1000000000000227</v>
      </c>
      <c r="M78" s="18">
        <f t="shared" si="13"/>
        <v>6.1999999999999318</v>
      </c>
      <c r="N78" s="31">
        <f t="shared" si="14"/>
        <v>33196.400000000023</v>
      </c>
      <c r="O78" s="18">
        <f t="shared" si="15"/>
        <v>7147</v>
      </c>
      <c r="P78" s="18"/>
      <c r="Q78" s="18"/>
      <c r="R78" s="18"/>
      <c r="S78" s="18"/>
      <c r="T78" s="18"/>
      <c r="U78" s="18"/>
    </row>
    <row r="79" spans="1:30" ht="13.15" customHeight="1">
      <c r="A79" s="9">
        <v>44652</v>
      </c>
      <c r="B79">
        <f t="shared" si="9"/>
        <v>2022</v>
      </c>
      <c r="C79" t="str">
        <f t="shared" si="16"/>
        <v>Q2</v>
      </c>
      <c r="D79" s="18">
        <v>7758.4</v>
      </c>
      <c r="E79" s="18">
        <v>7694.2</v>
      </c>
      <c r="F79" s="18">
        <v>641.1</v>
      </c>
      <c r="G79" s="18">
        <v>636.79999999999995</v>
      </c>
      <c r="H79" s="18">
        <v>850461.9</v>
      </c>
      <c r="I79" s="8">
        <v>854755</v>
      </c>
      <c r="J79" s="18">
        <f t="shared" si="10"/>
        <v>482.29999999999927</v>
      </c>
      <c r="K79" s="18">
        <f t="shared" si="11"/>
        <v>481</v>
      </c>
      <c r="L79" s="18">
        <f t="shared" si="12"/>
        <v>15.399999999999977</v>
      </c>
      <c r="M79" s="18">
        <f t="shared" si="13"/>
        <v>13.099999999999909</v>
      </c>
      <c r="N79" s="31">
        <f t="shared" si="14"/>
        <v>33196.400000000023</v>
      </c>
      <c r="O79" s="18">
        <f t="shared" si="15"/>
        <v>7209</v>
      </c>
    </row>
    <row r="80" spans="1:30" ht="13.15" customHeight="1">
      <c r="A80" s="9">
        <v>44682</v>
      </c>
      <c r="B80">
        <f t="shared" si="9"/>
        <v>2022</v>
      </c>
      <c r="C80" t="str">
        <f t="shared" si="16"/>
        <v>Q2</v>
      </c>
      <c r="D80" s="18">
        <v>7776.1</v>
      </c>
      <c r="E80" s="18">
        <v>7765</v>
      </c>
      <c r="F80" s="18">
        <v>647.20000000000005</v>
      </c>
      <c r="G80" s="18">
        <v>647.5</v>
      </c>
      <c r="H80" s="18">
        <v>850461.9</v>
      </c>
      <c r="I80" s="8">
        <v>854755</v>
      </c>
      <c r="J80" s="18">
        <f t="shared" ref="J80:J111" si="17">D80-D68</f>
        <v>510.40000000000055</v>
      </c>
      <c r="K80" s="18">
        <f t="shared" ref="K80:K111" si="18">E80-E68</f>
        <v>517.69999999999982</v>
      </c>
      <c r="L80" s="18">
        <f t="shared" ref="L80:L111" si="19">F80-F68</f>
        <v>21.100000000000023</v>
      </c>
      <c r="M80" s="18">
        <f t="shared" ref="M80:M111" si="20">G80-G68</f>
        <v>22.399999999999977</v>
      </c>
      <c r="N80" s="31">
        <f t="shared" ref="N80:N111" si="21">H80-H68</f>
        <v>33196.400000000023</v>
      </c>
      <c r="O80" s="18">
        <f t="shared" ref="O80:O111" si="22">I80-I77</f>
        <v>7209</v>
      </c>
    </row>
    <row r="81" spans="1:28" ht="13.15" customHeight="1">
      <c r="A81" s="9">
        <v>44713</v>
      </c>
      <c r="B81">
        <f t="shared" si="9"/>
        <v>2022</v>
      </c>
      <c r="C81" t="str">
        <f t="shared" si="16"/>
        <v>Q2</v>
      </c>
      <c r="D81" s="18">
        <v>7782.8</v>
      </c>
      <c r="E81" s="18">
        <v>7838.7</v>
      </c>
      <c r="F81" s="18">
        <v>643.20000000000005</v>
      </c>
      <c r="G81" s="18">
        <v>650.29999999999995</v>
      </c>
      <c r="H81" s="18">
        <v>850461.9</v>
      </c>
      <c r="I81" s="8">
        <v>854755</v>
      </c>
      <c r="J81" s="18">
        <f t="shared" si="17"/>
        <v>532.80000000000018</v>
      </c>
      <c r="K81" s="18">
        <f t="shared" si="18"/>
        <v>542.89999999999964</v>
      </c>
      <c r="L81" s="18">
        <f t="shared" si="19"/>
        <v>15</v>
      </c>
      <c r="M81" s="18">
        <f t="shared" si="20"/>
        <v>17.699999999999932</v>
      </c>
      <c r="N81" s="31">
        <f t="shared" si="21"/>
        <v>33196.400000000023</v>
      </c>
      <c r="O81" s="18">
        <f t="shared" si="22"/>
        <v>7209</v>
      </c>
    </row>
    <row r="82" spans="1:28" ht="13.15" customHeight="1">
      <c r="A82" s="9">
        <v>44743</v>
      </c>
      <c r="B82">
        <f t="shared" si="9"/>
        <v>2022</v>
      </c>
      <c r="C82" t="str">
        <f t="shared" si="16"/>
        <v>Q3</v>
      </c>
      <c r="D82" s="18">
        <v>7784.1</v>
      </c>
      <c r="E82" s="18">
        <v>7872.1</v>
      </c>
      <c r="F82" s="18">
        <v>639.4</v>
      </c>
      <c r="G82" s="18">
        <v>651.79999999999995</v>
      </c>
      <c r="H82" s="18">
        <v>850461.9</v>
      </c>
      <c r="I82" s="8">
        <v>856819</v>
      </c>
      <c r="J82" s="18">
        <f t="shared" si="17"/>
        <v>467.10000000000036</v>
      </c>
      <c r="K82" s="18">
        <f t="shared" si="18"/>
        <v>479.5</v>
      </c>
      <c r="L82" s="18">
        <f t="shared" si="19"/>
        <v>8.8999999999999773</v>
      </c>
      <c r="M82" s="18">
        <f t="shared" si="20"/>
        <v>12.199999999999932</v>
      </c>
      <c r="N82" s="31">
        <f t="shared" si="21"/>
        <v>33196.400000000023</v>
      </c>
      <c r="O82" s="18">
        <f t="shared" si="22"/>
        <v>2064</v>
      </c>
    </row>
    <row r="83" spans="1:28" ht="13.15" customHeight="1">
      <c r="A83" s="9">
        <v>44774</v>
      </c>
      <c r="B83">
        <f t="shared" si="9"/>
        <v>2022</v>
      </c>
      <c r="C83" t="str">
        <f t="shared" si="16"/>
        <v>Q3</v>
      </c>
      <c r="D83" s="18">
        <v>7778</v>
      </c>
      <c r="E83" s="18">
        <v>7852.4</v>
      </c>
      <c r="F83" s="18">
        <v>638.5</v>
      </c>
      <c r="G83" s="18">
        <v>646.79999999999995</v>
      </c>
      <c r="H83" s="18">
        <v>850461.9</v>
      </c>
      <c r="I83" s="8">
        <v>856819</v>
      </c>
      <c r="J83" s="18">
        <f t="shared" si="17"/>
        <v>372.10000000000036</v>
      </c>
      <c r="K83" s="18">
        <f t="shared" si="18"/>
        <v>377.69999999999982</v>
      </c>
      <c r="L83" s="18">
        <f t="shared" si="19"/>
        <v>13.299999999999955</v>
      </c>
      <c r="M83" s="18">
        <f t="shared" si="20"/>
        <v>14.399999999999977</v>
      </c>
      <c r="N83" s="31">
        <f t="shared" si="21"/>
        <v>33196.400000000023</v>
      </c>
      <c r="O83" s="18">
        <f t="shared" si="22"/>
        <v>2064</v>
      </c>
    </row>
    <row r="84" spans="1:28" ht="13.15" customHeight="1">
      <c r="A84" s="9">
        <v>44805</v>
      </c>
      <c r="B84">
        <f t="shared" si="9"/>
        <v>2022</v>
      </c>
      <c r="C84" t="str">
        <f t="shared" si="16"/>
        <v>Q3</v>
      </c>
      <c r="D84" s="18">
        <v>7770.7</v>
      </c>
      <c r="E84" s="18">
        <v>7793.8</v>
      </c>
      <c r="F84" s="18">
        <v>646.29999999999995</v>
      </c>
      <c r="G84" s="18">
        <v>648.79999999999995</v>
      </c>
      <c r="H84" s="18">
        <v>850461.9</v>
      </c>
      <c r="I84" s="8">
        <v>856819</v>
      </c>
      <c r="J84" s="18">
        <f t="shared" si="17"/>
        <v>288.69999999999982</v>
      </c>
      <c r="K84" s="18">
        <f t="shared" si="18"/>
        <v>286.80000000000018</v>
      </c>
      <c r="L84" s="18">
        <f t="shared" si="19"/>
        <v>28.5</v>
      </c>
      <c r="M84" s="18">
        <f t="shared" si="20"/>
        <v>28.899999999999977</v>
      </c>
      <c r="N84" s="31">
        <f t="shared" si="21"/>
        <v>33196.400000000023</v>
      </c>
      <c r="O84" s="18">
        <f t="shared" si="22"/>
        <v>2064</v>
      </c>
    </row>
    <row r="85" spans="1:28" ht="13.15" customHeight="1">
      <c r="A85" s="9">
        <v>44835</v>
      </c>
      <c r="B85">
        <f t="shared" si="9"/>
        <v>2022</v>
      </c>
      <c r="C85" t="str">
        <f t="shared" si="16"/>
        <v>Q4</v>
      </c>
      <c r="D85" s="18">
        <v>7776.1</v>
      </c>
      <c r="E85" s="18">
        <v>7778.7</v>
      </c>
      <c r="F85" s="18">
        <v>646.9</v>
      </c>
      <c r="G85" s="18">
        <v>644.79999999999995</v>
      </c>
      <c r="H85" s="18">
        <v>850461.9</v>
      </c>
      <c r="I85" s="8">
        <v>856887</v>
      </c>
      <c r="J85" s="18">
        <f t="shared" si="17"/>
        <v>238.40000000000055</v>
      </c>
      <c r="K85" s="18">
        <f t="shared" si="18"/>
        <v>231.59999999999945</v>
      </c>
      <c r="L85" s="18">
        <f t="shared" si="19"/>
        <v>33.399999999999977</v>
      </c>
      <c r="M85" s="18">
        <f t="shared" si="20"/>
        <v>34.5</v>
      </c>
      <c r="N85" s="31">
        <f t="shared" si="21"/>
        <v>33196.400000000023</v>
      </c>
      <c r="O85" s="18">
        <f t="shared" si="22"/>
        <v>68</v>
      </c>
      <c r="W85" s="87"/>
      <c r="X85" s="87"/>
      <c r="Y85" s="87"/>
      <c r="Z85" s="87"/>
      <c r="AA85" s="88"/>
      <c r="AB85" s="88"/>
    </row>
    <row r="86" spans="1:28" ht="13.15" customHeight="1">
      <c r="A86" s="9">
        <v>44866</v>
      </c>
      <c r="B86">
        <f t="shared" si="9"/>
        <v>2022</v>
      </c>
      <c r="C86" t="str">
        <f t="shared" si="16"/>
        <v>Q4</v>
      </c>
      <c r="D86" s="18">
        <v>7791.7</v>
      </c>
      <c r="E86" s="18">
        <v>7783.8</v>
      </c>
      <c r="F86" s="18">
        <v>649.70000000000005</v>
      </c>
      <c r="G86" s="18">
        <v>645.6</v>
      </c>
      <c r="H86" s="18">
        <v>850461.9</v>
      </c>
      <c r="I86" s="8">
        <v>856887</v>
      </c>
      <c r="J86" s="18">
        <f t="shared" si="17"/>
        <v>187.69999999999982</v>
      </c>
      <c r="K86" s="18">
        <f t="shared" si="18"/>
        <v>179</v>
      </c>
      <c r="L86" s="18">
        <f t="shared" si="19"/>
        <v>35.5</v>
      </c>
      <c r="M86" s="18">
        <f t="shared" si="20"/>
        <v>35.600000000000023</v>
      </c>
      <c r="N86" s="31">
        <f t="shared" si="21"/>
        <v>33196.400000000023</v>
      </c>
      <c r="O86" s="18">
        <f t="shared" si="22"/>
        <v>68</v>
      </c>
      <c r="W86" s="87"/>
      <c r="X86" s="87"/>
      <c r="Y86" s="87"/>
      <c r="Z86" s="87"/>
      <c r="AA86" s="88"/>
      <c r="AB86" s="88"/>
    </row>
    <row r="87" spans="1:28" ht="13.15" customHeight="1">
      <c r="A87" s="9">
        <v>44896</v>
      </c>
      <c r="B87">
        <f t="shared" si="9"/>
        <v>2022</v>
      </c>
      <c r="C87" t="str">
        <f t="shared" si="16"/>
        <v>Q4</v>
      </c>
      <c r="D87" s="18">
        <v>7829.3</v>
      </c>
      <c r="E87" s="18">
        <v>7828.5</v>
      </c>
      <c r="F87" s="18">
        <v>650.5</v>
      </c>
      <c r="G87" s="18">
        <v>647</v>
      </c>
      <c r="H87" s="18">
        <v>850461.9</v>
      </c>
      <c r="I87" s="8">
        <v>856887</v>
      </c>
      <c r="J87" s="18">
        <f t="shared" si="17"/>
        <v>170.80000000000018</v>
      </c>
      <c r="K87" s="18">
        <f t="shared" si="18"/>
        <v>165.69999999999982</v>
      </c>
      <c r="L87" s="18">
        <f t="shared" si="19"/>
        <v>34.100000000000023</v>
      </c>
      <c r="M87" s="18">
        <f t="shared" si="20"/>
        <v>33.799999999999955</v>
      </c>
      <c r="N87" s="31">
        <f t="shared" si="21"/>
        <v>33196.400000000023</v>
      </c>
      <c r="O87" s="18">
        <f t="shared" si="22"/>
        <v>68</v>
      </c>
      <c r="W87" s="87"/>
      <c r="X87" s="87"/>
      <c r="Y87" s="87"/>
      <c r="Z87" s="87"/>
      <c r="AA87" s="88"/>
      <c r="AB87" s="88"/>
    </row>
    <row r="88" spans="1:28" ht="13.15" customHeight="1">
      <c r="A88" s="9">
        <v>44927</v>
      </c>
      <c r="B88">
        <f t="shared" si="9"/>
        <v>2023</v>
      </c>
      <c r="C88" t="str">
        <f t="shared" si="16"/>
        <v>Q1</v>
      </c>
      <c r="D88" s="18">
        <v>7861.3</v>
      </c>
      <c r="E88" s="18">
        <v>7829.1</v>
      </c>
      <c r="F88" s="18">
        <v>655.5</v>
      </c>
      <c r="G88" s="18">
        <v>652.20000000000005</v>
      </c>
      <c r="H88" s="18">
        <v>865859.6</v>
      </c>
      <c r="I88" s="8">
        <v>867096</v>
      </c>
      <c r="J88" s="18">
        <f t="shared" si="17"/>
        <v>217.69999999999982</v>
      </c>
      <c r="K88" s="18">
        <f t="shared" si="18"/>
        <v>217.40000000000055</v>
      </c>
      <c r="L88" s="18">
        <f t="shared" si="19"/>
        <v>37.299999999999955</v>
      </c>
      <c r="M88" s="18">
        <f t="shared" si="20"/>
        <v>42</v>
      </c>
      <c r="N88" s="31">
        <f t="shared" si="21"/>
        <v>15397.699999999953</v>
      </c>
      <c r="O88" s="18">
        <f t="shared" si="22"/>
        <v>10209</v>
      </c>
      <c r="W88" s="87"/>
      <c r="X88" s="87"/>
      <c r="Y88" s="87"/>
      <c r="Z88" s="87"/>
      <c r="AA88" s="88"/>
      <c r="AB88" s="88"/>
    </row>
    <row r="89" spans="1:28" ht="13.15" customHeight="1">
      <c r="A89" s="9">
        <v>44958</v>
      </c>
      <c r="B89">
        <f t="shared" si="9"/>
        <v>2023</v>
      </c>
      <c r="C89" t="str">
        <f t="shared" si="16"/>
        <v>Q1</v>
      </c>
      <c r="D89" s="18">
        <v>7898.9</v>
      </c>
      <c r="E89" s="18">
        <v>7839</v>
      </c>
      <c r="F89" s="18">
        <v>654.4</v>
      </c>
      <c r="G89" s="18">
        <v>652.79999999999995</v>
      </c>
      <c r="H89" s="18">
        <v>865859.6</v>
      </c>
      <c r="I89" s="8">
        <v>867096</v>
      </c>
      <c r="J89" s="18">
        <f t="shared" si="17"/>
        <v>230</v>
      </c>
      <c r="K89" s="18">
        <f t="shared" si="18"/>
        <v>232.30000000000018</v>
      </c>
      <c r="L89" s="18">
        <f t="shared" si="19"/>
        <v>31.100000000000023</v>
      </c>
      <c r="M89" s="18">
        <f t="shared" si="20"/>
        <v>36.299999999999955</v>
      </c>
      <c r="N89" s="31">
        <f t="shared" si="21"/>
        <v>15397.699999999953</v>
      </c>
      <c r="O89" s="18">
        <f t="shared" si="22"/>
        <v>10209</v>
      </c>
      <c r="W89" s="87"/>
      <c r="X89" s="87"/>
      <c r="Y89" s="87"/>
      <c r="Z89" s="87"/>
      <c r="AA89" s="88"/>
      <c r="AB89" s="88"/>
    </row>
    <row r="90" spans="1:28" ht="13.15" customHeight="1">
      <c r="A90" s="9">
        <v>44986</v>
      </c>
      <c r="B90">
        <f t="shared" si="9"/>
        <v>2023</v>
      </c>
      <c r="C90" t="str">
        <f t="shared" si="16"/>
        <v>Q1</v>
      </c>
      <c r="D90" s="18">
        <v>7931.4</v>
      </c>
      <c r="E90" s="18">
        <v>7848.5</v>
      </c>
      <c r="F90" s="18">
        <v>656.8</v>
      </c>
      <c r="G90" s="18">
        <v>654.20000000000005</v>
      </c>
      <c r="H90" s="18">
        <v>865859.6</v>
      </c>
      <c r="I90" s="8">
        <v>867096</v>
      </c>
      <c r="J90" s="18">
        <f t="shared" si="17"/>
        <v>250.29999999999927</v>
      </c>
      <c r="K90" s="18">
        <f t="shared" si="18"/>
        <v>253.19999999999982</v>
      </c>
      <c r="L90" s="18">
        <f t="shared" si="19"/>
        <v>26.399999999999977</v>
      </c>
      <c r="M90" s="18">
        <f t="shared" si="20"/>
        <v>32.400000000000091</v>
      </c>
      <c r="N90" s="31">
        <f t="shared" si="21"/>
        <v>15397.699999999953</v>
      </c>
      <c r="O90" s="18">
        <f t="shared" si="22"/>
        <v>10209</v>
      </c>
      <c r="W90" s="87"/>
      <c r="X90" s="87"/>
      <c r="Y90" s="87"/>
      <c r="Z90" s="87"/>
      <c r="AA90" s="88"/>
      <c r="AB90" s="88"/>
    </row>
    <row r="91" spans="1:28" ht="13.15" customHeight="1">
      <c r="A91" s="9">
        <v>45017</v>
      </c>
      <c r="B91">
        <f t="shared" si="9"/>
        <v>2023</v>
      </c>
      <c r="C91" t="str">
        <f t="shared" si="16"/>
        <v>Q2</v>
      </c>
      <c r="D91" s="18">
        <v>7962</v>
      </c>
      <c r="E91" s="18">
        <v>7899.3</v>
      </c>
      <c r="F91" s="18">
        <v>657.9</v>
      </c>
      <c r="G91" s="18">
        <v>653.70000000000005</v>
      </c>
      <c r="H91" s="18">
        <v>865859.6</v>
      </c>
      <c r="I91" s="8">
        <v>873385</v>
      </c>
      <c r="J91" s="18">
        <f t="shared" si="17"/>
        <v>203.60000000000036</v>
      </c>
      <c r="K91" s="18">
        <f t="shared" si="18"/>
        <v>205.10000000000036</v>
      </c>
      <c r="L91" s="18">
        <f t="shared" si="19"/>
        <v>16.799999999999955</v>
      </c>
      <c r="M91" s="18">
        <f t="shared" si="20"/>
        <v>16.900000000000091</v>
      </c>
      <c r="N91" s="31">
        <f t="shared" si="21"/>
        <v>15397.699999999953</v>
      </c>
      <c r="O91" s="18">
        <f t="shared" si="22"/>
        <v>6289</v>
      </c>
      <c r="W91" s="87"/>
      <c r="X91" s="87"/>
      <c r="Y91" s="87"/>
      <c r="Z91" s="87"/>
      <c r="AA91" s="88"/>
      <c r="AB91" s="88"/>
    </row>
    <row r="92" spans="1:28" ht="13.15" customHeight="1">
      <c r="A92" s="9">
        <v>45047</v>
      </c>
      <c r="B92">
        <f t="shared" si="9"/>
        <v>2023</v>
      </c>
      <c r="C92" t="str">
        <f t="shared" si="16"/>
        <v>Q2</v>
      </c>
      <c r="D92" s="18">
        <v>7978.4</v>
      </c>
      <c r="E92" s="18">
        <v>7966.2</v>
      </c>
      <c r="F92" s="18">
        <v>663.7</v>
      </c>
      <c r="G92" s="18">
        <v>664</v>
      </c>
      <c r="H92" s="18">
        <v>865859.6</v>
      </c>
      <c r="I92" s="8">
        <v>873385</v>
      </c>
      <c r="J92" s="18">
        <f t="shared" si="17"/>
        <v>202.29999999999927</v>
      </c>
      <c r="K92" s="18">
        <f t="shared" si="18"/>
        <v>201.19999999999982</v>
      </c>
      <c r="L92" s="18">
        <f t="shared" si="19"/>
        <v>16.5</v>
      </c>
      <c r="M92" s="18">
        <f t="shared" si="20"/>
        <v>16.5</v>
      </c>
      <c r="N92" s="31">
        <f t="shared" si="21"/>
        <v>15397.699999999953</v>
      </c>
      <c r="O92" s="18">
        <f t="shared" si="22"/>
        <v>6289</v>
      </c>
      <c r="W92" s="87"/>
      <c r="X92" s="87"/>
      <c r="Y92" s="87"/>
      <c r="Z92" s="87"/>
      <c r="AA92" s="88"/>
      <c r="AB92" s="88"/>
    </row>
    <row r="93" spans="1:28" ht="13.15" customHeight="1">
      <c r="A93" s="9">
        <v>45078</v>
      </c>
      <c r="B93">
        <f t="shared" si="9"/>
        <v>2023</v>
      </c>
      <c r="C93" t="str">
        <f t="shared" si="16"/>
        <v>Q2</v>
      </c>
      <c r="D93" s="18">
        <v>8001.1</v>
      </c>
      <c r="E93" s="18">
        <v>8058.5</v>
      </c>
      <c r="F93" s="18">
        <v>672</v>
      </c>
      <c r="G93" s="18">
        <v>678.8</v>
      </c>
      <c r="H93" s="18">
        <v>865859.6</v>
      </c>
      <c r="I93" s="8">
        <v>873385</v>
      </c>
      <c r="J93" s="18">
        <f t="shared" si="17"/>
        <v>218.30000000000018</v>
      </c>
      <c r="K93" s="18">
        <f t="shared" si="18"/>
        <v>219.80000000000018</v>
      </c>
      <c r="L93" s="18">
        <f t="shared" si="19"/>
        <v>28.799999999999955</v>
      </c>
      <c r="M93" s="18">
        <f t="shared" si="20"/>
        <v>28.5</v>
      </c>
      <c r="N93" s="31">
        <f t="shared" si="21"/>
        <v>15397.699999999953</v>
      </c>
      <c r="O93" s="18">
        <f t="shared" si="22"/>
        <v>6289</v>
      </c>
      <c r="W93" s="87"/>
      <c r="X93" s="87"/>
      <c r="Y93" s="87"/>
      <c r="Z93" s="87"/>
      <c r="AA93" s="88"/>
      <c r="AB93" s="88"/>
    </row>
    <row r="94" spans="1:28" ht="13.15" customHeight="1">
      <c r="A94" s="9">
        <v>45108</v>
      </c>
      <c r="B94">
        <f t="shared" si="9"/>
        <v>2023</v>
      </c>
      <c r="C94" t="str">
        <f t="shared" si="16"/>
        <v>Q3</v>
      </c>
      <c r="D94" s="18">
        <v>8016.3</v>
      </c>
      <c r="E94" s="18">
        <v>8107</v>
      </c>
      <c r="F94" s="18">
        <v>677.8</v>
      </c>
      <c r="G94" s="18">
        <v>690.2</v>
      </c>
      <c r="H94" s="18">
        <v>865859.6</v>
      </c>
      <c r="I94" s="8">
        <v>876964</v>
      </c>
      <c r="J94" s="18">
        <f t="shared" si="17"/>
        <v>232.19999999999982</v>
      </c>
      <c r="K94" s="18">
        <f t="shared" si="18"/>
        <v>234.89999999999964</v>
      </c>
      <c r="L94" s="18">
        <f t="shared" si="19"/>
        <v>38.399999999999977</v>
      </c>
      <c r="M94" s="18">
        <f t="shared" si="20"/>
        <v>38.400000000000091</v>
      </c>
      <c r="N94" s="31">
        <f t="shared" si="21"/>
        <v>15397.699999999953</v>
      </c>
      <c r="O94" s="18">
        <f t="shared" si="22"/>
        <v>3579</v>
      </c>
      <c r="W94" s="87"/>
      <c r="X94" s="87"/>
      <c r="Y94" s="87"/>
      <c r="Z94" s="87"/>
      <c r="AA94" s="88"/>
      <c r="AB94" s="88"/>
    </row>
    <row r="95" spans="1:28" ht="13.15" customHeight="1">
      <c r="A95" s="9">
        <v>45139</v>
      </c>
      <c r="B95">
        <f t="shared" si="9"/>
        <v>2023</v>
      </c>
      <c r="C95" t="str">
        <f t="shared" si="16"/>
        <v>Q3</v>
      </c>
      <c r="D95" s="18">
        <v>8040</v>
      </c>
      <c r="E95" s="18">
        <v>8115.6</v>
      </c>
      <c r="F95" s="18">
        <v>682.8</v>
      </c>
      <c r="G95" s="18">
        <v>691.7</v>
      </c>
      <c r="H95" s="18">
        <v>865859.6</v>
      </c>
      <c r="I95" s="8">
        <v>876964</v>
      </c>
      <c r="J95" s="18">
        <f t="shared" si="17"/>
        <v>262</v>
      </c>
      <c r="K95" s="18">
        <f t="shared" si="18"/>
        <v>263.20000000000073</v>
      </c>
      <c r="L95" s="18">
        <f t="shared" si="19"/>
        <v>44.299999999999955</v>
      </c>
      <c r="M95" s="18">
        <f t="shared" si="20"/>
        <v>44.900000000000091</v>
      </c>
      <c r="N95" s="31">
        <f t="shared" si="21"/>
        <v>15397.699999999953</v>
      </c>
      <c r="O95" s="18">
        <f t="shared" si="22"/>
        <v>3579</v>
      </c>
      <c r="W95" s="87"/>
      <c r="X95" s="87"/>
      <c r="Y95" s="87"/>
      <c r="Z95" s="87"/>
      <c r="AA95" s="88"/>
      <c r="AB95" s="88"/>
    </row>
    <row r="96" spans="1:28" ht="13.15" customHeight="1">
      <c r="A96" s="9">
        <v>45170</v>
      </c>
      <c r="B96">
        <f t="shared" si="9"/>
        <v>2023</v>
      </c>
      <c r="C96" t="str">
        <f t="shared" si="16"/>
        <v>Q3</v>
      </c>
      <c r="D96" s="18">
        <v>8052.4</v>
      </c>
      <c r="E96" s="18">
        <v>8068.5</v>
      </c>
      <c r="F96" s="18">
        <v>684.8</v>
      </c>
      <c r="G96" s="18">
        <v>687.3</v>
      </c>
      <c r="H96" s="18">
        <v>865859.6</v>
      </c>
      <c r="I96" s="8">
        <v>876964</v>
      </c>
      <c r="J96" s="18">
        <f t="shared" si="17"/>
        <v>281.69999999999982</v>
      </c>
      <c r="K96" s="18">
        <f t="shared" si="18"/>
        <v>274.69999999999982</v>
      </c>
      <c r="L96" s="18">
        <f t="shared" si="19"/>
        <v>38.5</v>
      </c>
      <c r="M96" s="18">
        <f t="shared" si="20"/>
        <v>38.5</v>
      </c>
      <c r="N96" s="31">
        <f t="shared" si="21"/>
        <v>15397.699999999953</v>
      </c>
      <c r="O96" s="18">
        <f t="shared" si="22"/>
        <v>3579</v>
      </c>
      <c r="W96" s="87"/>
      <c r="X96" s="87"/>
      <c r="Y96" s="87"/>
      <c r="Z96" s="87"/>
      <c r="AA96" s="88"/>
      <c r="AB96" s="88"/>
    </row>
    <row r="97" spans="1:28" ht="13.15" customHeight="1">
      <c r="A97" s="9">
        <v>45200</v>
      </c>
      <c r="B97">
        <f t="shared" si="9"/>
        <v>2023</v>
      </c>
      <c r="C97" t="str">
        <f t="shared" si="16"/>
        <v>Q4</v>
      </c>
      <c r="D97" s="18">
        <v>8058.3</v>
      </c>
      <c r="E97" s="18">
        <v>8050.1</v>
      </c>
      <c r="F97" s="18">
        <v>690.4</v>
      </c>
      <c r="G97" s="18">
        <v>688.8</v>
      </c>
      <c r="H97" s="18">
        <v>865859.6</v>
      </c>
      <c r="I97" s="8">
        <v>880255</v>
      </c>
      <c r="J97" s="18">
        <f t="shared" si="17"/>
        <v>282.19999999999982</v>
      </c>
      <c r="K97" s="18">
        <f t="shared" si="18"/>
        <v>271.40000000000055</v>
      </c>
      <c r="L97" s="18">
        <f t="shared" si="19"/>
        <v>43.5</v>
      </c>
      <c r="M97" s="18">
        <f t="shared" si="20"/>
        <v>44</v>
      </c>
      <c r="N97" s="31">
        <f t="shared" si="21"/>
        <v>15397.699999999953</v>
      </c>
      <c r="O97" s="18">
        <f t="shared" si="22"/>
        <v>3291</v>
      </c>
      <c r="W97" s="87"/>
      <c r="X97" s="87"/>
      <c r="Y97" s="87"/>
      <c r="Z97" s="87"/>
      <c r="AA97" s="88"/>
      <c r="AB97" s="88"/>
    </row>
    <row r="98" spans="1:28" ht="13.15" customHeight="1">
      <c r="A98" s="9">
        <v>45231</v>
      </c>
      <c r="B98">
        <f t="shared" si="9"/>
        <v>2023</v>
      </c>
      <c r="C98" t="str">
        <f t="shared" si="16"/>
        <v>Q4</v>
      </c>
      <c r="D98" s="18">
        <v>8062.1</v>
      </c>
      <c r="E98" s="18">
        <v>8046.2</v>
      </c>
      <c r="F98" s="18">
        <v>692</v>
      </c>
      <c r="G98" s="18">
        <v>687</v>
      </c>
      <c r="H98" s="18">
        <v>865859.6</v>
      </c>
      <c r="I98" s="8">
        <v>880255</v>
      </c>
      <c r="J98" s="18">
        <f t="shared" si="17"/>
        <v>270.40000000000055</v>
      </c>
      <c r="K98" s="18">
        <f t="shared" si="18"/>
        <v>262.39999999999964</v>
      </c>
      <c r="L98" s="18">
        <f t="shared" si="19"/>
        <v>42.299999999999955</v>
      </c>
      <c r="M98" s="18">
        <f t="shared" si="20"/>
        <v>41.399999999999977</v>
      </c>
      <c r="N98" s="31">
        <f t="shared" si="21"/>
        <v>15397.699999999953</v>
      </c>
      <c r="O98" s="18">
        <f t="shared" si="22"/>
        <v>3291</v>
      </c>
      <c r="W98" s="87"/>
      <c r="X98" s="87"/>
      <c r="Y98" s="87"/>
      <c r="Z98" s="87"/>
      <c r="AA98" s="88"/>
      <c r="AB98" s="88"/>
    </row>
    <row r="99" spans="1:28" ht="13.15" customHeight="1">
      <c r="A99" s="9">
        <v>45261</v>
      </c>
      <c r="B99">
        <f t="shared" si="9"/>
        <v>2023</v>
      </c>
      <c r="C99" t="str">
        <f t="shared" si="16"/>
        <v>Q4</v>
      </c>
      <c r="D99" s="18">
        <v>8052.5</v>
      </c>
      <c r="E99" s="18">
        <v>8049</v>
      </c>
      <c r="F99" s="18">
        <v>691</v>
      </c>
      <c r="G99" s="18">
        <v>687.6</v>
      </c>
      <c r="H99" s="18">
        <v>865859.6</v>
      </c>
      <c r="I99" s="8">
        <v>880255</v>
      </c>
      <c r="J99" s="18">
        <f t="shared" si="17"/>
        <v>223.19999999999982</v>
      </c>
      <c r="K99" s="18">
        <f t="shared" si="18"/>
        <v>220.5</v>
      </c>
      <c r="L99" s="18">
        <f t="shared" si="19"/>
        <v>40.5</v>
      </c>
      <c r="M99" s="18">
        <f t="shared" si="20"/>
        <v>40.600000000000023</v>
      </c>
      <c r="N99" s="31">
        <f t="shared" si="21"/>
        <v>15397.699999999953</v>
      </c>
      <c r="O99" s="18">
        <f t="shared" si="22"/>
        <v>3291</v>
      </c>
      <c r="W99" s="87"/>
      <c r="X99" s="87"/>
      <c r="Y99" s="87"/>
      <c r="Z99" s="87"/>
      <c r="AA99" s="88"/>
      <c r="AB99" s="88"/>
    </row>
    <row r="100" spans="1:28" ht="13.15" customHeight="1">
      <c r="A100" s="9">
        <v>45292</v>
      </c>
      <c r="B100">
        <f t="shared" ref="B100:B123" si="23">YEAR(A100)</f>
        <v>2024</v>
      </c>
      <c r="C100" t="str">
        <f t="shared" si="16"/>
        <v>Q1</v>
      </c>
      <c r="D100" s="18">
        <v>8051</v>
      </c>
      <c r="E100" s="18">
        <v>8019.7</v>
      </c>
      <c r="F100" s="18">
        <v>689.1</v>
      </c>
      <c r="G100" s="18">
        <v>685.1</v>
      </c>
      <c r="H100" s="18">
        <v>876619.7</v>
      </c>
      <c r="I100" s="8">
        <v>885802</v>
      </c>
      <c r="J100" s="18">
        <f t="shared" si="17"/>
        <v>189.69999999999982</v>
      </c>
      <c r="K100" s="18">
        <f t="shared" si="18"/>
        <v>190.59999999999945</v>
      </c>
      <c r="L100" s="18">
        <f t="shared" si="19"/>
        <v>33.600000000000023</v>
      </c>
      <c r="M100" s="18">
        <f t="shared" si="20"/>
        <v>32.899999999999977</v>
      </c>
      <c r="N100" s="31">
        <f t="shared" si="21"/>
        <v>10760.099999999977</v>
      </c>
      <c r="O100" s="18">
        <f t="shared" si="22"/>
        <v>5547</v>
      </c>
      <c r="W100" s="87"/>
      <c r="X100" s="87"/>
      <c r="Y100" s="87"/>
      <c r="Z100" s="87"/>
      <c r="AA100" s="88"/>
      <c r="AB100" s="88"/>
    </row>
    <row r="101" spans="1:28" ht="13.15" customHeight="1">
      <c r="A101" s="9">
        <v>45323</v>
      </c>
      <c r="B101">
        <f t="shared" si="23"/>
        <v>2024</v>
      </c>
      <c r="C101" t="str">
        <f t="shared" si="16"/>
        <v>Q1</v>
      </c>
      <c r="D101" s="18">
        <v>8047.9</v>
      </c>
      <c r="E101" s="18">
        <v>7991.4</v>
      </c>
      <c r="F101" s="18">
        <v>687.9</v>
      </c>
      <c r="G101" s="18">
        <v>685.9</v>
      </c>
      <c r="H101" s="18">
        <v>876619.7</v>
      </c>
      <c r="I101" s="8">
        <v>885802</v>
      </c>
      <c r="J101" s="18">
        <f t="shared" si="17"/>
        <v>149</v>
      </c>
      <c r="K101" s="18">
        <f t="shared" si="18"/>
        <v>152.39999999999964</v>
      </c>
      <c r="L101" s="18">
        <f t="shared" si="19"/>
        <v>33.5</v>
      </c>
      <c r="M101" s="18">
        <f t="shared" si="20"/>
        <v>33.100000000000023</v>
      </c>
      <c r="N101" s="31">
        <f t="shared" si="21"/>
        <v>10760.099999999977</v>
      </c>
      <c r="O101" s="18">
        <f t="shared" si="22"/>
        <v>5547</v>
      </c>
      <c r="W101" s="87"/>
      <c r="X101" s="87"/>
      <c r="Y101" s="87"/>
      <c r="Z101" s="87"/>
      <c r="AA101" s="88"/>
      <c r="AB101" s="88"/>
    </row>
    <row r="102" spans="1:28" ht="13.15" customHeight="1">
      <c r="A102" s="9">
        <v>45352</v>
      </c>
      <c r="B102">
        <f t="shared" si="23"/>
        <v>2024</v>
      </c>
      <c r="C102" t="str">
        <f t="shared" si="16"/>
        <v>Q1</v>
      </c>
      <c r="D102" s="18">
        <v>8066</v>
      </c>
      <c r="E102" s="18">
        <v>7988.6</v>
      </c>
      <c r="F102" s="18">
        <v>683</v>
      </c>
      <c r="G102" s="18">
        <v>680.2</v>
      </c>
      <c r="H102" s="18">
        <v>876619.7</v>
      </c>
      <c r="I102" s="8">
        <v>885802</v>
      </c>
      <c r="J102" s="18">
        <f t="shared" si="17"/>
        <v>134.60000000000036</v>
      </c>
      <c r="K102" s="18">
        <f t="shared" si="18"/>
        <v>140.10000000000036</v>
      </c>
      <c r="L102" s="18">
        <f t="shared" si="19"/>
        <v>26.200000000000045</v>
      </c>
      <c r="M102" s="18">
        <f t="shared" si="20"/>
        <v>26</v>
      </c>
      <c r="N102" s="31">
        <f t="shared" si="21"/>
        <v>10760.099999999977</v>
      </c>
      <c r="O102" s="18">
        <f t="shared" si="22"/>
        <v>5547</v>
      </c>
      <c r="W102" s="87"/>
      <c r="X102" s="87"/>
      <c r="Y102" s="87"/>
      <c r="Z102" s="87"/>
      <c r="AA102" s="88"/>
      <c r="AB102" s="88"/>
    </row>
    <row r="103" spans="1:28" ht="13.15" customHeight="1">
      <c r="A103" s="9">
        <v>45383</v>
      </c>
      <c r="B103">
        <f t="shared" si="23"/>
        <v>2024</v>
      </c>
      <c r="C103" t="str">
        <f t="shared" si="16"/>
        <v>Q2</v>
      </c>
      <c r="D103" s="18">
        <v>8087.1</v>
      </c>
      <c r="E103" s="18">
        <v>8033.3</v>
      </c>
      <c r="F103" s="18">
        <v>678.2</v>
      </c>
      <c r="G103" s="18">
        <v>675.8</v>
      </c>
      <c r="H103" s="18">
        <v>876619.7</v>
      </c>
      <c r="I103" s="8">
        <v>888733</v>
      </c>
      <c r="J103" s="18">
        <f t="shared" si="17"/>
        <v>125.10000000000036</v>
      </c>
      <c r="K103" s="18">
        <f t="shared" si="18"/>
        <v>134</v>
      </c>
      <c r="L103" s="18">
        <f t="shared" si="19"/>
        <v>20.300000000000068</v>
      </c>
      <c r="M103" s="18">
        <f t="shared" si="20"/>
        <v>22.099999999999909</v>
      </c>
      <c r="N103" s="31">
        <f t="shared" si="21"/>
        <v>10760.099999999977</v>
      </c>
      <c r="O103" s="18">
        <f t="shared" si="22"/>
        <v>2931</v>
      </c>
      <c r="W103" s="87"/>
      <c r="X103" s="87"/>
      <c r="Y103" s="87"/>
      <c r="Z103" s="87"/>
      <c r="AA103" s="88"/>
      <c r="AB103" s="88"/>
    </row>
    <row r="104" spans="1:28" ht="13.15" customHeight="1">
      <c r="A104" s="9">
        <v>45413</v>
      </c>
      <c r="B104">
        <f t="shared" si="23"/>
        <v>2024</v>
      </c>
      <c r="C104" t="str">
        <f t="shared" si="16"/>
        <v>Q2</v>
      </c>
      <c r="D104" s="18">
        <v>8119.7</v>
      </c>
      <c r="E104" s="18">
        <v>8113.6</v>
      </c>
      <c r="F104" s="18">
        <v>676.5</v>
      </c>
      <c r="G104" s="18">
        <v>678.2</v>
      </c>
      <c r="H104" s="18">
        <v>876619.7</v>
      </c>
      <c r="I104" s="8">
        <v>888733</v>
      </c>
      <c r="J104" s="18">
        <f t="shared" si="17"/>
        <v>141.30000000000018</v>
      </c>
      <c r="K104" s="18">
        <f t="shared" si="18"/>
        <v>147.40000000000055</v>
      </c>
      <c r="L104" s="18">
        <f t="shared" si="19"/>
        <v>12.799999999999955</v>
      </c>
      <c r="M104" s="18">
        <f t="shared" si="20"/>
        <v>14.200000000000045</v>
      </c>
      <c r="N104" s="31">
        <f t="shared" si="21"/>
        <v>10760.099999999977</v>
      </c>
      <c r="O104" s="18">
        <f t="shared" si="22"/>
        <v>2931</v>
      </c>
      <c r="W104" s="87"/>
      <c r="X104" s="87"/>
      <c r="Y104" s="87"/>
      <c r="Z104" s="87"/>
      <c r="AA104" s="88"/>
      <c r="AB104" s="88"/>
    </row>
    <row r="105" spans="1:28" ht="13.15" customHeight="1">
      <c r="A105" s="9">
        <v>45444</v>
      </c>
      <c r="B105">
        <f t="shared" si="23"/>
        <v>2024</v>
      </c>
      <c r="C105" t="str">
        <f t="shared" si="16"/>
        <v>Q2</v>
      </c>
      <c r="D105" s="18">
        <v>8140.7</v>
      </c>
      <c r="E105" s="18">
        <v>8202.2000000000007</v>
      </c>
      <c r="F105" s="18">
        <v>679.1</v>
      </c>
      <c r="G105" s="18">
        <v>686.8</v>
      </c>
      <c r="H105" s="18">
        <v>876619.7</v>
      </c>
      <c r="I105" s="8">
        <v>888733</v>
      </c>
      <c r="J105" s="18">
        <f t="shared" si="17"/>
        <v>139.59999999999945</v>
      </c>
      <c r="K105" s="18">
        <f t="shared" si="18"/>
        <v>143.70000000000073</v>
      </c>
      <c r="L105" s="18">
        <f t="shared" si="19"/>
        <v>7.1000000000000227</v>
      </c>
      <c r="M105" s="18">
        <f t="shared" si="20"/>
        <v>8</v>
      </c>
      <c r="N105" s="31">
        <f t="shared" si="21"/>
        <v>10760.099999999977</v>
      </c>
      <c r="O105" s="18">
        <f t="shared" si="22"/>
        <v>2931</v>
      </c>
      <c r="W105" s="87"/>
      <c r="X105" s="87"/>
      <c r="Y105" s="87"/>
      <c r="Z105" s="87"/>
      <c r="AA105" s="88"/>
      <c r="AB105" s="88"/>
    </row>
    <row r="106" spans="1:28" ht="13.15" customHeight="1">
      <c r="A106" s="9">
        <v>45474</v>
      </c>
      <c r="B106">
        <f t="shared" si="23"/>
        <v>2024</v>
      </c>
      <c r="C106" t="str">
        <f t="shared" si="16"/>
        <v>Q3</v>
      </c>
      <c r="D106" s="18">
        <v>8161</v>
      </c>
      <c r="E106" s="18">
        <v>8253.1</v>
      </c>
      <c r="F106" s="18">
        <v>682.7</v>
      </c>
      <c r="G106" s="18">
        <v>696.7</v>
      </c>
      <c r="H106" s="18">
        <v>876619.7</v>
      </c>
      <c r="I106" s="8">
        <v>890079</v>
      </c>
      <c r="J106" s="18">
        <f t="shared" si="17"/>
        <v>144.69999999999982</v>
      </c>
      <c r="K106" s="18">
        <f t="shared" si="18"/>
        <v>146.10000000000036</v>
      </c>
      <c r="L106" s="18">
        <f t="shared" si="19"/>
        <v>4.9000000000000909</v>
      </c>
      <c r="M106" s="18">
        <f t="shared" si="20"/>
        <v>6.5</v>
      </c>
      <c r="N106" s="31">
        <f t="shared" si="21"/>
        <v>10760.099999999977</v>
      </c>
      <c r="O106" s="18">
        <f t="shared" si="22"/>
        <v>1346</v>
      </c>
      <c r="W106" s="87"/>
      <c r="X106" s="87"/>
      <c r="Y106" s="87"/>
      <c r="Z106" s="87"/>
      <c r="AA106" s="88"/>
      <c r="AB106" s="88"/>
    </row>
    <row r="107" spans="1:28" ht="13.15" customHeight="1">
      <c r="A107" s="9">
        <v>45505</v>
      </c>
      <c r="B107">
        <f t="shared" si="23"/>
        <v>2024</v>
      </c>
      <c r="C107" t="str">
        <f t="shared" si="16"/>
        <v>Q3</v>
      </c>
      <c r="D107" s="18">
        <v>8167</v>
      </c>
      <c r="E107" s="18">
        <v>8245.1</v>
      </c>
      <c r="F107" s="18">
        <v>690.3</v>
      </c>
      <c r="G107" s="18">
        <v>702.3</v>
      </c>
      <c r="H107" s="18">
        <v>876619.7</v>
      </c>
      <c r="I107" s="8">
        <v>890079</v>
      </c>
      <c r="J107" s="18">
        <f t="shared" si="17"/>
        <v>127</v>
      </c>
      <c r="K107" s="18">
        <f t="shared" si="18"/>
        <v>129.5</v>
      </c>
      <c r="L107" s="18">
        <f t="shared" si="19"/>
        <v>7.5</v>
      </c>
      <c r="M107" s="18">
        <f t="shared" si="20"/>
        <v>10.599999999999909</v>
      </c>
      <c r="N107" s="31">
        <f t="shared" si="21"/>
        <v>10760.099999999977</v>
      </c>
      <c r="O107" s="18">
        <f t="shared" si="22"/>
        <v>1346</v>
      </c>
      <c r="W107" s="87"/>
      <c r="X107" s="87"/>
      <c r="Y107" s="87"/>
      <c r="Z107" s="87"/>
      <c r="AA107" s="88"/>
      <c r="AB107" s="88"/>
    </row>
    <row r="108" spans="1:28" ht="13.15" customHeight="1">
      <c r="A108" s="9">
        <v>45536</v>
      </c>
      <c r="B108">
        <f t="shared" si="23"/>
        <v>2024</v>
      </c>
      <c r="C108" t="str">
        <f t="shared" si="16"/>
        <v>Q3</v>
      </c>
      <c r="D108" s="18">
        <v>8182.9</v>
      </c>
      <c r="E108" s="18">
        <v>8217.2000000000007</v>
      </c>
      <c r="F108" s="18">
        <v>699.9</v>
      </c>
      <c r="G108" s="18">
        <v>703.5</v>
      </c>
      <c r="H108" s="18">
        <v>876619.7</v>
      </c>
      <c r="I108" s="8">
        <v>890079</v>
      </c>
      <c r="J108" s="18">
        <f t="shared" si="17"/>
        <v>130.5</v>
      </c>
      <c r="K108" s="18">
        <f t="shared" si="18"/>
        <v>148.70000000000073</v>
      </c>
      <c r="L108" s="18">
        <f t="shared" si="19"/>
        <v>15.100000000000023</v>
      </c>
      <c r="M108" s="18">
        <f t="shared" si="20"/>
        <v>16.200000000000045</v>
      </c>
      <c r="N108" s="31">
        <f t="shared" si="21"/>
        <v>10760.099999999977</v>
      </c>
      <c r="O108" s="18">
        <f t="shared" si="22"/>
        <v>1346</v>
      </c>
      <c r="W108" s="87"/>
      <c r="X108" s="87"/>
      <c r="Y108" s="87"/>
      <c r="Z108" s="87"/>
      <c r="AA108" s="88"/>
      <c r="AB108" s="88"/>
    </row>
    <row r="109" spans="1:28" ht="13.15" customHeight="1">
      <c r="A109" s="9">
        <v>45566</v>
      </c>
      <c r="B109">
        <f t="shared" si="23"/>
        <v>2024</v>
      </c>
      <c r="C109" t="str">
        <f t="shared" si="16"/>
        <v>Q4</v>
      </c>
      <c r="D109" s="18">
        <v>8184.5</v>
      </c>
      <c r="E109" s="18">
        <v>8197.6</v>
      </c>
      <c r="F109" s="18">
        <v>706.4</v>
      </c>
      <c r="G109" s="18">
        <v>702.8</v>
      </c>
      <c r="H109" s="18">
        <v>876619.7</v>
      </c>
      <c r="I109" s="8">
        <v>893201</v>
      </c>
      <c r="J109" s="18">
        <f t="shared" si="17"/>
        <v>126.19999999999982</v>
      </c>
      <c r="K109" s="18">
        <f t="shared" si="18"/>
        <v>147.5</v>
      </c>
      <c r="L109" s="18">
        <f t="shared" si="19"/>
        <v>16</v>
      </c>
      <c r="M109" s="18">
        <f t="shared" si="20"/>
        <v>14</v>
      </c>
      <c r="N109" s="31">
        <f t="shared" si="21"/>
        <v>10760.099999999977</v>
      </c>
      <c r="O109" s="18">
        <f t="shared" si="22"/>
        <v>3122</v>
      </c>
      <c r="W109" s="87"/>
      <c r="X109" s="87"/>
      <c r="Y109" s="87"/>
      <c r="Z109" s="87"/>
      <c r="AA109" s="88"/>
      <c r="AB109" s="88"/>
    </row>
    <row r="110" spans="1:28" ht="13.15" customHeight="1">
      <c r="A110" s="9">
        <v>45597</v>
      </c>
      <c r="B110">
        <f t="shared" si="23"/>
        <v>2024</v>
      </c>
      <c r="C110" t="str">
        <f t="shared" si="16"/>
        <v>Q4</v>
      </c>
      <c r="D110" s="18">
        <v>8185.4</v>
      </c>
      <c r="E110" s="18">
        <v>8185.1</v>
      </c>
      <c r="F110" s="18">
        <v>708.3</v>
      </c>
      <c r="G110" s="18">
        <v>700.7</v>
      </c>
      <c r="H110" s="18">
        <v>876619.7</v>
      </c>
      <c r="I110" s="8">
        <v>893201</v>
      </c>
      <c r="J110" s="18">
        <f t="shared" si="17"/>
        <v>123.29999999999927</v>
      </c>
      <c r="K110" s="18">
        <f t="shared" si="18"/>
        <v>138.90000000000055</v>
      </c>
      <c r="L110" s="18">
        <f t="shared" si="19"/>
        <v>16.299999999999955</v>
      </c>
      <c r="M110" s="18">
        <f t="shared" si="20"/>
        <v>13.700000000000045</v>
      </c>
      <c r="N110" s="31">
        <f t="shared" si="21"/>
        <v>10760.099999999977</v>
      </c>
      <c r="O110" s="18">
        <f t="shared" si="22"/>
        <v>3122</v>
      </c>
      <c r="W110" s="87"/>
      <c r="X110" s="87"/>
      <c r="Y110" s="87"/>
      <c r="Z110" s="87"/>
      <c r="AA110" s="88"/>
      <c r="AB110" s="88"/>
    </row>
    <row r="111" spans="1:28" ht="13.15" customHeight="1">
      <c r="A111" s="9">
        <v>45627</v>
      </c>
      <c r="B111">
        <f t="shared" si="23"/>
        <v>2024</v>
      </c>
      <c r="C111" t="str">
        <f t="shared" si="16"/>
        <v>Q4</v>
      </c>
      <c r="D111" s="18">
        <v>8187.7</v>
      </c>
      <c r="E111" s="18">
        <v>8176.6</v>
      </c>
      <c r="F111" s="18">
        <v>708.4</v>
      </c>
      <c r="G111" s="18">
        <v>702.3</v>
      </c>
      <c r="H111" s="18">
        <v>876619.7</v>
      </c>
      <c r="I111" s="8">
        <v>893201</v>
      </c>
      <c r="J111" s="18">
        <f t="shared" si="17"/>
        <v>135.19999999999982</v>
      </c>
      <c r="K111" s="18">
        <f t="shared" si="18"/>
        <v>127.60000000000036</v>
      </c>
      <c r="L111" s="18">
        <f t="shared" si="19"/>
        <v>17.399999999999977</v>
      </c>
      <c r="M111" s="18">
        <f t="shared" si="20"/>
        <v>14.699999999999932</v>
      </c>
      <c r="N111" s="31">
        <f t="shared" si="21"/>
        <v>10760.099999999977</v>
      </c>
      <c r="O111" s="18">
        <f t="shared" si="22"/>
        <v>3122</v>
      </c>
      <c r="W111" s="87"/>
      <c r="X111" s="87"/>
      <c r="Y111" s="87"/>
      <c r="Z111" s="87"/>
      <c r="AA111" s="88"/>
      <c r="AB111" s="88"/>
    </row>
    <row r="112" spans="1:28" ht="13.15" customHeight="1">
      <c r="A112" s="9">
        <v>45658</v>
      </c>
      <c r="B112">
        <f t="shared" si="23"/>
        <v>2025</v>
      </c>
      <c r="C112" t="str">
        <f t="shared" si="16"/>
        <v>Q1</v>
      </c>
      <c r="D112" s="18">
        <v>8205.7000000000007</v>
      </c>
      <c r="E112" s="18">
        <v>8161.4</v>
      </c>
      <c r="F112" s="18">
        <v>707.9</v>
      </c>
      <c r="G112" s="18">
        <v>701</v>
      </c>
      <c r="H112" s="109">
        <f t="shared" ref="H112:I123" si="24">H100*(1+$W$11)</f>
        <v>887796.60117499996</v>
      </c>
      <c r="I112" s="109">
        <f t="shared" si="24"/>
        <v>897095.97550000006</v>
      </c>
      <c r="J112" s="18">
        <f t="shared" ref="J112:J135" si="25">D112-D100</f>
        <v>154.70000000000073</v>
      </c>
      <c r="K112" s="18">
        <f t="shared" ref="K112:K135" si="26">E112-E100</f>
        <v>141.69999999999982</v>
      </c>
      <c r="L112" s="18">
        <f t="shared" ref="L112:L135" si="27">F112-F100</f>
        <v>18.799999999999955</v>
      </c>
      <c r="M112" s="18">
        <f t="shared" ref="M112:M135" si="28">G112-G100</f>
        <v>15.899999999999977</v>
      </c>
      <c r="N112" s="31">
        <f t="shared" ref="N112:N135" si="29">H112-H100</f>
        <v>11176.901175000006</v>
      </c>
      <c r="O112" s="18">
        <f t="shared" ref="O112:O124" si="30">I112-I109</f>
        <v>3894.9755000000587</v>
      </c>
      <c r="W112" s="87"/>
      <c r="X112" s="87"/>
      <c r="Y112" s="87"/>
      <c r="Z112" s="87"/>
      <c r="AA112" s="88"/>
      <c r="AB112" s="88"/>
    </row>
    <row r="113" spans="1:28" ht="13.15" customHeight="1">
      <c r="A113" s="9">
        <v>45689</v>
      </c>
      <c r="B113">
        <f t="shared" si="23"/>
        <v>2025</v>
      </c>
      <c r="C113" t="str">
        <f t="shared" si="16"/>
        <v>Q1</v>
      </c>
      <c r="D113" s="18">
        <v>8230</v>
      </c>
      <c r="E113" s="18">
        <v>8165.5</v>
      </c>
      <c r="F113" s="18">
        <v>707.4</v>
      </c>
      <c r="G113" s="18">
        <v>701.7</v>
      </c>
      <c r="H113" s="109">
        <f t="shared" si="24"/>
        <v>887796.60117499996</v>
      </c>
      <c r="I113" s="109">
        <f t="shared" si="24"/>
        <v>897095.97550000006</v>
      </c>
      <c r="J113" s="18">
        <f t="shared" si="25"/>
        <v>182.10000000000036</v>
      </c>
      <c r="K113" s="18">
        <f t="shared" si="26"/>
        <v>174.10000000000036</v>
      </c>
      <c r="L113" s="18">
        <f t="shared" si="27"/>
        <v>19.5</v>
      </c>
      <c r="M113" s="18">
        <f t="shared" si="28"/>
        <v>15.800000000000068</v>
      </c>
      <c r="N113" s="31">
        <f t="shared" si="29"/>
        <v>11176.901175000006</v>
      </c>
      <c r="O113" s="18">
        <f t="shared" si="30"/>
        <v>3894.9755000000587</v>
      </c>
      <c r="W113" s="87"/>
      <c r="X113" s="87"/>
      <c r="Y113" s="87"/>
      <c r="Z113" s="87"/>
      <c r="AA113" s="88"/>
      <c r="AB113" s="88"/>
    </row>
    <row r="114" spans="1:28" ht="13.15" customHeight="1">
      <c r="A114" s="9">
        <v>45717</v>
      </c>
      <c r="B114">
        <f t="shared" si="23"/>
        <v>2025</v>
      </c>
      <c r="C114" t="str">
        <f t="shared" si="16"/>
        <v>Q1</v>
      </c>
      <c r="D114" s="18">
        <v>8233.7999999999993</v>
      </c>
      <c r="E114" s="18">
        <v>8155.5</v>
      </c>
      <c r="F114" s="18">
        <v>710</v>
      </c>
      <c r="G114" s="18">
        <v>705.5</v>
      </c>
      <c r="H114" s="109">
        <f t="shared" si="24"/>
        <v>887796.60117499996</v>
      </c>
      <c r="I114" s="109">
        <f t="shared" si="24"/>
        <v>897095.97550000006</v>
      </c>
      <c r="J114" s="18">
        <f t="shared" si="25"/>
        <v>167.79999999999927</v>
      </c>
      <c r="K114" s="18">
        <f t="shared" si="26"/>
        <v>166.89999999999964</v>
      </c>
      <c r="L114" s="18">
        <f t="shared" si="27"/>
        <v>27</v>
      </c>
      <c r="M114" s="18">
        <f t="shared" si="28"/>
        <v>25.299999999999955</v>
      </c>
      <c r="N114" s="31">
        <f t="shared" si="29"/>
        <v>11176.901175000006</v>
      </c>
      <c r="O114" s="18">
        <f t="shared" si="30"/>
        <v>3894.9755000000587</v>
      </c>
      <c r="W114" s="87"/>
      <c r="X114" s="87"/>
      <c r="Y114" s="87"/>
      <c r="Z114" s="87"/>
      <c r="AA114" s="88"/>
      <c r="AB114" s="88"/>
    </row>
    <row r="115" spans="1:28" ht="13.15" customHeight="1">
      <c r="A115" s="9">
        <v>45748</v>
      </c>
      <c r="B115">
        <f t="shared" si="23"/>
        <v>2025</v>
      </c>
      <c r="C115" t="str">
        <f t="shared" si="16"/>
        <v>Q2</v>
      </c>
      <c r="D115" s="18">
        <v>8220.2999999999993</v>
      </c>
      <c r="E115" s="18">
        <v>8165.3</v>
      </c>
      <c r="F115" s="18">
        <v>708</v>
      </c>
      <c r="G115" s="18">
        <v>704.9</v>
      </c>
      <c r="H115" s="109">
        <f t="shared" si="24"/>
        <v>887796.60117499996</v>
      </c>
      <c r="I115" s="109">
        <f t="shared" si="24"/>
        <v>900064.34574999998</v>
      </c>
      <c r="J115" s="18">
        <f t="shared" si="25"/>
        <v>133.19999999999891</v>
      </c>
      <c r="K115" s="18">
        <f t="shared" si="26"/>
        <v>132</v>
      </c>
      <c r="L115" s="18">
        <f t="shared" si="27"/>
        <v>29.799999999999955</v>
      </c>
      <c r="M115" s="18">
        <f t="shared" si="28"/>
        <v>29.100000000000023</v>
      </c>
      <c r="N115" s="31">
        <f t="shared" si="29"/>
        <v>11176.901175000006</v>
      </c>
      <c r="O115" s="18">
        <f t="shared" si="30"/>
        <v>2968.3702499999199</v>
      </c>
      <c r="W115" s="87"/>
      <c r="X115" s="87"/>
      <c r="Y115" s="87"/>
      <c r="Z115" s="87"/>
      <c r="AA115" s="88"/>
      <c r="AB115" s="88"/>
    </row>
    <row r="116" spans="1:28" ht="13.15" customHeight="1">
      <c r="A116" s="9">
        <v>45778</v>
      </c>
      <c r="B116">
        <f t="shared" si="23"/>
        <v>2025</v>
      </c>
      <c r="C116" t="str">
        <f t="shared" si="16"/>
        <v>Q2</v>
      </c>
      <c r="D116" s="18">
        <v>8204.4</v>
      </c>
      <c r="E116" s="18">
        <v>8198.1</v>
      </c>
      <c r="F116" s="18">
        <v>703.6</v>
      </c>
      <c r="G116" s="18">
        <v>705</v>
      </c>
      <c r="H116" s="109">
        <f t="shared" si="24"/>
        <v>887796.60117499996</v>
      </c>
      <c r="I116" s="109">
        <f t="shared" si="24"/>
        <v>900064.34574999998</v>
      </c>
      <c r="J116" s="18">
        <f t="shared" si="25"/>
        <v>84.699999999999818</v>
      </c>
      <c r="K116" s="18">
        <f t="shared" si="26"/>
        <v>84.5</v>
      </c>
      <c r="L116" s="18">
        <f t="shared" si="27"/>
        <v>27.100000000000023</v>
      </c>
      <c r="M116" s="18">
        <f t="shared" si="28"/>
        <v>26.799999999999955</v>
      </c>
      <c r="N116" s="31">
        <f t="shared" si="29"/>
        <v>11176.901175000006</v>
      </c>
      <c r="O116" s="18">
        <f t="shared" si="30"/>
        <v>2968.3702499999199</v>
      </c>
      <c r="W116" s="87"/>
      <c r="X116" s="87"/>
      <c r="Y116" s="87"/>
      <c r="Z116" s="87"/>
      <c r="AA116" s="88"/>
      <c r="AB116" s="88"/>
    </row>
    <row r="117" spans="1:28" ht="13.15" customHeight="1">
      <c r="A117" s="9">
        <v>45809</v>
      </c>
      <c r="B117">
        <f t="shared" si="23"/>
        <v>2025</v>
      </c>
      <c r="C117" t="str">
        <f t="shared" si="16"/>
        <v>Q2</v>
      </c>
      <c r="D117" s="18">
        <v>8200</v>
      </c>
      <c r="E117" s="18">
        <v>8270</v>
      </c>
      <c r="F117" s="18">
        <v>694.7</v>
      </c>
      <c r="G117" s="18">
        <v>699.7</v>
      </c>
      <c r="H117" s="109">
        <f t="shared" si="24"/>
        <v>887796.60117499996</v>
      </c>
      <c r="I117" s="109">
        <f t="shared" si="24"/>
        <v>900064.34574999998</v>
      </c>
      <c r="J117" s="18">
        <f t="shared" si="25"/>
        <v>59.300000000000182</v>
      </c>
      <c r="K117" s="18">
        <f t="shared" si="26"/>
        <v>67.799999999999272</v>
      </c>
      <c r="L117" s="18">
        <f t="shared" si="27"/>
        <v>15.600000000000023</v>
      </c>
      <c r="M117" s="18">
        <f t="shared" si="28"/>
        <v>12.900000000000091</v>
      </c>
      <c r="N117" s="31">
        <f t="shared" si="29"/>
        <v>11176.901175000006</v>
      </c>
      <c r="O117" s="18">
        <f t="shared" si="30"/>
        <v>2968.3702499999199</v>
      </c>
      <c r="W117" s="87"/>
      <c r="X117" s="87"/>
      <c r="Y117" s="87"/>
      <c r="Z117" s="87"/>
      <c r="AA117" s="88"/>
      <c r="AB117" s="88"/>
    </row>
    <row r="118" spans="1:28" ht="13.15" customHeight="1">
      <c r="A118" s="9">
        <v>45839</v>
      </c>
      <c r="B118">
        <f t="shared" si="23"/>
        <v>2025</v>
      </c>
      <c r="C118" t="str">
        <f t="shared" si="16"/>
        <v>Q3</v>
      </c>
      <c r="D118" s="18">
        <v>8207.5</v>
      </c>
      <c r="E118" s="18">
        <v>8308.4</v>
      </c>
      <c r="F118" s="18">
        <v>692.8</v>
      </c>
      <c r="G118" s="18">
        <v>704.2</v>
      </c>
      <c r="H118" s="109">
        <f t="shared" si="24"/>
        <v>887796.60117499996</v>
      </c>
      <c r="I118" s="109">
        <f t="shared" si="24"/>
        <v>901427.50725000002</v>
      </c>
      <c r="J118" s="18">
        <f t="shared" si="25"/>
        <v>46.5</v>
      </c>
      <c r="K118" s="18">
        <f t="shared" si="26"/>
        <v>55.299999999999272</v>
      </c>
      <c r="L118" s="18">
        <f t="shared" si="27"/>
        <v>10.099999999999909</v>
      </c>
      <c r="M118" s="18">
        <f t="shared" si="28"/>
        <v>7.5</v>
      </c>
      <c r="N118" s="31">
        <f t="shared" si="29"/>
        <v>11176.901175000006</v>
      </c>
      <c r="O118" s="18">
        <f t="shared" si="30"/>
        <v>1363.1615000000456</v>
      </c>
      <c r="W118" s="87"/>
      <c r="X118" s="87"/>
      <c r="Y118" s="87"/>
      <c r="Z118" s="87"/>
      <c r="AA118" s="88"/>
      <c r="AB118" s="88"/>
    </row>
    <row r="119" spans="1:28" ht="13.15" customHeight="1">
      <c r="A119" s="9">
        <v>45870</v>
      </c>
      <c r="B119">
        <f t="shared" si="23"/>
        <v>2025</v>
      </c>
      <c r="C119" t="str">
        <f t="shared" si="16"/>
        <v>Q3</v>
      </c>
      <c r="D119" s="18">
        <v>8204.9</v>
      </c>
      <c r="E119" s="18">
        <v>8291.7000000000007</v>
      </c>
      <c r="F119" s="18">
        <v>687.5</v>
      </c>
      <c r="G119" s="18">
        <v>697.8</v>
      </c>
      <c r="H119" s="109">
        <f t="shared" si="24"/>
        <v>887796.60117499996</v>
      </c>
      <c r="I119" s="109">
        <f t="shared" si="24"/>
        <v>901427.50725000002</v>
      </c>
      <c r="J119" s="18">
        <f t="shared" si="25"/>
        <v>37.899999999999636</v>
      </c>
      <c r="K119" s="18">
        <f t="shared" si="26"/>
        <v>46.600000000000364</v>
      </c>
      <c r="L119" s="18">
        <f t="shared" si="27"/>
        <v>-2.7999999999999545</v>
      </c>
      <c r="M119" s="18">
        <f t="shared" si="28"/>
        <v>-4.5</v>
      </c>
      <c r="N119" s="31">
        <f t="shared" si="29"/>
        <v>11176.901175000006</v>
      </c>
      <c r="O119" s="18">
        <f t="shared" si="30"/>
        <v>1363.1615000000456</v>
      </c>
      <c r="W119" s="87"/>
      <c r="X119" s="87"/>
      <c r="Y119" s="87"/>
      <c r="Z119" s="87"/>
      <c r="AA119" s="88"/>
      <c r="AB119" s="88"/>
    </row>
    <row r="120" spans="1:28" ht="13.15" customHeight="1">
      <c r="A120" s="9">
        <v>45901</v>
      </c>
      <c r="B120">
        <f t="shared" si="23"/>
        <v>2025</v>
      </c>
      <c r="C120" t="str">
        <f t="shared" si="16"/>
        <v>Q3</v>
      </c>
      <c r="D120" s="18">
        <v>8202.2000000000007</v>
      </c>
      <c r="E120" s="18">
        <v>8234.2999999999993</v>
      </c>
      <c r="F120" s="18">
        <v>678.5</v>
      </c>
      <c r="G120" s="18">
        <v>682.4</v>
      </c>
      <c r="H120" s="109">
        <f t="shared" si="24"/>
        <v>887796.60117499996</v>
      </c>
      <c r="I120" s="109">
        <f t="shared" si="24"/>
        <v>901427.50725000002</v>
      </c>
      <c r="J120" s="18">
        <f t="shared" si="25"/>
        <v>19.300000000001091</v>
      </c>
      <c r="K120" s="18">
        <f t="shared" si="26"/>
        <v>17.099999999998545</v>
      </c>
      <c r="L120" s="18">
        <f t="shared" si="27"/>
        <v>-21.399999999999977</v>
      </c>
      <c r="M120" s="18">
        <f t="shared" si="28"/>
        <v>-21.100000000000023</v>
      </c>
      <c r="N120" s="31">
        <f t="shared" si="29"/>
        <v>11176.901175000006</v>
      </c>
      <c r="O120" s="18">
        <f t="shared" si="30"/>
        <v>1363.1615000000456</v>
      </c>
      <c r="W120" s="87"/>
      <c r="X120" s="87"/>
      <c r="Y120" s="87"/>
      <c r="Z120" s="87"/>
      <c r="AA120" s="88"/>
      <c r="AB120" s="88"/>
    </row>
    <row r="121" spans="1:28" ht="13.15" customHeight="1">
      <c r="A121" s="9">
        <v>45931</v>
      </c>
      <c r="B121">
        <f t="shared" si="23"/>
        <v>2025</v>
      </c>
      <c r="C121" t="str">
        <f t="shared" si="16"/>
        <v>Q4</v>
      </c>
      <c r="D121" s="18">
        <v>8214.2999999999993</v>
      </c>
      <c r="E121" s="18">
        <v>8223.9</v>
      </c>
      <c r="F121" s="18">
        <v>670.2</v>
      </c>
      <c r="G121" s="18">
        <v>667.6</v>
      </c>
      <c r="H121" s="109">
        <f t="shared" si="24"/>
        <v>887796.60117499996</v>
      </c>
      <c r="I121" s="109">
        <f t="shared" si="24"/>
        <v>904589.31275000004</v>
      </c>
      <c r="J121" s="18">
        <f t="shared" si="25"/>
        <v>29.799999999999272</v>
      </c>
      <c r="K121" s="18">
        <f t="shared" si="26"/>
        <v>26.299999999999272</v>
      </c>
      <c r="L121" s="18">
        <f t="shared" si="27"/>
        <v>-36.199999999999932</v>
      </c>
      <c r="M121" s="18">
        <f t="shared" si="28"/>
        <v>-35.199999999999932</v>
      </c>
      <c r="N121" s="31">
        <f t="shared" si="29"/>
        <v>11176.901175000006</v>
      </c>
      <c r="O121" s="18">
        <f t="shared" si="30"/>
        <v>3161.8055000000168</v>
      </c>
      <c r="W121" s="87"/>
      <c r="X121" s="87"/>
      <c r="Y121" s="87"/>
      <c r="Z121" s="87"/>
      <c r="AA121" s="88"/>
      <c r="AB121" s="88"/>
    </row>
    <row r="122" spans="1:28" ht="13.15" customHeight="1">
      <c r="A122" s="9">
        <v>45962</v>
      </c>
      <c r="B122">
        <f t="shared" si="23"/>
        <v>2025</v>
      </c>
      <c r="C122" t="str">
        <f t="shared" si="16"/>
        <v>Q4</v>
      </c>
      <c r="D122" s="18">
        <v>8236.4</v>
      </c>
      <c r="E122" s="18">
        <v>8231.2999999999993</v>
      </c>
      <c r="F122" s="18">
        <v>665.6</v>
      </c>
      <c r="G122" s="18">
        <v>658</v>
      </c>
      <c r="H122" s="109">
        <f t="shared" si="24"/>
        <v>887796.60117499996</v>
      </c>
      <c r="I122" s="109">
        <f t="shared" si="24"/>
        <v>904589.31275000004</v>
      </c>
      <c r="J122" s="18">
        <f t="shared" si="25"/>
        <v>51</v>
      </c>
      <c r="K122" s="18">
        <f t="shared" si="26"/>
        <v>46.199999999998909</v>
      </c>
      <c r="L122" s="18">
        <f t="shared" si="27"/>
        <v>-42.699999999999932</v>
      </c>
      <c r="M122" s="18">
        <f t="shared" si="28"/>
        <v>-42.700000000000045</v>
      </c>
      <c r="N122" s="31">
        <f t="shared" si="29"/>
        <v>11176.901175000006</v>
      </c>
      <c r="O122" s="18">
        <f t="shared" si="30"/>
        <v>3161.8055000000168</v>
      </c>
      <c r="W122" s="87"/>
      <c r="X122" s="87"/>
      <c r="Y122" s="87"/>
      <c r="Z122" s="87"/>
      <c r="AA122" s="88"/>
      <c r="AB122" s="88"/>
    </row>
    <row r="123" spans="1:28" ht="13.15" customHeight="1">
      <c r="A123" s="9">
        <v>45992</v>
      </c>
      <c r="B123">
        <f t="shared" si="23"/>
        <v>2025</v>
      </c>
      <c r="C123" t="str">
        <f t="shared" si="16"/>
        <v>Q4</v>
      </c>
      <c r="D123" s="18">
        <v>8261.1</v>
      </c>
      <c r="E123" s="18">
        <v>8248.1</v>
      </c>
      <c r="F123" s="18">
        <v>670.8</v>
      </c>
      <c r="G123" s="18">
        <v>665.2</v>
      </c>
      <c r="H123" s="109">
        <f t="shared" si="24"/>
        <v>887796.60117499996</v>
      </c>
      <c r="I123" s="109">
        <f t="shared" si="24"/>
        <v>904589.31275000004</v>
      </c>
      <c r="J123" s="18">
        <f t="shared" si="25"/>
        <v>73.400000000000546</v>
      </c>
      <c r="K123" s="18">
        <f t="shared" si="26"/>
        <v>71.5</v>
      </c>
      <c r="L123" s="18">
        <f t="shared" si="27"/>
        <v>-37.600000000000023</v>
      </c>
      <c r="M123" s="18">
        <f t="shared" si="28"/>
        <v>-37.099999999999909</v>
      </c>
      <c r="N123" s="31">
        <f t="shared" si="29"/>
        <v>11176.901175000006</v>
      </c>
      <c r="O123" s="18">
        <f t="shared" si="30"/>
        <v>3161.8055000000168</v>
      </c>
      <c r="W123" s="87"/>
      <c r="X123" s="87"/>
      <c r="Y123" s="87"/>
      <c r="Z123" s="87"/>
      <c r="AA123" s="88"/>
      <c r="AB123" s="88"/>
    </row>
    <row r="124" spans="1:28" ht="13.15" customHeight="1">
      <c r="A124" s="110">
        <v>46023</v>
      </c>
      <c r="B124" s="86">
        <f>YEAR(A124)</f>
        <v>2026</v>
      </c>
      <c r="C124" s="86" t="str">
        <f t="shared" si="16"/>
        <v>Q1</v>
      </c>
      <c r="D124" s="18">
        <v>8246.2999999999993</v>
      </c>
      <c r="E124" s="18">
        <v>8199.4</v>
      </c>
      <c r="F124" s="18">
        <v>672.5</v>
      </c>
      <c r="G124" s="18">
        <v>664.6</v>
      </c>
      <c r="H124" s="109">
        <f>H112*(1+$W$12)</f>
        <v>895342.87228498736</v>
      </c>
      <c r="I124" s="109">
        <f>I112*(1+$W$12)</f>
        <v>904721.29129175004</v>
      </c>
      <c r="J124" s="18">
        <f t="shared" si="25"/>
        <v>40.599999999998545</v>
      </c>
      <c r="K124" s="18">
        <f t="shared" si="26"/>
        <v>38</v>
      </c>
      <c r="L124" s="18">
        <f t="shared" si="27"/>
        <v>-35.399999999999977</v>
      </c>
      <c r="M124" s="18">
        <f t="shared" si="28"/>
        <v>-36.399999999999977</v>
      </c>
      <c r="N124" s="31">
        <f t="shared" si="29"/>
        <v>7546.2711099873995</v>
      </c>
      <c r="O124" s="18">
        <f t="shared" si="30"/>
        <v>131.9785417499952</v>
      </c>
      <c r="W124" s="87"/>
      <c r="X124" s="87"/>
      <c r="Y124" s="87"/>
      <c r="Z124" s="87"/>
      <c r="AA124" s="88"/>
      <c r="AB124" s="88"/>
    </row>
    <row r="125" spans="1:28" ht="13.15" customHeight="1">
      <c r="A125" s="110">
        <v>46054</v>
      </c>
      <c r="B125" s="86">
        <f>YEAR(A125)</f>
        <v>2026</v>
      </c>
      <c r="C125" s="86" t="str">
        <f t="shared" ref="C125:C147" si="31">C113</f>
        <v>Q1</v>
      </c>
      <c r="D125" s="18">
        <v>8231.2999999999993</v>
      </c>
      <c r="E125" s="18">
        <v>8158.1</v>
      </c>
      <c r="F125" s="18">
        <v>677</v>
      </c>
      <c r="G125" s="18">
        <v>672.1</v>
      </c>
      <c r="H125" s="109">
        <f t="shared" ref="H125:I135" si="32">H113*(1+$W$12)</f>
        <v>895342.87228498736</v>
      </c>
      <c r="I125" s="109">
        <f t="shared" si="32"/>
        <v>904721.29129175004</v>
      </c>
      <c r="J125" s="18">
        <f t="shared" si="25"/>
        <v>1.2999999999992724</v>
      </c>
      <c r="K125" s="18">
        <f t="shared" si="26"/>
        <v>-7.3999999999996362</v>
      </c>
      <c r="L125" s="18">
        <f t="shared" si="27"/>
        <v>-30.399999999999977</v>
      </c>
      <c r="M125" s="18">
        <f t="shared" si="28"/>
        <v>-29.600000000000023</v>
      </c>
      <c r="N125" s="31">
        <f t="shared" si="29"/>
        <v>7546.2711099873995</v>
      </c>
      <c r="O125" s="18">
        <f t="shared" ref="O125:O135" si="33">I125-I122</f>
        <v>131.9785417499952</v>
      </c>
      <c r="W125" s="87"/>
      <c r="X125" s="87"/>
      <c r="Y125" s="87"/>
      <c r="Z125" s="87"/>
      <c r="AA125" s="88"/>
      <c r="AB125" s="88"/>
    </row>
    <row r="126" spans="1:28" ht="13.15" customHeight="1">
      <c r="A126" s="110">
        <v>46082</v>
      </c>
      <c r="B126" s="86">
        <f>YEAR(A126)</f>
        <v>2026</v>
      </c>
      <c r="C126" s="86" t="str">
        <f t="shared" si="31"/>
        <v>Q1</v>
      </c>
      <c r="D126" s="109">
        <f t="shared" ref="D126:G135" si="34">D114*(1+$W$17)</f>
        <v>8231.7415499999988</v>
      </c>
      <c r="E126" s="109">
        <f t="shared" si="34"/>
        <v>8153.4611249999998</v>
      </c>
      <c r="F126" s="109">
        <f t="shared" si="34"/>
        <v>709.82249999999999</v>
      </c>
      <c r="G126" s="109">
        <f t="shared" si="34"/>
        <v>705.32362499999999</v>
      </c>
      <c r="H126" s="109">
        <f t="shared" si="32"/>
        <v>895342.87228498736</v>
      </c>
      <c r="I126" s="109">
        <f t="shared" si="32"/>
        <v>904721.29129175004</v>
      </c>
      <c r="J126" s="18">
        <f t="shared" si="25"/>
        <v>-2.0584500000004482</v>
      </c>
      <c r="K126" s="18">
        <f t="shared" si="26"/>
        <v>-2.0388750000001892</v>
      </c>
      <c r="L126" s="18">
        <f t="shared" si="27"/>
        <v>-0.17750000000000909</v>
      </c>
      <c r="M126" s="18">
        <f t="shared" si="28"/>
        <v>-0.17637500000000728</v>
      </c>
      <c r="N126" s="31">
        <f t="shared" si="29"/>
        <v>7546.2711099873995</v>
      </c>
      <c r="O126" s="18">
        <f t="shared" si="33"/>
        <v>131.9785417499952</v>
      </c>
      <c r="W126" s="87"/>
      <c r="X126" s="87"/>
      <c r="Y126" s="87"/>
      <c r="Z126" s="87"/>
      <c r="AA126" s="88"/>
      <c r="AB126" s="88"/>
    </row>
    <row r="127" spans="1:28" ht="13.15" customHeight="1">
      <c r="A127" s="110">
        <v>46113</v>
      </c>
      <c r="B127" s="86">
        <f t="shared" ref="B127:B135" si="35">YEAR(A127)</f>
        <v>2026</v>
      </c>
      <c r="C127" s="86" t="str">
        <f t="shared" si="31"/>
        <v>Q2</v>
      </c>
      <c r="D127" s="109">
        <f t="shared" si="34"/>
        <v>8218.2449249999991</v>
      </c>
      <c r="E127" s="109">
        <f t="shared" si="34"/>
        <v>8163.258675</v>
      </c>
      <c r="F127" s="109">
        <f t="shared" si="34"/>
        <v>707.82299999999998</v>
      </c>
      <c r="G127" s="109">
        <f t="shared" si="34"/>
        <v>704.72377500000005</v>
      </c>
      <c r="H127" s="109">
        <f t="shared" si="32"/>
        <v>895342.87228498736</v>
      </c>
      <c r="I127" s="109">
        <f t="shared" si="32"/>
        <v>907714.89268887497</v>
      </c>
      <c r="J127" s="18">
        <f t="shared" si="25"/>
        <v>-2.0550750000002154</v>
      </c>
      <c r="K127" s="18">
        <f t="shared" si="26"/>
        <v>-2.0413250000001426</v>
      </c>
      <c r="L127" s="18">
        <f t="shared" si="27"/>
        <v>-0.17700000000002092</v>
      </c>
      <c r="M127" s="18">
        <f t="shared" si="28"/>
        <v>-0.17622499999993124</v>
      </c>
      <c r="N127" s="31">
        <f t="shared" si="29"/>
        <v>7546.2711099873995</v>
      </c>
      <c r="O127" s="18">
        <f t="shared" si="33"/>
        <v>2993.601397124934</v>
      </c>
      <c r="W127" s="87"/>
      <c r="X127" s="87"/>
      <c r="Y127" s="87"/>
      <c r="Z127" s="87"/>
      <c r="AA127" s="88"/>
      <c r="AB127" s="88"/>
    </row>
    <row r="128" spans="1:28" ht="13.15" customHeight="1">
      <c r="A128" s="110">
        <v>46143</v>
      </c>
      <c r="B128" s="86">
        <f t="shared" si="35"/>
        <v>2026</v>
      </c>
      <c r="C128" s="86" t="str">
        <f t="shared" si="31"/>
        <v>Q2</v>
      </c>
      <c r="D128" s="109">
        <f t="shared" si="34"/>
        <v>8202.348899999999</v>
      </c>
      <c r="E128" s="109">
        <f t="shared" si="34"/>
        <v>8196.050475</v>
      </c>
      <c r="F128" s="109">
        <f t="shared" si="34"/>
        <v>703.42410000000007</v>
      </c>
      <c r="G128" s="109">
        <f t="shared" si="34"/>
        <v>704.82375000000002</v>
      </c>
      <c r="H128" s="109">
        <f t="shared" si="32"/>
        <v>895342.87228498736</v>
      </c>
      <c r="I128" s="109">
        <f t="shared" si="32"/>
        <v>907714.89268887497</v>
      </c>
      <c r="J128" s="18">
        <f t="shared" si="25"/>
        <v>-2.0511000000005879</v>
      </c>
      <c r="K128" s="18">
        <f t="shared" si="26"/>
        <v>-2.049525000000358</v>
      </c>
      <c r="L128" s="18">
        <f t="shared" si="27"/>
        <v>-0.17589999999995598</v>
      </c>
      <c r="M128" s="18">
        <f t="shared" si="28"/>
        <v>-0.17624999999998181</v>
      </c>
      <c r="N128" s="31">
        <f t="shared" si="29"/>
        <v>7546.2711099873995</v>
      </c>
      <c r="O128" s="18">
        <f t="shared" si="33"/>
        <v>2993.601397124934</v>
      </c>
      <c r="W128" s="87"/>
      <c r="X128" s="87"/>
      <c r="Y128" s="87"/>
      <c r="Z128" s="87"/>
      <c r="AA128" s="88"/>
      <c r="AB128" s="88"/>
    </row>
    <row r="129" spans="1:28" ht="13.15" customHeight="1">
      <c r="A129" s="110">
        <v>46174</v>
      </c>
      <c r="B129" s="86">
        <f t="shared" si="35"/>
        <v>2026</v>
      </c>
      <c r="C129" s="86" t="str">
        <f t="shared" si="31"/>
        <v>Q2</v>
      </c>
      <c r="D129" s="109">
        <f t="shared" si="34"/>
        <v>8197.9500000000007</v>
      </c>
      <c r="E129" s="109">
        <f t="shared" si="34"/>
        <v>8267.9325000000008</v>
      </c>
      <c r="F129" s="109">
        <f t="shared" si="34"/>
        <v>694.52632500000004</v>
      </c>
      <c r="G129" s="109">
        <f t="shared" si="34"/>
        <v>699.52507500000002</v>
      </c>
      <c r="H129" s="109">
        <f t="shared" si="32"/>
        <v>895342.87228498736</v>
      </c>
      <c r="I129" s="109">
        <f t="shared" si="32"/>
        <v>907714.89268887497</v>
      </c>
      <c r="J129" s="18">
        <f t="shared" si="25"/>
        <v>-2.0499999999992724</v>
      </c>
      <c r="K129" s="18">
        <f t="shared" si="26"/>
        <v>-2.0674999999991996</v>
      </c>
      <c r="L129" s="18">
        <f t="shared" si="27"/>
        <v>-0.17367500000000291</v>
      </c>
      <c r="M129" s="18">
        <f t="shared" si="28"/>
        <v>-0.1749250000000302</v>
      </c>
      <c r="N129" s="31">
        <f t="shared" si="29"/>
        <v>7546.2711099873995</v>
      </c>
      <c r="O129" s="18">
        <f t="shared" si="33"/>
        <v>2993.601397124934</v>
      </c>
      <c r="W129" s="87"/>
      <c r="X129" s="87"/>
      <c r="Y129" s="87"/>
      <c r="Z129" s="87"/>
      <c r="AA129" s="88"/>
      <c r="AB129" s="88"/>
    </row>
    <row r="130" spans="1:28" ht="13.15" customHeight="1">
      <c r="A130" s="110">
        <v>46204</v>
      </c>
      <c r="B130" s="86">
        <f t="shared" si="35"/>
        <v>2026</v>
      </c>
      <c r="C130" s="86" t="str">
        <f t="shared" si="31"/>
        <v>Q3</v>
      </c>
      <c r="D130" s="109">
        <f t="shared" si="34"/>
        <v>8205.4481250000008</v>
      </c>
      <c r="E130" s="109">
        <f t="shared" si="34"/>
        <v>8306.3228999999992</v>
      </c>
      <c r="F130" s="109">
        <f t="shared" si="34"/>
        <v>692.6268</v>
      </c>
      <c r="G130" s="109">
        <f t="shared" si="34"/>
        <v>704.02395000000001</v>
      </c>
      <c r="H130" s="109">
        <f t="shared" si="32"/>
        <v>895342.87228498736</v>
      </c>
      <c r="I130" s="109">
        <f t="shared" si="32"/>
        <v>909089.64106162498</v>
      </c>
      <c r="J130" s="18">
        <f t="shared" si="25"/>
        <v>-2.0518749999991996</v>
      </c>
      <c r="K130" s="18">
        <f t="shared" si="26"/>
        <v>-2.0771000000004278</v>
      </c>
      <c r="L130" s="18">
        <f t="shared" si="27"/>
        <v>-0.17319999999995161</v>
      </c>
      <c r="M130" s="18">
        <f t="shared" si="28"/>
        <v>-0.17605000000003201</v>
      </c>
      <c r="N130" s="31">
        <f t="shared" si="29"/>
        <v>7546.2711099873995</v>
      </c>
      <c r="O130" s="18">
        <f>I130-I127</f>
        <v>1374.7483727500075</v>
      </c>
      <c r="W130" s="87"/>
      <c r="X130" s="87"/>
      <c r="Y130" s="87"/>
      <c r="Z130" s="87"/>
      <c r="AA130" s="88"/>
      <c r="AB130" s="88"/>
    </row>
    <row r="131" spans="1:28" ht="13.15" customHeight="1">
      <c r="A131" s="110">
        <v>46235</v>
      </c>
      <c r="B131" s="86">
        <f t="shared" si="35"/>
        <v>2026</v>
      </c>
      <c r="C131" s="86" t="str">
        <f t="shared" si="31"/>
        <v>Q3</v>
      </c>
      <c r="D131" s="109">
        <f t="shared" si="34"/>
        <v>8202.8487750000004</v>
      </c>
      <c r="E131" s="109">
        <f t="shared" si="34"/>
        <v>8289.6270750000003</v>
      </c>
      <c r="F131" s="109">
        <f t="shared" si="34"/>
        <v>687.328125</v>
      </c>
      <c r="G131" s="109">
        <f t="shared" si="34"/>
        <v>697.62554999999998</v>
      </c>
      <c r="H131" s="109">
        <f t="shared" si="32"/>
        <v>895342.87228498736</v>
      </c>
      <c r="I131" s="109">
        <f t="shared" si="32"/>
        <v>909089.64106162498</v>
      </c>
      <c r="J131" s="18">
        <f t="shared" si="25"/>
        <v>-2.0512249999992491</v>
      </c>
      <c r="K131" s="18">
        <f t="shared" si="26"/>
        <v>-2.0729250000003958</v>
      </c>
      <c r="L131" s="18">
        <f t="shared" si="27"/>
        <v>-0.171875</v>
      </c>
      <c r="M131" s="18">
        <f t="shared" si="28"/>
        <v>-0.1744499999999789</v>
      </c>
      <c r="N131" s="31">
        <f t="shared" si="29"/>
        <v>7546.2711099873995</v>
      </c>
      <c r="O131" s="18">
        <f t="shared" si="33"/>
        <v>1374.7483727500075</v>
      </c>
      <c r="W131" s="87"/>
      <c r="X131" s="87"/>
      <c r="Y131" s="87"/>
      <c r="Z131" s="87"/>
      <c r="AA131" s="88"/>
      <c r="AB131" s="88"/>
    </row>
    <row r="132" spans="1:28" ht="13.15" customHeight="1">
      <c r="A132" s="110">
        <v>46266</v>
      </c>
      <c r="B132" s="86">
        <f t="shared" si="35"/>
        <v>2026</v>
      </c>
      <c r="C132" s="86" t="str">
        <f t="shared" si="31"/>
        <v>Q3</v>
      </c>
      <c r="D132" s="109">
        <f t="shared" si="34"/>
        <v>8200.1494500000008</v>
      </c>
      <c r="E132" s="109">
        <f t="shared" si="34"/>
        <v>8232.2414250000002</v>
      </c>
      <c r="F132" s="109">
        <f t="shared" si="34"/>
        <v>678.330375</v>
      </c>
      <c r="G132" s="109">
        <f t="shared" si="34"/>
        <v>682.22939999999994</v>
      </c>
      <c r="H132" s="109">
        <f t="shared" si="32"/>
        <v>895342.87228498736</v>
      </c>
      <c r="I132" s="109">
        <f t="shared" si="32"/>
        <v>909089.64106162498</v>
      </c>
      <c r="J132" s="18">
        <f t="shared" si="25"/>
        <v>-2.0505499999999302</v>
      </c>
      <c r="K132" s="18">
        <f t="shared" si="26"/>
        <v>-2.0585749999991094</v>
      </c>
      <c r="L132" s="18">
        <f t="shared" si="27"/>
        <v>-0.16962499999999636</v>
      </c>
      <c r="M132" s="18">
        <f t="shared" si="28"/>
        <v>-0.17060000000003583</v>
      </c>
      <c r="N132" s="31">
        <f t="shared" si="29"/>
        <v>7546.2711099873995</v>
      </c>
      <c r="O132" s="18">
        <f t="shared" si="33"/>
        <v>1374.7483727500075</v>
      </c>
      <c r="W132" s="87"/>
      <c r="X132" s="87"/>
      <c r="Y132" s="87"/>
      <c r="Z132" s="87"/>
      <c r="AA132" s="88"/>
      <c r="AB132" s="88"/>
    </row>
    <row r="133" spans="1:28" ht="13.15" customHeight="1">
      <c r="A133" s="110">
        <v>46296</v>
      </c>
      <c r="B133" s="86">
        <f t="shared" si="35"/>
        <v>2026</v>
      </c>
      <c r="C133" s="86" t="str">
        <f t="shared" si="31"/>
        <v>Q4</v>
      </c>
      <c r="D133" s="109">
        <f t="shared" si="34"/>
        <v>8212.2464249999994</v>
      </c>
      <c r="E133" s="109">
        <f t="shared" si="34"/>
        <v>8221.8440250000003</v>
      </c>
      <c r="F133" s="109">
        <f t="shared" si="34"/>
        <v>670.03245000000004</v>
      </c>
      <c r="G133" s="109">
        <f t="shared" si="34"/>
        <v>667.43310000000008</v>
      </c>
      <c r="H133" s="109">
        <f t="shared" si="32"/>
        <v>895342.87228498736</v>
      </c>
      <c r="I133" s="109">
        <f t="shared" si="32"/>
        <v>912278.32190837502</v>
      </c>
      <c r="J133" s="18">
        <f t="shared" si="25"/>
        <v>-2.0535749999999098</v>
      </c>
      <c r="K133" s="18">
        <f t="shared" si="26"/>
        <v>-2.0559749999993073</v>
      </c>
      <c r="L133" s="18">
        <f t="shared" si="27"/>
        <v>-0.16755000000000564</v>
      </c>
      <c r="M133" s="18">
        <f t="shared" si="28"/>
        <v>-0.16689999999994143</v>
      </c>
      <c r="N133" s="31">
        <f t="shared" si="29"/>
        <v>7546.2711099873995</v>
      </c>
      <c r="O133" s="18">
        <f t="shared" si="33"/>
        <v>3188.6808467500377</v>
      </c>
      <c r="W133" s="87"/>
      <c r="X133" s="87"/>
      <c r="Y133" s="87"/>
      <c r="Z133" s="87"/>
      <c r="AA133" s="88"/>
      <c r="AB133" s="88"/>
    </row>
    <row r="134" spans="1:28" ht="13.15" customHeight="1">
      <c r="A134" s="110">
        <v>46327</v>
      </c>
      <c r="B134" s="86">
        <f t="shared" si="35"/>
        <v>2026</v>
      </c>
      <c r="C134" s="86" t="str">
        <f t="shared" si="31"/>
        <v>Q4</v>
      </c>
      <c r="D134" s="109">
        <f t="shared" si="34"/>
        <v>8234.3408999999992</v>
      </c>
      <c r="E134" s="109">
        <f t="shared" si="34"/>
        <v>8229.2421749999994</v>
      </c>
      <c r="F134" s="109">
        <f t="shared" si="34"/>
        <v>665.43360000000007</v>
      </c>
      <c r="G134" s="109">
        <f t="shared" si="34"/>
        <v>657.83550000000002</v>
      </c>
      <c r="H134" s="109">
        <f t="shared" si="32"/>
        <v>895342.87228498736</v>
      </c>
      <c r="I134" s="109">
        <f t="shared" si="32"/>
        <v>912278.32190837502</v>
      </c>
      <c r="J134" s="18">
        <f t="shared" si="25"/>
        <v>-2.0591000000003987</v>
      </c>
      <c r="K134" s="18">
        <f t="shared" si="26"/>
        <v>-2.0578249999998661</v>
      </c>
      <c r="L134" s="18">
        <f t="shared" si="27"/>
        <v>-0.16639999999995325</v>
      </c>
      <c r="M134" s="18">
        <f t="shared" si="28"/>
        <v>-0.16449999999997544</v>
      </c>
      <c r="N134" s="31">
        <f t="shared" si="29"/>
        <v>7546.2711099873995</v>
      </c>
      <c r="O134" s="18">
        <f t="shared" si="33"/>
        <v>3188.6808467500377</v>
      </c>
      <c r="W134" s="87"/>
      <c r="X134" s="87"/>
      <c r="Y134" s="87"/>
      <c r="Z134" s="87"/>
      <c r="AA134" s="88"/>
      <c r="AB134" s="88"/>
    </row>
    <row r="135" spans="1:28" ht="13.15" customHeight="1">
      <c r="A135" s="110">
        <v>46357</v>
      </c>
      <c r="B135" s="86">
        <f t="shared" si="35"/>
        <v>2026</v>
      </c>
      <c r="C135" s="86" t="str">
        <f t="shared" si="31"/>
        <v>Q4</v>
      </c>
      <c r="D135" s="109">
        <f t="shared" si="34"/>
        <v>8259.0347250000013</v>
      </c>
      <c r="E135" s="109">
        <f t="shared" si="34"/>
        <v>8246.0379750000011</v>
      </c>
      <c r="F135" s="109">
        <f t="shared" si="34"/>
        <v>670.63229999999999</v>
      </c>
      <c r="G135" s="109">
        <f t="shared" si="34"/>
        <v>665.03370000000007</v>
      </c>
      <c r="H135" s="109">
        <f t="shared" si="32"/>
        <v>895342.87228498736</v>
      </c>
      <c r="I135" s="109">
        <f t="shared" si="32"/>
        <v>912278.32190837502</v>
      </c>
      <c r="J135" s="18">
        <f t="shared" si="25"/>
        <v>-2.0652749999990192</v>
      </c>
      <c r="K135" s="18">
        <f t="shared" si="26"/>
        <v>-2.0620249999992666</v>
      </c>
      <c r="L135" s="18">
        <f t="shared" si="27"/>
        <v>-0.16769999999996799</v>
      </c>
      <c r="M135" s="18">
        <f t="shared" si="28"/>
        <v>-0.16629999999997835</v>
      </c>
      <c r="N135" s="31">
        <f t="shared" si="29"/>
        <v>7546.2711099873995</v>
      </c>
      <c r="O135" s="18">
        <f t="shared" si="33"/>
        <v>3188.6808467500377</v>
      </c>
      <c r="W135" s="87"/>
      <c r="X135" s="87"/>
      <c r="Y135" s="87"/>
      <c r="Z135" s="87"/>
      <c r="AA135" s="88"/>
      <c r="AB135" s="88"/>
    </row>
    <row r="136" spans="1:28" ht="13.15" customHeight="1">
      <c r="A136" s="110">
        <v>46388</v>
      </c>
      <c r="B136" s="86">
        <f t="shared" ref="B136:B147" si="36">YEAR(A136)</f>
        <v>2027</v>
      </c>
      <c r="C136" s="86" t="str">
        <f t="shared" si="31"/>
        <v>Q1</v>
      </c>
      <c r="D136" s="109">
        <f t="shared" ref="D136:G147" si="37">D124*(1+$W$18)</f>
        <v>8289.5930749999989</v>
      </c>
      <c r="E136" s="109">
        <f t="shared" si="37"/>
        <v>8242.4468500000003</v>
      </c>
      <c r="F136" s="109">
        <f t="shared" si="37"/>
        <v>676.03062499999999</v>
      </c>
      <c r="G136" s="109">
        <f t="shared" si="37"/>
        <v>668.08915000000002</v>
      </c>
      <c r="H136" s="109">
        <f>H124*(1+$W$13)</f>
        <v>911011.37254997471</v>
      </c>
      <c r="I136" s="109">
        <f>I124*(1+$W$13)</f>
        <v>920553.91388935572</v>
      </c>
      <c r="J136" s="18">
        <f t="shared" ref="J136:J147" si="38">D136-D124</f>
        <v>43.29307499999959</v>
      </c>
      <c r="K136" s="18">
        <f t="shared" ref="K136:K147" si="39">E136-E124</f>
        <v>43.046850000000632</v>
      </c>
      <c r="L136" s="18">
        <f t="shared" ref="L136:L147" si="40">F136-F124</f>
        <v>3.5306249999999864</v>
      </c>
      <c r="M136" s="18">
        <f t="shared" ref="M136:M147" si="41">G136-G124</f>
        <v>3.4891499999999951</v>
      </c>
      <c r="N136" s="31">
        <f t="shared" ref="N136:N147" si="42">H136-H124</f>
        <v>15668.50026498735</v>
      </c>
      <c r="O136" s="18">
        <f t="shared" ref="O136:O147" si="43">I136-I133</f>
        <v>8275.5919809807092</v>
      </c>
      <c r="W136" s="87"/>
      <c r="X136" s="87"/>
      <c r="Y136" s="87"/>
      <c r="Z136" s="87"/>
      <c r="AA136" s="88"/>
      <c r="AB136" s="88"/>
    </row>
    <row r="137" spans="1:28" ht="13.15" customHeight="1">
      <c r="A137" s="110">
        <v>46419</v>
      </c>
      <c r="B137" s="86">
        <f t="shared" si="36"/>
        <v>2027</v>
      </c>
      <c r="C137" s="86" t="str">
        <f t="shared" si="31"/>
        <v>Q1</v>
      </c>
      <c r="D137" s="109">
        <f t="shared" si="37"/>
        <v>8274.5143249999983</v>
      </c>
      <c r="E137" s="109">
        <f t="shared" si="37"/>
        <v>8200.9300249999997</v>
      </c>
      <c r="F137" s="109">
        <f t="shared" si="37"/>
        <v>680.55425000000002</v>
      </c>
      <c r="G137" s="109">
        <f t="shared" si="37"/>
        <v>675.62852499999997</v>
      </c>
      <c r="H137" s="109">
        <f t="shared" ref="H137:I147" si="44">H125*(1+$W$13)</f>
        <v>911011.37254997471</v>
      </c>
      <c r="I137" s="109">
        <f t="shared" si="44"/>
        <v>920553.91388935572</v>
      </c>
      <c r="J137" s="18">
        <f t="shared" si="38"/>
        <v>43.214324999999008</v>
      </c>
      <c r="K137" s="18">
        <f t="shared" si="39"/>
        <v>42.830024999999296</v>
      </c>
      <c r="L137" s="18">
        <f t="shared" si="40"/>
        <v>3.5542500000000246</v>
      </c>
      <c r="M137" s="18">
        <f t="shared" si="41"/>
        <v>3.5285249999999451</v>
      </c>
      <c r="N137" s="31">
        <f t="shared" si="42"/>
        <v>15668.50026498735</v>
      </c>
      <c r="O137" s="18">
        <f t="shared" si="43"/>
        <v>8275.5919809807092</v>
      </c>
      <c r="W137" s="87"/>
      <c r="X137" s="87"/>
      <c r="Y137" s="87"/>
      <c r="Z137" s="87"/>
      <c r="AA137" s="88"/>
      <c r="AB137" s="88"/>
    </row>
    <row r="138" spans="1:28" ht="13.15" customHeight="1">
      <c r="A138" s="110">
        <v>46447</v>
      </c>
      <c r="B138" s="86">
        <f t="shared" si="36"/>
        <v>2027</v>
      </c>
      <c r="C138" s="86" t="str">
        <f t="shared" si="31"/>
        <v>Q1</v>
      </c>
      <c r="D138" s="109">
        <f t="shared" si="37"/>
        <v>8274.9581931374978</v>
      </c>
      <c r="E138" s="109">
        <f t="shared" si="37"/>
        <v>8196.2667959062492</v>
      </c>
      <c r="F138" s="109">
        <f t="shared" si="37"/>
        <v>713.54906812499996</v>
      </c>
      <c r="G138" s="109">
        <f t="shared" si="37"/>
        <v>709.02657403124999</v>
      </c>
      <c r="H138" s="109">
        <f t="shared" si="44"/>
        <v>911011.37254997471</v>
      </c>
      <c r="I138" s="109">
        <f t="shared" si="44"/>
        <v>920553.91388935572</v>
      </c>
      <c r="J138" s="18">
        <f t="shared" si="38"/>
        <v>43.216643137498977</v>
      </c>
      <c r="K138" s="18">
        <f t="shared" si="39"/>
        <v>42.805670906249361</v>
      </c>
      <c r="L138" s="18">
        <f t="shared" si="40"/>
        <v>3.7265681249999716</v>
      </c>
      <c r="M138" s="18">
        <f t="shared" si="41"/>
        <v>3.7029490312500002</v>
      </c>
      <c r="N138" s="31">
        <f t="shared" si="42"/>
        <v>15668.50026498735</v>
      </c>
      <c r="O138" s="18">
        <f t="shared" si="43"/>
        <v>8275.5919809807092</v>
      </c>
      <c r="W138" s="87"/>
      <c r="X138" s="87"/>
      <c r="Y138" s="87"/>
      <c r="Z138" s="87"/>
      <c r="AA138" s="88"/>
      <c r="AB138" s="88"/>
    </row>
    <row r="139" spans="1:28" ht="13.15" customHeight="1">
      <c r="A139" s="110">
        <v>46478</v>
      </c>
      <c r="B139" s="86">
        <f t="shared" si="36"/>
        <v>2027</v>
      </c>
      <c r="C139" s="86" t="str">
        <f t="shared" si="31"/>
        <v>Q2</v>
      </c>
      <c r="D139" s="109">
        <f t="shared" si="37"/>
        <v>8261.3907108562489</v>
      </c>
      <c r="E139" s="109">
        <f t="shared" si="37"/>
        <v>8206.1157830437496</v>
      </c>
      <c r="F139" s="109">
        <f t="shared" si="37"/>
        <v>711.53907074999995</v>
      </c>
      <c r="G139" s="109">
        <f t="shared" si="37"/>
        <v>708.42357481875001</v>
      </c>
      <c r="H139" s="109">
        <f t="shared" si="44"/>
        <v>911011.37254997471</v>
      </c>
      <c r="I139" s="109">
        <f t="shared" si="44"/>
        <v>923599.90331093036</v>
      </c>
      <c r="J139" s="18">
        <f t="shared" si="38"/>
        <v>43.145785856249859</v>
      </c>
      <c r="K139" s="18">
        <f t="shared" si="39"/>
        <v>42.857108043749577</v>
      </c>
      <c r="L139" s="18">
        <f t="shared" si="40"/>
        <v>3.7160707499999717</v>
      </c>
      <c r="M139" s="18">
        <f t="shared" si="41"/>
        <v>3.6997998187499661</v>
      </c>
      <c r="N139" s="31">
        <f t="shared" si="42"/>
        <v>15668.50026498735</v>
      </c>
      <c r="O139" s="18">
        <f t="shared" si="43"/>
        <v>3045.9894215746317</v>
      </c>
      <c r="W139" s="87"/>
      <c r="X139" s="87"/>
      <c r="Y139" s="87"/>
      <c r="Z139" s="87"/>
      <c r="AA139" s="88"/>
      <c r="AB139" s="88"/>
    </row>
    <row r="140" spans="1:28" ht="13.15" customHeight="1">
      <c r="A140" s="110">
        <v>46508</v>
      </c>
      <c r="B140" s="86">
        <f t="shared" si="36"/>
        <v>2027</v>
      </c>
      <c r="C140" s="86" t="str">
        <f t="shared" si="31"/>
        <v>Q2</v>
      </c>
      <c r="D140" s="109">
        <f t="shared" si="37"/>
        <v>8245.4112317249983</v>
      </c>
      <c r="E140" s="109">
        <f t="shared" si="37"/>
        <v>8239.0797399937492</v>
      </c>
      <c r="F140" s="109">
        <f t="shared" si="37"/>
        <v>707.11707652500002</v>
      </c>
      <c r="G140" s="109">
        <f t="shared" si="37"/>
        <v>708.52407468750005</v>
      </c>
      <c r="H140" s="109">
        <f t="shared" si="44"/>
        <v>911011.37254997471</v>
      </c>
      <c r="I140" s="109">
        <f t="shared" si="44"/>
        <v>923599.90331093036</v>
      </c>
      <c r="J140" s="18">
        <f t="shared" si="38"/>
        <v>43.06233172499924</v>
      </c>
      <c r="K140" s="18">
        <f t="shared" si="39"/>
        <v>43.029264993749166</v>
      </c>
      <c r="L140" s="18">
        <f t="shared" si="40"/>
        <v>3.6929765249999491</v>
      </c>
      <c r="M140" s="18">
        <f t="shared" si="41"/>
        <v>3.7003246875000286</v>
      </c>
      <c r="N140" s="31">
        <f t="shared" si="42"/>
        <v>15668.50026498735</v>
      </c>
      <c r="O140" s="18">
        <f t="shared" si="43"/>
        <v>3045.9894215746317</v>
      </c>
      <c r="W140" s="87"/>
      <c r="X140" s="87"/>
      <c r="Y140" s="87"/>
      <c r="Z140" s="87"/>
      <c r="AA140" s="88"/>
      <c r="AB140" s="88"/>
    </row>
    <row r="141" spans="1:28" ht="13.15" customHeight="1">
      <c r="A141" s="110">
        <v>46539</v>
      </c>
      <c r="B141" s="86">
        <f t="shared" si="36"/>
        <v>2027</v>
      </c>
      <c r="C141" s="86" t="str">
        <f t="shared" si="31"/>
        <v>Q2</v>
      </c>
      <c r="D141" s="109">
        <f t="shared" si="37"/>
        <v>8240.9892374999999</v>
      </c>
      <c r="E141" s="109">
        <f t="shared" si="37"/>
        <v>8311.339145625001</v>
      </c>
      <c r="F141" s="109">
        <f t="shared" si="37"/>
        <v>698.17258820625</v>
      </c>
      <c r="G141" s="109">
        <f t="shared" si="37"/>
        <v>703.19758164375003</v>
      </c>
      <c r="H141" s="109">
        <f t="shared" si="44"/>
        <v>911011.37254997471</v>
      </c>
      <c r="I141" s="109">
        <f t="shared" si="44"/>
        <v>923599.90331093036</v>
      </c>
      <c r="J141" s="18">
        <f t="shared" si="38"/>
        <v>43.039237499999217</v>
      </c>
      <c r="K141" s="18">
        <f t="shared" si="39"/>
        <v>43.406645625000237</v>
      </c>
      <c r="L141" s="18">
        <f t="shared" si="40"/>
        <v>3.6462632062499551</v>
      </c>
      <c r="M141" s="18">
        <f t="shared" si="41"/>
        <v>3.6725066437500118</v>
      </c>
      <c r="N141" s="31">
        <f t="shared" si="42"/>
        <v>15668.50026498735</v>
      </c>
      <c r="O141" s="18">
        <f t="shared" si="43"/>
        <v>3045.9894215746317</v>
      </c>
      <c r="W141" s="87"/>
      <c r="X141" s="87"/>
      <c r="Y141" s="87"/>
      <c r="Z141" s="87"/>
      <c r="AA141" s="88"/>
      <c r="AB141" s="88"/>
    </row>
    <row r="142" spans="1:28" ht="13.15" customHeight="1">
      <c r="A142" s="110">
        <v>46569</v>
      </c>
      <c r="B142" s="86">
        <f t="shared" si="36"/>
        <v>2027</v>
      </c>
      <c r="C142" s="86" t="str">
        <f t="shared" si="31"/>
        <v>Q3</v>
      </c>
      <c r="D142" s="109">
        <f t="shared" si="37"/>
        <v>8248.5267276562499</v>
      </c>
      <c r="E142" s="109">
        <f t="shared" si="37"/>
        <v>8349.9310952249998</v>
      </c>
      <c r="F142" s="109">
        <f t="shared" si="37"/>
        <v>696.26309070000002</v>
      </c>
      <c r="G142" s="109">
        <f t="shared" si="37"/>
        <v>707.7200757375</v>
      </c>
      <c r="H142" s="109">
        <f t="shared" si="44"/>
        <v>911011.37254997471</v>
      </c>
      <c r="I142" s="109">
        <f t="shared" si="44"/>
        <v>924998.70978020353</v>
      </c>
      <c r="J142" s="18">
        <f t="shared" si="38"/>
        <v>43.078602656249132</v>
      </c>
      <c r="K142" s="18">
        <f t="shared" si="39"/>
        <v>43.6081952250006</v>
      </c>
      <c r="L142" s="18">
        <f t="shared" si="40"/>
        <v>3.6362907000000178</v>
      </c>
      <c r="M142" s="18">
        <f t="shared" si="41"/>
        <v>3.6961257374999832</v>
      </c>
      <c r="N142" s="31">
        <f t="shared" si="42"/>
        <v>15668.50026498735</v>
      </c>
      <c r="O142" s="18">
        <f t="shared" si="43"/>
        <v>1398.8064692731714</v>
      </c>
      <c r="W142" s="87"/>
      <c r="X142" s="87"/>
      <c r="Y142" s="87"/>
      <c r="Z142" s="87"/>
      <c r="AA142" s="88"/>
      <c r="AB142" s="88"/>
    </row>
    <row r="143" spans="1:28" ht="13.15" customHeight="1">
      <c r="A143" s="110">
        <v>46600</v>
      </c>
      <c r="B143" s="86">
        <f t="shared" si="36"/>
        <v>2027</v>
      </c>
      <c r="C143" s="86" t="str">
        <f t="shared" si="31"/>
        <v>Q3</v>
      </c>
      <c r="D143" s="109">
        <f t="shared" si="37"/>
        <v>8245.9137310687511</v>
      </c>
      <c r="E143" s="109">
        <f t="shared" si="37"/>
        <v>8333.1476171437498</v>
      </c>
      <c r="F143" s="109">
        <f t="shared" si="37"/>
        <v>690.93659765625</v>
      </c>
      <c r="G143" s="109">
        <f t="shared" si="37"/>
        <v>701.28808413749994</v>
      </c>
      <c r="H143" s="109">
        <f t="shared" si="44"/>
        <v>911011.37254997471</v>
      </c>
      <c r="I143" s="109">
        <f t="shared" si="44"/>
        <v>924998.70978020353</v>
      </c>
      <c r="J143" s="18">
        <f t="shared" si="38"/>
        <v>43.064956068750689</v>
      </c>
      <c r="K143" s="18">
        <f t="shared" si="39"/>
        <v>43.520542143749481</v>
      </c>
      <c r="L143" s="18">
        <f t="shared" si="40"/>
        <v>3.6084726562500009</v>
      </c>
      <c r="M143" s="18">
        <f t="shared" si="41"/>
        <v>3.6625341374999607</v>
      </c>
      <c r="N143" s="31">
        <f t="shared" si="42"/>
        <v>15668.50026498735</v>
      </c>
      <c r="O143" s="18">
        <f t="shared" si="43"/>
        <v>1398.8064692731714</v>
      </c>
      <c r="W143" s="87"/>
      <c r="X143" s="87"/>
      <c r="Y143" s="87"/>
      <c r="Z143" s="87"/>
      <c r="AA143" s="88"/>
      <c r="AB143" s="88"/>
    </row>
    <row r="144" spans="1:28" ht="13.15" customHeight="1">
      <c r="A144" s="110">
        <v>46631</v>
      </c>
      <c r="B144" s="86">
        <f t="shared" si="36"/>
        <v>2027</v>
      </c>
      <c r="C144" s="86" t="str">
        <f t="shared" si="31"/>
        <v>Q3</v>
      </c>
      <c r="D144" s="109">
        <f t="shared" si="37"/>
        <v>8243.2002346125009</v>
      </c>
      <c r="E144" s="109">
        <f t="shared" si="37"/>
        <v>8275.4606924812506</v>
      </c>
      <c r="F144" s="109">
        <f t="shared" si="37"/>
        <v>681.89160946874995</v>
      </c>
      <c r="G144" s="109">
        <f t="shared" si="37"/>
        <v>685.81110434999994</v>
      </c>
      <c r="H144" s="109">
        <f t="shared" si="44"/>
        <v>911011.37254997471</v>
      </c>
      <c r="I144" s="109">
        <f t="shared" si="44"/>
        <v>924998.70978020353</v>
      </c>
      <c r="J144" s="18">
        <f t="shared" si="38"/>
        <v>43.050784612500138</v>
      </c>
      <c r="K144" s="18">
        <f t="shared" si="39"/>
        <v>43.219267481250426</v>
      </c>
      <c r="L144" s="18">
        <f t="shared" si="40"/>
        <v>3.5612344687499444</v>
      </c>
      <c r="M144" s="18">
        <f t="shared" si="41"/>
        <v>3.5817043499999954</v>
      </c>
      <c r="N144" s="31">
        <f t="shared" si="42"/>
        <v>15668.50026498735</v>
      </c>
      <c r="O144" s="18">
        <f t="shared" si="43"/>
        <v>1398.8064692731714</v>
      </c>
      <c r="W144" s="87"/>
      <c r="X144" s="87"/>
      <c r="Y144" s="87"/>
      <c r="Z144" s="87"/>
      <c r="AA144" s="88"/>
      <c r="AB144" s="88"/>
    </row>
    <row r="145" spans="1:28" ht="13.15" customHeight="1">
      <c r="A145" s="110">
        <v>46661</v>
      </c>
      <c r="B145" s="86">
        <f t="shared" si="36"/>
        <v>2027</v>
      </c>
      <c r="C145" s="86" t="str">
        <f t="shared" si="31"/>
        <v>Q4</v>
      </c>
      <c r="D145" s="109">
        <f t="shared" si="37"/>
        <v>8255.36071873125</v>
      </c>
      <c r="E145" s="109">
        <f t="shared" si="37"/>
        <v>8265.0087061312497</v>
      </c>
      <c r="F145" s="109">
        <f t="shared" si="37"/>
        <v>673.55012036250002</v>
      </c>
      <c r="G145" s="109">
        <f t="shared" si="37"/>
        <v>670.93712377500003</v>
      </c>
      <c r="H145" s="109">
        <f t="shared" si="44"/>
        <v>911011.37254997471</v>
      </c>
      <c r="I145" s="109">
        <f t="shared" si="44"/>
        <v>928243.19254177168</v>
      </c>
      <c r="J145" s="18">
        <f t="shared" si="38"/>
        <v>43.114293731250655</v>
      </c>
      <c r="K145" s="18">
        <f t="shared" si="39"/>
        <v>43.164681131249381</v>
      </c>
      <c r="L145" s="18">
        <f t="shared" si="40"/>
        <v>3.5176703624999845</v>
      </c>
      <c r="M145" s="18">
        <f t="shared" si="41"/>
        <v>3.5040237749999505</v>
      </c>
      <c r="N145" s="31">
        <f t="shared" si="42"/>
        <v>15668.50026498735</v>
      </c>
      <c r="O145" s="18">
        <f t="shared" si="43"/>
        <v>3244.482761568157</v>
      </c>
      <c r="W145" s="87"/>
      <c r="X145" s="87"/>
      <c r="Y145" s="87"/>
      <c r="Z145" s="87"/>
      <c r="AA145" s="88"/>
      <c r="AB145" s="88"/>
    </row>
    <row r="146" spans="1:28" ht="13.15" customHeight="1">
      <c r="A146" s="110">
        <v>46692</v>
      </c>
      <c r="B146" s="86">
        <f t="shared" si="36"/>
        <v>2027</v>
      </c>
      <c r="C146" s="86" t="str">
        <f t="shared" si="31"/>
        <v>Q4</v>
      </c>
      <c r="D146" s="109">
        <f t="shared" si="37"/>
        <v>8277.5711897249985</v>
      </c>
      <c r="E146" s="109">
        <f t="shared" si="37"/>
        <v>8272.4456964187484</v>
      </c>
      <c r="F146" s="109">
        <f t="shared" si="37"/>
        <v>668.92712640000002</v>
      </c>
      <c r="G146" s="109">
        <f t="shared" si="37"/>
        <v>661.289136375</v>
      </c>
      <c r="H146" s="109">
        <f t="shared" si="44"/>
        <v>911011.37254997471</v>
      </c>
      <c r="I146" s="109">
        <f t="shared" si="44"/>
        <v>928243.19254177168</v>
      </c>
      <c r="J146" s="18">
        <f t="shared" si="38"/>
        <v>43.230289724999238</v>
      </c>
      <c r="K146" s="18">
        <f t="shared" si="39"/>
        <v>43.203521418749006</v>
      </c>
      <c r="L146" s="18">
        <f t="shared" si="40"/>
        <v>3.4935263999999506</v>
      </c>
      <c r="M146" s="18">
        <f t="shared" si="41"/>
        <v>3.4536363749999737</v>
      </c>
      <c r="N146" s="31">
        <f t="shared" si="42"/>
        <v>15668.50026498735</v>
      </c>
      <c r="O146" s="18">
        <f t="shared" si="43"/>
        <v>3244.482761568157</v>
      </c>
      <c r="W146" s="87"/>
      <c r="X146" s="87"/>
      <c r="Y146" s="87"/>
      <c r="Z146" s="87"/>
      <c r="AA146" s="88"/>
      <c r="AB146" s="88"/>
    </row>
    <row r="147" spans="1:28" ht="13.15" customHeight="1">
      <c r="A147" s="110">
        <v>46722</v>
      </c>
      <c r="B147" s="86">
        <f t="shared" si="36"/>
        <v>2027</v>
      </c>
      <c r="C147" s="86" t="str">
        <f t="shared" si="31"/>
        <v>Q4</v>
      </c>
      <c r="D147" s="109">
        <f t="shared" si="37"/>
        <v>8302.3946573062512</v>
      </c>
      <c r="E147" s="109">
        <f t="shared" si="37"/>
        <v>8289.3296743687515</v>
      </c>
      <c r="F147" s="109">
        <f t="shared" si="37"/>
        <v>674.15311957500001</v>
      </c>
      <c r="G147" s="109">
        <f t="shared" si="37"/>
        <v>668.52512692500011</v>
      </c>
      <c r="H147" s="109">
        <f t="shared" si="44"/>
        <v>911011.37254997471</v>
      </c>
      <c r="I147" s="109">
        <f t="shared" si="44"/>
        <v>928243.19254177168</v>
      </c>
      <c r="J147" s="18">
        <f t="shared" si="38"/>
        <v>43.359932306249902</v>
      </c>
      <c r="K147" s="18">
        <f t="shared" si="39"/>
        <v>43.291699368750415</v>
      </c>
      <c r="L147" s="18">
        <f t="shared" si="40"/>
        <v>3.5208195750000186</v>
      </c>
      <c r="M147" s="18">
        <f t="shared" si="41"/>
        <v>3.4914269250000416</v>
      </c>
      <c r="N147" s="31">
        <f t="shared" si="42"/>
        <v>15668.50026498735</v>
      </c>
      <c r="O147" s="18">
        <f t="shared" si="43"/>
        <v>3244.482761568157</v>
      </c>
      <c r="W147" s="87"/>
      <c r="X147" s="87"/>
      <c r="Y147" s="87"/>
      <c r="Z147" s="87"/>
      <c r="AA147" s="88"/>
      <c r="AB147" s="88"/>
    </row>
    <row r="148" spans="1:28" ht="13.15" customHeight="1">
      <c r="A148" s="110"/>
      <c r="B148" s="86"/>
      <c r="C148" s="86"/>
      <c r="D148" s="109"/>
      <c r="E148" s="109"/>
      <c r="F148" s="109"/>
      <c r="G148" s="109"/>
      <c r="H148" s="109"/>
      <c r="I148" s="109"/>
      <c r="J148" s="18"/>
      <c r="K148" s="18"/>
      <c r="L148" s="18"/>
      <c r="M148" s="18"/>
      <c r="N148" s="31"/>
      <c r="O148" s="18"/>
      <c r="W148" s="87"/>
      <c r="X148" s="87"/>
      <c r="Y148" s="87"/>
      <c r="Z148" s="87"/>
      <c r="AA148" s="88"/>
      <c r="AB148" s="88"/>
    </row>
    <row r="149" spans="1:28" ht="13.15" customHeight="1">
      <c r="A149" s="15"/>
      <c r="B149" s="16"/>
      <c r="C149" s="16"/>
      <c r="D149" s="17"/>
      <c r="E149" s="17"/>
      <c r="F149" s="17"/>
      <c r="G149" s="17"/>
      <c r="H149" s="16"/>
      <c r="I149" s="17"/>
      <c r="W149" s="87"/>
      <c r="X149" s="87"/>
      <c r="Y149" s="87"/>
      <c r="Z149" s="87"/>
      <c r="AA149" s="88"/>
      <c r="AB149" s="88"/>
    </row>
    <row r="150" spans="1:28" ht="13.15" customHeight="1">
      <c r="A150" s="15"/>
      <c r="B150" s="16"/>
      <c r="C150" s="16"/>
      <c r="D150" s="17"/>
      <c r="E150" s="17"/>
      <c r="F150" s="17"/>
      <c r="G150" s="17"/>
      <c r="H150" s="16"/>
      <c r="I150" s="17"/>
      <c r="W150" s="87"/>
      <c r="X150" s="87"/>
      <c r="Y150" s="87"/>
      <c r="Z150" s="87"/>
      <c r="AA150" s="88"/>
      <c r="AB150" s="88"/>
    </row>
    <row r="151" spans="1:28" ht="13.15" customHeight="1">
      <c r="A151" s="15"/>
      <c r="B151" s="16"/>
      <c r="C151" s="16"/>
      <c r="D151" s="17"/>
      <c r="E151" s="17"/>
      <c r="F151" s="17"/>
      <c r="G151" s="17"/>
      <c r="H151" s="16"/>
      <c r="I151" s="17"/>
      <c r="W151" s="87"/>
      <c r="X151" s="87"/>
      <c r="Y151" s="87"/>
      <c r="Z151" s="87"/>
      <c r="AA151" s="88"/>
      <c r="AB151" s="88"/>
    </row>
    <row r="152" spans="1:28" ht="13.15" customHeight="1">
      <c r="A152" s="15"/>
      <c r="B152" s="16"/>
      <c r="C152" s="16"/>
      <c r="D152" s="17"/>
      <c r="E152" s="17"/>
      <c r="F152" s="17"/>
      <c r="G152" s="17"/>
      <c r="H152" s="16"/>
      <c r="I152" s="17"/>
      <c r="W152" s="87"/>
      <c r="X152" s="87"/>
      <c r="Y152" s="87"/>
      <c r="Z152" s="87"/>
      <c r="AA152" s="88"/>
      <c r="AB152" s="88"/>
    </row>
    <row r="153" spans="1:28" ht="13.15" customHeight="1">
      <c r="A153" s="15"/>
      <c r="B153" s="16"/>
      <c r="C153" s="16"/>
      <c r="D153" s="17"/>
      <c r="E153" s="17"/>
      <c r="F153" s="17"/>
      <c r="G153" s="17"/>
      <c r="H153" s="16"/>
      <c r="I153" s="17"/>
      <c r="W153" s="87"/>
      <c r="X153" s="87"/>
      <c r="Y153" s="87"/>
      <c r="Z153" s="87"/>
      <c r="AA153" s="88"/>
      <c r="AB153" s="88"/>
    </row>
    <row r="154" spans="1:28" ht="13.15" customHeight="1">
      <c r="A154" s="15"/>
      <c r="B154" s="16"/>
      <c r="C154" s="16"/>
      <c r="D154" s="17"/>
      <c r="E154" s="17"/>
      <c r="F154" s="17"/>
      <c r="G154" s="17"/>
      <c r="H154" s="16"/>
      <c r="I154" s="17"/>
      <c r="W154" s="87"/>
      <c r="X154" s="87"/>
      <c r="Y154" s="87"/>
      <c r="Z154" s="87"/>
      <c r="AA154" s="88"/>
      <c r="AB154" s="88"/>
    </row>
    <row r="155" spans="1:28" ht="13.15" customHeight="1">
      <c r="A155" s="15"/>
      <c r="B155" s="16"/>
      <c r="C155" s="16"/>
      <c r="D155" s="17"/>
      <c r="E155" s="17"/>
      <c r="F155" s="17"/>
      <c r="G155" s="17"/>
      <c r="H155" s="16"/>
      <c r="I155" s="17"/>
      <c r="W155" s="87"/>
      <c r="X155" s="87"/>
      <c r="Y155" s="87"/>
      <c r="Z155" s="87"/>
      <c r="AA155" s="88"/>
      <c r="AB155" s="88"/>
    </row>
    <row r="156" spans="1:28" ht="13.15" customHeight="1">
      <c r="A156" s="15"/>
      <c r="B156" s="16"/>
      <c r="C156" s="16"/>
      <c r="D156" s="17"/>
      <c r="E156" s="17"/>
      <c r="F156" s="17"/>
      <c r="G156" s="17"/>
      <c r="H156" s="16"/>
      <c r="I156" s="17"/>
      <c r="W156" s="87"/>
      <c r="X156" s="87"/>
      <c r="Y156" s="87"/>
      <c r="Z156" s="87"/>
      <c r="AA156" s="88"/>
      <c r="AB156" s="88"/>
    </row>
    <row r="157" spans="1:28" ht="13.15" customHeight="1">
      <c r="A157" s="15"/>
      <c r="B157" s="16"/>
      <c r="C157" s="16"/>
      <c r="D157" s="17"/>
      <c r="E157" s="17"/>
      <c r="F157" s="17"/>
      <c r="G157" s="17"/>
      <c r="H157" s="16"/>
      <c r="I157" s="17"/>
      <c r="W157" s="87"/>
      <c r="X157" s="87"/>
      <c r="Y157" s="87"/>
      <c r="Z157" s="87"/>
      <c r="AA157" s="88"/>
      <c r="AB157" s="88"/>
    </row>
    <row r="158" spans="1:28" ht="13.15" customHeight="1">
      <c r="A158" s="15"/>
      <c r="B158" s="16"/>
      <c r="C158" s="16"/>
      <c r="D158" s="17"/>
      <c r="E158" s="17"/>
      <c r="F158" s="17"/>
      <c r="G158" s="17"/>
      <c r="H158" s="16"/>
      <c r="I158" s="17"/>
      <c r="W158" s="87"/>
      <c r="X158" s="87"/>
      <c r="Y158" s="87"/>
      <c r="Z158" s="87"/>
      <c r="AA158" s="88"/>
      <c r="AB158" s="88"/>
    </row>
    <row r="159" spans="1:28" ht="13.15" customHeight="1">
      <c r="A159" s="15"/>
      <c r="B159" s="16"/>
      <c r="C159" s="16"/>
      <c r="D159" s="17"/>
      <c r="E159" s="17"/>
      <c r="F159" s="17"/>
      <c r="G159" s="17"/>
      <c r="H159" s="16"/>
      <c r="I159" s="17"/>
      <c r="W159" s="87"/>
      <c r="X159" s="87"/>
      <c r="Y159" s="87"/>
      <c r="Z159" s="87"/>
      <c r="AA159" s="88"/>
      <c r="AB159" s="88"/>
    </row>
    <row r="160" spans="1:28" ht="13.15" customHeight="1">
      <c r="A160" s="15"/>
      <c r="B160" s="16"/>
      <c r="C160" s="16"/>
      <c r="D160" s="17"/>
      <c r="E160" s="17"/>
      <c r="F160" s="17"/>
      <c r="G160" s="17"/>
      <c r="H160" s="16"/>
      <c r="I160" s="17"/>
      <c r="W160" s="87"/>
      <c r="X160" s="87"/>
      <c r="Y160" s="87"/>
      <c r="Z160" s="87"/>
      <c r="AA160" s="88"/>
      <c r="AB160" s="88"/>
    </row>
    <row r="161" spans="1:28" ht="13.15" customHeight="1">
      <c r="A161" s="15"/>
      <c r="B161" s="16"/>
      <c r="C161" s="16"/>
      <c r="D161" s="17"/>
      <c r="E161" s="17"/>
      <c r="F161" s="17"/>
      <c r="G161" s="17"/>
      <c r="H161" s="16"/>
      <c r="I161" s="17"/>
      <c r="W161" s="87"/>
      <c r="X161" s="87"/>
      <c r="Y161" s="87"/>
      <c r="Z161" s="87"/>
      <c r="AA161" s="88"/>
      <c r="AB161" s="88"/>
    </row>
    <row r="162" spans="1:28" ht="13.15" customHeight="1">
      <c r="A162" s="15"/>
      <c r="B162" s="16"/>
      <c r="C162" s="16"/>
      <c r="D162" s="17"/>
      <c r="E162" s="17"/>
      <c r="F162" s="17"/>
      <c r="G162" s="17"/>
      <c r="H162" s="16"/>
      <c r="I162" s="17"/>
      <c r="W162" s="87"/>
      <c r="X162" s="87"/>
      <c r="Y162" s="87"/>
      <c r="Z162" s="87"/>
      <c r="AA162" s="88"/>
      <c r="AB162" s="88"/>
    </row>
    <row r="163" spans="1:28" ht="13.15" customHeight="1">
      <c r="A163" s="15"/>
      <c r="B163" s="16"/>
      <c r="C163" s="16"/>
      <c r="D163" s="17"/>
      <c r="E163" s="17"/>
      <c r="F163" s="17"/>
      <c r="G163" s="17"/>
      <c r="H163" s="16"/>
      <c r="I163" s="17"/>
      <c r="W163" s="87"/>
      <c r="X163" s="87"/>
      <c r="Y163" s="87"/>
      <c r="Z163" s="87"/>
      <c r="AA163" s="88"/>
      <c r="AB163" s="88"/>
    </row>
    <row r="164" spans="1:28" ht="13.15" customHeight="1">
      <c r="A164" s="15"/>
      <c r="B164" s="16"/>
      <c r="C164" s="16"/>
      <c r="D164" s="17"/>
      <c r="E164" s="17"/>
      <c r="F164" s="17"/>
      <c r="G164" s="17"/>
      <c r="H164" s="16"/>
      <c r="I164" s="17"/>
      <c r="W164" s="87"/>
      <c r="X164" s="87"/>
      <c r="Y164" s="87"/>
      <c r="Z164" s="87"/>
      <c r="AA164" s="88"/>
      <c r="AB164" s="88"/>
    </row>
    <row r="165" spans="1:28" ht="13.15" customHeight="1">
      <c r="A165" s="15"/>
      <c r="B165" s="16"/>
      <c r="C165" s="16"/>
      <c r="D165" s="17"/>
      <c r="E165" s="17"/>
      <c r="F165" s="17"/>
      <c r="G165" s="17"/>
      <c r="H165" s="16"/>
      <c r="I165" s="17"/>
      <c r="W165" s="87"/>
      <c r="X165" s="87"/>
      <c r="Y165" s="87"/>
      <c r="Z165" s="87"/>
      <c r="AA165" s="88"/>
      <c r="AB165" s="88"/>
    </row>
    <row r="166" spans="1:28" ht="13.15" customHeight="1">
      <c r="A166" s="15"/>
      <c r="B166" s="16"/>
      <c r="C166" s="16"/>
      <c r="D166" s="17"/>
      <c r="E166" s="17"/>
      <c r="F166" s="17"/>
      <c r="G166" s="17"/>
      <c r="H166" s="16"/>
      <c r="I166" s="17"/>
      <c r="W166" s="87"/>
      <c r="X166" s="87"/>
      <c r="Y166" s="87"/>
      <c r="Z166" s="87"/>
      <c r="AA166" s="88"/>
      <c r="AB166" s="88"/>
    </row>
    <row r="167" spans="1:28" ht="13.15" customHeight="1">
      <c r="A167" s="15"/>
      <c r="B167" s="16"/>
      <c r="C167" s="16"/>
      <c r="D167" s="17"/>
      <c r="E167" s="17"/>
      <c r="F167" s="17"/>
      <c r="G167" s="17"/>
      <c r="H167" s="16"/>
      <c r="I167" s="17"/>
      <c r="W167" s="87"/>
      <c r="X167" s="87"/>
      <c r="Y167" s="87"/>
      <c r="Z167" s="87"/>
      <c r="AA167" s="88"/>
      <c r="AB167" s="88"/>
    </row>
    <row r="168" spans="1:28" ht="13.15" customHeight="1">
      <c r="A168" s="15"/>
      <c r="B168" s="16"/>
      <c r="C168" s="16"/>
      <c r="D168" s="17"/>
      <c r="E168" s="17"/>
      <c r="F168" s="17"/>
      <c r="G168" s="17"/>
      <c r="H168" s="16"/>
      <c r="I168" s="17"/>
      <c r="W168" s="87"/>
      <c r="X168" s="87"/>
      <c r="Y168" s="87"/>
      <c r="Z168" s="87"/>
      <c r="AA168" s="88"/>
      <c r="AB168" s="88"/>
    </row>
    <row r="169" spans="1:28" ht="13.15" customHeight="1">
      <c r="A169" s="15"/>
      <c r="B169" s="16"/>
      <c r="C169" s="16"/>
      <c r="D169" s="17"/>
      <c r="E169" s="17"/>
      <c r="F169" s="17"/>
      <c r="G169" s="17"/>
      <c r="H169" s="16"/>
      <c r="I169" s="17"/>
      <c r="W169" s="87"/>
      <c r="X169" s="87"/>
      <c r="Y169" s="87"/>
      <c r="Z169" s="87"/>
      <c r="AA169" s="88"/>
      <c r="AB169" s="88"/>
    </row>
    <row r="170" spans="1:28" ht="13.15" customHeight="1">
      <c r="A170" s="15"/>
      <c r="B170" s="16"/>
      <c r="C170" s="16"/>
      <c r="D170" s="17"/>
      <c r="E170" s="17"/>
      <c r="F170" s="17"/>
      <c r="G170" s="17"/>
      <c r="H170" s="16"/>
      <c r="I170" s="17"/>
      <c r="W170" s="87"/>
      <c r="X170" s="87"/>
      <c r="Y170" s="87"/>
      <c r="Z170" s="87"/>
      <c r="AA170" s="88"/>
      <c r="AB170" s="88"/>
    </row>
    <row r="171" spans="1:28" ht="13.15" customHeight="1">
      <c r="A171" s="15"/>
      <c r="B171" s="16"/>
      <c r="C171" s="16"/>
      <c r="D171" s="17"/>
      <c r="E171" s="17"/>
      <c r="F171" s="17"/>
      <c r="G171" s="17"/>
      <c r="H171" s="16"/>
      <c r="I171" s="17"/>
      <c r="W171" s="87"/>
      <c r="X171" s="87"/>
      <c r="Y171" s="87"/>
      <c r="Z171" s="87"/>
      <c r="AA171" s="88"/>
      <c r="AB171" s="88"/>
    </row>
    <row r="172" spans="1:28" ht="13.15" customHeight="1">
      <c r="A172" s="15"/>
      <c r="B172" s="16"/>
      <c r="C172" s="16"/>
      <c r="D172" s="17"/>
      <c r="E172" s="17"/>
      <c r="F172" s="17"/>
      <c r="G172" s="17"/>
      <c r="H172" s="16"/>
      <c r="I172" s="17"/>
      <c r="W172" s="87"/>
      <c r="X172" s="87"/>
      <c r="Y172" s="87"/>
      <c r="Z172" s="87"/>
      <c r="AA172" s="88"/>
      <c r="AB172" s="88"/>
    </row>
    <row r="173" spans="1:28" ht="13.15" customHeight="1">
      <c r="A173" s="15"/>
      <c r="B173" s="16"/>
      <c r="C173" s="16"/>
      <c r="D173" s="17"/>
      <c r="E173" s="17"/>
      <c r="F173" s="17"/>
      <c r="G173" s="17"/>
      <c r="H173" s="16"/>
      <c r="I173" s="17"/>
      <c r="W173" s="87"/>
      <c r="X173" s="87"/>
      <c r="Y173" s="87"/>
      <c r="Z173" s="87"/>
      <c r="AA173" s="88"/>
      <c r="AB173" s="88"/>
    </row>
    <row r="174" spans="1:28" ht="13.15" customHeight="1">
      <c r="A174" s="15"/>
      <c r="B174" s="16"/>
      <c r="C174" s="16"/>
      <c r="D174" s="17"/>
      <c r="E174" s="17"/>
      <c r="F174" s="17"/>
      <c r="G174" s="17"/>
      <c r="H174" s="16"/>
      <c r="I174" s="17"/>
      <c r="W174" s="87"/>
      <c r="X174" s="87"/>
      <c r="Y174" s="87"/>
      <c r="Z174" s="87"/>
      <c r="AA174" s="88"/>
      <c r="AB174" s="88"/>
    </row>
    <row r="175" spans="1:28" ht="13.15" customHeight="1">
      <c r="A175" s="15"/>
      <c r="B175" s="16"/>
      <c r="C175" s="16"/>
      <c r="D175" s="17"/>
      <c r="E175" s="17"/>
      <c r="F175" s="17"/>
      <c r="G175" s="17"/>
      <c r="H175" s="16"/>
      <c r="I175" s="17"/>
      <c r="W175" s="87"/>
      <c r="X175" s="87"/>
      <c r="Y175" s="87"/>
      <c r="Z175" s="87"/>
      <c r="AA175" s="88"/>
      <c r="AB175" s="88"/>
    </row>
    <row r="176" spans="1:28" ht="13.15" customHeight="1">
      <c r="A176" s="15"/>
      <c r="B176" s="16"/>
      <c r="C176" s="16"/>
      <c r="D176" s="17"/>
      <c r="E176" s="17"/>
      <c r="F176" s="17"/>
      <c r="G176" s="17"/>
      <c r="H176" s="16"/>
      <c r="I176" s="17"/>
      <c r="W176" s="87"/>
      <c r="X176" s="87"/>
      <c r="Y176" s="87"/>
      <c r="Z176" s="87"/>
      <c r="AA176" s="88"/>
      <c r="AB176" s="88"/>
    </row>
    <row r="177" spans="1:28" ht="13.15" customHeight="1">
      <c r="A177" s="15"/>
      <c r="B177" s="16"/>
      <c r="C177" s="16"/>
      <c r="D177" s="17"/>
      <c r="E177" s="17"/>
      <c r="F177" s="17"/>
      <c r="G177" s="17"/>
      <c r="H177" s="16"/>
      <c r="I177" s="17"/>
      <c r="W177" s="87"/>
      <c r="X177" s="87"/>
      <c r="Y177" s="87"/>
      <c r="Z177" s="87"/>
      <c r="AA177" s="88"/>
      <c r="AB177" s="88"/>
    </row>
    <row r="178" spans="1:28" ht="13.15" customHeight="1">
      <c r="A178" s="15"/>
      <c r="B178" s="16"/>
      <c r="C178" s="16"/>
      <c r="D178" s="17"/>
      <c r="E178" s="17"/>
      <c r="F178" s="17"/>
      <c r="G178" s="17"/>
      <c r="H178" s="16"/>
      <c r="I178" s="17"/>
      <c r="W178" s="87"/>
      <c r="X178" s="87"/>
      <c r="Y178" s="87"/>
      <c r="Z178" s="87"/>
      <c r="AA178" s="88"/>
      <c r="AB178" s="88"/>
    </row>
    <row r="179" spans="1:28" ht="13.15" customHeight="1">
      <c r="A179" s="15"/>
      <c r="B179" s="16"/>
      <c r="C179" s="16"/>
      <c r="D179" s="17"/>
      <c r="E179" s="17"/>
      <c r="F179" s="17"/>
      <c r="G179" s="17"/>
      <c r="H179" s="16"/>
      <c r="I179" s="17"/>
      <c r="W179" s="87"/>
      <c r="X179" s="87"/>
      <c r="Y179" s="87"/>
      <c r="Z179" s="87"/>
      <c r="AA179" s="88"/>
      <c r="AB179" s="88"/>
    </row>
    <row r="180" spans="1:28" ht="13.15" customHeight="1">
      <c r="A180" s="15"/>
      <c r="B180" s="16"/>
      <c r="C180" s="16"/>
      <c r="D180" s="17"/>
      <c r="E180" s="17"/>
      <c r="F180" s="17"/>
      <c r="G180" s="17"/>
      <c r="H180" s="16"/>
      <c r="I180" s="17"/>
      <c r="W180" s="87"/>
      <c r="X180" s="87"/>
      <c r="Y180" s="87"/>
      <c r="Z180" s="87"/>
      <c r="AA180" s="88"/>
      <c r="AB180" s="88"/>
    </row>
    <row r="181" spans="1:28" ht="13.15" customHeight="1">
      <c r="W181" s="87"/>
      <c r="X181" s="87"/>
      <c r="Y181" s="87"/>
      <c r="Z181" s="87"/>
      <c r="AA181" s="88"/>
      <c r="AB181" s="88"/>
    </row>
    <row r="182" spans="1:28" ht="13.15" customHeight="1">
      <c r="W182" s="87"/>
      <c r="X182" s="87"/>
      <c r="Y182" s="87"/>
      <c r="Z182" s="87"/>
      <c r="AA182" s="88"/>
      <c r="AB182" s="88"/>
    </row>
    <row r="183" spans="1:28" ht="13.15" customHeight="1">
      <c r="W183" s="87"/>
      <c r="X183" s="87"/>
      <c r="Y183" s="87"/>
      <c r="Z183" s="87"/>
      <c r="AA183" s="88"/>
      <c r="AB183" s="88"/>
    </row>
    <row r="184" spans="1:28" ht="13.15" customHeight="1">
      <c r="W184" s="87"/>
      <c r="X184" s="87"/>
      <c r="Y184" s="87"/>
      <c r="Z184" s="87"/>
      <c r="AA184" s="88"/>
      <c r="AB184" s="88"/>
    </row>
    <row r="185" spans="1:28" ht="13.15" customHeight="1">
      <c r="W185" s="87"/>
      <c r="X185" s="87"/>
      <c r="Y185" s="87"/>
      <c r="Z185" s="87"/>
      <c r="AA185" s="88"/>
      <c r="AB185" s="88"/>
    </row>
    <row r="186" spans="1:28" ht="13.15" customHeight="1">
      <c r="W186" s="87"/>
      <c r="X186" s="87"/>
      <c r="Y186" s="87"/>
      <c r="Z186" s="87"/>
      <c r="AA186" s="88"/>
      <c r="AB186" s="88"/>
    </row>
    <row r="187" spans="1:28" ht="13.15" customHeight="1">
      <c r="W187" s="87"/>
      <c r="X187" s="87"/>
      <c r="Y187" s="87"/>
      <c r="Z187" s="87"/>
      <c r="AA187" s="88"/>
      <c r="AB187" s="88"/>
    </row>
    <row r="188" spans="1:28" ht="13.15" customHeight="1">
      <c r="W188" s="87"/>
      <c r="X188" s="87"/>
      <c r="Y188" s="87"/>
      <c r="Z188" s="87"/>
      <c r="AA188" s="88"/>
      <c r="AB188" s="88"/>
    </row>
    <row r="189" spans="1:28" ht="13.15" customHeight="1">
      <c r="W189" s="87"/>
      <c r="X189" s="87"/>
      <c r="Y189" s="87"/>
      <c r="Z189" s="87"/>
      <c r="AA189" s="88"/>
      <c r="AB189" s="88"/>
    </row>
    <row r="190" spans="1:28" ht="13.15" customHeight="1">
      <c r="W190" s="87"/>
      <c r="X190" s="87"/>
      <c r="Y190" s="87"/>
      <c r="Z190" s="87"/>
      <c r="AA190" s="88"/>
      <c r="AB190" s="88"/>
    </row>
    <row r="191" spans="1:28" ht="13.15" customHeight="1">
      <c r="W191" s="87"/>
      <c r="X191" s="87"/>
      <c r="Y191" s="87"/>
      <c r="Z191" s="87"/>
      <c r="AA191" s="88"/>
      <c r="AB191" s="88"/>
    </row>
    <row r="192" spans="1:28" ht="13.15" customHeight="1">
      <c r="W192" s="87"/>
      <c r="X192" s="87"/>
      <c r="Y192" s="87"/>
      <c r="Z192" s="87"/>
      <c r="AA192" s="88"/>
      <c r="AB192" s="88"/>
    </row>
    <row r="193" spans="23:28" ht="13.15" customHeight="1">
      <c r="W193" s="87"/>
      <c r="X193" s="87"/>
      <c r="Y193" s="87"/>
      <c r="Z193" s="87"/>
      <c r="AA193" s="88"/>
      <c r="AB193" s="88"/>
    </row>
    <row r="194" spans="23:28" ht="13.15" customHeight="1">
      <c r="W194" s="87"/>
      <c r="X194" s="87"/>
      <c r="Y194" s="87"/>
      <c r="Z194" s="87"/>
      <c r="AA194" s="88"/>
      <c r="AB194" s="88"/>
    </row>
    <row r="195" spans="23:28" ht="13.15" customHeight="1">
      <c r="W195" s="87"/>
      <c r="X195" s="87"/>
      <c r="Y195" s="87"/>
      <c r="Z195" s="87"/>
      <c r="AA195" s="88"/>
      <c r="AB195" s="88"/>
    </row>
    <row r="196" spans="23:28" ht="13.15" customHeight="1">
      <c r="W196" s="87"/>
      <c r="X196" s="87"/>
      <c r="Y196" s="87"/>
      <c r="Z196" s="87"/>
      <c r="AA196" s="88"/>
      <c r="AB196" s="88"/>
    </row>
    <row r="197" spans="23:28" ht="13.15" customHeight="1">
      <c r="W197" s="87"/>
      <c r="X197" s="87"/>
      <c r="Y197" s="87"/>
      <c r="Z197" s="87"/>
      <c r="AA197" s="88"/>
      <c r="AB197" s="88"/>
    </row>
    <row r="198" spans="23:28" ht="13.15" customHeight="1">
      <c r="W198" s="87"/>
      <c r="X198" s="87"/>
      <c r="Y198" s="87"/>
      <c r="Z198" s="87"/>
      <c r="AA198" s="88"/>
      <c r="AB198" s="88"/>
    </row>
    <row r="199" spans="23:28" ht="13.15" customHeight="1">
      <c r="W199" s="87"/>
      <c r="X199" s="87"/>
      <c r="Y199" s="87"/>
      <c r="Z199" s="87"/>
      <c r="AA199" s="88"/>
      <c r="AB199" s="88"/>
    </row>
    <row r="200" spans="23:28" ht="13.15" customHeight="1">
      <c r="W200" s="87"/>
      <c r="X200" s="87"/>
      <c r="Y200" s="87"/>
      <c r="Z200" s="87"/>
      <c r="AA200" s="88"/>
      <c r="AB200" s="88"/>
    </row>
    <row r="201" spans="23:28" ht="13.15" customHeight="1">
      <c r="W201" s="87"/>
      <c r="X201" s="87"/>
      <c r="Y201" s="87"/>
      <c r="Z201" s="87"/>
      <c r="AA201" s="88"/>
      <c r="AB201" s="88"/>
    </row>
    <row r="202" spans="23:28" ht="13.15" customHeight="1">
      <c r="W202" s="87"/>
      <c r="X202" s="87"/>
      <c r="Y202" s="87"/>
      <c r="Z202" s="87"/>
      <c r="AA202" s="88"/>
      <c r="AB202" s="88"/>
    </row>
    <row r="203" spans="23:28" ht="13.15" customHeight="1">
      <c r="W203" s="87"/>
      <c r="X203" s="87"/>
      <c r="Y203" s="87"/>
      <c r="Z203" s="87"/>
      <c r="AA203" s="88"/>
      <c r="AB203" s="88"/>
    </row>
    <row r="204" spans="23:28" ht="13.15" customHeight="1">
      <c r="W204" s="87"/>
      <c r="X204" s="87"/>
      <c r="Y204" s="87"/>
      <c r="Z204" s="87"/>
      <c r="AA204" s="88"/>
      <c r="AB204" s="88"/>
    </row>
    <row r="205" spans="23:28" ht="13.15" customHeight="1">
      <c r="W205" s="87"/>
      <c r="X205" s="87"/>
      <c r="Y205" s="87"/>
      <c r="Z205" s="87"/>
      <c r="AA205" s="88"/>
      <c r="AB205" s="88"/>
    </row>
    <row r="206" spans="23:28" ht="13.15" customHeight="1">
      <c r="W206" s="87"/>
      <c r="X206" s="87"/>
      <c r="Y206" s="87"/>
      <c r="Z206" s="87"/>
      <c r="AA206" s="88"/>
      <c r="AB206" s="88"/>
    </row>
    <row r="207" spans="23:28" ht="13.15" customHeight="1">
      <c r="W207" s="87"/>
      <c r="X207" s="87"/>
      <c r="Y207" s="87"/>
      <c r="Z207" s="87"/>
      <c r="AA207" s="88"/>
      <c r="AB207" s="88"/>
    </row>
    <row r="208" spans="23:28" ht="13.15" customHeight="1">
      <c r="W208" s="87"/>
      <c r="X208" s="87"/>
      <c r="Y208" s="87"/>
      <c r="Z208" s="87"/>
      <c r="AA208" s="88"/>
      <c r="AB208" s="88"/>
    </row>
    <row r="209" spans="23:28" ht="13.15" customHeight="1">
      <c r="W209" s="87"/>
      <c r="X209" s="87"/>
      <c r="Y209" s="87"/>
      <c r="Z209" s="87"/>
      <c r="AA209" s="88"/>
      <c r="AB209" s="88"/>
    </row>
    <row r="210" spans="23:28" ht="13.15" customHeight="1">
      <c r="W210" s="87"/>
      <c r="X210" s="87"/>
      <c r="Y210" s="87"/>
      <c r="Z210" s="87"/>
      <c r="AA210" s="88"/>
      <c r="AB210" s="88"/>
    </row>
    <row r="211" spans="23:28" ht="13.15" customHeight="1">
      <c r="W211" s="87"/>
      <c r="X211" s="87"/>
      <c r="Y211" s="87"/>
      <c r="Z211" s="87"/>
      <c r="AA211" s="88"/>
      <c r="AB211" s="88"/>
    </row>
    <row r="212" spans="23:28" ht="13.15" customHeight="1">
      <c r="W212" s="87"/>
      <c r="X212" s="87"/>
      <c r="Y212" s="87"/>
      <c r="Z212" s="87"/>
      <c r="AA212" s="88"/>
      <c r="AB212" s="88"/>
    </row>
    <row r="213" spans="23:28" ht="13.15" customHeight="1">
      <c r="W213" s="87"/>
      <c r="X213" s="87"/>
      <c r="Y213" s="87"/>
      <c r="Z213" s="87"/>
      <c r="AA213" s="88"/>
      <c r="AB213" s="88"/>
    </row>
    <row r="214" spans="23:28" ht="13.15" customHeight="1">
      <c r="W214" s="87"/>
      <c r="X214" s="87"/>
      <c r="Y214" s="87"/>
      <c r="Z214" s="87"/>
      <c r="AA214" s="88"/>
      <c r="AB214" s="88"/>
    </row>
    <row r="215" spans="23:28" ht="13.15" customHeight="1">
      <c r="W215" s="87"/>
      <c r="X215" s="87"/>
      <c r="Y215" s="87"/>
      <c r="Z215" s="87"/>
      <c r="AA215" s="88"/>
      <c r="AB215" s="88"/>
    </row>
    <row r="216" spans="23:28" ht="13.15" customHeight="1">
      <c r="W216" s="87"/>
      <c r="X216" s="87"/>
      <c r="Y216" s="87"/>
      <c r="Z216" s="87"/>
      <c r="AA216" s="88"/>
      <c r="AB216" s="88"/>
    </row>
    <row r="217" spans="23:28" ht="13.15" customHeight="1">
      <c r="W217" s="87"/>
      <c r="X217" s="87"/>
      <c r="Y217" s="87"/>
      <c r="Z217" s="87"/>
      <c r="AA217" s="88"/>
      <c r="AB217" s="88"/>
    </row>
    <row r="218" spans="23:28" ht="13.15" customHeight="1">
      <c r="W218" s="87"/>
      <c r="X218" s="87"/>
      <c r="Y218" s="87"/>
      <c r="Z218" s="87"/>
      <c r="AA218" s="88"/>
      <c r="AB218" s="88"/>
    </row>
    <row r="219" spans="23:28" ht="13.15" customHeight="1">
      <c r="W219" s="87"/>
      <c r="X219" s="87"/>
      <c r="Y219" s="87"/>
      <c r="Z219" s="87"/>
      <c r="AA219" s="88"/>
      <c r="AB219" s="88"/>
    </row>
    <row r="220" spans="23:28" ht="13.15" customHeight="1">
      <c r="W220" s="87"/>
      <c r="X220" s="87"/>
      <c r="Y220" s="87"/>
      <c r="Z220" s="87"/>
      <c r="AA220" s="88"/>
      <c r="AB220" s="88"/>
    </row>
    <row r="221" spans="23:28" ht="13.15" customHeight="1">
      <c r="W221" s="87"/>
      <c r="X221" s="87"/>
      <c r="Y221" s="87"/>
      <c r="Z221" s="87"/>
      <c r="AA221" s="88"/>
      <c r="AB221" s="88"/>
    </row>
    <row r="222" spans="23:28" ht="13.15" customHeight="1">
      <c r="W222" s="87"/>
      <c r="X222" s="87"/>
      <c r="Y222" s="87"/>
      <c r="Z222" s="87"/>
      <c r="AA222" s="88"/>
      <c r="AB222" s="88"/>
    </row>
    <row r="223" spans="23:28" ht="13.15" customHeight="1">
      <c r="W223" s="87"/>
      <c r="X223" s="87"/>
      <c r="Y223" s="87"/>
      <c r="Z223" s="87"/>
      <c r="AA223" s="88"/>
      <c r="AB223" s="88"/>
    </row>
  </sheetData>
  <mergeCells count="1">
    <mergeCell ref="D3:G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7" tint="0.79998168889431442"/>
  </sheetPr>
  <dimension ref="A1:DR3084"/>
  <sheetViews>
    <sheetView workbookViewId="0">
      <pane xSplit="3" ySplit="1" topLeftCell="S14" activePane="bottomRight" state="frozen"/>
      <selection pane="bottomRight" activeCell="AG30" sqref="AG30"/>
      <selection pane="bottomLeft" activeCell="R25" sqref="R25"/>
      <selection pane="topRight" activeCell="R25" sqref="R25"/>
    </sheetView>
  </sheetViews>
  <sheetFormatPr defaultRowHeight="13.15"/>
  <cols>
    <col min="1" max="1" width="11.1640625" customWidth="1"/>
    <col min="2" max="3" width="9.1640625" bestFit="1" customWidth="1"/>
    <col min="4" max="4" width="13.5" bestFit="1" customWidth="1"/>
    <col min="5" max="6" width="11.33203125" customWidth="1"/>
    <col min="7" max="18" width="9.1640625" bestFit="1" customWidth="1"/>
    <col min="19" max="19" width="14.6640625" style="31" bestFit="1" customWidth="1"/>
    <col min="20" max="20" width="16" style="31" customWidth="1"/>
    <col min="21" max="21" width="8.6640625" style="31" customWidth="1"/>
    <col min="22" max="32" width="8.6640625" customWidth="1"/>
    <col min="33" max="33" width="8.83203125" customWidth="1"/>
    <col min="34" max="34" width="8.83203125" style="31" customWidth="1"/>
    <col min="35" max="47" width="9.1640625" bestFit="1" customWidth="1"/>
    <col min="48" max="48" width="9.5" bestFit="1" customWidth="1"/>
    <col min="49" max="61" width="9.1640625" bestFit="1" customWidth="1"/>
    <col min="63" max="75" width="9.1640625" bestFit="1" customWidth="1"/>
    <col min="77" max="89" width="9.1640625" bestFit="1" customWidth="1"/>
    <col min="91" max="103" width="9.1640625" bestFit="1" customWidth="1"/>
    <col min="105" max="105" width="9.1640625" bestFit="1" customWidth="1"/>
    <col min="106" max="106" width="8.83203125" customWidth="1"/>
    <col min="107" max="117" width="9.1640625" bestFit="1" customWidth="1"/>
    <col min="120" max="122" width="14.1640625" bestFit="1" customWidth="1"/>
  </cols>
  <sheetData>
    <row r="1" spans="1:122">
      <c r="A1" s="9"/>
      <c r="D1" t="s">
        <v>67</v>
      </c>
      <c r="E1" t="s">
        <v>68</v>
      </c>
      <c r="F1" t="s">
        <v>69</v>
      </c>
      <c r="G1" t="s">
        <v>70</v>
      </c>
      <c r="H1" t="s">
        <v>71</v>
      </c>
      <c r="I1" t="s">
        <v>72</v>
      </c>
      <c r="J1" t="s">
        <v>73</v>
      </c>
      <c r="K1" t="s">
        <v>74</v>
      </c>
      <c r="L1" t="s">
        <v>75</v>
      </c>
      <c r="M1" t="s">
        <v>76</v>
      </c>
      <c r="N1" t="s">
        <v>77</v>
      </c>
      <c r="O1" t="s">
        <v>78</v>
      </c>
      <c r="P1" t="s">
        <v>79</v>
      </c>
      <c r="Q1" t="s">
        <v>80</v>
      </c>
      <c r="R1" t="s">
        <v>81</v>
      </c>
      <c r="V1">
        <v>1</v>
      </c>
      <c r="W1">
        <f>V1+1</f>
        <v>2</v>
      </c>
      <c r="X1">
        <f t="shared" ref="X1:AG1" si="0">W1+1</f>
        <v>3</v>
      </c>
      <c r="Y1">
        <f t="shared" si="0"/>
        <v>4</v>
      </c>
      <c r="Z1">
        <f t="shared" si="0"/>
        <v>5</v>
      </c>
      <c r="AA1">
        <f t="shared" si="0"/>
        <v>6</v>
      </c>
      <c r="AB1">
        <f t="shared" si="0"/>
        <v>7</v>
      </c>
      <c r="AC1">
        <f t="shared" si="0"/>
        <v>8</v>
      </c>
      <c r="AD1">
        <f t="shared" si="0"/>
        <v>9</v>
      </c>
      <c r="AE1">
        <f t="shared" si="0"/>
        <v>10</v>
      </c>
      <c r="AF1">
        <f t="shared" si="0"/>
        <v>11</v>
      </c>
      <c r="AG1">
        <f t="shared" si="0"/>
        <v>12</v>
      </c>
      <c r="AJ1">
        <v>1</v>
      </c>
      <c r="AK1">
        <f t="shared" ref="AK1:AU1" si="1">AJ1+1</f>
        <v>2</v>
      </c>
      <c r="AL1">
        <f t="shared" si="1"/>
        <v>3</v>
      </c>
      <c r="AM1">
        <f t="shared" si="1"/>
        <v>4</v>
      </c>
      <c r="AN1">
        <f t="shared" si="1"/>
        <v>5</v>
      </c>
      <c r="AO1">
        <f t="shared" si="1"/>
        <v>6</v>
      </c>
      <c r="AP1">
        <f t="shared" si="1"/>
        <v>7</v>
      </c>
      <c r="AQ1">
        <f t="shared" si="1"/>
        <v>8</v>
      </c>
      <c r="AR1">
        <f t="shared" si="1"/>
        <v>9</v>
      </c>
      <c r="AS1">
        <f t="shared" si="1"/>
        <v>10</v>
      </c>
      <c r="AT1">
        <f t="shared" si="1"/>
        <v>11</v>
      </c>
      <c r="AU1">
        <f t="shared" si="1"/>
        <v>12</v>
      </c>
      <c r="AX1">
        <v>1</v>
      </c>
      <c r="AY1">
        <f>AX1+1</f>
        <v>2</v>
      </c>
      <c r="AZ1">
        <f t="shared" ref="AZ1:BI1" si="2">AY1+1</f>
        <v>3</v>
      </c>
      <c r="BA1">
        <f t="shared" si="2"/>
        <v>4</v>
      </c>
      <c r="BB1">
        <f t="shared" si="2"/>
        <v>5</v>
      </c>
      <c r="BC1">
        <f t="shared" si="2"/>
        <v>6</v>
      </c>
      <c r="BD1">
        <f t="shared" si="2"/>
        <v>7</v>
      </c>
      <c r="BE1">
        <f t="shared" si="2"/>
        <v>8</v>
      </c>
      <c r="BF1">
        <f t="shared" si="2"/>
        <v>9</v>
      </c>
      <c r="BG1">
        <f t="shared" si="2"/>
        <v>10</v>
      </c>
      <c r="BH1">
        <f t="shared" si="2"/>
        <v>11</v>
      </c>
      <c r="BI1">
        <f t="shared" si="2"/>
        <v>12</v>
      </c>
      <c r="BL1">
        <v>1</v>
      </c>
      <c r="BM1">
        <f>BL1+1</f>
        <v>2</v>
      </c>
      <c r="BN1">
        <f t="shared" ref="BN1:BW1" si="3">BM1+1</f>
        <v>3</v>
      </c>
      <c r="BO1">
        <f t="shared" si="3"/>
        <v>4</v>
      </c>
      <c r="BP1">
        <f t="shared" si="3"/>
        <v>5</v>
      </c>
      <c r="BQ1">
        <f t="shared" si="3"/>
        <v>6</v>
      </c>
      <c r="BR1">
        <f t="shared" si="3"/>
        <v>7</v>
      </c>
      <c r="BS1">
        <f t="shared" si="3"/>
        <v>8</v>
      </c>
      <c r="BT1">
        <f t="shared" si="3"/>
        <v>9</v>
      </c>
      <c r="BU1">
        <f t="shared" si="3"/>
        <v>10</v>
      </c>
      <c r="BV1">
        <f t="shared" si="3"/>
        <v>11</v>
      </c>
      <c r="BW1">
        <f t="shared" si="3"/>
        <v>12</v>
      </c>
      <c r="BZ1">
        <v>1</v>
      </c>
      <c r="CA1">
        <f>BZ1+1</f>
        <v>2</v>
      </c>
      <c r="CB1">
        <f t="shared" ref="CB1:CK1" si="4">CA1+1</f>
        <v>3</v>
      </c>
      <c r="CC1">
        <f t="shared" si="4"/>
        <v>4</v>
      </c>
      <c r="CD1">
        <f t="shared" si="4"/>
        <v>5</v>
      </c>
      <c r="CE1">
        <f t="shared" si="4"/>
        <v>6</v>
      </c>
      <c r="CF1">
        <f t="shared" si="4"/>
        <v>7</v>
      </c>
      <c r="CG1">
        <f t="shared" si="4"/>
        <v>8</v>
      </c>
      <c r="CH1">
        <f t="shared" si="4"/>
        <v>9</v>
      </c>
      <c r="CI1">
        <f t="shared" si="4"/>
        <v>10</v>
      </c>
      <c r="CJ1">
        <f t="shared" si="4"/>
        <v>11</v>
      </c>
      <c r="CK1">
        <f t="shared" si="4"/>
        <v>12</v>
      </c>
      <c r="CN1">
        <v>1</v>
      </c>
      <c r="CO1">
        <f>CN1+1</f>
        <v>2</v>
      </c>
      <c r="CP1">
        <f t="shared" ref="CP1:CY1" si="5">CO1+1</f>
        <v>3</v>
      </c>
      <c r="CQ1">
        <f t="shared" si="5"/>
        <v>4</v>
      </c>
      <c r="CR1">
        <f t="shared" si="5"/>
        <v>5</v>
      </c>
      <c r="CS1">
        <f t="shared" si="5"/>
        <v>6</v>
      </c>
      <c r="CT1">
        <f t="shared" si="5"/>
        <v>7</v>
      </c>
      <c r="CU1">
        <f t="shared" si="5"/>
        <v>8</v>
      </c>
      <c r="CV1">
        <f t="shared" si="5"/>
        <v>9</v>
      </c>
      <c r="CW1">
        <f t="shared" si="5"/>
        <v>10</v>
      </c>
      <c r="CX1">
        <f t="shared" si="5"/>
        <v>11</v>
      </c>
      <c r="CY1">
        <f t="shared" si="5"/>
        <v>12</v>
      </c>
      <c r="DB1">
        <v>1</v>
      </c>
      <c r="DC1">
        <f>DB1+1</f>
        <v>2</v>
      </c>
      <c r="DD1">
        <f t="shared" ref="DD1:DM1" si="6">DC1+1</f>
        <v>3</v>
      </c>
      <c r="DE1">
        <f t="shared" si="6"/>
        <v>4</v>
      </c>
      <c r="DF1">
        <f t="shared" si="6"/>
        <v>5</v>
      </c>
      <c r="DG1">
        <f t="shared" si="6"/>
        <v>6</v>
      </c>
      <c r="DH1">
        <f t="shared" si="6"/>
        <v>7</v>
      </c>
      <c r="DI1">
        <f t="shared" si="6"/>
        <v>8</v>
      </c>
      <c r="DJ1">
        <f t="shared" si="6"/>
        <v>9</v>
      </c>
      <c r="DK1">
        <f t="shared" si="6"/>
        <v>10</v>
      </c>
      <c r="DL1">
        <f t="shared" si="6"/>
        <v>11</v>
      </c>
      <c r="DM1">
        <f t="shared" si="6"/>
        <v>12</v>
      </c>
      <c r="DP1" t="str">
        <f>'Monthly Data'!F1</f>
        <v>Res_NoCDM</v>
      </c>
      <c r="DQ1" t="str">
        <f>'Monthly Data'!J1</f>
        <v>GS_lt_50_NoCDM</v>
      </c>
      <c r="DR1" s="8" t="str">
        <f>'Monthly Data'!N1</f>
        <v>GS_gt_50_NoCDM</v>
      </c>
    </row>
    <row r="2" spans="1:122">
      <c r="A2" s="9">
        <v>42370</v>
      </c>
      <c r="B2">
        <v>2016</v>
      </c>
      <c r="C2">
        <v>1</v>
      </c>
      <c r="D2" s="13">
        <v>-8.6215725806451591</v>
      </c>
      <c r="E2" s="14">
        <v>887.26875000000007</v>
      </c>
      <c r="F2" s="14">
        <v>0</v>
      </c>
      <c r="G2" s="14">
        <v>825.26875000000007</v>
      </c>
      <c r="H2" s="14">
        <v>0</v>
      </c>
      <c r="I2" s="14">
        <v>763.26875000000018</v>
      </c>
      <c r="J2" s="14">
        <v>0</v>
      </c>
      <c r="K2" s="14">
        <v>701.26875000000018</v>
      </c>
      <c r="L2" s="14">
        <v>0</v>
      </c>
      <c r="M2" s="14">
        <v>639.26875000000007</v>
      </c>
      <c r="N2" s="14">
        <v>0</v>
      </c>
      <c r="O2" s="14">
        <v>577.26874999999995</v>
      </c>
      <c r="P2" s="14">
        <v>0</v>
      </c>
      <c r="Q2" s="14">
        <v>515.26875000000007</v>
      </c>
      <c r="R2" s="14">
        <v>0</v>
      </c>
      <c r="DP2" s="18">
        <f>'Monthly Data'!F2</f>
        <v>18730.360576923078</v>
      </c>
      <c r="DQ2" s="18">
        <f>'Monthly Data'!J2</f>
        <v>17466.899038461539</v>
      </c>
      <c r="DR2" s="18">
        <f>'Monthly Data'!N2</f>
        <v>15958.100961538461</v>
      </c>
    </row>
    <row r="3" spans="1:122">
      <c r="A3" s="9">
        <v>42401</v>
      </c>
      <c r="B3">
        <v>2016</v>
      </c>
      <c r="C3">
        <v>2</v>
      </c>
      <c r="D3" s="13">
        <v>-9.8030172413793117</v>
      </c>
      <c r="E3" s="14">
        <v>864.28750000000002</v>
      </c>
      <c r="F3" s="14">
        <v>0</v>
      </c>
      <c r="G3" s="14">
        <v>806.28750000000002</v>
      </c>
      <c r="H3" s="14">
        <v>0</v>
      </c>
      <c r="I3" s="14">
        <v>748.28750000000002</v>
      </c>
      <c r="J3" s="14">
        <v>0</v>
      </c>
      <c r="K3" s="14">
        <v>690.28749999999991</v>
      </c>
      <c r="L3" s="14">
        <v>0</v>
      </c>
      <c r="M3" s="14">
        <v>632.28750000000014</v>
      </c>
      <c r="N3" s="14">
        <v>0</v>
      </c>
      <c r="O3" s="14">
        <v>574.28750000000002</v>
      </c>
      <c r="P3" s="14">
        <v>0</v>
      </c>
      <c r="Q3" s="14">
        <v>516.28750000000002</v>
      </c>
      <c r="R3" s="14">
        <v>0</v>
      </c>
      <c r="U3" s="113" t="s">
        <v>68</v>
      </c>
      <c r="V3" s="327" t="s">
        <v>82</v>
      </c>
      <c r="W3" s="327" t="s">
        <v>83</v>
      </c>
      <c r="X3" s="327" t="s">
        <v>84</v>
      </c>
      <c r="Y3" s="327" t="s">
        <v>85</v>
      </c>
      <c r="Z3" s="327" t="s">
        <v>86</v>
      </c>
      <c r="AA3" s="327" t="s">
        <v>165</v>
      </c>
      <c r="AB3" s="327" t="s">
        <v>166</v>
      </c>
      <c r="AC3" s="327" t="s">
        <v>167</v>
      </c>
      <c r="AD3" s="327" t="s">
        <v>90</v>
      </c>
      <c r="AE3" s="327" t="s">
        <v>91</v>
      </c>
      <c r="AF3" s="327" t="s">
        <v>92</v>
      </c>
      <c r="AG3" s="327" t="s">
        <v>93</v>
      </c>
      <c r="AI3" s="113" t="s">
        <v>70</v>
      </c>
      <c r="AJ3" s="327" t="s">
        <v>82</v>
      </c>
      <c r="AK3" s="327" t="s">
        <v>83</v>
      </c>
      <c r="AL3" s="327" t="s">
        <v>84</v>
      </c>
      <c r="AM3" s="327" t="s">
        <v>85</v>
      </c>
      <c r="AN3" s="327" t="s">
        <v>86</v>
      </c>
      <c r="AO3" s="327" t="s">
        <v>165</v>
      </c>
      <c r="AP3" s="327" t="s">
        <v>166</v>
      </c>
      <c r="AQ3" s="327" t="s">
        <v>167</v>
      </c>
      <c r="AR3" s="327" t="s">
        <v>90</v>
      </c>
      <c r="AS3" s="327" t="s">
        <v>91</v>
      </c>
      <c r="AT3" s="327" t="s">
        <v>92</v>
      </c>
      <c r="AU3" s="327" t="s">
        <v>93</v>
      </c>
      <c r="AW3" s="113" t="s">
        <v>72</v>
      </c>
      <c r="AX3" s="327" t="s">
        <v>82</v>
      </c>
      <c r="AY3" s="327" t="s">
        <v>83</v>
      </c>
      <c r="AZ3" s="327" t="s">
        <v>84</v>
      </c>
      <c r="BA3" s="327" t="s">
        <v>85</v>
      </c>
      <c r="BB3" s="327" t="s">
        <v>86</v>
      </c>
      <c r="BC3" s="327" t="s">
        <v>165</v>
      </c>
      <c r="BD3" s="327" t="s">
        <v>166</v>
      </c>
      <c r="BE3" s="327" t="s">
        <v>167</v>
      </c>
      <c r="BF3" s="327" t="s">
        <v>90</v>
      </c>
      <c r="BG3" s="327" t="s">
        <v>91</v>
      </c>
      <c r="BH3" s="327" t="s">
        <v>92</v>
      </c>
      <c r="BI3" s="327" t="s">
        <v>93</v>
      </c>
      <c r="BK3" s="113" t="s">
        <v>74</v>
      </c>
      <c r="BL3" s="327" t="s">
        <v>82</v>
      </c>
      <c r="BM3" s="327" t="s">
        <v>83</v>
      </c>
      <c r="BN3" s="327" t="s">
        <v>84</v>
      </c>
      <c r="BO3" s="327" t="s">
        <v>85</v>
      </c>
      <c r="BP3" s="327" t="s">
        <v>86</v>
      </c>
      <c r="BQ3" s="327" t="s">
        <v>165</v>
      </c>
      <c r="BR3" s="327" t="s">
        <v>166</v>
      </c>
      <c r="BS3" s="327" t="s">
        <v>167</v>
      </c>
      <c r="BT3" s="327" t="s">
        <v>90</v>
      </c>
      <c r="BU3" s="327" t="s">
        <v>91</v>
      </c>
      <c r="BV3" s="327" t="s">
        <v>92</v>
      </c>
      <c r="BW3" s="327" t="s">
        <v>93</v>
      </c>
      <c r="BY3" s="113" t="s">
        <v>76</v>
      </c>
      <c r="BZ3" s="327" t="s">
        <v>82</v>
      </c>
      <c r="CA3" s="327" t="s">
        <v>83</v>
      </c>
      <c r="CB3" s="327" t="s">
        <v>84</v>
      </c>
      <c r="CC3" s="327" t="s">
        <v>85</v>
      </c>
      <c r="CD3" s="327" t="s">
        <v>86</v>
      </c>
      <c r="CE3" s="327" t="s">
        <v>165</v>
      </c>
      <c r="CF3" s="327" t="s">
        <v>166</v>
      </c>
      <c r="CG3" s="327" t="s">
        <v>167</v>
      </c>
      <c r="CH3" s="327" t="s">
        <v>90</v>
      </c>
      <c r="CI3" s="327" t="s">
        <v>91</v>
      </c>
      <c r="CJ3" s="327" t="s">
        <v>92</v>
      </c>
      <c r="CK3" s="327" t="s">
        <v>93</v>
      </c>
      <c r="CM3" s="113" t="s">
        <v>78</v>
      </c>
      <c r="CN3" s="327" t="s">
        <v>82</v>
      </c>
      <c r="CO3" s="327" t="s">
        <v>83</v>
      </c>
      <c r="CP3" s="327" t="s">
        <v>84</v>
      </c>
      <c r="CQ3" s="327" t="s">
        <v>85</v>
      </c>
      <c r="CR3" s="327" t="s">
        <v>86</v>
      </c>
      <c r="CS3" s="327" t="s">
        <v>165</v>
      </c>
      <c r="CT3" s="327" t="s">
        <v>166</v>
      </c>
      <c r="CU3" s="327" t="s">
        <v>167</v>
      </c>
      <c r="CV3" s="327" t="s">
        <v>90</v>
      </c>
      <c r="CW3" s="327" t="s">
        <v>91</v>
      </c>
      <c r="CX3" s="327" t="s">
        <v>92</v>
      </c>
      <c r="CY3" s="327" t="s">
        <v>93</v>
      </c>
      <c r="DA3" s="113" t="s">
        <v>80</v>
      </c>
      <c r="DB3" s="327" t="s">
        <v>82</v>
      </c>
      <c r="DC3" s="327" t="s">
        <v>83</v>
      </c>
      <c r="DD3" s="327" t="s">
        <v>84</v>
      </c>
      <c r="DE3" s="327" t="s">
        <v>85</v>
      </c>
      <c r="DF3" s="327" t="s">
        <v>86</v>
      </c>
      <c r="DG3" s="327" t="s">
        <v>165</v>
      </c>
      <c r="DH3" s="327" t="s">
        <v>166</v>
      </c>
      <c r="DI3" s="327" t="s">
        <v>167</v>
      </c>
      <c r="DJ3" s="327" t="s">
        <v>90</v>
      </c>
      <c r="DK3" s="327" t="s">
        <v>91</v>
      </c>
      <c r="DL3" s="327" t="s">
        <v>92</v>
      </c>
      <c r="DM3" s="327" t="s">
        <v>93</v>
      </c>
      <c r="DP3" s="18">
        <f>'Monthly Data'!F3</f>
        <v>21227.741987179485</v>
      </c>
      <c r="DQ3" s="18">
        <f>'Monthly Data'!J3</f>
        <v>19795.81891025641</v>
      </c>
      <c r="DR3" s="18">
        <f>'Monthly Data'!N3</f>
        <v>18085.847756410258</v>
      </c>
    </row>
    <row r="4" spans="1:122">
      <c r="A4" s="9">
        <v>42430</v>
      </c>
      <c r="B4">
        <v>2016</v>
      </c>
      <c r="C4">
        <v>3</v>
      </c>
      <c r="D4" s="13">
        <v>-2.3917338709677409</v>
      </c>
      <c r="E4" s="14">
        <v>694.14374999999995</v>
      </c>
      <c r="F4" s="14">
        <v>0</v>
      </c>
      <c r="G4" s="14">
        <v>632.14374999999984</v>
      </c>
      <c r="H4" s="14">
        <v>0</v>
      </c>
      <c r="I4" s="14">
        <v>570.14374999999995</v>
      </c>
      <c r="J4" s="14">
        <v>0</v>
      </c>
      <c r="K4" s="14">
        <v>508.14374999999995</v>
      </c>
      <c r="L4" s="14">
        <v>0</v>
      </c>
      <c r="M4" s="14">
        <v>446.14374999999995</v>
      </c>
      <c r="N4" s="14">
        <v>0</v>
      </c>
      <c r="O4" s="14">
        <v>384.14374999999995</v>
      </c>
      <c r="P4" s="14">
        <v>0</v>
      </c>
      <c r="Q4" s="14">
        <v>322.14374999999995</v>
      </c>
      <c r="R4" s="14">
        <v>0</v>
      </c>
      <c r="S4" s="30"/>
      <c r="U4">
        <v>2016</v>
      </c>
      <c r="V4" s="13">
        <f t="shared" ref="V4:AG13" si="7">SUMIFS($E:$E,$B:$B,$U4,$C:$C,V$1)</f>
        <v>887.26875000000007</v>
      </c>
      <c r="W4" s="13">
        <f t="shared" si="7"/>
        <v>864.28750000000002</v>
      </c>
      <c r="X4" s="13">
        <f t="shared" si="7"/>
        <v>694.14374999999995</v>
      </c>
      <c r="Y4" s="13">
        <f t="shared" si="7"/>
        <v>544.44166666666672</v>
      </c>
      <c r="Z4" s="13">
        <f t="shared" si="7"/>
        <v>215.85833333333335</v>
      </c>
      <c r="AA4" s="13">
        <f t="shared" si="7"/>
        <v>99.395833333333343</v>
      </c>
      <c r="AB4" s="13">
        <f t="shared" si="7"/>
        <v>31.595833333333335</v>
      </c>
      <c r="AC4" s="13">
        <f t="shared" si="7"/>
        <v>19.462499999999999</v>
      </c>
      <c r="AD4" s="13">
        <f t="shared" si="7"/>
        <v>150.00416666666666</v>
      </c>
      <c r="AE4" s="13">
        <f t="shared" si="7"/>
        <v>371.38749999999993</v>
      </c>
      <c r="AF4" s="13">
        <f t="shared" si="7"/>
        <v>532.77083333333348</v>
      </c>
      <c r="AG4" s="13">
        <f t="shared" si="7"/>
        <v>812.63333333333298</v>
      </c>
      <c r="AH4" s="556">
        <f>SUM(V4:AG4)</f>
        <v>5223.25</v>
      </c>
      <c r="AI4">
        <v>2016</v>
      </c>
      <c r="AJ4" s="14">
        <f>SUMIFS($G:$G,$B:$B,$AI4,$C:$C,AJ$1)</f>
        <v>825.26875000000007</v>
      </c>
      <c r="AK4" s="14">
        <f t="shared" ref="AK4:AU4" si="8">SUMIFS($G:$G,$B:$B,$AI4,$C:$C,AK$1)</f>
        <v>806.28750000000002</v>
      </c>
      <c r="AL4" s="14">
        <f t="shared" si="8"/>
        <v>632.14374999999984</v>
      </c>
      <c r="AM4" s="14">
        <f t="shared" si="8"/>
        <v>484.44166666666678</v>
      </c>
      <c r="AN4" s="14">
        <f t="shared" si="8"/>
        <v>163.84583333333336</v>
      </c>
      <c r="AO4" s="14">
        <f t="shared" si="8"/>
        <v>59.649999999999984</v>
      </c>
      <c r="AP4" s="14">
        <f t="shared" si="8"/>
        <v>7.4374999999999911</v>
      </c>
      <c r="AQ4" s="14">
        <f t="shared" si="8"/>
        <v>3.7374999999999989</v>
      </c>
      <c r="AR4" s="14">
        <f t="shared" si="8"/>
        <v>100.48333333333336</v>
      </c>
      <c r="AS4" s="14">
        <f t="shared" si="8"/>
        <v>309.38749999999999</v>
      </c>
      <c r="AT4" s="14">
        <f t="shared" si="8"/>
        <v>472.77083333333337</v>
      </c>
      <c r="AU4" s="14">
        <f t="shared" si="8"/>
        <v>750.63333333333298</v>
      </c>
      <c r="AV4" s="556">
        <f>SUM(AJ4:AU4)</f>
        <v>4616.0874999999996</v>
      </c>
      <c r="AW4">
        <v>2016</v>
      </c>
      <c r="AX4" s="14">
        <f>SUMIFS($I:$I,$B:$B,$AW4,$C:$C,AX$1)</f>
        <v>763.26875000000018</v>
      </c>
      <c r="AY4" s="14">
        <f t="shared" ref="AY4:BI4" si="9">SUMIFS($I:$I,$B:$B,$AW4,$C:$C,AY$1)</f>
        <v>748.28750000000002</v>
      </c>
      <c r="AZ4" s="14">
        <f t="shared" si="9"/>
        <v>570.14374999999995</v>
      </c>
      <c r="BA4" s="14">
        <f t="shared" si="9"/>
        <v>424.44166666666678</v>
      </c>
      <c r="BB4" s="14">
        <f t="shared" si="9"/>
        <v>118.72916666666667</v>
      </c>
      <c r="BC4" s="14">
        <f t="shared" si="9"/>
        <v>34.066666666666663</v>
      </c>
      <c r="BD4" s="14">
        <f t="shared" si="9"/>
        <v>0.48749999999999538</v>
      </c>
      <c r="BE4" s="14">
        <f t="shared" si="9"/>
        <v>1.1124999999999989</v>
      </c>
      <c r="BF4" s="14">
        <f t="shared" si="9"/>
        <v>59.129166666666684</v>
      </c>
      <c r="BG4" s="14">
        <f t="shared" si="9"/>
        <v>248.13333333333335</v>
      </c>
      <c r="BH4" s="14">
        <f t="shared" si="9"/>
        <v>412.77083333333337</v>
      </c>
      <c r="BI4" s="14">
        <f t="shared" si="9"/>
        <v>688.63333333333298</v>
      </c>
      <c r="BJ4" s="556">
        <f>SUM(AX4:BI4)</f>
        <v>4069.2041666666664</v>
      </c>
      <c r="BK4">
        <v>2016</v>
      </c>
      <c r="BL4" s="14">
        <f>SUMIFS($K:$K,$B:$B,$BK4,$C:$C,BL$1)</f>
        <v>701.26875000000018</v>
      </c>
      <c r="BM4" s="14">
        <f t="shared" ref="BM4:BW4" si="10">SUMIFS($K:$K,$B:$B,$BK4,$C:$C,BM$1)</f>
        <v>690.28749999999991</v>
      </c>
      <c r="BN4" s="14">
        <f t="shared" si="10"/>
        <v>508.14374999999995</v>
      </c>
      <c r="BO4" s="14">
        <f t="shared" si="10"/>
        <v>364.44166666666678</v>
      </c>
      <c r="BP4" s="14">
        <f t="shared" si="10"/>
        <v>82.825000000000003</v>
      </c>
      <c r="BQ4" s="14">
        <f t="shared" si="10"/>
        <v>16.004166666666663</v>
      </c>
      <c r="BR4" s="14">
        <f t="shared" si="10"/>
        <v>0</v>
      </c>
      <c r="BS4" s="14">
        <f t="shared" si="10"/>
        <v>0</v>
      </c>
      <c r="BT4" s="14">
        <f t="shared" si="10"/>
        <v>29.37916666666667</v>
      </c>
      <c r="BU4" s="14">
        <f t="shared" si="10"/>
        <v>191.43333333333337</v>
      </c>
      <c r="BV4" s="14">
        <f t="shared" si="10"/>
        <v>352.77083333333331</v>
      </c>
      <c r="BW4" s="14">
        <f t="shared" si="10"/>
        <v>626.63333333333321</v>
      </c>
      <c r="BX4" s="556">
        <f>SUM(BL4:BW4)</f>
        <v>3563.1875</v>
      </c>
      <c r="BY4">
        <v>2016</v>
      </c>
      <c r="BZ4" s="14">
        <f>SUMIFS($M:$M,$B:$B,$BY4,$C:$C,BZ$1)</f>
        <v>639.26875000000007</v>
      </c>
      <c r="CA4" s="14">
        <f t="shared" ref="CA4:CK4" si="11">SUMIFS($M:$M,$B:$B,$BY4,$C:$C,CA$1)</f>
        <v>632.28750000000014</v>
      </c>
      <c r="CB4" s="14">
        <f t="shared" si="11"/>
        <v>446.14374999999995</v>
      </c>
      <c r="CC4" s="14">
        <f t="shared" si="11"/>
        <v>304.44166666666672</v>
      </c>
      <c r="CD4" s="14">
        <f t="shared" si="11"/>
        <v>52.483333333333327</v>
      </c>
      <c r="CE4" s="14">
        <f t="shared" si="11"/>
        <v>5.6750000000000007</v>
      </c>
      <c r="CF4" s="14">
        <f t="shared" si="11"/>
        <v>0</v>
      </c>
      <c r="CG4" s="14">
        <f t="shared" si="11"/>
        <v>0</v>
      </c>
      <c r="CH4" s="14">
        <f t="shared" si="11"/>
        <v>11.945833333333336</v>
      </c>
      <c r="CI4" s="14">
        <f t="shared" si="11"/>
        <v>142.60416666666669</v>
      </c>
      <c r="CJ4" s="14">
        <f t="shared" si="11"/>
        <v>292.77083333333326</v>
      </c>
      <c r="CK4" s="14">
        <f t="shared" si="11"/>
        <v>564.63333333333344</v>
      </c>
      <c r="CL4" s="556">
        <f>SUM(BZ4:CK4)</f>
        <v>3092.2541666666666</v>
      </c>
      <c r="CM4">
        <v>2016</v>
      </c>
      <c r="CN4" s="14">
        <f>SUMIFS($O:$O,$B:$B,$CM4,$C:$C,CN$1)</f>
        <v>577.26874999999995</v>
      </c>
      <c r="CO4" s="14">
        <f t="shared" ref="CO4:CY4" si="12">SUMIFS($O:$O,$B:$B,$CM4,$C:$C,CO$1)</f>
        <v>574.28750000000002</v>
      </c>
      <c r="CP4" s="14">
        <f t="shared" si="12"/>
        <v>384.14374999999995</v>
      </c>
      <c r="CQ4" s="14">
        <f t="shared" si="12"/>
        <v>244.44166666666663</v>
      </c>
      <c r="CR4" s="14">
        <f t="shared" si="12"/>
        <v>29.30833333333333</v>
      </c>
      <c r="CS4" s="14">
        <f t="shared" si="12"/>
        <v>0.97083333333333321</v>
      </c>
      <c r="CT4" s="14">
        <f t="shared" si="12"/>
        <v>0</v>
      </c>
      <c r="CU4" s="14">
        <f t="shared" si="12"/>
        <v>0</v>
      </c>
      <c r="CV4" s="14">
        <f t="shared" si="12"/>
        <v>3.5333333333333341</v>
      </c>
      <c r="CW4" s="14">
        <f t="shared" si="12"/>
        <v>102.47500000000001</v>
      </c>
      <c r="CX4" s="14">
        <f t="shared" si="12"/>
        <v>232.77083333333337</v>
      </c>
      <c r="CY4" s="14">
        <f t="shared" si="12"/>
        <v>502.63333333333327</v>
      </c>
      <c r="CZ4" s="556">
        <f>SUM(CN4:CY4)</f>
        <v>2651.833333333333</v>
      </c>
      <c r="DA4">
        <v>2016</v>
      </c>
      <c r="DB4" s="14">
        <f>SUMIFS($Q:$Q,$B:$B,$DA4,$C:$C,DB$1)</f>
        <v>515.26875000000007</v>
      </c>
      <c r="DC4" s="14">
        <f t="shared" ref="DC4:DM4" si="13">SUMIFS($Q:$Q,$B:$B,$DA4,$C:$C,DC$1)</f>
        <v>516.28750000000002</v>
      </c>
      <c r="DD4" s="14">
        <f t="shared" si="13"/>
        <v>322.14374999999995</v>
      </c>
      <c r="DE4" s="14">
        <f t="shared" si="13"/>
        <v>187.72916666666663</v>
      </c>
      <c r="DF4" s="14">
        <f t="shared" si="13"/>
        <v>14.225000000000001</v>
      </c>
      <c r="DG4" s="14">
        <f t="shared" si="13"/>
        <v>0</v>
      </c>
      <c r="DH4" s="14">
        <f t="shared" si="13"/>
        <v>0</v>
      </c>
      <c r="DI4" s="14">
        <f t="shared" si="13"/>
        <v>0</v>
      </c>
      <c r="DJ4" s="14">
        <f t="shared" si="13"/>
        <v>3.3333333333334103E-2</v>
      </c>
      <c r="DK4" s="14">
        <f t="shared" si="13"/>
        <v>67.654166666666683</v>
      </c>
      <c r="DL4" s="14">
        <f t="shared" si="13"/>
        <v>172.77083333333337</v>
      </c>
      <c r="DM4" s="14">
        <f t="shared" si="13"/>
        <v>440.63333333333327</v>
      </c>
      <c r="DN4" s="556">
        <f>SUM(DB4:DM4)</f>
        <v>2236.7458333333334</v>
      </c>
      <c r="DO4" s="556"/>
      <c r="DP4" s="18">
        <f>'Monthly Data'!F4</f>
        <v>23725.123397435898</v>
      </c>
      <c r="DQ4" s="18">
        <f>'Monthly Data'!J4</f>
        <v>22124.738782051281</v>
      </c>
      <c r="DR4" s="18">
        <f>'Monthly Data'!N4</f>
        <v>20213.594551282051</v>
      </c>
    </row>
    <row r="5" spans="1:122">
      <c r="A5" s="9">
        <v>42461</v>
      </c>
      <c r="B5">
        <v>2016</v>
      </c>
      <c r="C5">
        <v>4</v>
      </c>
      <c r="D5" s="13">
        <v>1.8519444444444446</v>
      </c>
      <c r="E5" s="14">
        <v>544.44166666666672</v>
      </c>
      <c r="F5" s="14">
        <v>0</v>
      </c>
      <c r="G5" s="14">
        <v>484.44166666666678</v>
      </c>
      <c r="H5" s="14">
        <v>0</v>
      </c>
      <c r="I5" s="14">
        <v>424.44166666666678</v>
      </c>
      <c r="J5" s="14">
        <v>0</v>
      </c>
      <c r="K5" s="14">
        <v>364.44166666666678</v>
      </c>
      <c r="L5" s="14">
        <v>0</v>
      </c>
      <c r="M5" s="14">
        <v>304.44166666666672</v>
      </c>
      <c r="N5" s="14">
        <v>0</v>
      </c>
      <c r="O5" s="14">
        <v>244.44166666666663</v>
      </c>
      <c r="P5" s="14">
        <v>0</v>
      </c>
      <c r="Q5" s="14">
        <v>187.72916666666663</v>
      </c>
      <c r="R5" s="14">
        <v>3.2875000000000014</v>
      </c>
      <c r="S5" s="30"/>
      <c r="U5">
        <f t="shared" ref="U5:U13" si="14">U4+1</f>
        <v>2017</v>
      </c>
      <c r="V5" s="13">
        <f t="shared" si="7"/>
        <v>835.17083333333335</v>
      </c>
      <c r="W5" s="13">
        <f t="shared" si="7"/>
        <v>738.8125</v>
      </c>
      <c r="X5" s="13">
        <f t="shared" si="7"/>
        <v>818.92500000000018</v>
      </c>
      <c r="Y5" s="13">
        <f t="shared" si="7"/>
        <v>427.46041666666662</v>
      </c>
      <c r="Z5" s="13">
        <f t="shared" si="7"/>
        <v>278.46250000000009</v>
      </c>
      <c r="AA5" s="13">
        <f t="shared" si="7"/>
        <v>107.97500000000002</v>
      </c>
      <c r="AB5" s="13">
        <f t="shared" si="7"/>
        <v>38.441666666666649</v>
      </c>
      <c r="AC5" s="13">
        <f t="shared" si="7"/>
        <v>86.879166666666663</v>
      </c>
      <c r="AD5" s="13">
        <f t="shared" si="7"/>
        <v>140.68333333333331</v>
      </c>
      <c r="AE5" s="13">
        <f t="shared" si="7"/>
        <v>297.41041666666666</v>
      </c>
      <c r="AF5" s="13">
        <f t="shared" si="7"/>
        <v>625.73333333333346</v>
      </c>
      <c r="AG5" s="13">
        <f t="shared" si="7"/>
        <v>954.57499999999993</v>
      </c>
      <c r="AH5" s="556">
        <f t="shared" ref="AH5:AH15" si="15">SUM(V5:AG5)</f>
        <v>5350.5291666666672</v>
      </c>
      <c r="AI5">
        <f t="shared" ref="AI5:AI13" si="16">AI4+1</f>
        <v>2017</v>
      </c>
      <c r="AJ5" s="14">
        <f t="shared" ref="AJ5:AU13" si="17">SUMIFS($G:$G,$B:$B,$AI5,$C:$C,AJ$1)</f>
        <v>773.17083333333323</v>
      </c>
      <c r="AK5" s="14">
        <f t="shared" si="17"/>
        <v>682.81249999999989</v>
      </c>
      <c r="AL5" s="14">
        <f t="shared" si="17"/>
        <v>756.92500000000018</v>
      </c>
      <c r="AM5" s="14">
        <f t="shared" si="17"/>
        <v>367.46041666666656</v>
      </c>
      <c r="AN5" s="14">
        <f t="shared" si="17"/>
        <v>220.46250000000003</v>
      </c>
      <c r="AO5" s="14">
        <f t="shared" si="17"/>
        <v>64.375</v>
      </c>
      <c r="AP5" s="14">
        <f t="shared" si="17"/>
        <v>10.187499999999986</v>
      </c>
      <c r="AQ5" s="14">
        <f t="shared" si="17"/>
        <v>42.45</v>
      </c>
      <c r="AR5" s="14">
        <f t="shared" si="17"/>
        <v>98.341666666666669</v>
      </c>
      <c r="AS5" s="14">
        <f t="shared" si="17"/>
        <v>235.46875000000003</v>
      </c>
      <c r="AT5" s="14">
        <f t="shared" si="17"/>
        <v>565.73333333333335</v>
      </c>
      <c r="AU5" s="14">
        <f t="shared" si="17"/>
        <v>892.57499999999993</v>
      </c>
      <c r="AV5" s="556">
        <f t="shared" ref="AV5:AV15" si="18">SUM(AJ5:AU5)</f>
        <v>4709.9624999999996</v>
      </c>
      <c r="AW5">
        <f t="shared" ref="AW5:AW13" si="19">AW4+1</f>
        <v>2017</v>
      </c>
      <c r="AX5" s="14">
        <f t="shared" ref="AX5:BI13" si="20">SUMIFS($I:$I,$B:$B,$AW5,$C:$C,AX$1)</f>
        <v>711.17083333333323</v>
      </c>
      <c r="AY5" s="14">
        <f t="shared" si="20"/>
        <v>626.81249999999989</v>
      </c>
      <c r="AZ5" s="14">
        <f t="shared" si="20"/>
        <v>694.92500000000018</v>
      </c>
      <c r="BA5" s="14">
        <f t="shared" si="20"/>
        <v>308.53541666666661</v>
      </c>
      <c r="BB5" s="14">
        <f t="shared" si="20"/>
        <v>164.31250000000006</v>
      </c>
      <c r="BC5" s="14">
        <f t="shared" si="20"/>
        <v>32.725000000000009</v>
      </c>
      <c r="BD5" s="14">
        <f t="shared" si="20"/>
        <v>1.5333333333333314</v>
      </c>
      <c r="BE5" s="14">
        <f t="shared" si="20"/>
        <v>15.804166666666667</v>
      </c>
      <c r="BF5" s="14">
        <f t="shared" si="20"/>
        <v>64.883333333333326</v>
      </c>
      <c r="BG5" s="14">
        <f t="shared" si="20"/>
        <v>177.1020833333333</v>
      </c>
      <c r="BH5" s="14">
        <f t="shared" si="20"/>
        <v>505.73333333333341</v>
      </c>
      <c r="BI5" s="14">
        <f t="shared" si="20"/>
        <v>830.57499999999993</v>
      </c>
      <c r="BJ5" s="556">
        <f t="shared" ref="BJ5:BJ15" si="21">SUM(AX5:BI5)</f>
        <v>4134.1125000000002</v>
      </c>
      <c r="BK5">
        <f t="shared" ref="BK5:BK13" si="22">BK4+1</f>
        <v>2017</v>
      </c>
      <c r="BL5" s="14">
        <f t="shared" ref="BL5:BW13" si="23">SUMIFS($K:$K,$B:$B,$BK5,$C:$C,BL$1)</f>
        <v>649.17083333333323</v>
      </c>
      <c r="BM5" s="14">
        <f t="shared" si="23"/>
        <v>570.8125</v>
      </c>
      <c r="BN5" s="14">
        <f t="shared" si="23"/>
        <v>632.92500000000007</v>
      </c>
      <c r="BO5" s="14">
        <f t="shared" si="23"/>
        <v>250.53541666666669</v>
      </c>
      <c r="BP5" s="14">
        <f t="shared" si="23"/>
        <v>118.09166666666667</v>
      </c>
      <c r="BQ5" s="14">
        <f t="shared" si="23"/>
        <v>11.183333333333339</v>
      </c>
      <c r="BR5" s="14">
        <f t="shared" si="23"/>
        <v>0</v>
      </c>
      <c r="BS5" s="14">
        <f t="shared" si="23"/>
        <v>3.6583333333333332</v>
      </c>
      <c r="BT5" s="14">
        <f t="shared" si="23"/>
        <v>37.195833333333326</v>
      </c>
      <c r="BU5" s="14">
        <f t="shared" si="23"/>
        <v>121.93958333333333</v>
      </c>
      <c r="BV5" s="14">
        <f t="shared" si="23"/>
        <v>445.73333333333335</v>
      </c>
      <c r="BW5" s="14">
        <f t="shared" si="23"/>
        <v>768.57499999999993</v>
      </c>
      <c r="BX5" s="556">
        <f t="shared" ref="BX5:BX15" si="24">SUM(BL5:BW5)</f>
        <v>3609.8208333333332</v>
      </c>
      <c r="BY5">
        <f t="shared" ref="BY5:BY13" si="25">BY4+1</f>
        <v>2017</v>
      </c>
      <c r="BZ5" s="14">
        <f t="shared" ref="BZ5:CK13" si="26">SUMIFS($M:$M,$B:$B,$BY5,$C:$C,BZ$1)</f>
        <v>587.17083333333335</v>
      </c>
      <c r="CA5" s="14">
        <f t="shared" si="26"/>
        <v>514.8125</v>
      </c>
      <c r="CB5" s="14">
        <f t="shared" si="26"/>
        <v>570.92500000000007</v>
      </c>
      <c r="CC5" s="14">
        <f t="shared" si="26"/>
        <v>193.92291666666668</v>
      </c>
      <c r="CD5" s="14">
        <f t="shared" si="26"/>
        <v>80.666666666666671</v>
      </c>
      <c r="CE5" s="14">
        <f t="shared" si="26"/>
        <v>2.0500000000000025</v>
      </c>
      <c r="CF5" s="14">
        <f t="shared" si="26"/>
        <v>0</v>
      </c>
      <c r="CG5" s="14">
        <f t="shared" si="26"/>
        <v>0.625</v>
      </c>
      <c r="CH5" s="14">
        <f t="shared" si="26"/>
        <v>18.191666666666656</v>
      </c>
      <c r="CI5" s="14">
        <f t="shared" si="26"/>
        <v>80.731250000000003</v>
      </c>
      <c r="CJ5" s="14">
        <f t="shared" si="26"/>
        <v>385.73333333333341</v>
      </c>
      <c r="CK5" s="14">
        <f t="shared" si="26"/>
        <v>706.57499999999993</v>
      </c>
      <c r="CL5" s="556">
        <f t="shared" ref="CL5:CL15" si="27">SUM(BZ5:CK5)</f>
        <v>3141.4041666666667</v>
      </c>
      <c r="CM5">
        <f t="shared" ref="CM5:CM13" si="28">CM4+1</f>
        <v>2017</v>
      </c>
      <c r="CN5" s="14">
        <f t="shared" ref="CN5:CY13" si="29">SUMIFS($O:$O,$B:$B,$CM5,$C:$C,CN$1)</f>
        <v>525.17083333333335</v>
      </c>
      <c r="CO5" s="14">
        <f t="shared" si="29"/>
        <v>458.8125</v>
      </c>
      <c r="CP5" s="14">
        <f t="shared" si="29"/>
        <v>508.92500000000001</v>
      </c>
      <c r="CQ5" s="14">
        <f t="shared" si="29"/>
        <v>141.15625</v>
      </c>
      <c r="CR5" s="14">
        <f t="shared" si="29"/>
        <v>50.104166666666664</v>
      </c>
      <c r="CS5" s="14">
        <f t="shared" si="29"/>
        <v>0</v>
      </c>
      <c r="CT5" s="14">
        <f t="shared" si="29"/>
        <v>0</v>
      </c>
      <c r="CU5" s="14">
        <f t="shared" si="29"/>
        <v>0</v>
      </c>
      <c r="CV5" s="14">
        <f t="shared" si="29"/>
        <v>6.5958333333333314</v>
      </c>
      <c r="CW5" s="14">
        <f t="shared" si="29"/>
        <v>49.639583333333334</v>
      </c>
      <c r="CX5" s="14">
        <f t="shared" si="29"/>
        <v>325.73333333333335</v>
      </c>
      <c r="CY5" s="14">
        <f t="shared" si="29"/>
        <v>644.57499999999993</v>
      </c>
      <c r="CZ5" s="556">
        <f t="shared" ref="CZ5:CZ15" si="30">SUM(CN5:CY5)</f>
        <v>2710.7124999999996</v>
      </c>
      <c r="DA5">
        <f t="shared" ref="DA5:DA13" si="31">DA4+1</f>
        <v>2017</v>
      </c>
      <c r="DB5" s="14">
        <f t="shared" ref="DB5:DM13" si="32">SUMIFS($Q:$Q,$B:$B,$DA5,$C:$C,DB$1)</f>
        <v>463.17083333333329</v>
      </c>
      <c r="DC5" s="14">
        <f t="shared" si="32"/>
        <v>402.8125</v>
      </c>
      <c r="DD5" s="14">
        <f t="shared" si="32"/>
        <v>446.92499999999995</v>
      </c>
      <c r="DE5" s="14">
        <f t="shared" si="32"/>
        <v>89.68958333333336</v>
      </c>
      <c r="DF5" s="14">
        <f t="shared" si="32"/>
        <v>29.320833333333336</v>
      </c>
      <c r="DG5" s="14">
        <f t="shared" si="32"/>
        <v>0</v>
      </c>
      <c r="DH5" s="14">
        <f t="shared" si="32"/>
        <v>0</v>
      </c>
      <c r="DI5" s="14">
        <f t="shared" si="32"/>
        <v>0</v>
      </c>
      <c r="DJ5" s="14">
        <f t="shared" si="32"/>
        <v>2.0833333333333321</v>
      </c>
      <c r="DK5" s="14">
        <f t="shared" si="32"/>
        <v>26.377083333333339</v>
      </c>
      <c r="DL5" s="14">
        <f t="shared" si="32"/>
        <v>265.73333333333329</v>
      </c>
      <c r="DM5" s="14">
        <f t="shared" si="32"/>
        <v>582.57499999999993</v>
      </c>
      <c r="DN5" s="556">
        <f t="shared" ref="DN5:DN15" si="33">SUM(DB5:DM5)</f>
        <v>2308.6875</v>
      </c>
      <c r="DO5" s="556"/>
      <c r="DP5" s="18">
        <f>'Monthly Data'!F5</f>
        <v>26222.504807692305</v>
      </c>
      <c r="DQ5" s="18">
        <f>'Monthly Data'!J5</f>
        <v>24453.658653846152</v>
      </c>
      <c r="DR5" s="18">
        <f>'Monthly Data'!N5</f>
        <v>22341.341346153844</v>
      </c>
    </row>
    <row r="6" spans="1:122">
      <c r="A6" s="9">
        <v>42491</v>
      </c>
      <c r="B6">
        <v>2016</v>
      </c>
      <c r="C6">
        <v>5</v>
      </c>
      <c r="D6" s="13">
        <v>13.282123655913979</v>
      </c>
      <c r="E6" s="14">
        <v>215.85833333333335</v>
      </c>
      <c r="F6" s="14">
        <v>7.6041666666666643</v>
      </c>
      <c r="G6" s="14">
        <v>163.84583333333336</v>
      </c>
      <c r="H6" s="14">
        <v>17.591666666666661</v>
      </c>
      <c r="I6" s="14">
        <v>118.72916666666667</v>
      </c>
      <c r="J6" s="14">
        <v>34.47499999999998</v>
      </c>
      <c r="K6" s="14">
        <v>82.825000000000003</v>
      </c>
      <c r="L6" s="14">
        <v>60.570833333333312</v>
      </c>
      <c r="M6" s="14">
        <v>52.483333333333327</v>
      </c>
      <c r="N6" s="14">
        <v>92.229166666666643</v>
      </c>
      <c r="O6" s="14">
        <v>29.30833333333333</v>
      </c>
      <c r="P6" s="14">
        <v>131.05416666666662</v>
      </c>
      <c r="Q6" s="14">
        <v>14.225000000000001</v>
      </c>
      <c r="R6" s="14">
        <v>177.9708333333333</v>
      </c>
      <c r="S6" s="30"/>
      <c r="U6">
        <f t="shared" si="14"/>
        <v>2018</v>
      </c>
      <c r="V6" s="13">
        <f t="shared" si="7"/>
        <v>963.85000000000014</v>
      </c>
      <c r="W6" s="13">
        <f t="shared" si="7"/>
        <v>754.27916666666658</v>
      </c>
      <c r="X6" s="13">
        <f t="shared" si="7"/>
        <v>711.45</v>
      </c>
      <c r="Y6" s="13">
        <f t="shared" si="7"/>
        <v>561.15416666666681</v>
      </c>
      <c r="Z6" s="13">
        <f t="shared" si="7"/>
        <v>189.08749999999998</v>
      </c>
      <c r="AA6" s="13">
        <f t="shared" si="7"/>
        <v>109.22083333333332</v>
      </c>
      <c r="AB6" s="13">
        <f t="shared" si="7"/>
        <v>15.241666666666678</v>
      </c>
      <c r="AC6" s="13">
        <f t="shared" si="7"/>
        <v>25.450000000000003</v>
      </c>
      <c r="AD6" s="13">
        <f t="shared" si="7"/>
        <v>165.60416666666669</v>
      </c>
      <c r="AE6" s="13">
        <f t="shared" si="7"/>
        <v>439.75416666666661</v>
      </c>
      <c r="AF6" s="13">
        <f t="shared" si="7"/>
        <v>681.23333333333335</v>
      </c>
      <c r="AG6" s="13">
        <f t="shared" si="7"/>
        <v>855.4000000000002</v>
      </c>
      <c r="AH6" s="556">
        <f t="shared" si="15"/>
        <v>5471.7250000000004</v>
      </c>
      <c r="AI6">
        <f t="shared" si="16"/>
        <v>2018</v>
      </c>
      <c r="AJ6" s="14">
        <f t="shared" si="17"/>
        <v>901.85000000000014</v>
      </c>
      <c r="AK6" s="14">
        <f t="shared" si="17"/>
        <v>698.27916666666658</v>
      </c>
      <c r="AL6" s="14">
        <f t="shared" si="17"/>
        <v>649.45000000000016</v>
      </c>
      <c r="AM6" s="14">
        <f t="shared" si="17"/>
        <v>501.1541666666667</v>
      </c>
      <c r="AN6" s="14">
        <f t="shared" si="17"/>
        <v>133.90416666666667</v>
      </c>
      <c r="AO6" s="14">
        <f t="shared" si="17"/>
        <v>61.166666666666629</v>
      </c>
      <c r="AP6" s="14">
        <f t="shared" si="17"/>
        <v>1.9291666666666636</v>
      </c>
      <c r="AQ6" s="14">
        <f t="shared" si="17"/>
        <v>8.2375000000000007</v>
      </c>
      <c r="AR6" s="14">
        <f t="shared" si="17"/>
        <v>123.21250000000003</v>
      </c>
      <c r="AS6" s="14">
        <f t="shared" si="17"/>
        <v>377.75416666666661</v>
      </c>
      <c r="AT6" s="14">
        <f t="shared" si="17"/>
        <v>621.23333333333335</v>
      </c>
      <c r="AU6" s="14">
        <f t="shared" si="17"/>
        <v>793.4000000000002</v>
      </c>
      <c r="AV6" s="556">
        <f t="shared" si="18"/>
        <v>4871.5708333333341</v>
      </c>
      <c r="AW6">
        <f t="shared" si="19"/>
        <v>2018</v>
      </c>
      <c r="AX6" s="14">
        <f t="shared" si="20"/>
        <v>839.85000000000014</v>
      </c>
      <c r="AY6" s="14">
        <f t="shared" si="20"/>
        <v>642.27916666666658</v>
      </c>
      <c r="AZ6" s="14">
        <f t="shared" si="20"/>
        <v>587.45000000000016</v>
      </c>
      <c r="BA6" s="14">
        <f t="shared" si="20"/>
        <v>441.1541666666667</v>
      </c>
      <c r="BB6" s="14">
        <f t="shared" si="20"/>
        <v>90.058333333333337</v>
      </c>
      <c r="BC6" s="14">
        <f t="shared" si="20"/>
        <v>23.574999999999989</v>
      </c>
      <c r="BD6" s="14">
        <f t="shared" si="20"/>
        <v>0</v>
      </c>
      <c r="BE6" s="14">
        <f t="shared" si="20"/>
        <v>3.0000000000000036</v>
      </c>
      <c r="BF6" s="14">
        <f t="shared" si="20"/>
        <v>88.558333333333337</v>
      </c>
      <c r="BG6" s="14">
        <f t="shared" si="20"/>
        <v>317.70833333333331</v>
      </c>
      <c r="BH6" s="14">
        <f t="shared" si="20"/>
        <v>561.23333333333335</v>
      </c>
      <c r="BI6" s="14">
        <f t="shared" si="20"/>
        <v>731.4000000000002</v>
      </c>
      <c r="BJ6" s="556">
        <f t="shared" si="21"/>
        <v>4326.2666666666673</v>
      </c>
      <c r="BK6">
        <f t="shared" si="22"/>
        <v>2018</v>
      </c>
      <c r="BL6" s="14">
        <f t="shared" si="23"/>
        <v>777.85000000000014</v>
      </c>
      <c r="BM6" s="14">
        <f t="shared" si="23"/>
        <v>586.27916666666658</v>
      </c>
      <c r="BN6" s="14">
        <f t="shared" si="23"/>
        <v>525.45000000000016</v>
      </c>
      <c r="BO6" s="14">
        <f t="shared" si="23"/>
        <v>381.15416666666664</v>
      </c>
      <c r="BP6" s="14">
        <f t="shared" si="23"/>
        <v>53.466666666666654</v>
      </c>
      <c r="BQ6" s="14">
        <f t="shared" si="23"/>
        <v>4.7916666666666625</v>
      </c>
      <c r="BR6" s="14">
        <f t="shared" si="23"/>
        <v>0</v>
      </c>
      <c r="BS6" s="14">
        <f t="shared" si="23"/>
        <v>0</v>
      </c>
      <c r="BT6" s="14">
        <f t="shared" si="23"/>
        <v>58.179166666666674</v>
      </c>
      <c r="BU6" s="14">
        <f t="shared" si="23"/>
        <v>259.37916666666666</v>
      </c>
      <c r="BV6" s="14">
        <f t="shared" si="23"/>
        <v>501.23333333333341</v>
      </c>
      <c r="BW6" s="14">
        <f t="shared" si="23"/>
        <v>669.4000000000002</v>
      </c>
      <c r="BX6" s="556">
        <f t="shared" si="24"/>
        <v>3817.1833333333338</v>
      </c>
      <c r="BY6">
        <f t="shared" si="25"/>
        <v>2018</v>
      </c>
      <c r="BZ6" s="14">
        <f t="shared" si="26"/>
        <v>715.85000000000014</v>
      </c>
      <c r="CA6" s="14">
        <f t="shared" si="26"/>
        <v>530.2791666666667</v>
      </c>
      <c r="CB6" s="14">
        <f t="shared" si="26"/>
        <v>463.4500000000001</v>
      </c>
      <c r="CC6" s="14">
        <f t="shared" si="26"/>
        <v>321.15416666666664</v>
      </c>
      <c r="CD6" s="14">
        <f t="shared" si="26"/>
        <v>30.116666666666667</v>
      </c>
      <c r="CE6" s="14">
        <f t="shared" si="26"/>
        <v>0.82083333333333464</v>
      </c>
      <c r="CF6" s="14">
        <f t="shared" si="26"/>
        <v>0</v>
      </c>
      <c r="CG6" s="14">
        <f t="shared" si="26"/>
        <v>0</v>
      </c>
      <c r="CH6" s="14">
        <f t="shared" si="26"/>
        <v>32.887500000000003</v>
      </c>
      <c r="CI6" s="14">
        <f t="shared" si="26"/>
        <v>204.70416666666665</v>
      </c>
      <c r="CJ6" s="14">
        <f t="shared" si="26"/>
        <v>441.23333333333341</v>
      </c>
      <c r="CK6" s="14">
        <f t="shared" si="26"/>
        <v>607.4000000000002</v>
      </c>
      <c r="CL6" s="556">
        <f t="shared" si="27"/>
        <v>3347.8958333333335</v>
      </c>
      <c r="CM6">
        <f t="shared" si="28"/>
        <v>2018</v>
      </c>
      <c r="CN6" s="14">
        <f t="shared" si="29"/>
        <v>653.85000000000014</v>
      </c>
      <c r="CO6" s="14">
        <f t="shared" si="29"/>
        <v>474.27916666666675</v>
      </c>
      <c r="CP6" s="14">
        <f t="shared" si="29"/>
        <v>401.4500000000001</v>
      </c>
      <c r="CQ6" s="14">
        <f t="shared" si="29"/>
        <v>261.15416666666664</v>
      </c>
      <c r="CR6" s="14">
        <f t="shared" si="29"/>
        <v>15.154166666666669</v>
      </c>
      <c r="CS6" s="14">
        <f t="shared" si="29"/>
        <v>0</v>
      </c>
      <c r="CT6" s="14">
        <f t="shared" si="29"/>
        <v>0</v>
      </c>
      <c r="CU6" s="14">
        <f t="shared" si="29"/>
        <v>0</v>
      </c>
      <c r="CV6" s="14">
        <f t="shared" si="29"/>
        <v>13.166666666666668</v>
      </c>
      <c r="CW6" s="14">
        <f t="shared" si="29"/>
        <v>151.83749999999998</v>
      </c>
      <c r="CX6" s="14">
        <f t="shared" si="29"/>
        <v>381.23333333333341</v>
      </c>
      <c r="CY6" s="14">
        <f t="shared" si="29"/>
        <v>545.40000000000009</v>
      </c>
      <c r="CZ6" s="556">
        <f t="shared" si="30"/>
        <v>2897.5250000000005</v>
      </c>
      <c r="DA6">
        <f t="shared" si="31"/>
        <v>2018</v>
      </c>
      <c r="DB6" s="14">
        <f t="shared" si="32"/>
        <v>591.85000000000014</v>
      </c>
      <c r="DC6" s="14">
        <f t="shared" si="32"/>
        <v>418.2791666666667</v>
      </c>
      <c r="DD6" s="14">
        <f t="shared" si="32"/>
        <v>339.45000000000005</v>
      </c>
      <c r="DE6" s="14">
        <f t="shared" si="32"/>
        <v>204.82083333333333</v>
      </c>
      <c r="DF6" s="14">
        <f t="shared" si="32"/>
        <v>4.7541666666666673</v>
      </c>
      <c r="DG6" s="14">
        <f t="shared" si="32"/>
        <v>0</v>
      </c>
      <c r="DH6" s="14">
        <f t="shared" si="32"/>
        <v>0</v>
      </c>
      <c r="DI6" s="14">
        <f t="shared" si="32"/>
        <v>0</v>
      </c>
      <c r="DJ6" s="14">
        <f t="shared" si="32"/>
        <v>4.2458333333333336</v>
      </c>
      <c r="DK6" s="14">
        <f t="shared" si="32"/>
        <v>101.21666666666665</v>
      </c>
      <c r="DL6" s="14">
        <f t="shared" si="32"/>
        <v>321.23333333333341</v>
      </c>
      <c r="DM6" s="14">
        <f t="shared" si="32"/>
        <v>483.40000000000003</v>
      </c>
      <c r="DN6" s="556">
        <f t="shared" si="33"/>
        <v>2469.25</v>
      </c>
      <c r="DO6" s="556"/>
      <c r="DP6" s="18">
        <f>'Monthly Data'!F6</f>
        <v>28719.886217948719</v>
      </c>
      <c r="DQ6" s="18">
        <f>'Monthly Data'!J6</f>
        <v>26782.578525641024</v>
      </c>
      <c r="DR6" s="18">
        <f>'Monthly Data'!N6</f>
        <v>24469.088141025641</v>
      </c>
    </row>
    <row r="7" spans="1:122">
      <c r="A7" s="9">
        <v>42522</v>
      </c>
      <c r="B7">
        <v>2016</v>
      </c>
      <c r="C7">
        <v>6</v>
      </c>
      <c r="D7" s="13">
        <v>17.330277777777777</v>
      </c>
      <c r="E7" s="14">
        <v>99.395833333333343</v>
      </c>
      <c r="F7" s="14">
        <v>19.304166666666667</v>
      </c>
      <c r="G7" s="14">
        <v>59.649999999999984</v>
      </c>
      <c r="H7" s="14">
        <v>39.558333333333337</v>
      </c>
      <c r="I7" s="14">
        <v>34.066666666666663</v>
      </c>
      <c r="J7" s="14">
        <v>73.974999999999994</v>
      </c>
      <c r="K7" s="14">
        <v>16.004166666666663</v>
      </c>
      <c r="L7" s="14">
        <v>115.91250000000001</v>
      </c>
      <c r="M7" s="14">
        <v>5.6750000000000007</v>
      </c>
      <c r="N7" s="14">
        <v>165.58333333333331</v>
      </c>
      <c r="O7" s="14">
        <v>0.97083333333333321</v>
      </c>
      <c r="P7" s="14">
        <v>220.87916666666666</v>
      </c>
      <c r="Q7" s="14">
        <v>0</v>
      </c>
      <c r="R7" s="14">
        <v>279.9083333333333</v>
      </c>
      <c r="S7" s="30"/>
      <c r="U7">
        <f t="shared" si="14"/>
        <v>2019</v>
      </c>
      <c r="V7" s="13">
        <f t="shared" si="7"/>
        <v>1054.7000000000003</v>
      </c>
      <c r="W7" s="13">
        <f t="shared" si="7"/>
        <v>858.87708333333342</v>
      </c>
      <c r="X7" s="13">
        <f t="shared" si="7"/>
        <v>773.79166666666663</v>
      </c>
      <c r="Y7" s="13">
        <f t="shared" si="7"/>
        <v>501.13749999999999</v>
      </c>
      <c r="Z7" s="13">
        <f t="shared" si="7"/>
        <v>307.42916666666667</v>
      </c>
      <c r="AA7" s="13">
        <f t="shared" si="7"/>
        <v>114.8875</v>
      </c>
      <c r="AB7" s="13">
        <f t="shared" si="7"/>
        <v>14.054166666666667</v>
      </c>
      <c r="AC7" s="13">
        <f t="shared" si="7"/>
        <v>58.420833333333356</v>
      </c>
      <c r="AD7" s="13">
        <f t="shared" si="7"/>
        <v>189.70000000000007</v>
      </c>
      <c r="AE7" s="13">
        <f t="shared" si="7"/>
        <v>396.53333333333319</v>
      </c>
      <c r="AF7" s="13">
        <f t="shared" si="7"/>
        <v>682.0916666666667</v>
      </c>
      <c r="AG7" s="13">
        <f t="shared" si="7"/>
        <v>811.69166666666661</v>
      </c>
      <c r="AH7" s="556">
        <f t="shared" si="15"/>
        <v>5763.3145833333338</v>
      </c>
      <c r="AI7">
        <f t="shared" si="16"/>
        <v>2019</v>
      </c>
      <c r="AJ7" s="14">
        <f t="shared" si="17"/>
        <v>992.70000000000027</v>
      </c>
      <c r="AK7" s="14">
        <f t="shared" si="17"/>
        <v>802.87708333333342</v>
      </c>
      <c r="AL7" s="14">
        <f t="shared" si="17"/>
        <v>711.79166666666663</v>
      </c>
      <c r="AM7" s="14">
        <f t="shared" si="17"/>
        <v>441.13750000000005</v>
      </c>
      <c r="AN7" s="14">
        <f t="shared" si="17"/>
        <v>245.42916666666662</v>
      </c>
      <c r="AO7" s="14">
        <f t="shared" si="17"/>
        <v>68.995833333333337</v>
      </c>
      <c r="AP7" s="14">
        <f t="shared" si="17"/>
        <v>1.4625000000000021</v>
      </c>
      <c r="AQ7" s="14">
        <f t="shared" si="17"/>
        <v>21.250000000000011</v>
      </c>
      <c r="AR7" s="14">
        <f t="shared" si="17"/>
        <v>133.26666666666668</v>
      </c>
      <c r="AS7" s="14">
        <f t="shared" si="17"/>
        <v>334.53333333333325</v>
      </c>
      <c r="AT7" s="14">
        <f t="shared" si="17"/>
        <v>622.09166666666681</v>
      </c>
      <c r="AU7" s="14">
        <f t="shared" si="17"/>
        <v>749.69166666666661</v>
      </c>
      <c r="AV7" s="556">
        <f t="shared" si="18"/>
        <v>5125.2270833333341</v>
      </c>
      <c r="AW7">
        <f t="shared" si="19"/>
        <v>2019</v>
      </c>
      <c r="AX7" s="14">
        <f t="shared" si="20"/>
        <v>930.70000000000027</v>
      </c>
      <c r="AY7" s="14">
        <f t="shared" si="20"/>
        <v>746.87708333333342</v>
      </c>
      <c r="AZ7" s="14">
        <f t="shared" si="20"/>
        <v>649.79166666666663</v>
      </c>
      <c r="BA7" s="14">
        <f t="shared" si="20"/>
        <v>381.13750000000005</v>
      </c>
      <c r="BB7" s="14">
        <f t="shared" si="20"/>
        <v>184.12083333333331</v>
      </c>
      <c r="BC7" s="14">
        <f t="shared" si="20"/>
        <v>36.287500000000001</v>
      </c>
      <c r="BD7" s="14">
        <f t="shared" si="20"/>
        <v>0</v>
      </c>
      <c r="BE7" s="14">
        <f t="shared" si="20"/>
        <v>4.0625000000000018</v>
      </c>
      <c r="BF7" s="14">
        <f t="shared" si="20"/>
        <v>81.733333333333348</v>
      </c>
      <c r="BG7" s="14">
        <f t="shared" si="20"/>
        <v>272.53333333333336</v>
      </c>
      <c r="BH7" s="14">
        <f t="shared" si="20"/>
        <v>562.09166666666681</v>
      </c>
      <c r="BI7" s="14">
        <f t="shared" si="20"/>
        <v>687.69166666666661</v>
      </c>
      <c r="BJ7" s="556">
        <f t="shared" si="21"/>
        <v>4537.0270833333334</v>
      </c>
      <c r="BK7">
        <f t="shared" si="22"/>
        <v>2019</v>
      </c>
      <c r="BL7" s="14">
        <f t="shared" si="23"/>
        <v>868.70000000000027</v>
      </c>
      <c r="BM7" s="14">
        <f t="shared" si="23"/>
        <v>690.87708333333342</v>
      </c>
      <c r="BN7" s="14">
        <f t="shared" si="23"/>
        <v>587.79166666666663</v>
      </c>
      <c r="BO7" s="14">
        <f t="shared" si="23"/>
        <v>321.13750000000005</v>
      </c>
      <c r="BP7" s="14">
        <f t="shared" si="23"/>
        <v>126.47499999999999</v>
      </c>
      <c r="BQ7" s="14">
        <f t="shared" si="23"/>
        <v>15.075000000000003</v>
      </c>
      <c r="BR7" s="14">
        <f t="shared" si="23"/>
        <v>0</v>
      </c>
      <c r="BS7" s="14">
        <f t="shared" si="23"/>
        <v>0</v>
      </c>
      <c r="BT7" s="14">
        <f t="shared" si="23"/>
        <v>39.104166666666664</v>
      </c>
      <c r="BU7" s="14">
        <f t="shared" si="23"/>
        <v>210.53333333333336</v>
      </c>
      <c r="BV7" s="14">
        <f t="shared" si="23"/>
        <v>502.09166666666675</v>
      </c>
      <c r="BW7" s="14">
        <f t="shared" si="23"/>
        <v>625.69166666666649</v>
      </c>
      <c r="BX7" s="556">
        <f t="shared" si="24"/>
        <v>3987.4770833333332</v>
      </c>
      <c r="BY7">
        <f t="shared" si="25"/>
        <v>2019</v>
      </c>
      <c r="BZ7" s="14">
        <f t="shared" si="26"/>
        <v>806.70000000000027</v>
      </c>
      <c r="CA7" s="14">
        <f t="shared" si="26"/>
        <v>634.8770833333333</v>
      </c>
      <c r="CB7" s="14">
        <f t="shared" si="26"/>
        <v>525.79166666666674</v>
      </c>
      <c r="CC7" s="14">
        <f t="shared" si="26"/>
        <v>261.13750000000005</v>
      </c>
      <c r="CD7" s="14">
        <f t="shared" si="26"/>
        <v>75.495833333333323</v>
      </c>
      <c r="CE7" s="14">
        <f t="shared" si="26"/>
        <v>6.5708333333333382</v>
      </c>
      <c r="CF7" s="14">
        <f t="shared" si="26"/>
        <v>0</v>
      </c>
      <c r="CG7" s="14">
        <f t="shared" si="26"/>
        <v>0</v>
      </c>
      <c r="CH7" s="14">
        <f t="shared" si="26"/>
        <v>14.300000000000004</v>
      </c>
      <c r="CI7" s="14">
        <f t="shared" si="26"/>
        <v>149.125</v>
      </c>
      <c r="CJ7" s="14">
        <f t="shared" si="26"/>
        <v>442.09166666666675</v>
      </c>
      <c r="CK7" s="14">
        <f t="shared" si="26"/>
        <v>563.69166666666649</v>
      </c>
      <c r="CL7" s="556">
        <f t="shared" si="27"/>
        <v>3479.7812500000005</v>
      </c>
      <c r="CM7">
        <f t="shared" si="28"/>
        <v>2019</v>
      </c>
      <c r="CN7" s="14">
        <f t="shared" si="29"/>
        <v>744.70000000000027</v>
      </c>
      <c r="CO7" s="14">
        <f t="shared" si="29"/>
        <v>578.87708333333319</v>
      </c>
      <c r="CP7" s="14">
        <f t="shared" si="29"/>
        <v>463.79166666666674</v>
      </c>
      <c r="CQ7" s="14">
        <f t="shared" si="29"/>
        <v>201.13750000000002</v>
      </c>
      <c r="CR7" s="14">
        <f t="shared" si="29"/>
        <v>37.637500000000003</v>
      </c>
      <c r="CS7" s="14">
        <f t="shared" si="29"/>
        <v>0.80416666666666892</v>
      </c>
      <c r="CT7" s="14">
        <f t="shared" si="29"/>
        <v>0</v>
      </c>
      <c r="CU7" s="14">
        <f t="shared" si="29"/>
        <v>0</v>
      </c>
      <c r="CV7" s="14">
        <f t="shared" si="29"/>
        <v>4.2375000000000025</v>
      </c>
      <c r="CW7" s="14">
        <f t="shared" si="29"/>
        <v>93.254166666666663</v>
      </c>
      <c r="CX7" s="14">
        <f t="shared" si="29"/>
        <v>382.0916666666667</v>
      </c>
      <c r="CY7" s="14">
        <f t="shared" si="29"/>
        <v>501.69166666666649</v>
      </c>
      <c r="CZ7" s="556">
        <f t="shared" si="30"/>
        <v>3008.2229166666671</v>
      </c>
      <c r="DA7">
        <f t="shared" si="31"/>
        <v>2019</v>
      </c>
      <c r="DB7" s="14">
        <f t="shared" si="32"/>
        <v>682.70000000000016</v>
      </c>
      <c r="DC7" s="14">
        <f t="shared" si="32"/>
        <v>522.8770833333333</v>
      </c>
      <c r="DD7" s="14">
        <f t="shared" si="32"/>
        <v>401.79166666666669</v>
      </c>
      <c r="DE7" s="14">
        <f t="shared" si="32"/>
        <v>142.56249999999997</v>
      </c>
      <c r="DF7" s="14">
        <f t="shared" si="32"/>
        <v>13.55833333333333</v>
      </c>
      <c r="DG7" s="14">
        <f t="shared" si="32"/>
        <v>0</v>
      </c>
      <c r="DH7" s="14">
        <f t="shared" si="32"/>
        <v>0</v>
      </c>
      <c r="DI7" s="14">
        <f t="shared" si="32"/>
        <v>0</v>
      </c>
      <c r="DJ7" s="14">
        <f t="shared" si="32"/>
        <v>0.42916666666666714</v>
      </c>
      <c r="DK7" s="14">
        <f t="shared" si="32"/>
        <v>45.054166666666674</v>
      </c>
      <c r="DL7" s="14">
        <f t="shared" si="32"/>
        <v>322.09166666666664</v>
      </c>
      <c r="DM7" s="14">
        <f t="shared" si="32"/>
        <v>439.69166666666661</v>
      </c>
      <c r="DN7" s="556">
        <f t="shared" si="33"/>
        <v>2570.7562500000004</v>
      </c>
      <c r="DO7" s="556"/>
      <c r="DP7" s="18">
        <f>'Monthly Data'!F7</f>
        <v>31217.267628205125</v>
      </c>
      <c r="DQ7" s="18">
        <f>'Monthly Data'!J7</f>
        <v>29111.498397435898</v>
      </c>
      <c r="DR7" s="18">
        <f>'Monthly Data'!N7</f>
        <v>26596.834935897437</v>
      </c>
    </row>
    <row r="8" spans="1:122">
      <c r="A8" s="9">
        <v>42552</v>
      </c>
      <c r="B8">
        <v>2016</v>
      </c>
      <c r="C8">
        <v>7</v>
      </c>
      <c r="D8" s="13">
        <v>20.335349462365592</v>
      </c>
      <c r="E8" s="14">
        <v>31.595833333333335</v>
      </c>
      <c r="F8" s="14">
        <v>41.99166666666666</v>
      </c>
      <c r="G8" s="14">
        <v>7.4374999999999911</v>
      </c>
      <c r="H8" s="14">
        <v>79.833333333333329</v>
      </c>
      <c r="I8" s="14">
        <v>0.48749999999999538</v>
      </c>
      <c r="J8" s="14">
        <v>134.88333333333335</v>
      </c>
      <c r="K8" s="14">
        <v>0</v>
      </c>
      <c r="L8" s="14">
        <v>196.39583333333337</v>
      </c>
      <c r="M8" s="14">
        <v>0</v>
      </c>
      <c r="N8" s="14">
        <v>258.39583333333337</v>
      </c>
      <c r="O8" s="14">
        <v>0</v>
      </c>
      <c r="P8" s="14">
        <v>320.39583333333326</v>
      </c>
      <c r="Q8" s="14">
        <v>0</v>
      </c>
      <c r="R8" s="14">
        <v>382.3958333333332</v>
      </c>
      <c r="S8" s="30"/>
      <c r="U8">
        <f t="shared" si="14"/>
        <v>2020</v>
      </c>
      <c r="V8" s="13">
        <f t="shared" si="7"/>
        <v>851.48333333333335</v>
      </c>
      <c r="W8" s="13">
        <f t="shared" si="7"/>
        <v>804.35833333333335</v>
      </c>
      <c r="X8" s="13">
        <f t="shared" si="7"/>
        <v>659.47500000000002</v>
      </c>
      <c r="Y8" s="13">
        <f t="shared" si="7"/>
        <v>492.17083333333346</v>
      </c>
      <c r="Z8" s="13">
        <f t="shared" si="7"/>
        <v>278.21250000000003</v>
      </c>
      <c r="AA8" s="13">
        <f t="shared" si="7"/>
        <v>92.391666666666652</v>
      </c>
      <c r="AB8" s="13">
        <f t="shared" si="7"/>
        <v>3.850000000000005</v>
      </c>
      <c r="AC8" s="13">
        <f t="shared" si="7"/>
        <v>79.675000000000011</v>
      </c>
      <c r="AD8" s="13">
        <f t="shared" si="7"/>
        <v>206.67499999999998</v>
      </c>
      <c r="AE8" s="13">
        <f t="shared" si="7"/>
        <v>432.26666666666665</v>
      </c>
      <c r="AF8" s="13">
        <f t="shared" si="7"/>
        <v>513.82916666666665</v>
      </c>
      <c r="AG8" s="13">
        <f t="shared" si="7"/>
        <v>775.91666666666674</v>
      </c>
      <c r="AH8" s="556">
        <f t="shared" si="15"/>
        <v>5190.3041666666677</v>
      </c>
      <c r="AI8">
        <f t="shared" si="16"/>
        <v>2020</v>
      </c>
      <c r="AJ8" s="14">
        <f t="shared" si="17"/>
        <v>789.48333333333335</v>
      </c>
      <c r="AK8" s="14">
        <f t="shared" si="17"/>
        <v>746.35833333333335</v>
      </c>
      <c r="AL8" s="14">
        <f t="shared" si="17"/>
        <v>597.47499999999991</v>
      </c>
      <c r="AM8" s="14">
        <f t="shared" si="17"/>
        <v>432.17083333333341</v>
      </c>
      <c r="AN8" s="14">
        <f t="shared" si="17"/>
        <v>227.03749999999999</v>
      </c>
      <c r="AO8" s="14">
        <f t="shared" si="17"/>
        <v>55.38333333333334</v>
      </c>
      <c r="AP8" s="14">
        <f t="shared" si="17"/>
        <v>0</v>
      </c>
      <c r="AQ8" s="14">
        <f t="shared" si="17"/>
        <v>40.033333333333331</v>
      </c>
      <c r="AR8" s="14">
        <f t="shared" si="17"/>
        <v>153.40416666666664</v>
      </c>
      <c r="AS8" s="14">
        <f t="shared" si="17"/>
        <v>370.26666666666665</v>
      </c>
      <c r="AT8" s="14">
        <f t="shared" si="17"/>
        <v>453.82916666666659</v>
      </c>
      <c r="AU8" s="14">
        <f t="shared" si="17"/>
        <v>713.91666666666674</v>
      </c>
      <c r="AV8" s="556">
        <f t="shared" si="18"/>
        <v>4579.3583333333336</v>
      </c>
      <c r="AW8">
        <f t="shared" si="19"/>
        <v>2020</v>
      </c>
      <c r="AX8" s="14">
        <f t="shared" si="20"/>
        <v>727.48333333333335</v>
      </c>
      <c r="AY8" s="14">
        <f t="shared" si="20"/>
        <v>688.35833333333335</v>
      </c>
      <c r="AZ8" s="14">
        <f t="shared" si="20"/>
        <v>535.47499999999991</v>
      </c>
      <c r="BA8" s="14">
        <f t="shared" si="20"/>
        <v>372.17083333333352</v>
      </c>
      <c r="BB8" s="14">
        <f t="shared" si="20"/>
        <v>182.64583333333334</v>
      </c>
      <c r="BC8" s="14">
        <f t="shared" si="20"/>
        <v>32.708333333333336</v>
      </c>
      <c r="BD8" s="14">
        <f t="shared" si="20"/>
        <v>0</v>
      </c>
      <c r="BE8" s="14">
        <f t="shared" si="20"/>
        <v>17.466666666666679</v>
      </c>
      <c r="BF8" s="14">
        <f t="shared" si="20"/>
        <v>104.86666666666669</v>
      </c>
      <c r="BG8" s="14">
        <f t="shared" si="20"/>
        <v>308.26666666666671</v>
      </c>
      <c r="BH8" s="14">
        <f t="shared" si="20"/>
        <v>393.82916666666659</v>
      </c>
      <c r="BI8" s="14">
        <f t="shared" si="20"/>
        <v>651.91666666666674</v>
      </c>
      <c r="BJ8" s="556">
        <f t="shared" si="21"/>
        <v>4015.1875000000009</v>
      </c>
      <c r="BK8">
        <f t="shared" si="22"/>
        <v>2020</v>
      </c>
      <c r="BL8" s="14">
        <f t="shared" si="23"/>
        <v>665.48333333333335</v>
      </c>
      <c r="BM8" s="14">
        <f t="shared" si="23"/>
        <v>630.35833333333323</v>
      </c>
      <c r="BN8" s="14">
        <f t="shared" si="23"/>
        <v>473.47499999999997</v>
      </c>
      <c r="BO8" s="14">
        <f t="shared" si="23"/>
        <v>312.17083333333341</v>
      </c>
      <c r="BP8" s="14">
        <f t="shared" si="23"/>
        <v>140.46666666666664</v>
      </c>
      <c r="BQ8" s="14">
        <f t="shared" si="23"/>
        <v>17.537500000000005</v>
      </c>
      <c r="BR8" s="14">
        <f t="shared" si="23"/>
        <v>0</v>
      </c>
      <c r="BS8" s="14">
        <f t="shared" si="23"/>
        <v>3.958333333333341</v>
      </c>
      <c r="BT8" s="14">
        <f t="shared" si="23"/>
        <v>66.750000000000014</v>
      </c>
      <c r="BU8" s="14">
        <f t="shared" si="23"/>
        <v>246.71666666666667</v>
      </c>
      <c r="BV8" s="14">
        <f t="shared" si="23"/>
        <v>334.75416666666661</v>
      </c>
      <c r="BW8" s="14">
        <f t="shared" si="23"/>
        <v>589.91666666666686</v>
      </c>
      <c r="BX8" s="556">
        <f t="shared" si="24"/>
        <v>3481.5875000000005</v>
      </c>
      <c r="BY8">
        <f t="shared" si="25"/>
        <v>2020</v>
      </c>
      <c r="BZ8" s="14">
        <f t="shared" si="26"/>
        <v>603.48333333333335</v>
      </c>
      <c r="CA8" s="14">
        <f t="shared" si="26"/>
        <v>572.35833333333323</v>
      </c>
      <c r="CB8" s="14">
        <f t="shared" si="26"/>
        <v>411.47500000000002</v>
      </c>
      <c r="CC8" s="14">
        <f t="shared" si="26"/>
        <v>252.17083333333329</v>
      </c>
      <c r="CD8" s="14">
        <f t="shared" si="26"/>
        <v>102.67499999999998</v>
      </c>
      <c r="CE8" s="14">
        <f t="shared" si="26"/>
        <v>7.287500000000005</v>
      </c>
      <c r="CF8" s="14">
        <f t="shared" si="26"/>
        <v>0</v>
      </c>
      <c r="CG8" s="14">
        <f t="shared" si="26"/>
        <v>0</v>
      </c>
      <c r="CH8" s="14">
        <f t="shared" si="26"/>
        <v>34.841666666666669</v>
      </c>
      <c r="CI8" s="14">
        <f t="shared" si="26"/>
        <v>188.41666666666663</v>
      </c>
      <c r="CJ8" s="14">
        <f t="shared" si="26"/>
        <v>278.90416666666664</v>
      </c>
      <c r="CK8" s="14">
        <f t="shared" si="26"/>
        <v>527.91666666666674</v>
      </c>
      <c r="CL8" s="556">
        <f t="shared" si="27"/>
        <v>2979.5291666666662</v>
      </c>
      <c r="CM8">
        <f t="shared" si="28"/>
        <v>2020</v>
      </c>
      <c r="CN8" s="14">
        <f t="shared" si="29"/>
        <v>541.48333333333335</v>
      </c>
      <c r="CO8" s="14">
        <f t="shared" si="29"/>
        <v>514.35833333333323</v>
      </c>
      <c r="CP8" s="14">
        <f t="shared" si="29"/>
        <v>349.47500000000014</v>
      </c>
      <c r="CQ8" s="14">
        <f t="shared" si="29"/>
        <v>192.94166666666663</v>
      </c>
      <c r="CR8" s="14">
        <f t="shared" si="29"/>
        <v>71.387499999999989</v>
      </c>
      <c r="CS8" s="14">
        <f t="shared" si="29"/>
        <v>1.3125</v>
      </c>
      <c r="CT8" s="14">
        <f t="shared" si="29"/>
        <v>0</v>
      </c>
      <c r="CU8" s="14">
        <f t="shared" si="29"/>
        <v>0</v>
      </c>
      <c r="CV8" s="14">
        <f t="shared" si="29"/>
        <v>16.437500000000007</v>
      </c>
      <c r="CW8" s="14">
        <f t="shared" si="29"/>
        <v>132.30000000000001</v>
      </c>
      <c r="CX8" s="14">
        <f t="shared" si="29"/>
        <v>227.23750000000001</v>
      </c>
      <c r="CY8" s="14">
        <f t="shared" si="29"/>
        <v>465.91666666666669</v>
      </c>
      <c r="CZ8" s="556">
        <f t="shared" si="30"/>
        <v>2512.85</v>
      </c>
      <c r="DA8">
        <f t="shared" si="31"/>
        <v>2020</v>
      </c>
      <c r="DB8" s="14">
        <f t="shared" si="32"/>
        <v>479.48333333333323</v>
      </c>
      <c r="DC8" s="14">
        <f t="shared" si="32"/>
        <v>456.35833333333329</v>
      </c>
      <c r="DD8" s="14">
        <f t="shared" si="32"/>
        <v>287.47500000000008</v>
      </c>
      <c r="DE8" s="14">
        <f t="shared" si="32"/>
        <v>135.62916666666663</v>
      </c>
      <c r="DF8" s="14">
        <f t="shared" si="32"/>
        <v>47.325000000000003</v>
      </c>
      <c r="DG8" s="14">
        <f t="shared" si="32"/>
        <v>0</v>
      </c>
      <c r="DH8" s="14">
        <f t="shared" si="32"/>
        <v>0</v>
      </c>
      <c r="DI8" s="14">
        <f t="shared" si="32"/>
        <v>0</v>
      </c>
      <c r="DJ8" s="14">
        <f t="shared" si="32"/>
        <v>5.3041666666666707</v>
      </c>
      <c r="DK8" s="14">
        <f t="shared" si="32"/>
        <v>88.15000000000002</v>
      </c>
      <c r="DL8" s="14">
        <f t="shared" si="32"/>
        <v>180.48333333333335</v>
      </c>
      <c r="DM8" s="14">
        <f t="shared" si="32"/>
        <v>403.91666666666663</v>
      </c>
      <c r="DN8" s="556">
        <f t="shared" si="33"/>
        <v>2084.125</v>
      </c>
      <c r="DO8" s="556"/>
      <c r="DP8" s="18">
        <f>'Monthly Data'!F8</f>
        <v>33714.649038461539</v>
      </c>
      <c r="DQ8" s="18">
        <f>'Monthly Data'!J8</f>
        <v>31440.41826923077</v>
      </c>
      <c r="DR8" s="18">
        <f>'Monthly Data'!N8</f>
        <v>28724.58173076923</v>
      </c>
    </row>
    <row r="9" spans="1:122">
      <c r="A9" s="9">
        <v>42583</v>
      </c>
      <c r="B9">
        <v>2016</v>
      </c>
      <c r="C9">
        <v>8</v>
      </c>
      <c r="D9" s="13">
        <v>20.850268817204302</v>
      </c>
      <c r="E9" s="14">
        <v>19.462499999999999</v>
      </c>
      <c r="F9" s="14">
        <v>45.82083333333334</v>
      </c>
      <c r="G9" s="14">
        <v>3.7374999999999989</v>
      </c>
      <c r="H9" s="14">
        <v>92.095833333333331</v>
      </c>
      <c r="I9" s="14">
        <v>1.1124999999999989</v>
      </c>
      <c r="J9" s="14">
        <v>151.47083333333333</v>
      </c>
      <c r="K9" s="14">
        <v>0</v>
      </c>
      <c r="L9" s="14">
        <v>212.35833333333332</v>
      </c>
      <c r="M9" s="14">
        <v>0</v>
      </c>
      <c r="N9" s="14">
        <v>274.35833333333335</v>
      </c>
      <c r="O9" s="14">
        <v>0</v>
      </c>
      <c r="P9" s="14">
        <v>336.35833333333329</v>
      </c>
      <c r="Q9" s="14">
        <v>0</v>
      </c>
      <c r="R9" s="14">
        <v>398.35833333333335</v>
      </c>
      <c r="S9" s="30"/>
      <c r="U9">
        <f t="shared" si="14"/>
        <v>2021</v>
      </c>
      <c r="V9" s="13">
        <f t="shared" si="7"/>
        <v>852.97499999999991</v>
      </c>
      <c r="W9" s="13">
        <f t="shared" si="7"/>
        <v>819.91666666666652</v>
      </c>
      <c r="X9" s="13">
        <f t="shared" si="7"/>
        <v>651.65416666666704</v>
      </c>
      <c r="Y9" s="13">
        <f t="shared" si="7"/>
        <v>381.19583333333338</v>
      </c>
      <c r="Z9" s="13">
        <f t="shared" si="7"/>
        <v>251.67499999999995</v>
      </c>
      <c r="AA9" s="13">
        <f t="shared" si="7"/>
        <v>55.149999999999991</v>
      </c>
      <c r="AB9" s="13">
        <f t="shared" si="7"/>
        <v>58.799999999999976</v>
      </c>
      <c r="AC9" s="13">
        <f t="shared" si="7"/>
        <v>27.104166666666682</v>
      </c>
      <c r="AD9" s="13">
        <f t="shared" si="7"/>
        <v>164.45000000000005</v>
      </c>
      <c r="AE9" s="13">
        <f t="shared" si="7"/>
        <v>294.72916666666663</v>
      </c>
      <c r="AF9" s="13">
        <f t="shared" si="7"/>
        <v>584.32083333333333</v>
      </c>
      <c r="AG9" s="13">
        <f t="shared" si="7"/>
        <v>764.20624999999995</v>
      </c>
      <c r="AH9" s="556">
        <f t="shared" si="15"/>
        <v>4906.1770833333339</v>
      </c>
      <c r="AI9">
        <f t="shared" si="16"/>
        <v>2021</v>
      </c>
      <c r="AJ9" s="14">
        <f t="shared" si="17"/>
        <v>790.97500000000002</v>
      </c>
      <c r="AK9" s="14">
        <f t="shared" si="17"/>
        <v>763.91666666666652</v>
      </c>
      <c r="AL9" s="14">
        <f t="shared" si="17"/>
        <v>589.65416666666681</v>
      </c>
      <c r="AM9" s="14">
        <f t="shared" si="17"/>
        <v>321.19583333333333</v>
      </c>
      <c r="AN9" s="14">
        <f t="shared" si="17"/>
        <v>201.67500000000001</v>
      </c>
      <c r="AO9" s="14">
        <f t="shared" si="17"/>
        <v>25.162499999999994</v>
      </c>
      <c r="AP9" s="14">
        <f t="shared" si="17"/>
        <v>23.458333333333329</v>
      </c>
      <c r="AQ9" s="14">
        <f t="shared" si="17"/>
        <v>8.2208333333333385</v>
      </c>
      <c r="AR9" s="14">
        <f t="shared" si="17"/>
        <v>105.07500000000002</v>
      </c>
      <c r="AS9" s="14">
        <f t="shared" si="17"/>
        <v>232.72916666666669</v>
      </c>
      <c r="AT9" s="14">
        <f t="shared" si="17"/>
        <v>524.32083333333333</v>
      </c>
      <c r="AU9" s="14">
        <f t="shared" si="17"/>
        <v>702.20624999999995</v>
      </c>
      <c r="AV9" s="556">
        <f t="shared" si="18"/>
        <v>4288.5895833333325</v>
      </c>
      <c r="AW9">
        <f t="shared" si="19"/>
        <v>2021</v>
      </c>
      <c r="AX9" s="14">
        <f t="shared" si="20"/>
        <v>728.97500000000002</v>
      </c>
      <c r="AY9" s="14">
        <f t="shared" si="20"/>
        <v>707.91666666666652</v>
      </c>
      <c r="AZ9" s="14">
        <f t="shared" si="20"/>
        <v>527.65416666666681</v>
      </c>
      <c r="BA9" s="14">
        <f t="shared" si="20"/>
        <v>261.19583333333333</v>
      </c>
      <c r="BB9" s="14">
        <f t="shared" si="20"/>
        <v>153.41666666666669</v>
      </c>
      <c r="BC9" s="14">
        <f t="shared" si="20"/>
        <v>8.6749999999999989</v>
      </c>
      <c r="BD9" s="14">
        <f t="shared" si="20"/>
        <v>7.3083333333333336</v>
      </c>
      <c r="BE9" s="14">
        <f t="shared" si="20"/>
        <v>0.98333333333333428</v>
      </c>
      <c r="BF9" s="14">
        <f t="shared" si="20"/>
        <v>56.5625</v>
      </c>
      <c r="BG9" s="14">
        <f t="shared" si="20"/>
        <v>177.0291666666667</v>
      </c>
      <c r="BH9" s="14">
        <f t="shared" si="20"/>
        <v>464.32083333333333</v>
      </c>
      <c r="BI9" s="14">
        <f t="shared" si="20"/>
        <v>640.20625000000007</v>
      </c>
      <c r="BJ9" s="556">
        <f t="shared" si="21"/>
        <v>3734.2437499999996</v>
      </c>
      <c r="BK9">
        <f t="shared" si="22"/>
        <v>2021</v>
      </c>
      <c r="BL9" s="14">
        <f t="shared" si="23"/>
        <v>666.97499999999991</v>
      </c>
      <c r="BM9" s="14">
        <f t="shared" si="23"/>
        <v>651.9166666666664</v>
      </c>
      <c r="BN9" s="14">
        <f t="shared" si="23"/>
        <v>465.65416666666675</v>
      </c>
      <c r="BO9" s="14">
        <f t="shared" si="23"/>
        <v>203.17083333333329</v>
      </c>
      <c r="BP9" s="14">
        <f t="shared" si="23"/>
        <v>110.93750000000001</v>
      </c>
      <c r="BQ9" s="14">
        <f t="shared" si="23"/>
        <v>2.4833333333333325</v>
      </c>
      <c r="BR9" s="14">
        <f t="shared" si="23"/>
        <v>0.32916666666666394</v>
      </c>
      <c r="BS9" s="14">
        <f t="shared" si="23"/>
        <v>0</v>
      </c>
      <c r="BT9" s="14">
        <f t="shared" si="23"/>
        <v>23.820833333333333</v>
      </c>
      <c r="BU9" s="14">
        <f t="shared" si="23"/>
        <v>126.50000000000001</v>
      </c>
      <c r="BV9" s="14">
        <f t="shared" si="23"/>
        <v>404.32083333333333</v>
      </c>
      <c r="BW9" s="14">
        <f t="shared" si="23"/>
        <v>578.20625000000007</v>
      </c>
      <c r="BX9" s="556">
        <f t="shared" si="24"/>
        <v>3234.3145833333333</v>
      </c>
      <c r="BY9">
        <f t="shared" si="25"/>
        <v>2021</v>
      </c>
      <c r="BZ9" s="14">
        <f t="shared" si="26"/>
        <v>604.97500000000002</v>
      </c>
      <c r="CA9" s="14">
        <f t="shared" si="26"/>
        <v>595.91666666666652</v>
      </c>
      <c r="CB9" s="14">
        <f t="shared" si="26"/>
        <v>403.65416666666675</v>
      </c>
      <c r="CC9" s="14">
        <f t="shared" si="26"/>
        <v>150.2833333333333</v>
      </c>
      <c r="CD9" s="14">
        <f t="shared" si="26"/>
        <v>75.95</v>
      </c>
      <c r="CE9" s="14">
        <f t="shared" si="26"/>
        <v>0.4833333333333325</v>
      </c>
      <c r="CF9" s="14">
        <f t="shared" si="26"/>
        <v>0</v>
      </c>
      <c r="CG9" s="14">
        <f t="shared" si="26"/>
        <v>0</v>
      </c>
      <c r="CH9" s="14">
        <f t="shared" si="26"/>
        <v>8.1916666666666629</v>
      </c>
      <c r="CI9" s="14">
        <f t="shared" si="26"/>
        <v>84.862500000000026</v>
      </c>
      <c r="CJ9" s="14">
        <f t="shared" si="26"/>
        <v>344.32083333333333</v>
      </c>
      <c r="CK9" s="14">
        <f t="shared" si="26"/>
        <v>516.20625000000018</v>
      </c>
      <c r="CL9" s="556">
        <f t="shared" si="27"/>
        <v>2784.84375</v>
      </c>
      <c r="CM9">
        <f t="shared" si="28"/>
        <v>2021</v>
      </c>
      <c r="CN9" s="14">
        <f t="shared" si="29"/>
        <v>542.97499999999991</v>
      </c>
      <c r="CO9" s="14">
        <f t="shared" si="29"/>
        <v>539.9166666666664</v>
      </c>
      <c r="CP9" s="14">
        <f t="shared" si="29"/>
        <v>342.75416666666672</v>
      </c>
      <c r="CQ9" s="14">
        <f t="shared" si="29"/>
        <v>108.31250000000003</v>
      </c>
      <c r="CR9" s="14">
        <f t="shared" si="29"/>
        <v>44.94166666666667</v>
      </c>
      <c r="CS9" s="14">
        <f t="shared" si="29"/>
        <v>0</v>
      </c>
      <c r="CT9" s="14">
        <f t="shared" si="29"/>
        <v>0</v>
      </c>
      <c r="CU9" s="14">
        <f t="shared" si="29"/>
        <v>0</v>
      </c>
      <c r="CV9" s="14">
        <f t="shared" si="29"/>
        <v>0.7958333333333325</v>
      </c>
      <c r="CW9" s="14">
        <f t="shared" si="29"/>
        <v>54.908333333333339</v>
      </c>
      <c r="CX9" s="14">
        <f t="shared" si="29"/>
        <v>284.32083333333327</v>
      </c>
      <c r="CY9" s="14">
        <f t="shared" si="29"/>
        <v>454.20625000000007</v>
      </c>
      <c r="CZ9" s="556">
        <f t="shared" si="30"/>
        <v>2373.1312499999995</v>
      </c>
      <c r="DA9">
        <f t="shared" si="31"/>
        <v>2021</v>
      </c>
      <c r="DB9" s="14">
        <f t="shared" si="32"/>
        <v>480.97499999999997</v>
      </c>
      <c r="DC9" s="14">
        <f t="shared" si="32"/>
        <v>483.91666666666657</v>
      </c>
      <c r="DD9" s="14">
        <f t="shared" si="32"/>
        <v>286.89166666666665</v>
      </c>
      <c r="DE9" s="14">
        <f t="shared" si="32"/>
        <v>71.970833333333331</v>
      </c>
      <c r="DF9" s="14">
        <f t="shared" si="32"/>
        <v>18.94166666666667</v>
      </c>
      <c r="DG9" s="14">
        <f t="shared" si="32"/>
        <v>0</v>
      </c>
      <c r="DH9" s="14">
        <f t="shared" si="32"/>
        <v>0</v>
      </c>
      <c r="DI9" s="14">
        <f t="shared" si="32"/>
        <v>0</v>
      </c>
      <c r="DJ9" s="14">
        <f t="shared" si="32"/>
        <v>0</v>
      </c>
      <c r="DK9" s="14">
        <f t="shared" si="32"/>
        <v>30.704166666666669</v>
      </c>
      <c r="DL9" s="14">
        <f t="shared" si="32"/>
        <v>224.32083333333335</v>
      </c>
      <c r="DM9" s="14">
        <f t="shared" si="32"/>
        <v>392.36101190476188</v>
      </c>
      <c r="DN9" s="556">
        <f t="shared" si="33"/>
        <v>1990.0818452380952</v>
      </c>
      <c r="DO9" s="556"/>
      <c r="DP9" s="18">
        <f>'Monthly Data'!F9</f>
        <v>36212.030448717946</v>
      </c>
      <c r="DQ9" s="18">
        <f>'Monthly Data'!J9</f>
        <v>33769.338141025641</v>
      </c>
      <c r="DR9" s="18">
        <f>'Monthly Data'!N9</f>
        <v>30852.328525641024</v>
      </c>
    </row>
    <row r="10" spans="1:122">
      <c r="A10" s="9">
        <v>42614</v>
      </c>
      <c r="B10">
        <v>2016</v>
      </c>
      <c r="C10">
        <v>9</v>
      </c>
      <c r="D10" s="13">
        <v>15.191388888888886</v>
      </c>
      <c r="E10" s="14">
        <v>150.00416666666666</v>
      </c>
      <c r="F10" s="14">
        <v>5.7458333333333229</v>
      </c>
      <c r="G10" s="14">
        <v>100.48333333333336</v>
      </c>
      <c r="H10" s="14">
        <v>16.224999999999991</v>
      </c>
      <c r="I10" s="14">
        <v>59.129166666666684</v>
      </c>
      <c r="J10" s="14">
        <v>34.870833333333323</v>
      </c>
      <c r="K10" s="14">
        <v>29.37916666666667</v>
      </c>
      <c r="L10" s="14">
        <v>65.120833333333309</v>
      </c>
      <c r="M10" s="14">
        <v>11.945833333333336</v>
      </c>
      <c r="N10" s="14">
        <v>107.68749999999999</v>
      </c>
      <c r="O10" s="14">
        <v>3.5333333333333341</v>
      </c>
      <c r="P10" s="14">
        <v>159.27499999999998</v>
      </c>
      <c r="Q10" s="14">
        <v>3.3333333333334103E-2</v>
      </c>
      <c r="R10" s="14">
        <v>215.77499999999998</v>
      </c>
      <c r="S10" s="30"/>
      <c r="U10">
        <f t="shared" si="14"/>
        <v>2022</v>
      </c>
      <c r="V10" s="13">
        <f t="shared" si="7"/>
        <v>1118.6333333333332</v>
      </c>
      <c r="W10" s="13">
        <f t="shared" si="7"/>
        <v>841.76666666666654</v>
      </c>
      <c r="X10" s="13">
        <f t="shared" si="7"/>
        <v>704.6583333333333</v>
      </c>
      <c r="Y10" s="13">
        <f t="shared" si="7"/>
        <v>461.22083333333347</v>
      </c>
      <c r="Z10" s="13">
        <f t="shared" si="7"/>
        <v>173.55833333333337</v>
      </c>
      <c r="AA10" s="13">
        <f t="shared" si="7"/>
        <v>101.1375</v>
      </c>
      <c r="AB10" s="13">
        <f t="shared" si="7"/>
        <v>24.766666666666666</v>
      </c>
      <c r="AC10" s="13">
        <f t="shared" si="7"/>
        <v>43.374999999999986</v>
      </c>
      <c r="AD10" s="13">
        <f t="shared" si="7"/>
        <v>186.05</v>
      </c>
      <c r="AE10" s="13">
        <f t="shared" si="7"/>
        <v>386.60833333333323</v>
      </c>
      <c r="AF10" s="13">
        <f t="shared" si="7"/>
        <v>510.11250000000007</v>
      </c>
      <c r="AG10" s="13">
        <f t="shared" si="7"/>
        <v>723.45416666666654</v>
      </c>
      <c r="AH10" s="556">
        <f t="shared" si="15"/>
        <v>5275.3416666666662</v>
      </c>
      <c r="AI10">
        <f t="shared" si="16"/>
        <v>2022</v>
      </c>
      <c r="AJ10" s="14">
        <f t="shared" si="17"/>
        <v>1056.6333333333332</v>
      </c>
      <c r="AK10" s="14">
        <f t="shared" si="17"/>
        <v>785.76666666666654</v>
      </c>
      <c r="AL10" s="14">
        <f t="shared" si="17"/>
        <v>642.6583333333333</v>
      </c>
      <c r="AM10" s="14">
        <f t="shared" si="17"/>
        <v>401.22083333333353</v>
      </c>
      <c r="AN10" s="14">
        <f t="shared" si="17"/>
        <v>126.58749999999998</v>
      </c>
      <c r="AO10" s="14">
        <f t="shared" si="17"/>
        <v>54.516666666666666</v>
      </c>
      <c r="AP10" s="14">
        <f t="shared" si="17"/>
        <v>4.4583333333333375</v>
      </c>
      <c r="AQ10" s="14">
        <f t="shared" si="17"/>
        <v>15.441666666666658</v>
      </c>
      <c r="AR10" s="14">
        <f t="shared" si="17"/>
        <v>130.7791666666667</v>
      </c>
      <c r="AS10" s="14">
        <f t="shared" si="17"/>
        <v>324.60833333333329</v>
      </c>
      <c r="AT10" s="14">
        <f t="shared" si="17"/>
        <v>451.01250000000005</v>
      </c>
      <c r="AU10" s="14">
        <f t="shared" si="17"/>
        <v>661.45416666666654</v>
      </c>
      <c r="AV10" s="556">
        <f t="shared" si="18"/>
        <v>4655.1374999999998</v>
      </c>
      <c r="AW10">
        <f t="shared" si="19"/>
        <v>2022</v>
      </c>
      <c r="AX10" s="14">
        <f t="shared" si="20"/>
        <v>994.63333333333333</v>
      </c>
      <c r="AY10" s="14">
        <f t="shared" si="20"/>
        <v>729.76666666666654</v>
      </c>
      <c r="AZ10" s="14">
        <f t="shared" si="20"/>
        <v>580.65833333333342</v>
      </c>
      <c r="BA10" s="14">
        <f t="shared" si="20"/>
        <v>341.22083333333347</v>
      </c>
      <c r="BB10" s="14">
        <f t="shared" si="20"/>
        <v>87.67083333333332</v>
      </c>
      <c r="BC10" s="14">
        <f t="shared" si="20"/>
        <v>20.395833333333325</v>
      </c>
      <c r="BD10" s="14">
        <f t="shared" si="20"/>
        <v>0.47916666666666607</v>
      </c>
      <c r="BE10" s="14">
        <f t="shared" si="20"/>
        <v>1.5000000000000053</v>
      </c>
      <c r="BF10" s="14">
        <f t="shared" si="20"/>
        <v>86.958333333333343</v>
      </c>
      <c r="BG10" s="14">
        <f t="shared" si="20"/>
        <v>262.60833333333335</v>
      </c>
      <c r="BH10" s="14">
        <f t="shared" si="20"/>
        <v>393.01249999999999</v>
      </c>
      <c r="BI10" s="14">
        <f t="shared" si="20"/>
        <v>599.45416666666654</v>
      </c>
      <c r="BJ10" s="556">
        <f t="shared" si="21"/>
        <v>4098.3583333333327</v>
      </c>
      <c r="BK10">
        <f t="shared" si="22"/>
        <v>2022</v>
      </c>
      <c r="BL10" s="14">
        <f t="shared" si="23"/>
        <v>932.63333333333333</v>
      </c>
      <c r="BM10" s="14">
        <f t="shared" si="23"/>
        <v>673.76666666666665</v>
      </c>
      <c r="BN10" s="14">
        <f t="shared" si="23"/>
        <v>518.65833333333342</v>
      </c>
      <c r="BO10" s="14">
        <f t="shared" si="23"/>
        <v>281.2208333333333</v>
      </c>
      <c r="BP10" s="14">
        <f t="shared" si="23"/>
        <v>53.670833333333341</v>
      </c>
      <c r="BQ10" s="14">
        <f t="shared" si="23"/>
        <v>4.2374999999999954</v>
      </c>
      <c r="BR10" s="14">
        <f t="shared" si="23"/>
        <v>0</v>
      </c>
      <c r="BS10" s="14">
        <f t="shared" si="23"/>
        <v>0</v>
      </c>
      <c r="BT10" s="14">
        <f t="shared" si="23"/>
        <v>47.787500000000001</v>
      </c>
      <c r="BU10" s="14">
        <f t="shared" si="23"/>
        <v>201.29999999999998</v>
      </c>
      <c r="BV10" s="14">
        <f t="shared" si="23"/>
        <v>337.95416666666665</v>
      </c>
      <c r="BW10" s="14">
        <f t="shared" si="23"/>
        <v>537.45416666666665</v>
      </c>
      <c r="BX10" s="556">
        <f t="shared" si="24"/>
        <v>3588.6833333333334</v>
      </c>
      <c r="BY10">
        <f t="shared" si="25"/>
        <v>2022</v>
      </c>
      <c r="BZ10" s="14">
        <f t="shared" si="26"/>
        <v>870.63333333333344</v>
      </c>
      <c r="CA10" s="14">
        <f t="shared" si="26"/>
        <v>617.76666666666665</v>
      </c>
      <c r="CB10" s="14">
        <f t="shared" si="26"/>
        <v>456.65833333333342</v>
      </c>
      <c r="CC10" s="14">
        <f t="shared" si="26"/>
        <v>221.2208333333333</v>
      </c>
      <c r="CD10" s="14">
        <f t="shared" si="26"/>
        <v>22.608333333333334</v>
      </c>
      <c r="CE10" s="14">
        <f t="shared" si="26"/>
        <v>0</v>
      </c>
      <c r="CF10" s="14">
        <f t="shared" si="26"/>
        <v>0</v>
      </c>
      <c r="CG10" s="14">
        <f t="shared" si="26"/>
        <v>0</v>
      </c>
      <c r="CH10" s="14">
        <f t="shared" si="26"/>
        <v>20.179166666666667</v>
      </c>
      <c r="CI10" s="14">
        <f t="shared" si="26"/>
        <v>145.83750000000001</v>
      </c>
      <c r="CJ10" s="14">
        <f t="shared" si="26"/>
        <v>285.19583333333333</v>
      </c>
      <c r="CK10" s="14">
        <f t="shared" si="26"/>
        <v>475.45416666666677</v>
      </c>
      <c r="CL10" s="556">
        <f t="shared" si="27"/>
        <v>3115.5541666666668</v>
      </c>
      <c r="CM10">
        <f t="shared" si="28"/>
        <v>2022</v>
      </c>
      <c r="CN10" s="14">
        <f t="shared" si="29"/>
        <v>808.63333333333333</v>
      </c>
      <c r="CO10" s="14">
        <f t="shared" si="29"/>
        <v>561.76666666666665</v>
      </c>
      <c r="CP10" s="14">
        <f t="shared" si="29"/>
        <v>394.65833333333342</v>
      </c>
      <c r="CQ10" s="14">
        <f t="shared" si="29"/>
        <v>161.82499999999999</v>
      </c>
      <c r="CR10" s="14">
        <f t="shared" si="29"/>
        <v>2.8875000000000028</v>
      </c>
      <c r="CS10" s="14">
        <f t="shared" si="29"/>
        <v>0</v>
      </c>
      <c r="CT10" s="14">
        <f t="shared" si="29"/>
        <v>0</v>
      </c>
      <c r="CU10" s="14">
        <f t="shared" si="29"/>
        <v>0</v>
      </c>
      <c r="CV10" s="14">
        <f t="shared" si="29"/>
        <v>6.9416666666666638</v>
      </c>
      <c r="CW10" s="14">
        <f t="shared" si="29"/>
        <v>98.6</v>
      </c>
      <c r="CX10" s="14">
        <f t="shared" si="29"/>
        <v>235.98749999999995</v>
      </c>
      <c r="CY10" s="14">
        <f t="shared" si="29"/>
        <v>413.45416666666677</v>
      </c>
      <c r="CZ10" s="556">
        <f t="shared" si="30"/>
        <v>2684.7541666666671</v>
      </c>
      <c r="DA10">
        <f t="shared" si="31"/>
        <v>2022</v>
      </c>
      <c r="DB10" s="14">
        <f t="shared" si="32"/>
        <v>746.63333333333333</v>
      </c>
      <c r="DC10" s="14">
        <f t="shared" si="32"/>
        <v>505.76666666666682</v>
      </c>
      <c r="DD10" s="14">
        <f t="shared" si="32"/>
        <v>332.65833333333342</v>
      </c>
      <c r="DE10" s="14">
        <f t="shared" si="32"/>
        <v>105.36666666666665</v>
      </c>
      <c r="DF10" s="14">
        <f t="shared" si="32"/>
        <v>0</v>
      </c>
      <c r="DG10" s="14">
        <f t="shared" si="32"/>
        <v>0</v>
      </c>
      <c r="DH10" s="14">
        <f t="shared" si="32"/>
        <v>0</v>
      </c>
      <c r="DI10" s="14">
        <f t="shared" si="32"/>
        <v>0</v>
      </c>
      <c r="DJ10" s="14">
        <f t="shared" si="32"/>
        <v>0.92083333333332984</v>
      </c>
      <c r="DK10" s="14">
        <f t="shared" si="32"/>
        <v>56.249999999999993</v>
      </c>
      <c r="DL10" s="14">
        <f t="shared" si="32"/>
        <v>189.73750000000001</v>
      </c>
      <c r="DM10" s="14">
        <f t="shared" si="32"/>
        <v>351.45416666666677</v>
      </c>
      <c r="DN10" s="556">
        <f t="shared" si="33"/>
        <v>2288.7874999999999</v>
      </c>
      <c r="DO10" s="556"/>
      <c r="DP10" s="18">
        <f>'Monthly Data'!F10</f>
        <v>38709.411858974359</v>
      </c>
      <c r="DQ10" s="18">
        <f>'Monthly Data'!J10</f>
        <v>36098.258012820515</v>
      </c>
      <c r="DR10" s="18">
        <f>'Monthly Data'!N10</f>
        <v>32980.07532051282</v>
      </c>
    </row>
    <row r="11" spans="1:122">
      <c r="A11" s="9">
        <v>42644</v>
      </c>
      <c r="B11">
        <v>2016</v>
      </c>
      <c r="C11">
        <v>10</v>
      </c>
      <c r="D11" s="13">
        <v>8.0197580645161288</v>
      </c>
      <c r="E11" s="14">
        <v>371.38749999999993</v>
      </c>
      <c r="F11" s="14">
        <v>0</v>
      </c>
      <c r="G11" s="14">
        <v>309.38749999999999</v>
      </c>
      <c r="H11" s="14">
        <v>0</v>
      </c>
      <c r="I11" s="14">
        <v>248.13333333333335</v>
      </c>
      <c r="J11" s="14">
        <v>0.74583333333333712</v>
      </c>
      <c r="K11" s="14">
        <v>191.43333333333337</v>
      </c>
      <c r="L11" s="14">
        <v>6.0458333333333378</v>
      </c>
      <c r="M11" s="14">
        <v>142.60416666666669</v>
      </c>
      <c r="N11" s="14">
        <v>19.216666666666676</v>
      </c>
      <c r="O11" s="14">
        <v>102.47500000000001</v>
      </c>
      <c r="P11" s="14">
        <v>41.08750000000002</v>
      </c>
      <c r="Q11" s="14">
        <v>67.654166666666683</v>
      </c>
      <c r="R11" s="14">
        <v>68.26666666666668</v>
      </c>
      <c r="S11" s="30"/>
      <c r="U11">
        <f t="shared" si="14"/>
        <v>2023</v>
      </c>
      <c r="V11" s="13">
        <f t="shared" si="7"/>
        <v>821.78333333333342</v>
      </c>
      <c r="W11" s="13">
        <f t="shared" si="7"/>
        <v>793.05833333333328</v>
      </c>
      <c r="X11" s="13">
        <f t="shared" si="7"/>
        <v>690.10000000000025</v>
      </c>
      <c r="Y11" s="13">
        <f t="shared" si="7"/>
        <v>420.70833333333337</v>
      </c>
      <c r="Z11" s="13">
        <f t="shared" si="7"/>
        <v>234.95208333333341</v>
      </c>
      <c r="AA11" s="13">
        <f t="shared" si="7"/>
        <v>79.324999999999989</v>
      </c>
      <c r="AB11" s="13">
        <f t="shared" si="7"/>
        <v>27.016666666666673</v>
      </c>
      <c r="AC11" s="13">
        <f t="shared" si="7"/>
        <v>78.083333333333329</v>
      </c>
      <c r="AD11" s="13">
        <f t="shared" si="7"/>
        <v>162.20833333333331</v>
      </c>
      <c r="AE11" s="13">
        <f t="shared" si="7"/>
        <v>308.94999999999993</v>
      </c>
      <c r="AF11" s="13">
        <f t="shared" si="7"/>
        <v>616.27291666666667</v>
      </c>
      <c r="AG11" s="13">
        <f t="shared" si="7"/>
        <v>713.16250000000014</v>
      </c>
      <c r="AH11" s="556">
        <f t="shared" si="15"/>
        <v>4945.6208333333343</v>
      </c>
      <c r="AI11">
        <f t="shared" si="16"/>
        <v>2023</v>
      </c>
      <c r="AJ11" s="14">
        <f t="shared" si="17"/>
        <v>759.78333333333342</v>
      </c>
      <c r="AK11" s="14">
        <f t="shared" si="17"/>
        <v>737.05833333333328</v>
      </c>
      <c r="AL11" s="14">
        <f t="shared" si="17"/>
        <v>628.10000000000025</v>
      </c>
      <c r="AM11" s="14">
        <f t="shared" si="17"/>
        <v>360.70833333333337</v>
      </c>
      <c r="AN11" s="14">
        <f t="shared" si="17"/>
        <v>177.13750000000005</v>
      </c>
      <c r="AO11" s="14">
        <f t="shared" si="17"/>
        <v>38.23749999999999</v>
      </c>
      <c r="AP11" s="14">
        <f t="shared" si="17"/>
        <v>6.454166666666671</v>
      </c>
      <c r="AQ11" s="14">
        <f t="shared" si="17"/>
        <v>30.016666666666659</v>
      </c>
      <c r="AR11" s="14">
        <f t="shared" si="17"/>
        <v>112.94166666666663</v>
      </c>
      <c r="AS11" s="14">
        <f t="shared" si="17"/>
        <v>250.95</v>
      </c>
      <c r="AT11" s="14">
        <f t="shared" si="17"/>
        <v>556.27291666666667</v>
      </c>
      <c r="AU11" s="14">
        <f t="shared" si="17"/>
        <v>651.16250000000025</v>
      </c>
      <c r="AV11" s="556">
        <f t="shared" si="18"/>
        <v>4308.8229166666679</v>
      </c>
      <c r="AW11">
        <f t="shared" si="19"/>
        <v>2023</v>
      </c>
      <c r="AX11" s="14">
        <f t="shared" si="20"/>
        <v>697.78333333333342</v>
      </c>
      <c r="AY11" s="14">
        <f t="shared" si="20"/>
        <v>681.05833333333328</v>
      </c>
      <c r="AZ11" s="14">
        <f t="shared" si="20"/>
        <v>566.09999999999991</v>
      </c>
      <c r="BA11" s="14">
        <f t="shared" si="20"/>
        <v>300.70833333333337</v>
      </c>
      <c r="BB11" s="14">
        <f t="shared" si="20"/>
        <v>126.95833333333333</v>
      </c>
      <c r="BC11" s="14">
        <f t="shared" si="20"/>
        <v>12.866666666666669</v>
      </c>
      <c r="BD11" s="14">
        <f t="shared" si="20"/>
        <v>0.38333333333333464</v>
      </c>
      <c r="BE11" s="14">
        <f t="shared" si="20"/>
        <v>5.4958333333333371</v>
      </c>
      <c r="BF11" s="14">
        <f t="shared" si="20"/>
        <v>65.812499999999986</v>
      </c>
      <c r="BG11" s="14">
        <f t="shared" si="20"/>
        <v>197.34166666666664</v>
      </c>
      <c r="BH11" s="14">
        <f t="shared" si="20"/>
        <v>496.27291666666662</v>
      </c>
      <c r="BI11" s="14">
        <f t="shared" si="20"/>
        <v>589.16250000000014</v>
      </c>
      <c r="BJ11" s="556">
        <f t="shared" si="21"/>
        <v>3739.9437500000004</v>
      </c>
      <c r="BK11">
        <f t="shared" si="22"/>
        <v>2023</v>
      </c>
      <c r="BL11" s="14">
        <f t="shared" si="23"/>
        <v>635.78333333333342</v>
      </c>
      <c r="BM11" s="14">
        <f t="shared" si="23"/>
        <v>625.05833333333328</v>
      </c>
      <c r="BN11" s="14">
        <f t="shared" si="23"/>
        <v>504.1</v>
      </c>
      <c r="BO11" s="14">
        <f t="shared" si="23"/>
        <v>242.45833333333331</v>
      </c>
      <c r="BP11" s="14">
        <f t="shared" si="23"/>
        <v>80.341666666666669</v>
      </c>
      <c r="BQ11" s="14">
        <f t="shared" si="23"/>
        <v>2.3999999999999986</v>
      </c>
      <c r="BR11" s="14">
        <f t="shared" si="23"/>
        <v>0</v>
      </c>
      <c r="BS11" s="14">
        <f t="shared" si="23"/>
        <v>0.45000000000000284</v>
      </c>
      <c r="BT11" s="14">
        <f t="shared" si="23"/>
        <v>29.48749999999999</v>
      </c>
      <c r="BU11" s="14">
        <f t="shared" si="23"/>
        <v>151.68333333333334</v>
      </c>
      <c r="BV11" s="14">
        <f t="shared" si="23"/>
        <v>436.27291666666662</v>
      </c>
      <c r="BW11" s="14">
        <f t="shared" si="23"/>
        <v>527.16249999999991</v>
      </c>
      <c r="BX11" s="556">
        <f t="shared" si="24"/>
        <v>3235.1979166666665</v>
      </c>
      <c r="BY11">
        <f t="shared" si="25"/>
        <v>2023</v>
      </c>
      <c r="BZ11" s="14">
        <f t="shared" si="26"/>
        <v>573.78333333333342</v>
      </c>
      <c r="CA11" s="14">
        <f t="shared" si="26"/>
        <v>569.05833333333328</v>
      </c>
      <c r="CB11" s="14">
        <f t="shared" si="26"/>
        <v>442.1</v>
      </c>
      <c r="CC11" s="14">
        <f t="shared" si="26"/>
        <v>187.84166666666664</v>
      </c>
      <c r="CD11" s="14">
        <f t="shared" si="26"/>
        <v>49.537499999999994</v>
      </c>
      <c r="CE11" s="14">
        <f t="shared" si="26"/>
        <v>0</v>
      </c>
      <c r="CF11" s="14">
        <f t="shared" si="26"/>
        <v>0</v>
      </c>
      <c r="CG11" s="14">
        <f t="shared" si="26"/>
        <v>0</v>
      </c>
      <c r="CH11" s="14">
        <f t="shared" si="26"/>
        <v>9.3166666666666664</v>
      </c>
      <c r="CI11" s="14">
        <f t="shared" si="26"/>
        <v>107.68333333333332</v>
      </c>
      <c r="CJ11" s="14">
        <f t="shared" si="26"/>
        <v>376.27291666666662</v>
      </c>
      <c r="CK11" s="14">
        <f t="shared" si="26"/>
        <v>465.16250000000002</v>
      </c>
      <c r="CL11" s="556">
        <f t="shared" si="27"/>
        <v>2780.7562499999999</v>
      </c>
      <c r="CM11">
        <f t="shared" si="28"/>
        <v>2023</v>
      </c>
      <c r="CN11" s="14">
        <f t="shared" si="29"/>
        <v>511.78333333333347</v>
      </c>
      <c r="CO11" s="14">
        <f t="shared" si="29"/>
        <v>513.05833333333339</v>
      </c>
      <c r="CP11" s="14">
        <f t="shared" si="29"/>
        <v>380.09999999999997</v>
      </c>
      <c r="CQ11" s="14">
        <f t="shared" si="29"/>
        <v>139.21666666666667</v>
      </c>
      <c r="CR11" s="14">
        <f t="shared" si="29"/>
        <v>24.945833333333333</v>
      </c>
      <c r="CS11" s="14">
        <f t="shared" si="29"/>
        <v>0</v>
      </c>
      <c r="CT11" s="14">
        <f t="shared" si="29"/>
        <v>0</v>
      </c>
      <c r="CU11" s="14">
        <f t="shared" si="29"/>
        <v>0</v>
      </c>
      <c r="CV11" s="14">
        <f t="shared" si="29"/>
        <v>0.46250000000000213</v>
      </c>
      <c r="CW11" s="14">
        <f t="shared" si="29"/>
        <v>68.216666666666669</v>
      </c>
      <c r="CX11" s="14">
        <f t="shared" si="29"/>
        <v>316.27291666666673</v>
      </c>
      <c r="CY11" s="14">
        <f t="shared" si="29"/>
        <v>403.16249999999997</v>
      </c>
      <c r="CZ11" s="556">
        <f t="shared" si="30"/>
        <v>2357.2187500000005</v>
      </c>
      <c r="DA11">
        <f t="shared" si="31"/>
        <v>2023</v>
      </c>
      <c r="DB11" s="14">
        <f t="shared" si="32"/>
        <v>449.78333333333347</v>
      </c>
      <c r="DC11" s="14">
        <f t="shared" si="32"/>
        <v>457.05833333333351</v>
      </c>
      <c r="DD11" s="14">
        <f t="shared" si="32"/>
        <v>318.09999999999997</v>
      </c>
      <c r="DE11" s="14">
        <f t="shared" si="32"/>
        <v>98.029166666666683</v>
      </c>
      <c r="DF11" s="14">
        <f t="shared" si="32"/>
        <v>8.2916666666666643</v>
      </c>
      <c r="DG11" s="14">
        <f t="shared" si="32"/>
        <v>0</v>
      </c>
      <c r="DH11" s="14">
        <f t="shared" si="32"/>
        <v>0</v>
      </c>
      <c r="DI11" s="14">
        <f t="shared" si="32"/>
        <v>0</v>
      </c>
      <c r="DJ11" s="14">
        <f t="shared" si="32"/>
        <v>0</v>
      </c>
      <c r="DK11" s="14">
        <f t="shared" si="32"/>
        <v>38.67916666666666</v>
      </c>
      <c r="DL11" s="14">
        <f t="shared" si="32"/>
        <v>256.27291666666667</v>
      </c>
      <c r="DM11" s="14">
        <f t="shared" si="32"/>
        <v>341.16250000000002</v>
      </c>
      <c r="DN11" s="556">
        <f t="shared" si="33"/>
        <v>1967.3770833333333</v>
      </c>
      <c r="DO11" s="556"/>
      <c r="DP11" s="18">
        <f>'Monthly Data'!F11</f>
        <v>41206.793269230766</v>
      </c>
      <c r="DQ11" s="18">
        <f>'Monthly Data'!J11</f>
        <v>38427.177884615383</v>
      </c>
      <c r="DR11" s="18">
        <f>'Monthly Data'!N11</f>
        <v>35107.822115384617</v>
      </c>
    </row>
    <row r="12" spans="1:122">
      <c r="A12" s="9">
        <v>42675</v>
      </c>
      <c r="B12">
        <v>2016</v>
      </c>
      <c r="C12">
        <v>11</v>
      </c>
      <c r="D12" s="13">
        <v>2.2409722222222217</v>
      </c>
      <c r="E12" s="14">
        <v>532.77083333333348</v>
      </c>
      <c r="F12" s="14">
        <v>0</v>
      </c>
      <c r="G12" s="14">
        <v>472.77083333333337</v>
      </c>
      <c r="H12" s="14">
        <v>0</v>
      </c>
      <c r="I12" s="14">
        <v>412.77083333333337</v>
      </c>
      <c r="J12" s="14">
        <v>0</v>
      </c>
      <c r="K12" s="14">
        <v>352.77083333333331</v>
      </c>
      <c r="L12" s="14">
        <v>0</v>
      </c>
      <c r="M12" s="14">
        <v>292.77083333333326</v>
      </c>
      <c r="N12" s="14">
        <v>0</v>
      </c>
      <c r="O12" s="14">
        <v>232.77083333333337</v>
      </c>
      <c r="P12" s="14">
        <v>0</v>
      </c>
      <c r="Q12" s="14">
        <v>172.77083333333337</v>
      </c>
      <c r="R12" s="14">
        <v>0</v>
      </c>
      <c r="S12" s="30"/>
      <c r="U12">
        <f t="shared" si="14"/>
        <v>2024</v>
      </c>
      <c r="V12" s="13">
        <f t="shared" si="7"/>
        <v>829.07916666666677</v>
      </c>
      <c r="W12" s="13">
        <f t="shared" si="7"/>
        <v>711.87916666666661</v>
      </c>
      <c r="X12" s="13">
        <f t="shared" si="7"/>
        <v>596.57916666666665</v>
      </c>
      <c r="Y12" s="13">
        <f t="shared" si="7"/>
        <v>417.11249999999995</v>
      </c>
      <c r="Z12" s="13">
        <f t="shared" si="7"/>
        <v>162.30416666666667</v>
      </c>
      <c r="AA12" s="13">
        <f t="shared" si="7"/>
        <v>82.241666666666674</v>
      </c>
      <c r="AB12" s="13">
        <f t="shared" si="7"/>
        <v>17.166666666666668</v>
      </c>
      <c r="AC12" s="13">
        <f t="shared" si="7"/>
        <v>63.7</v>
      </c>
      <c r="AD12" s="13">
        <f t="shared" si="7"/>
        <v>120.98333333333333</v>
      </c>
      <c r="AE12" s="13">
        <f t="shared" si="7"/>
        <v>360.05833333333328</v>
      </c>
      <c r="AF12" s="13">
        <f t="shared" si="7"/>
        <v>506.44583333333338</v>
      </c>
      <c r="AG12" s="13">
        <f t="shared" si="7"/>
        <v>796.64791666666656</v>
      </c>
      <c r="AH12" s="556">
        <f t="shared" si="15"/>
        <v>4664.197916666667</v>
      </c>
      <c r="AI12">
        <f t="shared" si="16"/>
        <v>2024</v>
      </c>
      <c r="AJ12" s="14">
        <f t="shared" si="17"/>
        <v>767.07916666666677</v>
      </c>
      <c r="AK12" s="14">
        <f t="shared" si="17"/>
        <v>653.87916666666672</v>
      </c>
      <c r="AL12" s="14">
        <f t="shared" si="17"/>
        <v>534.57916666666665</v>
      </c>
      <c r="AM12" s="14">
        <f t="shared" si="17"/>
        <v>357.11249999999995</v>
      </c>
      <c r="AN12" s="14">
        <f t="shared" si="17"/>
        <v>107.28749999999998</v>
      </c>
      <c r="AO12" s="14">
        <f t="shared" si="17"/>
        <v>44.020833333333336</v>
      </c>
      <c r="AP12" s="14">
        <f t="shared" si="17"/>
        <v>2.2499999999999964</v>
      </c>
      <c r="AQ12" s="14">
        <f t="shared" si="17"/>
        <v>30.883333333333333</v>
      </c>
      <c r="AR12" s="14">
        <f t="shared" si="17"/>
        <v>70.695833333333326</v>
      </c>
      <c r="AS12" s="14">
        <f t="shared" si="17"/>
        <v>299.2833333333333</v>
      </c>
      <c r="AT12" s="14">
        <f t="shared" si="17"/>
        <v>446.44583333333333</v>
      </c>
      <c r="AU12" s="14">
        <f t="shared" si="17"/>
        <v>734.64791666666656</v>
      </c>
      <c r="AV12" s="556">
        <f t="shared" si="18"/>
        <v>4048.1645833333332</v>
      </c>
      <c r="AW12">
        <f t="shared" si="19"/>
        <v>2024</v>
      </c>
      <c r="AX12" s="14">
        <f t="shared" si="20"/>
        <v>705.07916666666677</v>
      </c>
      <c r="AY12" s="14">
        <f t="shared" si="20"/>
        <v>595.87916666666661</v>
      </c>
      <c r="AZ12" s="14">
        <f t="shared" si="20"/>
        <v>472.57916666666677</v>
      </c>
      <c r="BA12" s="14">
        <f t="shared" si="20"/>
        <v>297.11250000000007</v>
      </c>
      <c r="BB12" s="14">
        <f t="shared" si="20"/>
        <v>63.466666666666661</v>
      </c>
      <c r="BC12" s="14">
        <f t="shared" si="20"/>
        <v>20.5</v>
      </c>
      <c r="BD12" s="14">
        <f t="shared" si="20"/>
        <v>0</v>
      </c>
      <c r="BE12" s="14">
        <f t="shared" si="20"/>
        <v>9.0208333333333321</v>
      </c>
      <c r="BF12" s="14">
        <f t="shared" si="20"/>
        <v>36.037500000000001</v>
      </c>
      <c r="BG12" s="14">
        <f t="shared" si="20"/>
        <v>239.28333333333327</v>
      </c>
      <c r="BH12" s="14">
        <f t="shared" si="20"/>
        <v>386.44583333333333</v>
      </c>
      <c r="BI12" s="14">
        <f t="shared" si="20"/>
        <v>672.64791666666656</v>
      </c>
      <c r="BJ12" s="556">
        <f t="shared" si="21"/>
        <v>3498.0520833333339</v>
      </c>
      <c r="BK12">
        <f t="shared" si="22"/>
        <v>2024</v>
      </c>
      <c r="BL12" s="14">
        <f t="shared" si="23"/>
        <v>643.07916666666665</v>
      </c>
      <c r="BM12" s="14">
        <f t="shared" si="23"/>
        <v>537.87916666666661</v>
      </c>
      <c r="BN12" s="14">
        <f t="shared" si="23"/>
        <v>410.57916666666665</v>
      </c>
      <c r="BO12" s="14">
        <f t="shared" si="23"/>
        <v>237.11250000000004</v>
      </c>
      <c r="BP12" s="14">
        <f t="shared" si="23"/>
        <v>32.008333333333333</v>
      </c>
      <c r="BQ12" s="14">
        <f t="shared" si="23"/>
        <v>8.2083333333333357</v>
      </c>
      <c r="BR12" s="14">
        <f t="shared" si="23"/>
        <v>0</v>
      </c>
      <c r="BS12" s="14">
        <f t="shared" si="23"/>
        <v>1.2541666666666682</v>
      </c>
      <c r="BT12" s="14">
        <f t="shared" si="23"/>
        <v>17.058333333333337</v>
      </c>
      <c r="BU12" s="14">
        <f t="shared" si="23"/>
        <v>181.74583333333334</v>
      </c>
      <c r="BV12" s="14">
        <f t="shared" si="23"/>
        <v>327.05000000000007</v>
      </c>
      <c r="BW12" s="14">
        <f t="shared" si="23"/>
        <v>610.64791666666656</v>
      </c>
      <c r="BX12" s="556">
        <f t="shared" si="24"/>
        <v>3006.6229166666662</v>
      </c>
      <c r="BY12">
        <f t="shared" si="25"/>
        <v>2024</v>
      </c>
      <c r="BZ12" s="14">
        <f t="shared" si="26"/>
        <v>581.07916666666665</v>
      </c>
      <c r="CA12" s="14">
        <f t="shared" si="26"/>
        <v>479.87916666666661</v>
      </c>
      <c r="CB12" s="14">
        <f t="shared" si="26"/>
        <v>348.57916666666665</v>
      </c>
      <c r="CC12" s="14">
        <f t="shared" si="26"/>
        <v>177.84583333333336</v>
      </c>
      <c r="CD12" s="14">
        <f t="shared" si="26"/>
        <v>9.4041666666666668</v>
      </c>
      <c r="CE12" s="14">
        <f t="shared" si="26"/>
        <v>2.6000000000000032</v>
      </c>
      <c r="CF12" s="14">
        <f t="shared" si="26"/>
        <v>0</v>
      </c>
      <c r="CG12" s="14">
        <f t="shared" si="26"/>
        <v>0</v>
      </c>
      <c r="CH12" s="14">
        <f t="shared" si="26"/>
        <v>8.1791666666666654</v>
      </c>
      <c r="CI12" s="14">
        <f t="shared" si="26"/>
        <v>132.20416666666668</v>
      </c>
      <c r="CJ12" s="14">
        <f t="shared" si="26"/>
        <v>269.08333333333337</v>
      </c>
      <c r="CK12" s="14">
        <f t="shared" si="26"/>
        <v>548.64791666666667</v>
      </c>
      <c r="CL12" s="556">
        <f t="shared" si="27"/>
        <v>2557.5020833333333</v>
      </c>
      <c r="CM12">
        <f t="shared" si="28"/>
        <v>2024</v>
      </c>
      <c r="CN12" s="14">
        <f t="shared" si="29"/>
        <v>519.07916666666665</v>
      </c>
      <c r="CO12" s="14">
        <f t="shared" si="29"/>
        <v>421.87916666666661</v>
      </c>
      <c r="CP12" s="14">
        <f t="shared" si="29"/>
        <v>286.57916666666665</v>
      </c>
      <c r="CQ12" s="14">
        <f t="shared" si="29"/>
        <v>124.96250000000002</v>
      </c>
      <c r="CR12" s="14">
        <f t="shared" si="29"/>
        <v>0</v>
      </c>
      <c r="CS12" s="14">
        <f t="shared" si="29"/>
        <v>0.6000000000000032</v>
      </c>
      <c r="CT12" s="14">
        <f t="shared" si="29"/>
        <v>0</v>
      </c>
      <c r="CU12" s="14">
        <f t="shared" si="29"/>
        <v>0</v>
      </c>
      <c r="CV12" s="14">
        <f t="shared" si="29"/>
        <v>2.4333333333333318</v>
      </c>
      <c r="CW12" s="14">
        <f t="shared" si="29"/>
        <v>89.8</v>
      </c>
      <c r="CX12" s="14">
        <f t="shared" si="29"/>
        <v>213.08333333333331</v>
      </c>
      <c r="CY12" s="14">
        <f t="shared" si="29"/>
        <v>486.6479166666665</v>
      </c>
      <c r="CZ12" s="556">
        <f t="shared" si="30"/>
        <v>2145.0645833333328</v>
      </c>
      <c r="DA12">
        <f t="shared" si="31"/>
        <v>2024</v>
      </c>
      <c r="DB12" s="14">
        <f t="shared" si="32"/>
        <v>457.07916666666659</v>
      </c>
      <c r="DC12" s="14">
        <f t="shared" si="32"/>
        <v>363.87916666666666</v>
      </c>
      <c r="DD12" s="14">
        <f t="shared" si="32"/>
        <v>224.57916666666665</v>
      </c>
      <c r="DE12" s="14">
        <f t="shared" si="32"/>
        <v>75.558333333333337</v>
      </c>
      <c r="DF12" s="14">
        <f t="shared" si="32"/>
        <v>0</v>
      </c>
      <c r="DG12" s="14">
        <f t="shared" si="32"/>
        <v>0</v>
      </c>
      <c r="DH12" s="14">
        <f t="shared" si="32"/>
        <v>0</v>
      </c>
      <c r="DI12" s="14">
        <f t="shared" si="32"/>
        <v>0</v>
      </c>
      <c r="DJ12" s="14">
        <f t="shared" si="32"/>
        <v>2.0833333333332149E-2</v>
      </c>
      <c r="DK12" s="14">
        <f t="shared" si="32"/>
        <v>51.55416666666666</v>
      </c>
      <c r="DL12" s="14">
        <f t="shared" si="32"/>
        <v>157.08333333333331</v>
      </c>
      <c r="DM12" s="14">
        <f t="shared" si="32"/>
        <v>424.64791666666656</v>
      </c>
      <c r="DN12" s="556">
        <f t="shared" si="33"/>
        <v>1754.4020833333329</v>
      </c>
      <c r="DO12" s="556"/>
      <c r="DP12" s="18">
        <f>'Monthly Data'!F12</f>
        <v>43704.17467948718</v>
      </c>
      <c r="DQ12" s="18">
        <f>'Monthly Data'!J12</f>
        <v>40756.097756410258</v>
      </c>
      <c r="DR12" s="18">
        <f>'Monthly Data'!N12</f>
        <v>37235.568910256407</v>
      </c>
    </row>
    <row r="13" spans="1:122">
      <c r="A13" s="9">
        <v>42705</v>
      </c>
      <c r="B13">
        <v>2016</v>
      </c>
      <c r="C13">
        <v>12</v>
      </c>
      <c r="D13" s="13">
        <v>-6.2139784946236576</v>
      </c>
      <c r="E13" s="14">
        <v>812.63333333333298</v>
      </c>
      <c r="F13" s="14">
        <v>0</v>
      </c>
      <c r="G13" s="14">
        <v>750.63333333333298</v>
      </c>
      <c r="H13" s="14">
        <v>0</v>
      </c>
      <c r="I13" s="14">
        <v>688.63333333333298</v>
      </c>
      <c r="J13" s="14">
        <v>0</v>
      </c>
      <c r="K13" s="14">
        <v>626.63333333333321</v>
      </c>
      <c r="L13" s="14">
        <v>0</v>
      </c>
      <c r="M13" s="14">
        <v>564.63333333333344</v>
      </c>
      <c r="N13" s="14">
        <v>0</v>
      </c>
      <c r="O13" s="14">
        <v>502.63333333333327</v>
      </c>
      <c r="P13" s="14">
        <v>0</v>
      </c>
      <c r="Q13" s="14">
        <v>440.63333333333327</v>
      </c>
      <c r="R13" s="14">
        <v>0</v>
      </c>
      <c r="S13" s="30"/>
      <c r="U13">
        <f t="shared" si="14"/>
        <v>2025</v>
      </c>
      <c r="V13" s="13">
        <f t="shared" si="7"/>
        <v>930.57291666666663</v>
      </c>
      <c r="W13" s="13">
        <f t="shared" si="7"/>
        <v>851.05000000000007</v>
      </c>
      <c r="X13" s="13">
        <f t="shared" si="7"/>
        <v>682.18333333333362</v>
      </c>
      <c r="Y13" s="13">
        <f t="shared" si="7"/>
        <v>479.43541666666664</v>
      </c>
      <c r="Z13" s="13">
        <f t="shared" si="7"/>
        <v>237.32916666666665</v>
      </c>
      <c r="AA13" s="13">
        <f t="shared" si="7"/>
        <v>85.787499999999994</v>
      </c>
      <c r="AB13" s="13">
        <f t="shared" si="7"/>
        <v>23.716666666666676</v>
      </c>
      <c r="AC13" s="13">
        <f t="shared" si="7"/>
        <v>67.597916666666677</v>
      </c>
      <c r="AD13" s="13">
        <f t="shared" si="7"/>
        <v>178.70416666666671</v>
      </c>
      <c r="AE13" s="13">
        <f t="shared" si="7"/>
        <v>347.06666666666666</v>
      </c>
      <c r="AF13" s="13">
        <f t="shared" si="7"/>
        <v>607.22916666666652</v>
      </c>
      <c r="AG13" s="13">
        <f t="shared" si="7"/>
        <v>915.94583333333321</v>
      </c>
      <c r="AH13" s="556">
        <f t="shared" si="15"/>
        <v>5406.6187500000005</v>
      </c>
      <c r="AI13">
        <f t="shared" si="16"/>
        <v>2025</v>
      </c>
      <c r="AJ13" s="14">
        <f t="shared" si="17"/>
        <v>868.57291666666663</v>
      </c>
      <c r="AK13" s="14">
        <f t="shared" si="17"/>
        <v>795.05000000000007</v>
      </c>
      <c r="AL13" s="14">
        <f t="shared" si="17"/>
        <v>620.18333333333362</v>
      </c>
      <c r="AM13" s="14">
        <f t="shared" si="17"/>
        <v>419.4354166666667</v>
      </c>
      <c r="AN13" s="14">
        <f t="shared" si="17"/>
        <v>177.67291666666665</v>
      </c>
      <c r="AO13" s="14">
        <f t="shared" si="17"/>
        <v>46.833333333333336</v>
      </c>
      <c r="AP13" s="14">
        <f t="shared" si="17"/>
        <v>8.0333333333333403</v>
      </c>
      <c r="AQ13" s="14">
        <f t="shared" si="17"/>
        <v>32.360416666666666</v>
      </c>
      <c r="AR13" s="14">
        <f t="shared" si="17"/>
        <v>119.1583333333333</v>
      </c>
      <c r="AS13" s="14">
        <f t="shared" si="17"/>
        <v>289.06666666666666</v>
      </c>
      <c r="AT13" s="14">
        <f t="shared" si="17"/>
        <v>547.22916666666663</v>
      </c>
      <c r="AU13" s="14">
        <f t="shared" si="17"/>
        <v>853.94583333333321</v>
      </c>
      <c r="AV13" s="556">
        <f t="shared" si="18"/>
        <v>4777.5416666666679</v>
      </c>
      <c r="AW13">
        <f t="shared" si="19"/>
        <v>2025</v>
      </c>
      <c r="AX13" s="14">
        <f t="shared" si="20"/>
        <v>806.57291666666663</v>
      </c>
      <c r="AY13" s="14">
        <f t="shared" si="20"/>
        <v>739.05000000000007</v>
      </c>
      <c r="AZ13" s="14">
        <f t="shared" si="20"/>
        <v>558.18333333333351</v>
      </c>
      <c r="BA13" s="14">
        <f t="shared" si="20"/>
        <v>359.45624999999995</v>
      </c>
      <c r="BB13" s="14">
        <f t="shared" si="20"/>
        <v>128.02499999999998</v>
      </c>
      <c r="BC13" s="14">
        <f t="shared" si="20"/>
        <v>22.612500000000011</v>
      </c>
      <c r="BD13" s="14">
        <f t="shared" si="20"/>
        <v>1.6166666666666689</v>
      </c>
      <c r="BE13" s="14">
        <f t="shared" si="20"/>
        <v>11.950000000000001</v>
      </c>
      <c r="BF13" s="14">
        <f t="shared" si="20"/>
        <v>67.6875</v>
      </c>
      <c r="BG13" s="14">
        <f t="shared" si="20"/>
        <v>233.49583333333331</v>
      </c>
      <c r="BH13" s="14">
        <f t="shared" si="20"/>
        <v>487.22916666666669</v>
      </c>
      <c r="BI13" s="14">
        <f t="shared" si="20"/>
        <v>791.94583333333321</v>
      </c>
      <c r="BJ13" s="556">
        <f t="shared" si="21"/>
        <v>4207.8249999999998</v>
      </c>
      <c r="BK13">
        <f t="shared" si="22"/>
        <v>2025</v>
      </c>
      <c r="BL13" s="14">
        <f t="shared" si="23"/>
        <v>744.57291666666663</v>
      </c>
      <c r="BM13" s="14">
        <f t="shared" si="23"/>
        <v>683.05000000000007</v>
      </c>
      <c r="BN13" s="14">
        <f t="shared" si="23"/>
        <v>496.18333333333339</v>
      </c>
      <c r="BO13" s="14">
        <f t="shared" si="23"/>
        <v>301.45625000000001</v>
      </c>
      <c r="BP13" s="14">
        <f t="shared" si="23"/>
        <v>86.63333333333334</v>
      </c>
      <c r="BQ13" s="14">
        <f t="shared" si="23"/>
        <v>10.90833333333334</v>
      </c>
      <c r="BR13" s="14">
        <f t="shared" si="23"/>
        <v>0</v>
      </c>
      <c r="BS13" s="14">
        <f t="shared" si="23"/>
        <v>1.3208333333333346</v>
      </c>
      <c r="BT13" s="14">
        <f t="shared" si="23"/>
        <v>31.791666666666671</v>
      </c>
      <c r="BU13" s="14">
        <f t="shared" si="23"/>
        <v>180.64166666666668</v>
      </c>
      <c r="BV13" s="14">
        <f t="shared" si="23"/>
        <v>427.22916666666674</v>
      </c>
      <c r="BW13" s="14">
        <f t="shared" si="23"/>
        <v>729.94583333333321</v>
      </c>
      <c r="BX13" s="556">
        <f t="shared" si="24"/>
        <v>3693.7333333333336</v>
      </c>
      <c r="BY13">
        <f t="shared" si="25"/>
        <v>2025</v>
      </c>
      <c r="BZ13" s="14">
        <f t="shared" si="26"/>
        <v>682.57291666666663</v>
      </c>
      <c r="CA13" s="14">
        <f t="shared" si="26"/>
        <v>627.05000000000007</v>
      </c>
      <c r="CB13" s="14">
        <f t="shared" si="26"/>
        <v>434.18333333333334</v>
      </c>
      <c r="CC13" s="14">
        <f t="shared" si="26"/>
        <v>244.1229166666667</v>
      </c>
      <c r="CD13" s="14">
        <f t="shared" si="26"/>
        <v>51.35</v>
      </c>
      <c r="CE13" s="14">
        <f t="shared" si="26"/>
        <v>4.2625000000000011</v>
      </c>
      <c r="CF13" s="14">
        <f t="shared" si="26"/>
        <v>0</v>
      </c>
      <c r="CG13" s="14">
        <f t="shared" si="26"/>
        <v>0</v>
      </c>
      <c r="CH13" s="14">
        <f t="shared" si="26"/>
        <v>11.725</v>
      </c>
      <c r="CI13" s="14">
        <f t="shared" si="26"/>
        <v>134.08750000000003</v>
      </c>
      <c r="CJ13" s="14">
        <f t="shared" si="26"/>
        <v>367.22916666666669</v>
      </c>
      <c r="CK13" s="14">
        <f t="shared" si="26"/>
        <v>667.94583333333333</v>
      </c>
      <c r="CL13" s="556">
        <f t="shared" si="27"/>
        <v>3224.5291666666667</v>
      </c>
      <c r="CM13">
        <f t="shared" si="28"/>
        <v>2025</v>
      </c>
      <c r="CN13" s="14">
        <f t="shared" si="29"/>
        <v>620.57291666666663</v>
      </c>
      <c r="CO13" s="14">
        <f t="shared" si="29"/>
        <v>571.05000000000007</v>
      </c>
      <c r="CP13" s="14">
        <f t="shared" si="29"/>
        <v>372.18333333333328</v>
      </c>
      <c r="CQ13" s="14">
        <f t="shared" si="29"/>
        <v>188.24375000000001</v>
      </c>
      <c r="CR13" s="14">
        <f t="shared" si="29"/>
        <v>21.554166666666667</v>
      </c>
      <c r="CS13" s="14">
        <f t="shared" si="29"/>
        <v>1.375</v>
      </c>
      <c r="CT13" s="14">
        <f t="shared" si="29"/>
        <v>0</v>
      </c>
      <c r="CU13" s="14">
        <f t="shared" si="29"/>
        <v>0</v>
      </c>
      <c r="CV13" s="14">
        <f t="shared" si="29"/>
        <v>3.8749999999999982</v>
      </c>
      <c r="CW13" s="14">
        <f t="shared" si="29"/>
        <v>91.36666666666666</v>
      </c>
      <c r="CX13" s="14">
        <f t="shared" si="29"/>
        <v>307.22916666666669</v>
      </c>
      <c r="CY13" s="14">
        <f t="shared" si="29"/>
        <v>605.94583333333333</v>
      </c>
      <c r="CZ13" s="556">
        <f t="shared" si="30"/>
        <v>2783.395833333333</v>
      </c>
      <c r="DA13">
        <f t="shared" si="31"/>
        <v>2025</v>
      </c>
      <c r="DB13" s="14">
        <f t="shared" si="32"/>
        <v>558.57291666666663</v>
      </c>
      <c r="DC13" s="14">
        <f t="shared" si="32"/>
        <v>515.05000000000018</v>
      </c>
      <c r="DD13" s="14">
        <f t="shared" si="32"/>
        <v>310.18333333333328</v>
      </c>
      <c r="DE13" s="14">
        <f t="shared" si="32"/>
        <v>138.13124999999997</v>
      </c>
      <c r="DF13" s="14">
        <f t="shared" si="32"/>
        <v>5.4916666666666663</v>
      </c>
      <c r="DG13" s="14">
        <f t="shared" si="32"/>
        <v>0</v>
      </c>
      <c r="DH13" s="14">
        <f t="shared" si="32"/>
        <v>0</v>
      </c>
      <c r="DI13" s="14">
        <f t="shared" si="32"/>
        <v>0</v>
      </c>
      <c r="DJ13" s="14">
        <f t="shared" si="32"/>
        <v>1.2583333333333329</v>
      </c>
      <c r="DK13" s="14">
        <f t="shared" si="32"/>
        <v>54.525000000000006</v>
      </c>
      <c r="DL13" s="14">
        <f t="shared" si="32"/>
        <v>247.22916666666666</v>
      </c>
      <c r="DM13" s="14">
        <f t="shared" si="32"/>
        <v>543.94583333333344</v>
      </c>
      <c r="DN13" s="556">
        <f t="shared" si="33"/>
        <v>2374.3875000000003</v>
      </c>
      <c r="DO13" s="556"/>
      <c r="DP13" s="18">
        <f>'Monthly Data'!F13</f>
        <v>76681316.556089744</v>
      </c>
      <c r="DQ13" s="18">
        <f>'Monthly Data'!J13</f>
        <v>29557146.017628204</v>
      </c>
      <c r="DR13" s="18">
        <f>'Monthly Data'!N13</f>
        <v>75087416.315705135</v>
      </c>
    </row>
    <row r="14" spans="1:122">
      <c r="A14" s="9">
        <v>42736</v>
      </c>
      <c r="B14">
        <v>2017</v>
      </c>
      <c r="C14">
        <v>1</v>
      </c>
      <c r="D14" s="13">
        <v>-6.9409946236559152</v>
      </c>
      <c r="E14" s="14">
        <v>835.17083333333335</v>
      </c>
      <c r="F14" s="14">
        <v>0</v>
      </c>
      <c r="G14" s="14">
        <v>773.17083333333323</v>
      </c>
      <c r="H14" s="14">
        <v>0</v>
      </c>
      <c r="I14" s="14">
        <v>711.17083333333323</v>
      </c>
      <c r="J14" s="14">
        <v>0</v>
      </c>
      <c r="K14" s="14">
        <v>649.17083333333323</v>
      </c>
      <c r="L14" s="14">
        <v>0</v>
      </c>
      <c r="M14" s="14">
        <v>587.17083333333335</v>
      </c>
      <c r="N14" s="14">
        <v>0</v>
      </c>
      <c r="O14" s="14">
        <v>525.17083333333335</v>
      </c>
      <c r="P14" s="14">
        <v>0</v>
      </c>
      <c r="Q14" s="14">
        <v>463.17083333333329</v>
      </c>
      <c r="R14" s="14">
        <v>0</v>
      </c>
      <c r="S14" s="30"/>
      <c r="U14" s="77">
        <f>U13+1</f>
        <v>2026</v>
      </c>
      <c r="V14" s="328">
        <f t="shared" ref="V14:AG14" si="34">AVERAGE(V4:V13)</f>
        <v>914.55166666666662</v>
      </c>
      <c r="W14" s="328">
        <f t="shared" si="34"/>
        <v>803.82854166666664</v>
      </c>
      <c r="X14" s="328">
        <f t="shared" si="34"/>
        <v>698.29604166666672</v>
      </c>
      <c r="Y14" s="328">
        <f t="shared" si="34"/>
        <v>468.60374999999993</v>
      </c>
      <c r="Z14" s="328">
        <f t="shared" si="34"/>
        <v>232.88687500000006</v>
      </c>
      <c r="AA14" s="328">
        <f t="shared" si="34"/>
        <v>92.751249999999999</v>
      </c>
      <c r="AB14" s="328">
        <f t="shared" si="34"/>
        <v>25.464999999999996</v>
      </c>
      <c r="AC14" s="328">
        <f t="shared" si="34"/>
        <v>54.974791666666668</v>
      </c>
      <c r="AD14" s="328">
        <f t="shared" si="34"/>
        <v>166.50624999999999</v>
      </c>
      <c r="AE14" s="328">
        <f t="shared" si="34"/>
        <v>363.47645833333326</v>
      </c>
      <c r="AF14" s="328">
        <f t="shared" si="34"/>
        <v>586.00395833333334</v>
      </c>
      <c r="AG14" s="328">
        <f t="shared" si="34"/>
        <v>812.36333333333334</v>
      </c>
      <c r="AH14" s="557">
        <f>SUM(V14:AG14)</f>
        <v>5219.7079166666663</v>
      </c>
      <c r="AI14" s="77">
        <f>AI13+1</f>
        <v>2026</v>
      </c>
      <c r="AJ14" s="328">
        <f t="shared" ref="AJ14:AU14" si="35">AVERAGE(AJ4:AJ13)</f>
        <v>852.55166666666662</v>
      </c>
      <c r="AK14" s="328">
        <f t="shared" si="35"/>
        <v>747.22854166666662</v>
      </c>
      <c r="AL14" s="328">
        <f t="shared" si="35"/>
        <v>636.29604166666672</v>
      </c>
      <c r="AM14" s="328">
        <f t="shared" si="35"/>
        <v>408.60374999999999</v>
      </c>
      <c r="AN14" s="328">
        <f t="shared" si="35"/>
        <v>178.10395833333331</v>
      </c>
      <c r="AO14" s="328">
        <f t="shared" si="35"/>
        <v>51.834166666666661</v>
      </c>
      <c r="AP14" s="328">
        <f t="shared" si="35"/>
        <v>6.5670833333333318</v>
      </c>
      <c r="AQ14" s="328">
        <f t="shared" si="35"/>
        <v>23.263124999999995</v>
      </c>
      <c r="AR14" s="328">
        <f t="shared" si="35"/>
        <v>114.73583333333336</v>
      </c>
      <c r="AS14" s="328">
        <f t="shared" si="35"/>
        <v>302.40479166666665</v>
      </c>
      <c r="AT14" s="328">
        <f t="shared" si="35"/>
        <v>526.09395833333338</v>
      </c>
      <c r="AU14" s="328">
        <f t="shared" si="35"/>
        <v>750.36333333333334</v>
      </c>
      <c r="AV14" s="557">
        <f>SUM(AJ14:AU14)</f>
        <v>4598.0462500000003</v>
      </c>
      <c r="AW14" s="77">
        <f>AW13+1</f>
        <v>2026</v>
      </c>
      <c r="AX14" s="328">
        <f t="shared" ref="AX14:BI14" si="36">AVERAGE(AX4:AX13)</f>
        <v>790.55166666666673</v>
      </c>
      <c r="AY14" s="328">
        <f t="shared" si="36"/>
        <v>690.62854166666671</v>
      </c>
      <c r="AZ14" s="328">
        <f t="shared" si="36"/>
        <v>574.29604166666661</v>
      </c>
      <c r="BA14" s="328">
        <f t="shared" si="36"/>
        <v>348.71333333333342</v>
      </c>
      <c r="BB14" s="328">
        <f t="shared" si="36"/>
        <v>129.94041666666666</v>
      </c>
      <c r="BC14" s="328">
        <f t="shared" si="36"/>
        <v>24.441250000000004</v>
      </c>
      <c r="BD14" s="328">
        <f t="shared" si="36"/>
        <v>1.180833333333333</v>
      </c>
      <c r="BE14" s="328">
        <f t="shared" si="36"/>
        <v>7.0395833333333373</v>
      </c>
      <c r="BF14" s="328">
        <f t="shared" si="36"/>
        <v>71.222916666666677</v>
      </c>
      <c r="BG14" s="328">
        <f t="shared" si="36"/>
        <v>243.35020833333334</v>
      </c>
      <c r="BH14" s="328">
        <f t="shared" si="36"/>
        <v>466.29395833333336</v>
      </c>
      <c r="BI14" s="328">
        <f t="shared" si="36"/>
        <v>688.36333333333334</v>
      </c>
      <c r="BJ14" s="557">
        <f>SUM(AX14:BI14)</f>
        <v>4036.0220833333333</v>
      </c>
      <c r="BK14" s="77">
        <f>BK13+1</f>
        <v>2026</v>
      </c>
      <c r="BL14" s="328">
        <f t="shared" ref="BL14:BW14" si="37">AVERAGE(BL4:BL13)</f>
        <v>728.55166666666662</v>
      </c>
      <c r="BM14" s="328">
        <f t="shared" si="37"/>
        <v>634.02854166666668</v>
      </c>
      <c r="BN14" s="328">
        <f t="shared" si="37"/>
        <v>512.29604166666672</v>
      </c>
      <c r="BO14" s="328">
        <f t="shared" si="37"/>
        <v>289.4858333333334</v>
      </c>
      <c r="BP14" s="328">
        <f t="shared" si="37"/>
        <v>88.491666666666674</v>
      </c>
      <c r="BQ14" s="328">
        <f t="shared" si="37"/>
        <v>9.2829166666666687</v>
      </c>
      <c r="BR14" s="328">
        <f t="shared" si="37"/>
        <v>3.2916666666666393E-2</v>
      </c>
      <c r="BS14" s="328">
        <f t="shared" si="37"/>
        <v>1.064166666666668</v>
      </c>
      <c r="BT14" s="328">
        <f t="shared" si="37"/>
        <v>38.055416666666673</v>
      </c>
      <c r="BU14" s="328">
        <f t="shared" si="37"/>
        <v>187.18729166666668</v>
      </c>
      <c r="BV14" s="328">
        <f t="shared" si="37"/>
        <v>406.94104166666665</v>
      </c>
      <c r="BW14" s="328">
        <f t="shared" si="37"/>
        <v>626.36333333333334</v>
      </c>
      <c r="BX14" s="557">
        <f>SUM(BL14:BW14)</f>
        <v>3521.7808333333328</v>
      </c>
      <c r="BY14" s="77">
        <f>BY13+1</f>
        <v>2026</v>
      </c>
      <c r="BZ14" s="328">
        <f t="shared" ref="BZ14:CK14" si="38">AVERAGE(BZ4:BZ13)</f>
        <v>666.55166666666685</v>
      </c>
      <c r="CA14" s="328">
        <f t="shared" si="38"/>
        <v>577.42854166666666</v>
      </c>
      <c r="CB14" s="328">
        <f t="shared" si="38"/>
        <v>450.29604166666667</v>
      </c>
      <c r="CC14" s="328">
        <f t="shared" si="38"/>
        <v>231.41416666666669</v>
      </c>
      <c r="CD14" s="328">
        <f t="shared" si="38"/>
        <v>55.028749999999988</v>
      </c>
      <c r="CE14" s="328">
        <f t="shared" si="38"/>
        <v>2.9750000000000023</v>
      </c>
      <c r="CF14" s="328">
        <f t="shared" si="38"/>
        <v>0</v>
      </c>
      <c r="CG14" s="328">
        <f t="shared" si="38"/>
        <v>6.25E-2</v>
      </c>
      <c r="CH14" s="328">
        <f t="shared" si="38"/>
        <v>16.975833333333334</v>
      </c>
      <c r="CI14" s="328">
        <f t="shared" si="38"/>
        <v>137.02562500000002</v>
      </c>
      <c r="CJ14" s="328">
        <f t="shared" si="38"/>
        <v>348.28354166666668</v>
      </c>
      <c r="CK14" s="328">
        <f t="shared" si="38"/>
        <v>564.36333333333346</v>
      </c>
      <c r="CL14" s="557">
        <f>SUM(BZ14:CK14)</f>
        <v>3050.4050000000007</v>
      </c>
      <c r="CM14" s="77">
        <f>CM13+1</f>
        <v>2026</v>
      </c>
      <c r="CN14" s="328">
        <f t="shared" ref="CN14:CY14" si="39">AVERAGE(CN4:CN13)</f>
        <v>604.55166666666685</v>
      </c>
      <c r="CO14" s="328">
        <f t="shared" si="39"/>
        <v>520.82854166666664</v>
      </c>
      <c r="CP14" s="328">
        <f t="shared" si="39"/>
        <v>388.40604166666662</v>
      </c>
      <c r="CQ14" s="328">
        <f t="shared" si="39"/>
        <v>176.3391666666667</v>
      </c>
      <c r="CR14" s="328">
        <f t="shared" si="39"/>
        <v>29.792083333333331</v>
      </c>
      <c r="CS14" s="328">
        <f t="shared" si="39"/>
        <v>0.50625000000000053</v>
      </c>
      <c r="CT14" s="328">
        <f t="shared" si="39"/>
        <v>0</v>
      </c>
      <c r="CU14" s="328">
        <f t="shared" si="39"/>
        <v>0</v>
      </c>
      <c r="CV14" s="328">
        <f t="shared" si="39"/>
        <v>5.8479166666666682</v>
      </c>
      <c r="CW14" s="328">
        <f t="shared" si="39"/>
        <v>93.239791666666662</v>
      </c>
      <c r="CX14" s="328">
        <f t="shared" si="39"/>
        <v>290.59604166666668</v>
      </c>
      <c r="CY14" s="328">
        <f t="shared" si="39"/>
        <v>502.36333333333334</v>
      </c>
      <c r="CZ14" s="557">
        <f>SUM(CN14:CY14)</f>
        <v>2612.4708333333333</v>
      </c>
      <c r="DA14" s="77">
        <f>DA13+1</f>
        <v>2026</v>
      </c>
      <c r="DB14" s="328">
        <f t="shared" ref="DB14:DM14" si="40">AVERAGE(DB4:DB13)</f>
        <v>542.55166666666662</v>
      </c>
      <c r="DC14" s="328">
        <f t="shared" si="40"/>
        <v>464.22854166666667</v>
      </c>
      <c r="DD14" s="328">
        <f t="shared" si="40"/>
        <v>327.01979166666672</v>
      </c>
      <c r="DE14" s="328">
        <f t="shared" si="40"/>
        <v>124.94874999999998</v>
      </c>
      <c r="DF14" s="328">
        <f t="shared" si="40"/>
        <v>14.190833333333334</v>
      </c>
      <c r="DG14" s="328">
        <f t="shared" si="40"/>
        <v>0</v>
      </c>
      <c r="DH14" s="328">
        <f t="shared" si="40"/>
        <v>0</v>
      </c>
      <c r="DI14" s="328">
        <f t="shared" si="40"/>
        <v>0</v>
      </c>
      <c r="DJ14" s="328">
        <f t="shared" si="40"/>
        <v>1.4295833333333334</v>
      </c>
      <c r="DK14" s="328">
        <f t="shared" si="40"/>
        <v>56.016458333333347</v>
      </c>
      <c r="DL14" s="328">
        <f t="shared" si="40"/>
        <v>233.69562500000001</v>
      </c>
      <c r="DM14" s="328">
        <f t="shared" si="40"/>
        <v>440.37880952380954</v>
      </c>
      <c r="DN14" s="557">
        <f>SUM(DB14:DM14)</f>
        <v>2204.4600595238098</v>
      </c>
      <c r="DO14" s="557"/>
      <c r="DP14" s="18">
        <f>'Monthly Data'!F14</f>
        <v>80079.323717948719</v>
      </c>
      <c r="DQ14" s="18">
        <f>'Monthly Data'!J14</f>
        <v>63199.167467948719</v>
      </c>
      <c r="DR14" s="18">
        <f>'Monthly Data'!N14</f>
        <v>55821.970352564102</v>
      </c>
    </row>
    <row r="15" spans="1:122">
      <c r="A15" s="9">
        <v>42767</v>
      </c>
      <c r="B15">
        <v>2017</v>
      </c>
      <c r="C15">
        <v>2</v>
      </c>
      <c r="D15" s="13">
        <v>-6.3861607142857153</v>
      </c>
      <c r="E15" s="14">
        <v>738.8125</v>
      </c>
      <c r="F15" s="14">
        <v>0</v>
      </c>
      <c r="G15" s="14">
        <v>682.81249999999989</v>
      </c>
      <c r="H15" s="14">
        <v>0</v>
      </c>
      <c r="I15" s="14">
        <v>626.81249999999989</v>
      </c>
      <c r="J15" s="14">
        <v>0</v>
      </c>
      <c r="K15" s="14">
        <v>570.8125</v>
      </c>
      <c r="L15" s="14">
        <v>0</v>
      </c>
      <c r="M15" s="14">
        <v>514.8125</v>
      </c>
      <c r="N15" s="14">
        <v>0</v>
      </c>
      <c r="O15" s="14">
        <v>458.8125</v>
      </c>
      <c r="P15" s="14">
        <v>0</v>
      </c>
      <c r="Q15" s="14">
        <v>402.8125</v>
      </c>
      <c r="R15" s="14">
        <v>0</v>
      </c>
      <c r="S15" s="30"/>
      <c r="U15" s="77">
        <f>U14+1</f>
        <v>2027</v>
      </c>
      <c r="V15" s="328">
        <f>V14</f>
        <v>914.55166666666662</v>
      </c>
      <c r="W15" s="328">
        <f t="shared" ref="W15:AG15" si="41">W14</f>
        <v>803.82854166666664</v>
      </c>
      <c r="X15" s="328">
        <f t="shared" si="41"/>
        <v>698.29604166666672</v>
      </c>
      <c r="Y15" s="328">
        <f t="shared" si="41"/>
        <v>468.60374999999993</v>
      </c>
      <c r="Z15" s="328">
        <f t="shared" si="41"/>
        <v>232.88687500000006</v>
      </c>
      <c r="AA15" s="328">
        <f t="shared" si="41"/>
        <v>92.751249999999999</v>
      </c>
      <c r="AB15" s="328">
        <f t="shared" si="41"/>
        <v>25.464999999999996</v>
      </c>
      <c r="AC15" s="328">
        <f t="shared" si="41"/>
        <v>54.974791666666668</v>
      </c>
      <c r="AD15" s="328">
        <f t="shared" si="41"/>
        <v>166.50624999999999</v>
      </c>
      <c r="AE15" s="328">
        <f t="shared" si="41"/>
        <v>363.47645833333326</v>
      </c>
      <c r="AF15" s="328">
        <f t="shared" si="41"/>
        <v>586.00395833333334</v>
      </c>
      <c r="AG15" s="328">
        <f t="shared" si="41"/>
        <v>812.36333333333334</v>
      </c>
      <c r="AH15" s="557">
        <f t="shared" si="15"/>
        <v>5219.7079166666663</v>
      </c>
      <c r="AI15" s="77">
        <f>AI14+1</f>
        <v>2027</v>
      </c>
      <c r="AJ15" s="328">
        <f t="shared" ref="AJ15:AU15" si="42">AJ14</f>
        <v>852.55166666666662</v>
      </c>
      <c r="AK15" s="328">
        <f t="shared" si="42"/>
        <v>747.22854166666662</v>
      </c>
      <c r="AL15" s="328">
        <f t="shared" si="42"/>
        <v>636.29604166666672</v>
      </c>
      <c r="AM15" s="328">
        <f t="shared" si="42"/>
        <v>408.60374999999999</v>
      </c>
      <c r="AN15" s="328">
        <f t="shared" si="42"/>
        <v>178.10395833333331</v>
      </c>
      <c r="AO15" s="328">
        <f t="shared" si="42"/>
        <v>51.834166666666661</v>
      </c>
      <c r="AP15" s="328">
        <f t="shared" si="42"/>
        <v>6.5670833333333318</v>
      </c>
      <c r="AQ15" s="328">
        <f t="shared" si="42"/>
        <v>23.263124999999995</v>
      </c>
      <c r="AR15" s="328">
        <f t="shared" si="42"/>
        <v>114.73583333333336</v>
      </c>
      <c r="AS15" s="328">
        <f t="shared" si="42"/>
        <v>302.40479166666665</v>
      </c>
      <c r="AT15" s="328">
        <f t="shared" si="42"/>
        <v>526.09395833333338</v>
      </c>
      <c r="AU15" s="328">
        <f t="shared" si="42"/>
        <v>750.36333333333334</v>
      </c>
      <c r="AV15" s="557">
        <f t="shared" si="18"/>
        <v>4598.0462500000003</v>
      </c>
      <c r="AW15" s="77">
        <f>AW14+1</f>
        <v>2027</v>
      </c>
      <c r="AX15" s="328">
        <f t="shared" ref="AX15:BI15" si="43">AX14</f>
        <v>790.55166666666673</v>
      </c>
      <c r="AY15" s="328">
        <f t="shared" si="43"/>
        <v>690.62854166666671</v>
      </c>
      <c r="AZ15" s="328">
        <f t="shared" si="43"/>
        <v>574.29604166666661</v>
      </c>
      <c r="BA15" s="328">
        <f t="shared" si="43"/>
        <v>348.71333333333342</v>
      </c>
      <c r="BB15" s="328">
        <f t="shared" si="43"/>
        <v>129.94041666666666</v>
      </c>
      <c r="BC15" s="328">
        <f t="shared" si="43"/>
        <v>24.441250000000004</v>
      </c>
      <c r="BD15" s="328">
        <f t="shared" si="43"/>
        <v>1.180833333333333</v>
      </c>
      <c r="BE15" s="328">
        <f t="shared" si="43"/>
        <v>7.0395833333333373</v>
      </c>
      <c r="BF15" s="328">
        <f t="shared" si="43"/>
        <v>71.222916666666677</v>
      </c>
      <c r="BG15" s="328">
        <f t="shared" si="43"/>
        <v>243.35020833333334</v>
      </c>
      <c r="BH15" s="328">
        <f t="shared" si="43"/>
        <v>466.29395833333336</v>
      </c>
      <c r="BI15" s="328">
        <f t="shared" si="43"/>
        <v>688.36333333333334</v>
      </c>
      <c r="BJ15" s="557">
        <f t="shared" si="21"/>
        <v>4036.0220833333333</v>
      </c>
      <c r="BK15" s="77">
        <f>BK14+1</f>
        <v>2027</v>
      </c>
      <c r="BL15" s="328">
        <f t="shared" ref="BL15:BW15" si="44">BL14</f>
        <v>728.55166666666662</v>
      </c>
      <c r="BM15" s="328">
        <f t="shared" si="44"/>
        <v>634.02854166666668</v>
      </c>
      <c r="BN15" s="328">
        <f t="shared" si="44"/>
        <v>512.29604166666672</v>
      </c>
      <c r="BO15" s="328">
        <f t="shared" si="44"/>
        <v>289.4858333333334</v>
      </c>
      <c r="BP15" s="328">
        <f t="shared" si="44"/>
        <v>88.491666666666674</v>
      </c>
      <c r="BQ15" s="328">
        <f t="shared" si="44"/>
        <v>9.2829166666666687</v>
      </c>
      <c r="BR15" s="328">
        <f t="shared" si="44"/>
        <v>3.2916666666666393E-2</v>
      </c>
      <c r="BS15" s="328">
        <f t="shared" si="44"/>
        <v>1.064166666666668</v>
      </c>
      <c r="BT15" s="328">
        <f t="shared" si="44"/>
        <v>38.055416666666673</v>
      </c>
      <c r="BU15" s="328">
        <f t="shared" si="44"/>
        <v>187.18729166666668</v>
      </c>
      <c r="BV15" s="328">
        <f t="shared" si="44"/>
        <v>406.94104166666665</v>
      </c>
      <c r="BW15" s="328">
        <f t="shared" si="44"/>
        <v>626.36333333333334</v>
      </c>
      <c r="BX15" s="557">
        <f t="shared" si="24"/>
        <v>3521.7808333333328</v>
      </c>
      <c r="BY15" s="77">
        <f>BY14+1</f>
        <v>2027</v>
      </c>
      <c r="BZ15" s="328">
        <f t="shared" ref="BZ15:CK15" si="45">BZ14</f>
        <v>666.55166666666685</v>
      </c>
      <c r="CA15" s="328">
        <f t="shared" si="45"/>
        <v>577.42854166666666</v>
      </c>
      <c r="CB15" s="328">
        <f t="shared" si="45"/>
        <v>450.29604166666667</v>
      </c>
      <c r="CC15" s="328">
        <f t="shared" si="45"/>
        <v>231.41416666666669</v>
      </c>
      <c r="CD15" s="328">
        <f t="shared" si="45"/>
        <v>55.028749999999988</v>
      </c>
      <c r="CE15" s="328">
        <f t="shared" si="45"/>
        <v>2.9750000000000023</v>
      </c>
      <c r="CF15" s="328">
        <f t="shared" si="45"/>
        <v>0</v>
      </c>
      <c r="CG15" s="328">
        <f t="shared" si="45"/>
        <v>6.25E-2</v>
      </c>
      <c r="CH15" s="328">
        <f t="shared" si="45"/>
        <v>16.975833333333334</v>
      </c>
      <c r="CI15" s="328">
        <f t="shared" si="45"/>
        <v>137.02562500000002</v>
      </c>
      <c r="CJ15" s="328">
        <f t="shared" si="45"/>
        <v>348.28354166666668</v>
      </c>
      <c r="CK15" s="328">
        <f t="shared" si="45"/>
        <v>564.36333333333346</v>
      </c>
      <c r="CL15" s="557">
        <f t="shared" si="27"/>
        <v>3050.4050000000007</v>
      </c>
      <c r="CM15" s="77">
        <f>CM14+1</f>
        <v>2027</v>
      </c>
      <c r="CN15" s="328">
        <f t="shared" ref="CN15:CY15" si="46">CN14</f>
        <v>604.55166666666685</v>
      </c>
      <c r="CO15" s="328">
        <f t="shared" si="46"/>
        <v>520.82854166666664</v>
      </c>
      <c r="CP15" s="328">
        <f t="shared" si="46"/>
        <v>388.40604166666662</v>
      </c>
      <c r="CQ15" s="328">
        <f t="shared" si="46"/>
        <v>176.3391666666667</v>
      </c>
      <c r="CR15" s="328">
        <f t="shared" si="46"/>
        <v>29.792083333333331</v>
      </c>
      <c r="CS15" s="328">
        <f t="shared" si="46"/>
        <v>0.50625000000000053</v>
      </c>
      <c r="CT15" s="328">
        <f t="shared" si="46"/>
        <v>0</v>
      </c>
      <c r="CU15" s="328">
        <f t="shared" si="46"/>
        <v>0</v>
      </c>
      <c r="CV15" s="328">
        <f t="shared" si="46"/>
        <v>5.8479166666666682</v>
      </c>
      <c r="CW15" s="328">
        <f t="shared" si="46"/>
        <v>93.239791666666662</v>
      </c>
      <c r="CX15" s="328">
        <f t="shared" si="46"/>
        <v>290.59604166666668</v>
      </c>
      <c r="CY15" s="328">
        <f t="shared" si="46"/>
        <v>502.36333333333334</v>
      </c>
      <c r="CZ15" s="557">
        <f t="shared" si="30"/>
        <v>2612.4708333333333</v>
      </c>
      <c r="DA15" s="77">
        <f>DA14+1</f>
        <v>2027</v>
      </c>
      <c r="DB15" s="328">
        <f t="shared" ref="DB15:DM15" si="47">DB14</f>
        <v>542.55166666666662</v>
      </c>
      <c r="DC15" s="328">
        <f t="shared" si="47"/>
        <v>464.22854166666667</v>
      </c>
      <c r="DD15" s="328">
        <f t="shared" si="47"/>
        <v>327.01979166666672</v>
      </c>
      <c r="DE15" s="328">
        <f t="shared" si="47"/>
        <v>124.94874999999998</v>
      </c>
      <c r="DF15" s="328">
        <f t="shared" si="47"/>
        <v>14.190833333333334</v>
      </c>
      <c r="DG15" s="328">
        <f t="shared" si="47"/>
        <v>0</v>
      </c>
      <c r="DH15" s="328">
        <f t="shared" si="47"/>
        <v>0</v>
      </c>
      <c r="DI15" s="328">
        <f t="shared" si="47"/>
        <v>0</v>
      </c>
      <c r="DJ15" s="328">
        <f t="shared" si="47"/>
        <v>1.4295833333333334</v>
      </c>
      <c r="DK15" s="328">
        <f t="shared" si="47"/>
        <v>56.016458333333347</v>
      </c>
      <c r="DL15" s="328">
        <f t="shared" si="47"/>
        <v>233.69562500000001</v>
      </c>
      <c r="DM15" s="328">
        <f t="shared" si="47"/>
        <v>440.37880952380954</v>
      </c>
      <c r="DN15" s="557">
        <f t="shared" si="33"/>
        <v>2204.4600595238098</v>
      </c>
      <c r="DO15" s="557"/>
      <c r="DP15" s="18">
        <f>'Monthly Data'!F15</f>
        <v>86427.772435897437</v>
      </c>
      <c r="DQ15" s="18">
        <f>'Monthly Data'!J15</f>
        <v>67588.928685897437</v>
      </c>
      <c r="DR15" s="18">
        <f>'Monthly Data'!N15</f>
        <v>59576.805288461539</v>
      </c>
    </row>
    <row r="16" spans="1:122">
      <c r="A16" s="9">
        <v>42795</v>
      </c>
      <c r="B16">
        <v>2017</v>
      </c>
      <c r="C16">
        <v>3</v>
      </c>
      <c r="D16" s="13">
        <v>-6.4169354838709669</v>
      </c>
      <c r="E16" s="14">
        <v>818.92500000000018</v>
      </c>
      <c r="F16" s="14">
        <v>0</v>
      </c>
      <c r="G16" s="14">
        <v>756.92500000000018</v>
      </c>
      <c r="H16" s="14">
        <v>0</v>
      </c>
      <c r="I16" s="14">
        <v>694.92500000000018</v>
      </c>
      <c r="J16" s="14">
        <v>0</v>
      </c>
      <c r="K16" s="14">
        <v>632.92500000000007</v>
      </c>
      <c r="L16" s="14">
        <v>0</v>
      </c>
      <c r="M16" s="14">
        <v>570.92500000000007</v>
      </c>
      <c r="N16" s="14">
        <v>0</v>
      </c>
      <c r="O16" s="14">
        <v>508.92500000000001</v>
      </c>
      <c r="P16" s="14">
        <v>0</v>
      </c>
      <c r="Q16" s="14">
        <v>446.92499999999995</v>
      </c>
      <c r="R16" s="14">
        <v>0</v>
      </c>
      <c r="S16" s="30"/>
      <c r="U16" s="77"/>
      <c r="V16" s="328"/>
      <c r="W16" s="328"/>
      <c r="X16" s="328"/>
      <c r="Y16" s="328"/>
      <c r="Z16" s="328"/>
      <c r="AA16" s="328"/>
      <c r="AB16" s="328"/>
      <c r="AC16" s="328"/>
      <c r="AD16" s="328"/>
      <c r="AE16" s="328"/>
      <c r="AF16" s="328"/>
      <c r="AG16" s="328"/>
      <c r="AH16" s="556"/>
      <c r="AI16" s="77"/>
      <c r="AJ16" s="328"/>
      <c r="AK16" s="328"/>
      <c r="AL16" s="328"/>
      <c r="AM16" s="328"/>
      <c r="AN16" s="328"/>
      <c r="AO16" s="328"/>
      <c r="AP16" s="328"/>
      <c r="AQ16" s="328"/>
      <c r="AR16" s="328"/>
      <c r="AS16" s="328"/>
      <c r="AT16" s="328"/>
      <c r="AU16" s="328"/>
      <c r="AV16" s="556"/>
      <c r="AW16" s="77"/>
      <c r="AX16" s="328"/>
      <c r="AY16" s="328"/>
      <c r="AZ16" s="328"/>
      <c r="BA16" s="328"/>
      <c r="BB16" s="328"/>
      <c r="BC16" s="328"/>
      <c r="BD16" s="328"/>
      <c r="BE16" s="328"/>
      <c r="BF16" s="328"/>
      <c r="BG16" s="328"/>
      <c r="BH16" s="328"/>
      <c r="BI16" s="328"/>
      <c r="BJ16" s="556"/>
      <c r="BK16" s="77"/>
      <c r="BL16" s="328"/>
      <c r="BM16" s="328"/>
      <c r="BN16" s="328"/>
      <c r="BO16" s="328"/>
      <c r="BP16" s="328"/>
      <c r="BQ16" s="328"/>
      <c r="BR16" s="328"/>
      <c r="BS16" s="328"/>
      <c r="BT16" s="328"/>
      <c r="BU16" s="328"/>
      <c r="BV16" s="328"/>
      <c r="BW16" s="328"/>
      <c r="BX16" s="556"/>
      <c r="BY16" s="77"/>
      <c r="BZ16" s="328"/>
      <c r="CA16" s="328"/>
      <c r="CB16" s="328"/>
      <c r="CC16" s="328"/>
      <c r="CD16" s="328"/>
      <c r="CE16" s="328"/>
      <c r="CF16" s="328"/>
      <c r="CG16" s="328"/>
      <c r="CH16" s="328"/>
      <c r="CI16" s="328"/>
      <c r="CJ16" s="328"/>
      <c r="CK16" s="328"/>
      <c r="CL16" s="556"/>
      <c r="CM16" s="77"/>
      <c r="CN16" s="328"/>
      <c r="CO16" s="328"/>
      <c r="CP16" s="328"/>
      <c r="CQ16" s="328"/>
      <c r="CR16" s="328"/>
      <c r="CS16" s="328"/>
      <c r="CT16" s="328"/>
      <c r="CU16" s="328"/>
      <c r="CV16" s="328"/>
      <c r="CW16" s="328"/>
      <c r="CX16" s="328"/>
      <c r="CY16" s="328"/>
      <c r="CZ16" s="556"/>
      <c r="DA16" s="77"/>
      <c r="DB16" s="328"/>
      <c r="DC16" s="328"/>
      <c r="DD16" s="328"/>
      <c r="DE16" s="328"/>
      <c r="DF16" s="328"/>
      <c r="DG16" s="328"/>
      <c r="DH16" s="328"/>
      <c r="DI16" s="328"/>
      <c r="DJ16" s="328"/>
      <c r="DK16" s="328"/>
      <c r="DL16" s="328"/>
      <c r="DM16" s="328"/>
      <c r="DN16" s="556"/>
      <c r="DO16" s="556"/>
      <c r="DP16" s="18">
        <f>'Monthly Data'!F16</f>
        <v>92776.221153846156</v>
      </c>
      <c r="DQ16" s="18">
        <f>'Monthly Data'!J16</f>
        <v>71978.689903846156</v>
      </c>
      <c r="DR16" s="18">
        <f>'Monthly Data'!N16</f>
        <v>63331.640224358969</v>
      </c>
    </row>
    <row r="17" spans="1:122">
      <c r="A17" s="9">
        <v>42826</v>
      </c>
      <c r="B17">
        <v>2017</v>
      </c>
      <c r="C17">
        <v>4</v>
      </c>
      <c r="D17" s="13">
        <v>5.7513194444444444</v>
      </c>
      <c r="E17" s="14">
        <v>427.46041666666662</v>
      </c>
      <c r="F17" s="14">
        <v>0</v>
      </c>
      <c r="G17" s="14">
        <v>367.46041666666656</v>
      </c>
      <c r="H17" s="14">
        <v>0</v>
      </c>
      <c r="I17" s="14">
        <v>308.53541666666661</v>
      </c>
      <c r="J17" s="14">
        <v>1.0749999999999993</v>
      </c>
      <c r="K17" s="14">
        <v>250.53541666666669</v>
      </c>
      <c r="L17" s="14">
        <v>3.0749999999999993</v>
      </c>
      <c r="M17" s="14">
        <v>193.92291666666668</v>
      </c>
      <c r="N17" s="14">
        <v>6.4625000000000004</v>
      </c>
      <c r="O17" s="14">
        <v>141.15625</v>
      </c>
      <c r="P17" s="14">
        <v>13.695833333333335</v>
      </c>
      <c r="Q17" s="14">
        <v>89.68958333333336</v>
      </c>
      <c r="R17" s="14">
        <v>22.229166666666671</v>
      </c>
      <c r="S17" s="30"/>
      <c r="U17" s="38" t="s">
        <v>168</v>
      </c>
      <c r="V17" s="18">
        <f>V14/AH14*AH17</f>
        <v>817.22005262600237</v>
      </c>
      <c r="W17" s="18">
        <f>W14/AH14*AH17</f>
        <v>718.28069103781206</v>
      </c>
      <c r="X17" s="18">
        <f>X14/AH14*AH17</f>
        <v>623.97953961343092</v>
      </c>
      <c r="Y17" s="18">
        <f>Y14/AH14*AH17</f>
        <v>418.73236383846591</v>
      </c>
      <c r="Z17" s="18">
        <f>Z14/AH14*AH17</f>
        <v>208.10177399498693</v>
      </c>
      <c r="AA17" s="18">
        <f>AA14/AH14*AH17</f>
        <v>82.880152285321046</v>
      </c>
      <c r="AB17" s="18">
        <f>AB14/AH14*AH17</f>
        <v>22.754874763905612</v>
      </c>
      <c r="AC17" s="18">
        <f>AC14/AH14*AH17</f>
        <v>49.124072238240799</v>
      </c>
      <c r="AD17" s="18">
        <f>AD14/AH14*AH17</f>
        <v>148.78573988445157</v>
      </c>
      <c r="AE17" s="18">
        <f>AE14/AH14*AH17</f>
        <v>324.79329624987065</v>
      </c>
      <c r="AF17" s="18">
        <f>AF14/AH14*AH17</f>
        <v>523.63819685953126</v>
      </c>
      <c r="AG17" s="18">
        <f>AG14/AH14*AH17</f>
        <v>725.90716327464804</v>
      </c>
      <c r="AH17" s="277">
        <f>MIN(AH4:AH13)</f>
        <v>4664.197916666667</v>
      </c>
      <c r="AI17" s="38" t="s">
        <v>168</v>
      </c>
      <c r="AJ17" s="18">
        <f>AJ14/AV14*AV17</f>
        <v>750.59476891120983</v>
      </c>
      <c r="AK17" s="18">
        <f>AK14/AV14*AV17</f>
        <v>657.86726656584096</v>
      </c>
      <c r="AL17" s="18">
        <f>AL14/AV14*AV17</f>
        <v>560.20121598172079</v>
      </c>
      <c r="AM17" s="18">
        <f>AM14/AV14*AV17</f>
        <v>359.73871062458045</v>
      </c>
      <c r="AN17" s="18">
        <f>AN14/AV14*AV17</f>
        <v>156.80445499574424</v>
      </c>
      <c r="AO17" s="18">
        <f>AO14/AV14*AV17</f>
        <v>45.635303843800436</v>
      </c>
      <c r="AP17" s="18">
        <f>AP14/AV14*AV17</f>
        <v>5.7817239584744504</v>
      </c>
      <c r="AQ17" s="18">
        <f>AQ14/AV14*AV17</f>
        <v>20.481081225021654</v>
      </c>
      <c r="AR17" s="18">
        <f>AR14/AV14*AV17</f>
        <v>101.01454219588074</v>
      </c>
      <c r="AS17" s="18">
        <f>AS14/AV14*AV17</f>
        <v>266.24011610481193</v>
      </c>
      <c r="AT17" s="18">
        <f>AT14/AV14*AV17</f>
        <v>463.17823132610772</v>
      </c>
      <c r="AU17" s="18">
        <f>AU14/AV14*AV17</f>
        <v>660.62716760013984</v>
      </c>
      <c r="AV17" s="277">
        <f>MIN(AV4:AV13)</f>
        <v>4048.1645833333332</v>
      </c>
      <c r="AW17" s="38" t="s">
        <v>168</v>
      </c>
      <c r="AX17" s="18">
        <f>AX14/BJ14*BJ17</f>
        <v>685.17734726615981</v>
      </c>
      <c r="AY17" s="18">
        <f>AY14/BJ14*BJ17</f>
        <v>598.573188923511</v>
      </c>
      <c r="AZ17" s="18">
        <f>AZ14/BJ14*BJ17</f>
        <v>497.74689620702321</v>
      </c>
      <c r="BA17" s="18">
        <f>BA14/BJ14*BJ17</f>
        <v>302.23258866446446</v>
      </c>
      <c r="BB17" s="18">
        <f>BB14/BJ14*BJ17</f>
        <v>112.62038111908286</v>
      </c>
      <c r="BC17" s="18">
        <f>BC14/BJ14*BJ17</f>
        <v>21.183423607821158</v>
      </c>
      <c r="BD17" s="18">
        <f>BD14/BJ14*BJ17</f>
        <v>1.0234375373696301</v>
      </c>
      <c r="BE17" s="18">
        <f>BE14/BJ14*BJ17</f>
        <v>6.101262242011261</v>
      </c>
      <c r="BF17" s="18">
        <f>BF14/BJ14*BJ17</f>
        <v>61.729462050203885</v>
      </c>
      <c r="BG17" s="18">
        <f>BG14/BJ14*BJ17</f>
        <v>210.91353953568373</v>
      </c>
      <c r="BH17" s="18">
        <f>BH14/BJ14*BJ17</f>
        <v>404.14064113507726</v>
      </c>
      <c r="BI17" s="18">
        <f>BI14/BJ14*BJ17</f>
        <v>596.60991504492586</v>
      </c>
      <c r="BJ17" s="277">
        <f>MIN(BJ4:BJ13)</f>
        <v>3498.0520833333339</v>
      </c>
      <c r="BK17" s="38" t="s">
        <v>168</v>
      </c>
      <c r="BL17" s="18">
        <f>BL14/BX14*BX17</f>
        <v>621.98082181690586</v>
      </c>
      <c r="BM17" s="18">
        <f>BM14/BX14*BX17</f>
        <v>541.28431989660908</v>
      </c>
      <c r="BN17" s="18">
        <f>BN14/BX14*BX17</f>
        <v>437.35856712433741</v>
      </c>
      <c r="BO17" s="18">
        <f>BO14/BX14*BX17</f>
        <v>247.14051831741773</v>
      </c>
      <c r="BP17" s="18">
        <f>BP14/BX14*BX17</f>
        <v>75.547311296541821</v>
      </c>
      <c r="BQ17" s="18">
        <f>BQ14/BX14*BX17</f>
        <v>7.9250331875678288</v>
      </c>
      <c r="BR17" s="18">
        <f>BR14/BX14*BX17</f>
        <v>2.8101693155790346E-2</v>
      </c>
      <c r="BS17" s="18">
        <f>BS14/BX14*BX17</f>
        <v>0.90850283949226873</v>
      </c>
      <c r="BT17" s="18">
        <f>BT14/BX14*BX17</f>
        <v>32.488758746807868</v>
      </c>
      <c r="BU17" s="18">
        <f>BU14/BX14*BX17</f>
        <v>159.80596961256128</v>
      </c>
      <c r="BV17" s="18">
        <f>BV14/BX14*BX17</f>
        <v>347.4146517087936</v>
      </c>
      <c r="BW17" s="18">
        <f>BW14/BX14*BX17</f>
        <v>534.74036042647617</v>
      </c>
      <c r="BX17" s="277">
        <f>MIN(BX4:BX13)</f>
        <v>3006.6229166666662</v>
      </c>
      <c r="BY17" s="38" t="s">
        <v>168</v>
      </c>
      <c r="BZ17" s="18">
        <f>BZ14/CL14*CL17</f>
        <v>558.84621096192325</v>
      </c>
      <c r="CA17" s="18">
        <f>CA14/CL14*CL17</f>
        <v>484.12414033173565</v>
      </c>
      <c r="CB17" s="18">
        <f>CB14/CL14*CL17</f>
        <v>377.53447974260899</v>
      </c>
      <c r="CC17" s="18">
        <f>CC14/CL14*CL17</f>
        <v>194.02086390589025</v>
      </c>
      <c r="CD17" s="18">
        <f>CD14/CL14*CL17</f>
        <v>46.136871257498299</v>
      </c>
      <c r="CE17" s="18">
        <f>CE14/CL14*CL17</f>
        <v>2.4942814799728792</v>
      </c>
      <c r="CF17" s="18">
        <f>CF14/CL14*CL17</f>
        <v>0</v>
      </c>
      <c r="CG17" s="18">
        <f>CG14/CL14*CL17</f>
        <v>5.2400871428001622E-2</v>
      </c>
      <c r="CH17" s="18">
        <f>CH14/CL14*CL17</f>
        <v>14.232775358130947</v>
      </c>
      <c r="CI17" s="18">
        <f>CI14/CL14*CL17</f>
        <v>114.88419452746506</v>
      </c>
      <c r="CJ17" s="18">
        <f>CJ14/CL14*CL17</f>
        <v>292.00577739782477</v>
      </c>
      <c r="CK17" s="18">
        <f>CK14/CL14*CL17</f>
        <v>473.17008749885491</v>
      </c>
      <c r="CL17" s="277">
        <f>MIN(CL4:CL13)</f>
        <v>2557.5020833333333</v>
      </c>
      <c r="CM17" s="38" t="s">
        <v>168</v>
      </c>
      <c r="CN17" s="18">
        <f>CN14/CZ14*CZ17</f>
        <v>496.38922372472001</v>
      </c>
      <c r="CO17" s="18">
        <f>CO14/CZ14*CZ17</f>
        <v>427.64529443294543</v>
      </c>
      <c r="CP17" s="18">
        <f>CP14/CZ14*CZ17</f>
        <v>318.91496482998338</v>
      </c>
      <c r="CQ17" s="18">
        <f>CQ14/CZ14*CZ17</f>
        <v>144.78971257587139</v>
      </c>
      <c r="CR17" s="18">
        <f>CR14/CZ14*CZ17</f>
        <v>24.46187800707769</v>
      </c>
      <c r="CS17" s="18">
        <f>CS14/CZ14*CZ17</f>
        <v>0.41567505039928709</v>
      </c>
      <c r="CT17" s="18">
        <f>CT14/CZ14*CZ17</f>
        <v>0</v>
      </c>
      <c r="CU17" s="18">
        <f>CU14/CZ14*CZ17</f>
        <v>0</v>
      </c>
      <c r="CV17" s="18">
        <f>CV14/CZ14*CZ17</f>
        <v>4.8016455410320908</v>
      </c>
      <c r="CW17" s="18">
        <f>CW14/CZ14*CZ17</f>
        <v>76.557936000514871</v>
      </c>
      <c r="CX17" s="18">
        <f>CX14/CZ14*CZ17</f>
        <v>238.60449237654299</v>
      </c>
      <c r="CY17" s="18">
        <f>CY14/CZ14*CZ17</f>
        <v>412.48376079424594</v>
      </c>
      <c r="CZ17" s="277">
        <f>MIN(CZ4:CZ13)</f>
        <v>2145.0645833333328</v>
      </c>
      <c r="DA17" s="38" t="s">
        <v>168</v>
      </c>
      <c r="DB17" s="18">
        <f>DB14/DN14*DN17</f>
        <v>431.78544796206648</v>
      </c>
      <c r="DC17" s="18">
        <f>DC14/DN14*DN17</f>
        <v>369.45260909772378</v>
      </c>
      <c r="DD17" s="18">
        <f>DD14/DN14*DN17</f>
        <v>260.25611183682054</v>
      </c>
      <c r="DE17" s="18">
        <f>DE14/DN14*DN17</f>
        <v>99.439473336272584</v>
      </c>
      <c r="DF17" s="18">
        <f>DF14/DN14*DN17</f>
        <v>11.293662344517159</v>
      </c>
      <c r="DG17" s="18">
        <f>DG14/DN14*DN17</f>
        <v>0</v>
      </c>
      <c r="DH17" s="18">
        <f>DH14/DN14*DN17</f>
        <v>0</v>
      </c>
      <c r="DI17" s="18">
        <f>DI14/DN14*DN17</f>
        <v>0</v>
      </c>
      <c r="DJ17" s="18">
        <f>DJ14/DN14*DN17</f>
        <v>1.1377225763121257</v>
      </c>
      <c r="DK17" s="18">
        <f>DK14/DN14*DN17</f>
        <v>44.580254823116888</v>
      </c>
      <c r="DL17" s="18">
        <f>DL14/DN14*DN17</f>
        <v>185.98481274115235</v>
      </c>
      <c r="DM17" s="18">
        <f>DM14/DN14*DN17</f>
        <v>350.47198861535088</v>
      </c>
      <c r="DN17" s="277">
        <f>MIN(DN4:DN13)</f>
        <v>1754.4020833333329</v>
      </c>
      <c r="DO17" s="277"/>
      <c r="DP17" s="18">
        <f>'Monthly Data'!F17</f>
        <v>99124.669871794875</v>
      </c>
      <c r="DQ17" s="18">
        <f>'Monthly Data'!J17</f>
        <v>76368.451121794875</v>
      </c>
      <c r="DR17" s="18">
        <f>'Monthly Data'!N17</f>
        <v>67086.475160256407</v>
      </c>
    </row>
    <row r="18" spans="1:122">
      <c r="A18" s="9">
        <v>42856</v>
      </c>
      <c r="B18">
        <v>2017</v>
      </c>
      <c r="C18">
        <v>5</v>
      </c>
      <c r="D18" s="13">
        <v>11.189112903225805</v>
      </c>
      <c r="E18" s="14">
        <v>278.46250000000009</v>
      </c>
      <c r="F18" s="14">
        <v>5.3249999999999993</v>
      </c>
      <c r="G18" s="14">
        <v>220.46250000000003</v>
      </c>
      <c r="H18" s="14">
        <v>9.3249999999999993</v>
      </c>
      <c r="I18" s="14">
        <v>164.31250000000006</v>
      </c>
      <c r="J18" s="14">
        <v>15.175000000000008</v>
      </c>
      <c r="K18" s="14">
        <v>118.09166666666667</v>
      </c>
      <c r="L18" s="14">
        <v>30.954166666666666</v>
      </c>
      <c r="M18" s="14">
        <v>80.666666666666671</v>
      </c>
      <c r="N18" s="14">
        <v>55.529166666666654</v>
      </c>
      <c r="O18" s="14">
        <v>50.104166666666664</v>
      </c>
      <c r="P18" s="14">
        <v>86.966666666666654</v>
      </c>
      <c r="Q18" s="14">
        <v>29.320833333333336</v>
      </c>
      <c r="R18" s="14">
        <v>128.18333333333334</v>
      </c>
      <c r="S18" s="30"/>
      <c r="U18" s="555" t="s">
        <v>169</v>
      </c>
      <c r="V18" s="18">
        <f>V14/AH15*AH18</f>
        <v>1009.7976825258449</v>
      </c>
      <c r="W18" s="18">
        <f>W14/AH15*AH18</f>
        <v>887.54329373386554</v>
      </c>
      <c r="X18" s="18">
        <f>X14/AH15*AH18</f>
        <v>771.02010776716202</v>
      </c>
      <c r="Y18" s="18">
        <f>Y14/AH15*AH18</f>
        <v>517.40650421381736</v>
      </c>
      <c r="Z18" s="18">
        <f>Z14/AH15*AH18</f>
        <v>257.1408868815717</v>
      </c>
      <c r="AA18" s="18">
        <f>AA14/AH15*AH18</f>
        <v>102.41083223077457</v>
      </c>
      <c r="AB18" s="18">
        <f>AB14/AH15*AH18</f>
        <v>28.117053330889604</v>
      </c>
      <c r="AC18" s="18">
        <f>AC14/AH15*AH18</f>
        <v>60.700143300459935</v>
      </c>
      <c r="AD18" s="18">
        <f>AD14/AH15*AH18</f>
        <v>183.84704932952829</v>
      </c>
      <c r="AE18" s="18">
        <f>AE14/AH15*AH18</f>
        <v>401.33072701673694</v>
      </c>
      <c r="AF18" s="18">
        <f>AF14/AH15*AH18</f>
        <v>647.03336142041019</v>
      </c>
      <c r="AG18" s="18">
        <f>AG14/AH15*AH18</f>
        <v>896.96694158227319</v>
      </c>
      <c r="AH18" s="277">
        <f>MAX(AH4:AH13)</f>
        <v>5763.3145833333338</v>
      </c>
      <c r="AI18" s="555" t="s">
        <v>169</v>
      </c>
      <c r="AJ18" s="18">
        <f>AJ14/AV15*AV18</f>
        <v>950.29946511324727</v>
      </c>
      <c r="AK18" s="18">
        <f>AK14/AV15*AV18</f>
        <v>832.90070411746512</v>
      </c>
      <c r="AL18" s="18">
        <f>AL14/AV15*AV18</f>
        <v>709.24943518517148</v>
      </c>
      <c r="AM18" s="18">
        <f>AM14/AV15*AV18</f>
        <v>455.4514878686926</v>
      </c>
      <c r="AN18" s="18">
        <f>AN14/AV15*AV18</f>
        <v>198.52415162176143</v>
      </c>
      <c r="AO18" s="18">
        <f>AO14/AV15*AV18</f>
        <v>57.777121063541692</v>
      </c>
      <c r="AP18" s="18">
        <f>AP14/AV15*AV18</f>
        <v>7.3200206193025874</v>
      </c>
      <c r="AQ18" s="18">
        <f>AQ14/AV15*AV18</f>
        <v>25.930317315309463</v>
      </c>
      <c r="AR18" s="18">
        <f>AR14/AV15*AV18</f>
        <v>127.89066669975746</v>
      </c>
      <c r="AS18" s="18">
        <f>AS14/AV15*AV18</f>
        <v>337.07647642295342</v>
      </c>
      <c r="AT18" s="18">
        <f>AT14/AV15*AV18</f>
        <v>586.4123275463005</v>
      </c>
      <c r="AU18" s="18">
        <f>AU14/AV15*AV18</f>
        <v>836.39490975983074</v>
      </c>
      <c r="AV18" s="277">
        <f>MAX(AV4:AV13)</f>
        <v>5125.2270833333341</v>
      </c>
      <c r="AW18" s="555" t="s">
        <v>169</v>
      </c>
      <c r="AX18" s="18">
        <f>AX14/BJ15*BJ18</f>
        <v>888.68550478264171</v>
      </c>
      <c r="AY18" s="18">
        <f>AY14/BJ15*BJ18</f>
        <v>776.35858609495222</v>
      </c>
      <c r="AZ18" s="18">
        <f>AZ14/BJ15*BJ18</f>
        <v>645.58534148079877</v>
      </c>
      <c r="BA18" s="18">
        <f>BA14/BJ15*BJ18</f>
        <v>392.00029261140975</v>
      </c>
      <c r="BB18" s="18">
        <f>BB14/BJ15*BJ18</f>
        <v>146.0703577591388</v>
      </c>
      <c r="BC18" s="18">
        <f>BC14/BJ15*BJ18</f>
        <v>27.475224592660496</v>
      </c>
      <c r="BD18" s="18">
        <f>BD14/BJ15*BJ18</f>
        <v>1.327414147796584</v>
      </c>
      <c r="BE18" s="18">
        <f>BE14/BJ15*BJ18</f>
        <v>7.9134304964796414</v>
      </c>
      <c r="BF18" s="18">
        <f>BF14/BJ15*BJ18</f>
        <v>80.06405693493619</v>
      </c>
      <c r="BG18" s="18">
        <f>BG14/BJ15*BJ18</f>
        <v>273.55808842138003</v>
      </c>
      <c r="BH18" s="18">
        <f>BH14/BJ15*BJ18</f>
        <v>524.17659618100583</v>
      </c>
      <c r="BI18" s="18">
        <f>BI14/BJ15*BJ18</f>
        <v>773.81218983013355</v>
      </c>
      <c r="BJ18" s="277">
        <f>MAX(BJ4:BJ13)</f>
        <v>4537.0270833333334</v>
      </c>
      <c r="BK18" s="555" t="s">
        <v>169</v>
      </c>
      <c r="BL18" s="18">
        <f>BL14/BX15*BX18</f>
        <v>824.89036437511777</v>
      </c>
      <c r="BM18" s="18">
        <f>BM14/BX15*BX18</f>
        <v>717.86814674727873</v>
      </c>
      <c r="BN18" s="18">
        <f>BN14/BX15*BX18</f>
        <v>580.03857216030963</v>
      </c>
      <c r="BO18" s="18">
        <f>BO14/BX15*BX18</f>
        <v>327.76546326812968</v>
      </c>
      <c r="BP18" s="18">
        <f>BP14/BX15*BX18</f>
        <v>100.19320042846854</v>
      </c>
      <c r="BQ18" s="18">
        <f>BQ14/BX15*BX18</f>
        <v>10.510426181118047</v>
      </c>
      <c r="BR18" s="18">
        <f>BR14/BX15*BX18</f>
        <v>3.7269341905306279E-2</v>
      </c>
      <c r="BS18" s="18">
        <f>BS14/BX15*BX18</f>
        <v>1.2048848003310526</v>
      </c>
      <c r="BT18" s="18">
        <f>BT14/BX15*BX18</f>
        <v>43.0876051169287</v>
      </c>
      <c r="BU18" s="18">
        <f>BU14/BX15*BX18</f>
        <v>211.93966096567132</v>
      </c>
      <c r="BV18" s="18">
        <f>BV14/BX15*BX18</f>
        <v>460.75214634460605</v>
      </c>
      <c r="BW18" s="18">
        <f>BW14/BX15*BX18</f>
        <v>709.18934360346907</v>
      </c>
      <c r="BX18" s="277">
        <f>MAX(BX4:BX13)</f>
        <v>3987.4770833333332</v>
      </c>
      <c r="BY18" s="555" t="s">
        <v>169</v>
      </c>
      <c r="BZ18" s="18">
        <f>BZ14/CL15*CL18</f>
        <v>760.37575070291223</v>
      </c>
      <c r="CA18" s="18">
        <f>CA14/CL15*CL18</f>
        <v>658.70761833478184</v>
      </c>
      <c r="CB18" s="18">
        <f>CB14/CL15*CL18</f>
        <v>513.67989586329861</v>
      </c>
      <c r="CC18" s="18">
        <f>CC14/CL15*CL18</f>
        <v>263.98811900421146</v>
      </c>
      <c r="CD18" s="18">
        <f>CD14/CL15*CL18</f>
        <v>62.774619259061488</v>
      </c>
      <c r="CE18" s="18">
        <f>CE14/CL15*CL18</f>
        <v>3.3937622114932302</v>
      </c>
      <c r="CF18" s="18">
        <f>CF14/CL15*CL18</f>
        <v>0</v>
      </c>
      <c r="CG18" s="18">
        <f>CG14/CL15*CL18</f>
        <v>7.129752545153839E-2</v>
      </c>
      <c r="CH18" s="18">
        <f>CH14/CL15*CL18</f>
        <v>19.365358546310514</v>
      </c>
      <c r="CI18" s="18">
        <f>CI14/CL15*CL18</f>
        <v>156.31340777520731</v>
      </c>
      <c r="CJ18" s="18">
        <f>CJ14/CL15*CL18</f>
        <v>397.30807482129762</v>
      </c>
      <c r="CK18" s="18">
        <f>CK14/CL15*CL18</f>
        <v>643.80334595597424</v>
      </c>
      <c r="CL18" s="277">
        <f>MAX(CL4:CL13)</f>
        <v>3479.7812500000005</v>
      </c>
      <c r="CM18" s="555" t="s">
        <v>169</v>
      </c>
      <c r="CN18" s="18">
        <f>CN14/CZ15*CZ18</f>
        <v>696.13262462924922</v>
      </c>
      <c r="CO18" s="18">
        <f>CO14/CZ15*CZ18</f>
        <v>599.72663989387308</v>
      </c>
      <c r="CP18" s="18">
        <f>CP14/CZ15*CZ18</f>
        <v>447.24401918877754</v>
      </c>
      <c r="CQ18" s="18">
        <f>CQ14/CZ15*CZ18</f>
        <v>203.05203621956977</v>
      </c>
      <c r="CR18" s="18">
        <f>CR14/CZ15*CZ18</f>
        <v>34.305159190706014</v>
      </c>
      <c r="CS18" s="18">
        <f>CS14/CZ15*CZ18</f>
        <v>0.58293965702168993</v>
      </c>
      <c r="CT18" s="18">
        <f>CT14/CZ15*CZ18</f>
        <v>0</v>
      </c>
      <c r="CU18" s="18">
        <f>CU14/CZ15*CZ18</f>
        <v>0</v>
      </c>
      <c r="CV18" s="18">
        <f>CV14/CZ15*CZ18</f>
        <v>6.7337926636209158</v>
      </c>
      <c r="CW18" s="18">
        <f>CW14/CZ15*CZ18</f>
        <v>107.36429071593172</v>
      </c>
      <c r="CX18" s="18">
        <f>CX14/CZ15*CZ18</f>
        <v>334.61719873783153</v>
      </c>
      <c r="CY18" s="18">
        <f>CY14/CZ15*CZ18</f>
        <v>578.46421577008584</v>
      </c>
      <c r="CZ18" s="277">
        <f>MAX(CZ4:CZ13)</f>
        <v>3008.2229166666671</v>
      </c>
      <c r="DA18" s="555" t="s">
        <v>169</v>
      </c>
      <c r="DB18" s="18">
        <f>DB14/DN15*DN18</f>
        <v>632.70281627716895</v>
      </c>
      <c r="DC18" s="18">
        <f>DC14/DN15*DN18</f>
        <v>541.36541043785655</v>
      </c>
      <c r="DD18" s="18">
        <f>DD14/DN15*DN18</f>
        <v>381.35786115461781</v>
      </c>
      <c r="DE18" s="18">
        <f>DE14/DN15*DN18</f>
        <v>145.71041040388519</v>
      </c>
      <c r="DF18" s="18">
        <f>DF14/DN15*DN18</f>
        <v>16.548802200687359</v>
      </c>
      <c r="DG18" s="18">
        <f>DG14/DN15*DN18</f>
        <v>0</v>
      </c>
      <c r="DH18" s="18">
        <f>DH14/DN15*DN18</f>
        <v>0</v>
      </c>
      <c r="DI18" s="18">
        <f>DI14/DN15*DN18</f>
        <v>0</v>
      </c>
      <c r="DJ18" s="18">
        <f>DJ14/DN15*DN18</f>
        <v>1.6671249148675298</v>
      </c>
      <c r="DK18" s="18">
        <f>DK14/DN15*DN18</f>
        <v>65.32423200009714</v>
      </c>
      <c r="DL18" s="18">
        <f>DL14/DN15*DN18</f>
        <v>272.52681942270294</v>
      </c>
      <c r="DM18" s="18">
        <f>DM14/DN15*DN18</f>
        <v>513.55277318811659</v>
      </c>
      <c r="DN18" s="277">
        <f>MAX(DN4:DN13)</f>
        <v>2570.7562500000004</v>
      </c>
      <c r="DO18" s="277"/>
      <c r="DP18" s="18">
        <f>'Monthly Data'!F18</f>
        <v>105473.11858974359</v>
      </c>
      <c r="DQ18" s="18">
        <f>'Monthly Data'!J18</f>
        <v>80758.212339743593</v>
      </c>
      <c r="DR18" s="18">
        <f>'Monthly Data'!N18</f>
        <v>70841.310096153844</v>
      </c>
    </row>
    <row r="19" spans="1:122">
      <c r="A19" s="9">
        <v>42887</v>
      </c>
      <c r="B19">
        <v>2017</v>
      </c>
      <c r="C19">
        <v>6</v>
      </c>
      <c r="D19" s="13">
        <v>16.918888888888883</v>
      </c>
      <c r="E19" s="14">
        <v>107.97500000000002</v>
      </c>
      <c r="F19" s="14">
        <v>15.541666666666657</v>
      </c>
      <c r="G19" s="14">
        <v>64.375</v>
      </c>
      <c r="H19" s="14">
        <v>31.941666666666649</v>
      </c>
      <c r="I19" s="14">
        <v>32.725000000000009</v>
      </c>
      <c r="J19" s="14">
        <v>60.291666666666664</v>
      </c>
      <c r="K19" s="14">
        <v>11.183333333333339</v>
      </c>
      <c r="L19" s="14">
        <v>98.750000000000014</v>
      </c>
      <c r="M19" s="14">
        <v>2.0500000000000025</v>
      </c>
      <c r="N19" s="14">
        <v>149.61666666666667</v>
      </c>
      <c r="O19" s="14">
        <v>0</v>
      </c>
      <c r="P19" s="14">
        <v>207.56666666666672</v>
      </c>
      <c r="Q19" s="14">
        <v>0</v>
      </c>
      <c r="R19" s="14">
        <v>267.56666666666666</v>
      </c>
      <c r="S19" s="30"/>
      <c r="AV19" s="31"/>
      <c r="BJ19" s="31"/>
      <c r="BX19" s="31"/>
      <c r="CL19" s="31"/>
      <c r="CZ19" s="31"/>
      <c r="DN19" s="31"/>
      <c r="DO19" s="31"/>
      <c r="DP19" s="18">
        <f>'Monthly Data'!F19</f>
        <v>111821.56730769231</v>
      </c>
      <c r="DQ19" s="18">
        <f>'Monthly Data'!J19</f>
        <v>85147.973557692312</v>
      </c>
      <c r="DR19" s="18">
        <f>'Monthly Data'!N19</f>
        <v>74596.145032051281</v>
      </c>
    </row>
    <row r="20" spans="1:122">
      <c r="A20" s="9">
        <v>42917</v>
      </c>
      <c r="B20">
        <v>2017</v>
      </c>
      <c r="C20">
        <v>7</v>
      </c>
      <c r="D20" s="13">
        <v>19.254032258064516</v>
      </c>
      <c r="E20" s="14">
        <v>38.441666666666649</v>
      </c>
      <c r="F20" s="14">
        <v>15.316666666666666</v>
      </c>
      <c r="G20" s="14">
        <v>10.187499999999986</v>
      </c>
      <c r="H20" s="14">
        <v>49.062499999999986</v>
      </c>
      <c r="I20" s="14">
        <v>1.5333333333333314</v>
      </c>
      <c r="J20" s="14">
        <v>102.40833333333333</v>
      </c>
      <c r="K20" s="14">
        <v>0</v>
      </c>
      <c r="L20" s="14">
        <v>162.875</v>
      </c>
      <c r="M20" s="14">
        <v>0</v>
      </c>
      <c r="N20" s="14">
        <v>224.875</v>
      </c>
      <c r="O20" s="14">
        <v>0</v>
      </c>
      <c r="P20" s="14">
        <v>286.87500000000006</v>
      </c>
      <c r="Q20" s="14">
        <v>0</v>
      </c>
      <c r="R20" s="14">
        <v>348.87500000000011</v>
      </c>
      <c r="S20" s="30"/>
      <c r="U20" s="113" t="s">
        <v>69</v>
      </c>
      <c r="V20" s="327" t="s">
        <v>82</v>
      </c>
      <c r="W20" s="327" t="s">
        <v>83</v>
      </c>
      <c r="X20" s="327" t="s">
        <v>84</v>
      </c>
      <c r="Y20" s="327" t="s">
        <v>85</v>
      </c>
      <c r="Z20" s="327" t="s">
        <v>86</v>
      </c>
      <c r="AA20" s="327" t="s">
        <v>165</v>
      </c>
      <c r="AB20" s="327" t="s">
        <v>166</v>
      </c>
      <c r="AC20" s="327" t="s">
        <v>167</v>
      </c>
      <c r="AD20" s="327" t="s">
        <v>90</v>
      </c>
      <c r="AE20" s="327" t="s">
        <v>91</v>
      </c>
      <c r="AF20" s="327" t="s">
        <v>92</v>
      </c>
      <c r="AG20" s="327" t="s">
        <v>93</v>
      </c>
      <c r="AI20" s="113" t="s">
        <v>71</v>
      </c>
      <c r="AJ20" s="327" t="s">
        <v>82</v>
      </c>
      <c r="AK20" s="327" t="s">
        <v>83</v>
      </c>
      <c r="AL20" s="327" t="s">
        <v>84</v>
      </c>
      <c r="AM20" s="327" t="s">
        <v>85</v>
      </c>
      <c r="AN20" s="327" t="s">
        <v>86</v>
      </c>
      <c r="AO20" s="327" t="s">
        <v>165</v>
      </c>
      <c r="AP20" s="327" t="s">
        <v>166</v>
      </c>
      <c r="AQ20" s="327" t="s">
        <v>167</v>
      </c>
      <c r="AR20" s="327" t="s">
        <v>90</v>
      </c>
      <c r="AS20" s="327" t="s">
        <v>91</v>
      </c>
      <c r="AT20" s="327" t="s">
        <v>92</v>
      </c>
      <c r="AU20" s="327" t="s">
        <v>93</v>
      </c>
      <c r="AV20" s="31"/>
      <c r="AW20" s="113" t="s">
        <v>73</v>
      </c>
      <c r="AX20" s="327" t="s">
        <v>82</v>
      </c>
      <c r="AY20" s="327" t="s">
        <v>83</v>
      </c>
      <c r="AZ20" s="327" t="s">
        <v>84</v>
      </c>
      <c r="BA20" s="327" t="s">
        <v>85</v>
      </c>
      <c r="BB20" s="327" t="s">
        <v>86</v>
      </c>
      <c r="BC20" s="327" t="s">
        <v>165</v>
      </c>
      <c r="BD20" s="327" t="s">
        <v>166</v>
      </c>
      <c r="BE20" s="327" t="s">
        <v>167</v>
      </c>
      <c r="BF20" s="327" t="s">
        <v>90</v>
      </c>
      <c r="BG20" s="327" t="s">
        <v>91</v>
      </c>
      <c r="BH20" s="327" t="s">
        <v>92</v>
      </c>
      <c r="BI20" s="327" t="s">
        <v>93</v>
      </c>
      <c r="BJ20" s="31"/>
      <c r="BK20" s="113" t="s">
        <v>75</v>
      </c>
      <c r="BL20" s="327" t="s">
        <v>82</v>
      </c>
      <c r="BM20" s="327" t="s">
        <v>83</v>
      </c>
      <c r="BN20" s="327" t="s">
        <v>84</v>
      </c>
      <c r="BO20" s="327" t="s">
        <v>85</v>
      </c>
      <c r="BP20" s="327" t="s">
        <v>86</v>
      </c>
      <c r="BQ20" s="327" t="s">
        <v>165</v>
      </c>
      <c r="BR20" s="327" t="s">
        <v>166</v>
      </c>
      <c r="BS20" s="327" t="s">
        <v>167</v>
      </c>
      <c r="BT20" s="327" t="s">
        <v>90</v>
      </c>
      <c r="BU20" s="327" t="s">
        <v>91</v>
      </c>
      <c r="BV20" s="327" t="s">
        <v>92</v>
      </c>
      <c r="BW20" s="327" t="s">
        <v>93</v>
      </c>
      <c r="BX20" s="31"/>
      <c r="BY20" s="113" t="s">
        <v>77</v>
      </c>
      <c r="BZ20" s="327" t="s">
        <v>82</v>
      </c>
      <c r="CA20" s="327" t="s">
        <v>83</v>
      </c>
      <c r="CB20" s="327" t="s">
        <v>84</v>
      </c>
      <c r="CC20" s="327" t="s">
        <v>85</v>
      </c>
      <c r="CD20" s="327" t="s">
        <v>86</v>
      </c>
      <c r="CE20" s="327" t="s">
        <v>165</v>
      </c>
      <c r="CF20" s="327" t="s">
        <v>166</v>
      </c>
      <c r="CG20" s="327" t="s">
        <v>167</v>
      </c>
      <c r="CH20" s="327" t="s">
        <v>90</v>
      </c>
      <c r="CI20" s="327" t="s">
        <v>91</v>
      </c>
      <c r="CJ20" s="327" t="s">
        <v>92</v>
      </c>
      <c r="CK20" s="327" t="s">
        <v>93</v>
      </c>
      <c r="CL20" s="31"/>
      <c r="CM20" s="113" t="s">
        <v>79</v>
      </c>
      <c r="CN20" s="327" t="s">
        <v>82</v>
      </c>
      <c r="CO20" s="327" t="s">
        <v>83</v>
      </c>
      <c r="CP20" s="327" t="s">
        <v>84</v>
      </c>
      <c r="CQ20" s="327" t="s">
        <v>85</v>
      </c>
      <c r="CR20" s="327" t="s">
        <v>86</v>
      </c>
      <c r="CS20" s="327" t="s">
        <v>165</v>
      </c>
      <c r="CT20" s="327" t="s">
        <v>166</v>
      </c>
      <c r="CU20" s="327" t="s">
        <v>167</v>
      </c>
      <c r="CV20" s="327" t="s">
        <v>90</v>
      </c>
      <c r="CW20" s="327" t="s">
        <v>91</v>
      </c>
      <c r="CX20" s="327" t="s">
        <v>92</v>
      </c>
      <c r="CY20" s="327" t="s">
        <v>93</v>
      </c>
      <c r="CZ20" s="31"/>
      <c r="DA20" s="113" t="s">
        <v>81</v>
      </c>
      <c r="DB20" s="327" t="s">
        <v>82</v>
      </c>
      <c r="DC20" s="327" t="s">
        <v>83</v>
      </c>
      <c r="DD20" s="327" t="s">
        <v>84</v>
      </c>
      <c r="DE20" s="327" t="s">
        <v>85</v>
      </c>
      <c r="DF20" s="327" t="s">
        <v>86</v>
      </c>
      <c r="DG20" s="327" t="s">
        <v>165</v>
      </c>
      <c r="DH20" s="327" t="s">
        <v>166</v>
      </c>
      <c r="DI20" s="327" t="s">
        <v>167</v>
      </c>
      <c r="DJ20" s="327" t="s">
        <v>90</v>
      </c>
      <c r="DK20" s="327" t="s">
        <v>91</v>
      </c>
      <c r="DL20" s="327" t="s">
        <v>92</v>
      </c>
      <c r="DM20" s="327" t="s">
        <v>93</v>
      </c>
      <c r="DN20" s="31"/>
      <c r="DO20" s="31"/>
      <c r="DP20" s="18">
        <f>'Monthly Data'!F20</f>
        <v>118170.01602564103</v>
      </c>
      <c r="DQ20" s="18">
        <f>'Monthly Data'!J20</f>
        <v>89537.734775641031</v>
      </c>
      <c r="DR20" s="18">
        <f>'Monthly Data'!N20</f>
        <v>78350.979967948719</v>
      </c>
    </row>
    <row r="21" spans="1:122">
      <c r="A21" s="9">
        <v>42948</v>
      </c>
      <c r="B21">
        <v>2017</v>
      </c>
      <c r="C21">
        <v>8</v>
      </c>
      <c r="D21" s="13">
        <v>17.290994623655916</v>
      </c>
      <c r="E21" s="14">
        <v>86.879166666666663</v>
      </c>
      <c r="F21" s="14">
        <v>2.8999999999999915</v>
      </c>
      <c r="G21" s="14">
        <v>42.45</v>
      </c>
      <c r="H21" s="14">
        <v>20.470833333333328</v>
      </c>
      <c r="I21" s="14">
        <v>15.804166666666667</v>
      </c>
      <c r="J21" s="14">
        <v>55.824999999999989</v>
      </c>
      <c r="K21" s="14">
        <v>3.6583333333333332</v>
      </c>
      <c r="L21" s="14">
        <v>105.67916666666666</v>
      </c>
      <c r="M21" s="14">
        <v>0.625</v>
      </c>
      <c r="N21" s="14">
        <v>164.64583333333331</v>
      </c>
      <c r="O21" s="14">
        <v>0</v>
      </c>
      <c r="P21" s="14">
        <v>226.02083333333337</v>
      </c>
      <c r="Q21" s="14">
        <v>0</v>
      </c>
      <c r="R21" s="14">
        <v>288.02083333333337</v>
      </c>
      <c r="S21" s="30"/>
      <c r="U21">
        <v>2016</v>
      </c>
      <c r="V21" s="14">
        <f>SUMIFS($F:$F,$B:$B,$U21,$C:$C,V$1)</f>
        <v>0</v>
      </c>
      <c r="W21" s="14">
        <f>SUMIFS($F:$F,$B:$B,$U21,$C:$C,W$1)</f>
        <v>0</v>
      </c>
      <c r="X21" s="14">
        <f>SUMIFS($F:$F,$B:$B,$U21,$C:$C,X$1)</f>
        <v>0</v>
      </c>
      <c r="Y21" s="14">
        <f>SUMIFS($F:$F,$B:$B,$U21,$C:$C,Y$1)</f>
        <v>0</v>
      </c>
      <c r="Z21" s="14">
        <f>SUMIFS($F:$F,$B:$B,$U21,$C:$C,Z$1)</f>
        <v>7.6041666666666643</v>
      </c>
      <c r="AA21" s="14">
        <f>SUMIFS($F:$F,$B:$B,$U21,$C:$C,AA$1)</f>
        <v>19.304166666666667</v>
      </c>
      <c r="AB21" s="14">
        <f>SUMIFS($F:$F,$B:$B,$U21,$C:$C,AB$1)</f>
        <v>41.99166666666666</v>
      </c>
      <c r="AC21" s="14">
        <f>SUMIFS($F:$F,$B:$B,$U21,$C:$C,AC$1)</f>
        <v>45.82083333333334</v>
      </c>
      <c r="AD21" s="14">
        <f>SUMIFS($F:$F,$B:$B,$U21,$C:$C,AD$1)</f>
        <v>5.7458333333333229</v>
      </c>
      <c r="AE21" s="14">
        <f>SUMIFS($F:$F,$B:$B,$U21,$C:$C,AE$1)</f>
        <v>0</v>
      </c>
      <c r="AF21" s="14">
        <f>SUMIFS($F:$F,$B:$B,$U21,$C:$C,AF$1)</f>
        <v>0</v>
      </c>
      <c r="AG21" s="14">
        <f>SUMIFS($F:$F,$B:$B,$U21,$C:$C,AG$1)</f>
        <v>0</v>
      </c>
      <c r="AH21" s="556">
        <f>SUM(V21:AG21)</f>
        <v>120.46666666666665</v>
      </c>
      <c r="AI21">
        <f>U21</f>
        <v>2016</v>
      </c>
      <c r="AJ21" s="14">
        <f>SUMIFS($H:$H,$B:$B,$AI21,$C:$C,AJ$1)</f>
        <v>0</v>
      </c>
      <c r="AK21" s="14">
        <f>SUMIFS($H:$H,$B:$B,$AI21,$C:$C,AK$1)</f>
        <v>0</v>
      </c>
      <c r="AL21" s="14">
        <f>SUMIFS($H:$H,$B:$B,$AI21,$C:$C,AL$1)</f>
        <v>0</v>
      </c>
      <c r="AM21" s="14">
        <f>SUMIFS($H:$H,$B:$B,$AI21,$C:$C,AM$1)</f>
        <v>0</v>
      </c>
      <c r="AN21" s="14">
        <f>SUMIFS($H:$H,$B:$B,$AI21,$C:$C,AN$1)</f>
        <v>17.591666666666661</v>
      </c>
      <c r="AO21" s="14">
        <f>SUMIFS($H:$H,$B:$B,$AI21,$C:$C,AO$1)</f>
        <v>39.558333333333337</v>
      </c>
      <c r="AP21" s="14">
        <f>SUMIFS($H:$H,$B:$B,$AI21,$C:$C,AP$1)</f>
        <v>79.833333333333329</v>
      </c>
      <c r="AQ21" s="14">
        <f>SUMIFS($H:$H,$B:$B,$AI21,$C:$C,AQ$1)</f>
        <v>92.095833333333331</v>
      </c>
      <c r="AR21" s="14">
        <f>SUMIFS($H:$H,$B:$B,$AI21,$C:$C,AR$1)</f>
        <v>16.224999999999991</v>
      </c>
      <c r="AS21" s="14">
        <f>SUMIFS($H:$H,$B:$B,$AI21,$C:$C,AS$1)</f>
        <v>0</v>
      </c>
      <c r="AT21" s="14">
        <f>SUMIFS($H:$H,$B:$B,$AI21,$C:$C,AT$1)</f>
        <v>0</v>
      </c>
      <c r="AU21" s="14">
        <f>SUMIFS($H:$H,$B:$B,$AI21,$C:$C,AU$1)</f>
        <v>0</v>
      </c>
      <c r="AV21" s="556">
        <f>SUM(AJ21:AU21)</f>
        <v>245.30416666666665</v>
      </c>
      <c r="AW21">
        <f>AI21</f>
        <v>2016</v>
      </c>
      <c r="AX21" s="14">
        <f>SUMIFS($J:$J,$B:$B,$AW21,$C:$C,AX$1)</f>
        <v>0</v>
      </c>
      <c r="AY21" s="14">
        <f>SUMIFS($J:$J,$B:$B,$AW21,$C:$C,AY$1)</f>
        <v>0</v>
      </c>
      <c r="AZ21" s="14">
        <f>SUMIFS($J:$J,$B:$B,$AW21,$C:$C,AZ$1)</f>
        <v>0</v>
      </c>
      <c r="BA21" s="14">
        <f>SUMIFS($J:$J,$B:$B,$AW21,$C:$C,BA$1)</f>
        <v>0</v>
      </c>
      <c r="BB21" s="14">
        <f>SUMIFS($J:$J,$B:$B,$AW21,$C:$C,BB$1)</f>
        <v>34.47499999999998</v>
      </c>
      <c r="BC21" s="14">
        <f>SUMIFS($J:$J,$B:$B,$AW21,$C:$C,BC$1)</f>
        <v>73.974999999999994</v>
      </c>
      <c r="BD21" s="14">
        <f>SUMIFS($J:$J,$B:$B,$AW21,$C:$C,BD$1)</f>
        <v>134.88333333333335</v>
      </c>
      <c r="BE21" s="14">
        <f>SUMIFS($J:$J,$B:$B,$AW21,$C:$C,BE$1)</f>
        <v>151.47083333333333</v>
      </c>
      <c r="BF21" s="14">
        <f>SUMIFS($J:$J,$B:$B,$AW21,$C:$C,BF$1)</f>
        <v>34.870833333333323</v>
      </c>
      <c r="BG21" s="14">
        <f>SUMIFS($J:$J,$B:$B,$AW21,$C:$C,BG$1)</f>
        <v>0.74583333333333712</v>
      </c>
      <c r="BH21" s="14">
        <f>SUMIFS($J:$J,$B:$B,$AW21,$C:$C,BH$1)</f>
        <v>0</v>
      </c>
      <c r="BI21" s="14">
        <f>SUMIFS($J:$J,$B:$B,$AW21,$C:$C,BI$1)</f>
        <v>0</v>
      </c>
      <c r="BJ21" s="556">
        <f>SUM(AX21:BI21)</f>
        <v>430.42083333333335</v>
      </c>
      <c r="BK21">
        <v>2016</v>
      </c>
      <c r="BL21" s="14">
        <f>SUMIFS($L:$L,$B:$B,$BK21,$C:$C,BL$1)</f>
        <v>0</v>
      </c>
      <c r="BM21" s="14">
        <f>SUMIFS($L:$L,$B:$B,$BK21,$C:$C,BM$1)</f>
        <v>0</v>
      </c>
      <c r="BN21" s="14">
        <f>SUMIFS($L:$L,$B:$B,$BK21,$C:$C,BN$1)</f>
        <v>0</v>
      </c>
      <c r="BO21" s="14">
        <f>SUMIFS($L:$L,$B:$B,$BK21,$C:$C,BO$1)</f>
        <v>0</v>
      </c>
      <c r="BP21" s="14">
        <f>SUMIFS($L:$L,$B:$B,$BK21,$C:$C,BP$1)</f>
        <v>60.570833333333312</v>
      </c>
      <c r="BQ21" s="14">
        <f>SUMIFS($L:$L,$B:$B,$BK21,$C:$C,BQ$1)</f>
        <v>115.91250000000001</v>
      </c>
      <c r="BR21" s="14">
        <f>SUMIFS($L:$L,$B:$B,$BK21,$C:$C,BR$1)</f>
        <v>196.39583333333337</v>
      </c>
      <c r="BS21" s="14">
        <f>SUMIFS($L:$L,$B:$B,$BK21,$C:$C,BS$1)</f>
        <v>212.35833333333332</v>
      </c>
      <c r="BT21" s="14">
        <f>SUMIFS($L:$L,$B:$B,$BK21,$C:$C,BT$1)</f>
        <v>65.120833333333309</v>
      </c>
      <c r="BU21" s="14">
        <f>SUMIFS($L:$L,$B:$B,$BK21,$C:$C,BU$1)</f>
        <v>6.0458333333333378</v>
      </c>
      <c r="BV21" s="14">
        <f>SUMIFS($L:$L,$B:$B,$BK21,$C:$C,BV$1)</f>
        <v>0</v>
      </c>
      <c r="BW21" s="14">
        <f>SUMIFS($L:$L,$B:$B,$BK21,$C:$C,BW$1)</f>
        <v>0</v>
      </c>
      <c r="BX21" s="556">
        <f>SUM(BL21:BW21)</f>
        <v>656.4041666666667</v>
      </c>
      <c r="BY21">
        <v>2016</v>
      </c>
      <c r="BZ21" s="14">
        <f>SUMIFS($N:$N,$B:$B,$BY21,$C:$C,BZ$1)</f>
        <v>0</v>
      </c>
      <c r="CA21" s="14">
        <f>SUMIFS($N:$N,$B:$B,$BY21,$C:$C,CA$1)</f>
        <v>0</v>
      </c>
      <c r="CB21" s="14">
        <f>SUMIFS($N:$N,$B:$B,$BY21,$C:$C,CB$1)</f>
        <v>0</v>
      </c>
      <c r="CC21" s="14">
        <f>SUMIFS($N:$N,$B:$B,$BY21,$C:$C,CC$1)</f>
        <v>0</v>
      </c>
      <c r="CD21" s="14">
        <f>SUMIFS($N:$N,$B:$B,$BY21,$C:$C,CD$1)</f>
        <v>92.229166666666643</v>
      </c>
      <c r="CE21" s="14">
        <f>SUMIFS($N:$N,$B:$B,$BY21,$C:$C,CE$1)</f>
        <v>165.58333333333331</v>
      </c>
      <c r="CF21" s="14">
        <f>SUMIFS($N:$N,$B:$B,$BY21,$C:$C,CF$1)</f>
        <v>258.39583333333337</v>
      </c>
      <c r="CG21" s="14">
        <f>SUMIFS($N:$N,$B:$B,$BY21,$C:$C,CG$1)</f>
        <v>274.35833333333335</v>
      </c>
      <c r="CH21" s="14">
        <f>SUMIFS($N:$N,$B:$B,$BY21,$C:$C,CH$1)</f>
        <v>107.68749999999999</v>
      </c>
      <c r="CI21" s="14">
        <f>SUMIFS($N:$N,$B:$B,$BY21,$C:$C,CI$1)</f>
        <v>19.216666666666676</v>
      </c>
      <c r="CJ21" s="14">
        <f>SUMIFS($N:$N,$B:$B,$BY21,$C:$C,CJ$1)</f>
        <v>0</v>
      </c>
      <c r="CK21" s="14">
        <f>SUMIFS($N:$N,$B:$B,$BY21,$C:$C,CK$1)</f>
        <v>0</v>
      </c>
      <c r="CL21" s="556">
        <f>SUM(BZ21:CK21)</f>
        <v>917.4708333333333</v>
      </c>
      <c r="CM21">
        <v>2016</v>
      </c>
      <c r="CN21" s="14">
        <f>SUMIFS($P:$P,$B:$B,$CM21,$C:$C,CN$1)</f>
        <v>0</v>
      </c>
      <c r="CO21" s="14">
        <f>SUMIFS($P:$P,$B:$B,$CM21,$C:$C,CO$1)</f>
        <v>0</v>
      </c>
      <c r="CP21" s="14">
        <f>SUMIFS($P:$P,$B:$B,$CM21,$C:$C,CP$1)</f>
        <v>0</v>
      </c>
      <c r="CQ21" s="14">
        <f>SUMIFS($P:$P,$B:$B,$CM21,$C:$C,CQ$1)</f>
        <v>0</v>
      </c>
      <c r="CR21" s="14">
        <f>SUMIFS($P:$P,$B:$B,$CM21,$C:$C,CR$1)</f>
        <v>131.05416666666662</v>
      </c>
      <c r="CS21" s="14">
        <f>SUMIFS($P:$P,$B:$B,$CM21,$C:$C,CS$1)</f>
        <v>220.87916666666666</v>
      </c>
      <c r="CT21" s="14">
        <f>SUMIFS($P:$P,$B:$B,$CM21,$C:$C,CT$1)</f>
        <v>320.39583333333326</v>
      </c>
      <c r="CU21" s="14">
        <f>SUMIFS($P:$P,$B:$B,$CM21,$C:$C,CU$1)</f>
        <v>336.35833333333329</v>
      </c>
      <c r="CV21" s="14">
        <f>SUMIFS($P:$P,$B:$B,$CM21,$C:$C,CV$1)</f>
        <v>159.27499999999998</v>
      </c>
      <c r="CW21" s="14">
        <f>SUMIFS($P:$P,$B:$B,$CM21,$C:$C,CW$1)</f>
        <v>41.08750000000002</v>
      </c>
      <c r="CX21" s="14">
        <f>SUMIFS($P:$P,$B:$B,$CM21,$C:$C,CX$1)</f>
        <v>0</v>
      </c>
      <c r="CY21" s="14">
        <f>SUMIFS($P:$P,$B:$B,$CM21,$C:$C,CY$1)</f>
        <v>0</v>
      </c>
      <c r="CZ21" s="556">
        <f>SUM(CN21:CY21)</f>
        <v>1209.0499999999997</v>
      </c>
      <c r="DA21">
        <v>2016</v>
      </c>
      <c r="DB21" s="14">
        <f>SUMIFS($R:$R,$B:$B,$DA21,$C:$C,DB$1)</f>
        <v>0</v>
      </c>
      <c r="DC21" s="14">
        <f>SUMIFS($R:$R,$B:$B,$DA21,$C:$C,DC$1)</f>
        <v>0</v>
      </c>
      <c r="DD21" s="14">
        <f>SUMIFS($R:$R,$B:$B,$DA21,$C:$C,DD$1)</f>
        <v>0</v>
      </c>
      <c r="DE21" s="14">
        <f>SUMIFS($R:$R,$B:$B,$DA21,$C:$C,DE$1)</f>
        <v>3.2875000000000014</v>
      </c>
      <c r="DF21" s="14">
        <f>SUMIFS($R:$R,$B:$B,$DA21,$C:$C,DF$1)</f>
        <v>177.9708333333333</v>
      </c>
      <c r="DG21" s="14">
        <f>SUMIFS($R:$R,$B:$B,$DA21,$C:$C,DG$1)</f>
        <v>279.9083333333333</v>
      </c>
      <c r="DH21" s="14">
        <f>SUMIFS($R:$R,$B:$B,$DA21,$C:$C,DH$1)</f>
        <v>382.3958333333332</v>
      </c>
      <c r="DI21" s="14">
        <f>SUMIFS($R:$R,$B:$B,$DA21,$C:$C,DI$1)</f>
        <v>398.35833333333335</v>
      </c>
      <c r="DJ21" s="14">
        <f>SUMIFS($R:$R,$B:$B,$DA21,$C:$C,DJ$1)</f>
        <v>215.77499999999998</v>
      </c>
      <c r="DK21" s="14">
        <f>SUMIFS($R:$R,$B:$B,$DA21,$C:$C,DK$1)</f>
        <v>68.26666666666668</v>
      </c>
      <c r="DL21" s="14">
        <f>SUMIFS($R:$R,$B:$B,$DA21,$C:$C,DL$1)</f>
        <v>0</v>
      </c>
      <c r="DM21" s="14">
        <f>SUMIFS($R:$R,$B:$B,$DA21,$C:$C,DM$1)</f>
        <v>0</v>
      </c>
      <c r="DN21" s="556">
        <f>SUM(DB21:DM21)</f>
        <v>1525.9624999999999</v>
      </c>
      <c r="DO21" s="556"/>
      <c r="DP21" s="18">
        <f>'Monthly Data'!F21</f>
        <v>124518.46474358975</v>
      </c>
      <c r="DQ21" s="18">
        <f>'Monthly Data'!J21</f>
        <v>93927.49599358975</v>
      </c>
      <c r="DR21" s="18">
        <f>'Monthly Data'!N21</f>
        <v>82105.814903846156</v>
      </c>
    </row>
    <row r="22" spans="1:122">
      <c r="A22" s="9">
        <v>42979</v>
      </c>
      <c r="B22">
        <v>2017</v>
      </c>
      <c r="C22">
        <v>9</v>
      </c>
      <c r="D22" s="13">
        <v>15.601944444444445</v>
      </c>
      <c r="E22" s="14">
        <v>140.68333333333331</v>
      </c>
      <c r="F22" s="14">
        <v>8.74166666666666</v>
      </c>
      <c r="G22" s="14">
        <v>98.341666666666669</v>
      </c>
      <c r="H22" s="14">
        <v>26.399999999999995</v>
      </c>
      <c r="I22" s="14">
        <v>64.883333333333326</v>
      </c>
      <c r="J22" s="14">
        <v>52.941666666666663</v>
      </c>
      <c r="K22" s="14">
        <v>37.195833333333326</v>
      </c>
      <c r="L22" s="14">
        <v>85.254166666666663</v>
      </c>
      <c r="M22" s="14">
        <v>18.191666666666656</v>
      </c>
      <c r="N22" s="14">
        <v>126.25</v>
      </c>
      <c r="O22" s="14">
        <v>6.5958333333333314</v>
      </c>
      <c r="P22" s="14">
        <v>174.6541666666667</v>
      </c>
      <c r="Q22" s="14">
        <v>2.0833333333333321</v>
      </c>
      <c r="R22" s="14">
        <v>230.14166666666671</v>
      </c>
      <c r="S22" s="30"/>
      <c r="U22">
        <f t="shared" ref="U22:U28" si="48">U21+1</f>
        <v>2017</v>
      </c>
      <c r="V22" s="14">
        <f>SUMIFS($F:$F,$B:$B,$U22,$C:$C,V$1)</f>
        <v>0</v>
      </c>
      <c r="W22" s="14">
        <f>SUMIFS($F:$F,$B:$B,$U22,$C:$C,W$1)</f>
        <v>0</v>
      </c>
      <c r="X22" s="14">
        <f>SUMIFS($F:$F,$B:$B,$U22,$C:$C,X$1)</f>
        <v>0</v>
      </c>
      <c r="Y22" s="14">
        <f>SUMIFS($F:$F,$B:$B,$U22,$C:$C,Y$1)</f>
        <v>0</v>
      </c>
      <c r="Z22" s="14">
        <f>SUMIFS($F:$F,$B:$B,$U22,$C:$C,Z$1)</f>
        <v>5.3249999999999993</v>
      </c>
      <c r="AA22" s="14">
        <f>SUMIFS($F:$F,$B:$B,$U22,$C:$C,AA$1)</f>
        <v>15.541666666666657</v>
      </c>
      <c r="AB22" s="14">
        <f>SUMIFS($F:$F,$B:$B,$U22,$C:$C,AB$1)</f>
        <v>15.316666666666666</v>
      </c>
      <c r="AC22" s="14">
        <f>SUMIFS($F:$F,$B:$B,$U22,$C:$C,AC$1)</f>
        <v>2.8999999999999915</v>
      </c>
      <c r="AD22" s="14">
        <f>SUMIFS($F:$F,$B:$B,$U22,$C:$C,AD$1)</f>
        <v>8.74166666666666</v>
      </c>
      <c r="AE22" s="14">
        <f>SUMIFS($F:$F,$B:$B,$U22,$C:$C,AE$1)</f>
        <v>0</v>
      </c>
      <c r="AF22" s="14">
        <f>SUMIFS($F:$F,$B:$B,$U22,$C:$C,AF$1)</f>
        <v>0</v>
      </c>
      <c r="AG22" s="14">
        <f>SUMIFS($F:$F,$B:$B,$U22,$C:$C,AG$1)</f>
        <v>0</v>
      </c>
      <c r="AH22" s="556">
        <f t="shared" ref="AH22:AH32" si="49">SUM(V22:AG22)</f>
        <v>47.824999999999974</v>
      </c>
      <c r="AI22">
        <f t="shared" ref="AI22:AI28" si="50">AI21+1</f>
        <v>2017</v>
      </c>
      <c r="AJ22" s="14">
        <f>SUMIFS($H:$H,$B:$B,$AI22,$C:$C,AJ$1)</f>
        <v>0</v>
      </c>
      <c r="AK22" s="14">
        <f>SUMIFS($H:$H,$B:$B,$AI22,$C:$C,AK$1)</f>
        <v>0</v>
      </c>
      <c r="AL22" s="14">
        <f>SUMIFS($H:$H,$B:$B,$AI22,$C:$C,AL$1)</f>
        <v>0</v>
      </c>
      <c r="AM22" s="14">
        <f>SUMIFS($H:$H,$B:$B,$AI22,$C:$C,AM$1)</f>
        <v>0</v>
      </c>
      <c r="AN22" s="14">
        <f>SUMIFS($H:$H,$B:$B,$AI22,$C:$C,AN$1)</f>
        <v>9.3249999999999993</v>
      </c>
      <c r="AO22" s="14">
        <f>SUMIFS($H:$H,$B:$B,$AI22,$C:$C,AO$1)</f>
        <v>31.941666666666649</v>
      </c>
      <c r="AP22" s="14">
        <f>SUMIFS($H:$H,$B:$B,$AI22,$C:$C,AP$1)</f>
        <v>49.062499999999986</v>
      </c>
      <c r="AQ22" s="14">
        <f>SUMIFS($H:$H,$B:$B,$AI22,$C:$C,AQ$1)</f>
        <v>20.470833333333328</v>
      </c>
      <c r="AR22" s="14">
        <f>SUMIFS($H:$H,$B:$B,$AI22,$C:$C,AR$1)</f>
        <v>26.399999999999995</v>
      </c>
      <c r="AS22" s="14">
        <f>SUMIFS($H:$H,$B:$B,$AI22,$C:$C,AS$1)</f>
        <v>5.833333333333357E-2</v>
      </c>
      <c r="AT22" s="14">
        <f>SUMIFS($H:$H,$B:$B,$AI22,$C:$C,AT$1)</f>
        <v>0</v>
      </c>
      <c r="AU22" s="14">
        <f>SUMIFS($H:$H,$B:$B,$AI22,$C:$C,AU$1)</f>
        <v>0</v>
      </c>
      <c r="AV22" s="556">
        <f t="shared" ref="AV22:AV32" si="51">SUM(AJ22:AU22)</f>
        <v>137.2583333333333</v>
      </c>
      <c r="AW22">
        <f t="shared" ref="AW22:AW28" si="52">AW21+1</f>
        <v>2017</v>
      </c>
      <c r="AX22" s="14">
        <f>SUMIFS($J:$J,$B:$B,$AW22,$C:$C,AX$1)</f>
        <v>0</v>
      </c>
      <c r="AY22" s="14">
        <f>SUMIFS($J:$J,$B:$B,$AW22,$C:$C,AY$1)</f>
        <v>0</v>
      </c>
      <c r="AZ22" s="14">
        <f>SUMIFS($J:$J,$B:$B,$AW22,$C:$C,AZ$1)</f>
        <v>0</v>
      </c>
      <c r="BA22" s="14">
        <f>SUMIFS($J:$J,$B:$B,$AW22,$C:$C,BA$1)</f>
        <v>1.0749999999999993</v>
      </c>
      <c r="BB22" s="14">
        <f>SUMIFS($J:$J,$B:$B,$AW22,$C:$C,BB$1)</f>
        <v>15.175000000000008</v>
      </c>
      <c r="BC22" s="14">
        <f>SUMIFS($J:$J,$B:$B,$AW22,$C:$C,BC$1)</f>
        <v>60.291666666666664</v>
      </c>
      <c r="BD22" s="14">
        <f>SUMIFS($J:$J,$B:$B,$AW22,$C:$C,BD$1)</f>
        <v>102.40833333333333</v>
      </c>
      <c r="BE22" s="14">
        <f>SUMIFS($J:$J,$B:$B,$AW22,$C:$C,BE$1)</f>
        <v>55.824999999999989</v>
      </c>
      <c r="BF22" s="14">
        <f>SUMIFS($J:$J,$B:$B,$AW22,$C:$C,BF$1)</f>
        <v>52.941666666666663</v>
      </c>
      <c r="BG22" s="14">
        <f>SUMIFS($J:$J,$B:$B,$AW22,$C:$C,BG$1)</f>
        <v>3.6916666666666629</v>
      </c>
      <c r="BH22" s="14">
        <f>SUMIFS($J:$J,$B:$B,$AW22,$C:$C,BH$1)</f>
        <v>0</v>
      </c>
      <c r="BI22" s="14">
        <f>SUMIFS($J:$J,$B:$B,$AW22,$C:$C,BI$1)</f>
        <v>0</v>
      </c>
      <c r="BJ22" s="556">
        <f t="shared" ref="BJ22:BJ32" si="53">SUM(AX22:BI22)</f>
        <v>291.4083333333333</v>
      </c>
      <c r="BK22">
        <f t="shared" ref="BK22:BK28" si="54">BK21+1</f>
        <v>2017</v>
      </c>
      <c r="BL22" s="14">
        <f>SUMIFS($L:$L,$B:$B,$BK22,$C:$C,BL$1)</f>
        <v>0</v>
      </c>
      <c r="BM22" s="14">
        <f>SUMIFS($L:$L,$B:$B,$BK22,$C:$C,BM$1)</f>
        <v>0</v>
      </c>
      <c r="BN22" s="14">
        <f>SUMIFS($L:$L,$B:$B,$BK22,$C:$C,BN$1)</f>
        <v>0</v>
      </c>
      <c r="BO22" s="14">
        <f>SUMIFS($L:$L,$B:$B,$BK22,$C:$C,BO$1)</f>
        <v>3.0749999999999993</v>
      </c>
      <c r="BP22" s="14">
        <f>SUMIFS($L:$L,$B:$B,$BK22,$C:$C,BP$1)</f>
        <v>30.954166666666666</v>
      </c>
      <c r="BQ22" s="14">
        <f>SUMIFS($L:$L,$B:$B,$BK22,$C:$C,BQ$1)</f>
        <v>98.750000000000014</v>
      </c>
      <c r="BR22" s="14">
        <f>SUMIFS($L:$L,$B:$B,$BK22,$C:$C,BR$1)</f>
        <v>162.875</v>
      </c>
      <c r="BS22" s="14">
        <f>SUMIFS($L:$L,$B:$B,$BK22,$C:$C,BS$1)</f>
        <v>105.67916666666666</v>
      </c>
      <c r="BT22" s="14">
        <f>SUMIFS($L:$L,$B:$B,$BK22,$C:$C,BT$1)</f>
        <v>85.254166666666663</v>
      </c>
      <c r="BU22" s="14">
        <f>SUMIFS($L:$L,$B:$B,$BK22,$C:$C,BU$1)</f>
        <v>10.529166666666658</v>
      </c>
      <c r="BV22" s="14">
        <f>SUMIFS($L:$L,$B:$B,$BK22,$C:$C,BV$1)</f>
        <v>0</v>
      </c>
      <c r="BW22" s="14">
        <f>SUMIFS($L:$L,$B:$B,$BK22,$C:$C,BW$1)</f>
        <v>0</v>
      </c>
      <c r="BX22" s="556">
        <f t="shared" ref="BX22:BX32" si="55">SUM(BL22:BW22)</f>
        <v>497.11666666666667</v>
      </c>
      <c r="BY22">
        <f t="shared" ref="BY22:BY28" si="56">BY21+1</f>
        <v>2017</v>
      </c>
      <c r="BZ22" s="14">
        <f>SUMIFS($N:$N,$B:$B,$BY22,$C:$C,BZ$1)</f>
        <v>0</v>
      </c>
      <c r="CA22" s="14">
        <f>SUMIFS($N:$N,$B:$B,$BY22,$C:$C,CA$1)</f>
        <v>0</v>
      </c>
      <c r="CB22" s="14">
        <f>SUMIFS($N:$N,$B:$B,$BY22,$C:$C,CB$1)</f>
        <v>0</v>
      </c>
      <c r="CC22" s="14">
        <f>SUMIFS($N:$N,$B:$B,$BY22,$C:$C,CC$1)</f>
        <v>6.4625000000000004</v>
      </c>
      <c r="CD22" s="14">
        <f>SUMIFS($N:$N,$B:$B,$BY22,$C:$C,CD$1)</f>
        <v>55.529166666666654</v>
      </c>
      <c r="CE22" s="14">
        <f>SUMIFS($N:$N,$B:$B,$BY22,$C:$C,CE$1)</f>
        <v>149.61666666666667</v>
      </c>
      <c r="CF22" s="14">
        <f>SUMIFS($N:$N,$B:$B,$BY22,$C:$C,CF$1)</f>
        <v>224.875</v>
      </c>
      <c r="CG22" s="14">
        <f>SUMIFS($N:$N,$B:$B,$BY22,$C:$C,CG$1)</f>
        <v>164.64583333333331</v>
      </c>
      <c r="CH22" s="14">
        <f>SUMIFS($N:$N,$B:$B,$BY22,$C:$C,CH$1)</f>
        <v>126.25</v>
      </c>
      <c r="CI22" s="14">
        <f>SUMIFS($N:$N,$B:$B,$BY22,$C:$C,CI$1)</f>
        <v>31.320833333333333</v>
      </c>
      <c r="CJ22" s="14">
        <f>SUMIFS($N:$N,$B:$B,$BY22,$C:$C,CJ$1)</f>
        <v>0</v>
      </c>
      <c r="CK22" s="14">
        <f>SUMIFS($N:$N,$B:$B,$BY22,$C:$C,CK$1)</f>
        <v>0</v>
      </c>
      <c r="CL22" s="556">
        <f t="shared" ref="CL22:CL32" si="57">SUM(BZ22:CK22)</f>
        <v>758.69999999999993</v>
      </c>
      <c r="CM22">
        <f t="shared" ref="CM22:CM28" si="58">CM21+1</f>
        <v>2017</v>
      </c>
      <c r="CN22" s="14">
        <f>SUMIFS($P:$P,$B:$B,$CM22,$C:$C,CN$1)</f>
        <v>0</v>
      </c>
      <c r="CO22" s="14">
        <f>SUMIFS($P:$P,$B:$B,$CM22,$C:$C,CO$1)</f>
        <v>0</v>
      </c>
      <c r="CP22" s="14">
        <f>SUMIFS($P:$P,$B:$B,$CM22,$C:$C,CP$1)</f>
        <v>0</v>
      </c>
      <c r="CQ22" s="14">
        <f>SUMIFS($P:$P,$B:$B,$CM22,$C:$C,CQ$1)</f>
        <v>13.695833333333335</v>
      </c>
      <c r="CR22" s="14">
        <f>SUMIFS($P:$P,$B:$B,$CM22,$C:$C,CR$1)</f>
        <v>86.966666666666654</v>
      </c>
      <c r="CS22" s="14">
        <f>SUMIFS($P:$P,$B:$B,$CM22,$C:$C,CS$1)</f>
        <v>207.56666666666672</v>
      </c>
      <c r="CT22" s="14">
        <f>SUMIFS($P:$P,$B:$B,$CM22,$C:$C,CT$1)</f>
        <v>286.87500000000006</v>
      </c>
      <c r="CU22" s="14">
        <f>SUMIFS($P:$P,$B:$B,$CM22,$C:$C,CU$1)</f>
        <v>226.02083333333337</v>
      </c>
      <c r="CV22" s="14">
        <f>SUMIFS($P:$P,$B:$B,$CM22,$C:$C,CV$1)</f>
        <v>174.6541666666667</v>
      </c>
      <c r="CW22" s="14">
        <f>SUMIFS($P:$P,$B:$B,$CM22,$C:$C,CW$1)</f>
        <v>62.229166666666664</v>
      </c>
      <c r="CX22" s="14">
        <f>SUMIFS($P:$P,$B:$B,$CM22,$C:$C,CX$1)</f>
        <v>0</v>
      </c>
      <c r="CY22" s="14">
        <f>SUMIFS($P:$P,$B:$B,$CM22,$C:$C,CY$1)</f>
        <v>0</v>
      </c>
      <c r="CZ22" s="556">
        <f t="shared" ref="CZ22:CZ32" si="59">SUM(CN22:CY22)</f>
        <v>1058.0083333333334</v>
      </c>
      <c r="DA22">
        <f t="shared" ref="DA22:DA28" si="60">DA21+1</f>
        <v>2017</v>
      </c>
      <c r="DB22" s="14">
        <f>SUMIFS($R:$R,$B:$B,$DA22,$C:$C,DB$1)</f>
        <v>0</v>
      </c>
      <c r="DC22" s="14">
        <f>SUMIFS($R:$R,$B:$B,$DA22,$C:$C,DC$1)</f>
        <v>0</v>
      </c>
      <c r="DD22" s="14">
        <f>SUMIFS($R:$R,$B:$B,$DA22,$C:$C,DD$1)</f>
        <v>0</v>
      </c>
      <c r="DE22" s="14">
        <f>SUMIFS($R:$R,$B:$B,$DA22,$C:$C,DE$1)</f>
        <v>22.229166666666671</v>
      </c>
      <c r="DF22" s="14">
        <f>SUMIFS($R:$R,$B:$B,$DA22,$C:$C,DF$1)</f>
        <v>128.18333333333334</v>
      </c>
      <c r="DG22" s="14">
        <f>SUMIFS($R:$R,$B:$B,$DA22,$C:$C,DG$1)</f>
        <v>267.56666666666666</v>
      </c>
      <c r="DH22" s="14">
        <f>SUMIFS($R:$R,$B:$B,$DA22,$C:$C,DH$1)</f>
        <v>348.87500000000011</v>
      </c>
      <c r="DI22" s="14">
        <f>SUMIFS($R:$R,$B:$B,$DA22,$C:$C,DI$1)</f>
        <v>288.02083333333337</v>
      </c>
      <c r="DJ22" s="14">
        <f>SUMIFS($R:$R,$B:$B,$DA22,$C:$C,DJ$1)</f>
        <v>230.14166666666671</v>
      </c>
      <c r="DK22" s="14">
        <f>SUMIFS($R:$R,$B:$B,$DA22,$C:$C,DK$1)</f>
        <v>100.96666666666667</v>
      </c>
      <c r="DL22" s="14">
        <f>SUMIFS($R:$R,$B:$B,$DA22,$C:$C,DL$1)</f>
        <v>0</v>
      </c>
      <c r="DM22" s="14">
        <f>SUMIFS($R:$R,$B:$B,$DA22,$C:$C,DM$1)</f>
        <v>0</v>
      </c>
      <c r="DN22" s="556">
        <f t="shared" ref="DN22:DN32" si="61">SUM(DB22:DM22)</f>
        <v>1385.9833333333333</v>
      </c>
      <c r="DO22" s="556"/>
      <c r="DP22" s="18">
        <f>'Monthly Data'!F22</f>
        <v>130866.91346153847</v>
      </c>
      <c r="DQ22" s="18">
        <f>'Monthly Data'!J22</f>
        <v>98317.257211538468</v>
      </c>
      <c r="DR22" s="18">
        <f>'Monthly Data'!N22</f>
        <v>85860.649839743593</v>
      </c>
    </row>
    <row r="23" spans="1:122">
      <c r="A23" s="9">
        <v>43009</v>
      </c>
      <c r="B23">
        <v>2017</v>
      </c>
      <c r="C23">
        <v>10</v>
      </c>
      <c r="D23" s="13">
        <v>10.40611559139785</v>
      </c>
      <c r="E23" s="14">
        <v>297.41041666666666</v>
      </c>
      <c r="F23" s="14">
        <v>0</v>
      </c>
      <c r="G23" s="14">
        <v>235.46875000000003</v>
      </c>
      <c r="H23" s="14">
        <v>5.833333333333357E-2</v>
      </c>
      <c r="I23" s="14">
        <v>177.1020833333333</v>
      </c>
      <c r="J23" s="14">
        <v>3.6916666666666629</v>
      </c>
      <c r="K23" s="14">
        <v>121.93958333333333</v>
      </c>
      <c r="L23" s="14">
        <v>10.529166666666658</v>
      </c>
      <c r="M23" s="14">
        <v>80.731250000000003</v>
      </c>
      <c r="N23" s="14">
        <v>31.320833333333333</v>
      </c>
      <c r="O23" s="14">
        <v>49.639583333333334</v>
      </c>
      <c r="P23" s="14">
        <v>62.229166666666664</v>
      </c>
      <c r="Q23" s="14">
        <v>26.377083333333339</v>
      </c>
      <c r="R23" s="14">
        <v>100.96666666666667</v>
      </c>
      <c r="S23" s="30"/>
      <c r="U23">
        <f t="shared" si="48"/>
        <v>2018</v>
      </c>
      <c r="V23" s="14">
        <f>SUMIFS($F:$F,$B:$B,$U23,$C:$C,V$1)</f>
        <v>0</v>
      </c>
      <c r="W23" s="14">
        <f>SUMIFS($F:$F,$B:$B,$U23,$C:$C,W$1)</f>
        <v>0</v>
      </c>
      <c r="X23" s="14">
        <f>SUMIFS($F:$F,$B:$B,$U23,$C:$C,X$1)</f>
        <v>0</v>
      </c>
      <c r="Y23" s="14">
        <f>SUMIFS($F:$F,$B:$B,$U23,$C:$C,Y$1)</f>
        <v>0</v>
      </c>
      <c r="Z23" s="14">
        <f>SUMIFS($F:$F,$B:$B,$U23,$C:$C,Z$1)</f>
        <v>2.5208333333333321</v>
      </c>
      <c r="AA23" s="14">
        <f>SUMIFS($F:$F,$B:$B,$U23,$C:$C,AA$1)</f>
        <v>13.749999999999989</v>
      </c>
      <c r="AB23" s="14">
        <f>SUMIFS($F:$F,$B:$B,$U23,$C:$C,AB$1)</f>
        <v>62.120833333333351</v>
      </c>
      <c r="AC23" s="14">
        <f>SUMIFS($F:$F,$B:$B,$U23,$C:$C,AC$1)</f>
        <v>34.500000000000007</v>
      </c>
      <c r="AD23" s="14">
        <f>SUMIFS($F:$F,$B:$B,$U23,$C:$C,AD$1)</f>
        <v>13.541666666666668</v>
      </c>
      <c r="AE23" s="14">
        <f>SUMIFS($F:$F,$B:$B,$U23,$C:$C,AE$1)</f>
        <v>0</v>
      </c>
      <c r="AF23" s="14">
        <f>SUMIFS($F:$F,$B:$B,$U23,$C:$C,AF$1)</f>
        <v>0</v>
      </c>
      <c r="AG23" s="14">
        <f>SUMIFS($F:$F,$B:$B,$U23,$C:$C,AG$1)</f>
        <v>0</v>
      </c>
      <c r="AH23" s="556">
        <f t="shared" si="49"/>
        <v>126.43333333333335</v>
      </c>
      <c r="AI23">
        <f t="shared" si="50"/>
        <v>2018</v>
      </c>
      <c r="AJ23" s="14">
        <f>SUMIFS($H:$H,$B:$B,$AI23,$C:$C,AJ$1)</f>
        <v>0</v>
      </c>
      <c r="AK23" s="14">
        <f>SUMIFS($H:$H,$B:$B,$AI23,$C:$C,AK$1)</f>
        <v>0</v>
      </c>
      <c r="AL23" s="14">
        <f>SUMIFS($H:$H,$B:$B,$AI23,$C:$C,AL$1)</f>
        <v>0</v>
      </c>
      <c r="AM23" s="14">
        <f>SUMIFS($H:$H,$B:$B,$AI23,$C:$C,AM$1)</f>
        <v>0</v>
      </c>
      <c r="AN23" s="14">
        <f>SUMIFS($H:$H,$B:$B,$AI23,$C:$C,AN$1)</f>
        <v>9.3374999999999986</v>
      </c>
      <c r="AO23" s="14">
        <f>SUMIFS($H:$H,$B:$B,$AI23,$C:$C,AO$1)</f>
        <v>25.695833333333322</v>
      </c>
      <c r="AP23" s="14">
        <f>SUMIFS($H:$H,$B:$B,$AI23,$C:$C,AP$1)</f>
        <v>110.80833333333332</v>
      </c>
      <c r="AQ23" s="14">
        <f>SUMIFS($H:$H,$B:$B,$AI23,$C:$C,AQ$1)</f>
        <v>79.287499999999994</v>
      </c>
      <c r="AR23" s="14">
        <f>SUMIFS($H:$H,$B:$B,$AI23,$C:$C,AR$1)</f>
        <v>31.15</v>
      </c>
      <c r="AS23" s="14">
        <f>SUMIFS($H:$H,$B:$B,$AI23,$C:$C,AS$1)</f>
        <v>0</v>
      </c>
      <c r="AT23" s="14">
        <f>SUMIFS($H:$H,$B:$B,$AI23,$C:$C,AT$1)</f>
        <v>0</v>
      </c>
      <c r="AU23" s="14">
        <f>SUMIFS($H:$H,$B:$B,$AI23,$C:$C,AU$1)</f>
        <v>0</v>
      </c>
      <c r="AV23" s="556">
        <f t="shared" si="51"/>
        <v>256.27916666666664</v>
      </c>
      <c r="AW23">
        <f t="shared" si="52"/>
        <v>2018</v>
      </c>
      <c r="AX23" s="14">
        <f>SUMIFS($J:$J,$B:$B,$AW23,$C:$C,AX$1)</f>
        <v>0</v>
      </c>
      <c r="AY23" s="14">
        <f>SUMIFS($J:$J,$B:$B,$AW23,$C:$C,AY$1)</f>
        <v>0</v>
      </c>
      <c r="AZ23" s="14">
        <f>SUMIFS($J:$J,$B:$B,$AW23,$C:$C,AZ$1)</f>
        <v>0</v>
      </c>
      <c r="BA23" s="14">
        <f>SUMIFS($J:$J,$B:$B,$AW23,$C:$C,BA$1)</f>
        <v>0</v>
      </c>
      <c r="BB23" s="14">
        <f>SUMIFS($J:$J,$B:$B,$AW23,$C:$C,BB$1)</f>
        <v>27.491666666666656</v>
      </c>
      <c r="BC23" s="14">
        <f>SUMIFS($J:$J,$B:$B,$AW23,$C:$C,BC$1)</f>
        <v>48.104166666666657</v>
      </c>
      <c r="BD23" s="14">
        <f>SUMIFS($J:$J,$B:$B,$AW23,$C:$C,BD$1)</f>
        <v>170.87916666666661</v>
      </c>
      <c r="BE23" s="14">
        <f>SUMIFS($J:$J,$B:$B,$AW23,$C:$C,BE$1)</f>
        <v>136.05000000000001</v>
      </c>
      <c r="BF23" s="14">
        <f>SUMIFS($J:$J,$B:$B,$AW23,$C:$C,BF$1)</f>
        <v>56.495833333333323</v>
      </c>
      <c r="BG23" s="14">
        <f>SUMIFS($J:$J,$B:$B,$AW23,$C:$C,BG$1)</f>
        <v>1.9541666666666693</v>
      </c>
      <c r="BH23" s="14">
        <f>SUMIFS($J:$J,$B:$B,$AW23,$C:$C,BH$1)</f>
        <v>0</v>
      </c>
      <c r="BI23" s="14">
        <f>SUMIFS($J:$J,$B:$B,$AW23,$C:$C,BI$1)</f>
        <v>0</v>
      </c>
      <c r="BJ23" s="556">
        <f t="shared" si="53"/>
        <v>440.97499999999991</v>
      </c>
      <c r="BK23">
        <f t="shared" si="54"/>
        <v>2018</v>
      </c>
      <c r="BL23" s="14">
        <f>SUMIFS($L:$L,$B:$B,$BK23,$C:$C,BL$1)</f>
        <v>0</v>
      </c>
      <c r="BM23" s="14">
        <f>SUMIFS($L:$L,$B:$B,$BK23,$C:$C,BM$1)</f>
        <v>0</v>
      </c>
      <c r="BN23" s="14">
        <f>SUMIFS($L:$L,$B:$B,$BK23,$C:$C,BN$1)</f>
        <v>0</v>
      </c>
      <c r="BO23" s="14">
        <f>SUMIFS($L:$L,$B:$B,$BK23,$C:$C,BO$1)</f>
        <v>0</v>
      </c>
      <c r="BP23" s="14">
        <f>SUMIFS($L:$L,$B:$B,$BK23,$C:$C,BP$1)</f>
        <v>52.899999999999991</v>
      </c>
      <c r="BQ23" s="14">
        <f>SUMIFS($L:$L,$B:$B,$BK23,$C:$C,BQ$1)</f>
        <v>89.320833333333354</v>
      </c>
      <c r="BR23" s="14">
        <f>SUMIFS($L:$L,$B:$B,$BK23,$C:$C,BR$1)</f>
        <v>232.87916666666661</v>
      </c>
      <c r="BS23" s="14">
        <f>SUMIFS($L:$L,$B:$B,$BK23,$C:$C,BS$1)</f>
        <v>195.04999999999998</v>
      </c>
      <c r="BT23" s="14">
        <f>SUMIFS($L:$L,$B:$B,$BK23,$C:$C,BT$1)</f>
        <v>86.11666666666666</v>
      </c>
      <c r="BU23" s="14">
        <f>SUMIFS($L:$L,$B:$B,$BK23,$C:$C,BU$1)</f>
        <v>5.625</v>
      </c>
      <c r="BV23" s="14">
        <f>SUMIFS($L:$L,$B:$B,$BK23,$C:$C,BV$1)</f>
        <v>0</v>
      </c>
      <c r="BW23" s="14">
        <f>SUMIFS($L:$L,$B:$B,$BK23,$C:$C,BW$1)</f>
        <v>0</v>
      </c>
      <c r="BX23" s="556">
        <f t="shared" si="55"/>
        <v>661.89166666666665</v>
      </c>
      <c r="BY23">
        <f t="shared" si="56"/>
        <v>2018</v>
      </c>
      <c r="BZ23" s="14">
        <f>SUMIFS($N:$N,$B:$B,$BY23,$C:$C,BZ$1)</f>
        <v>0</v>
      </c>
      <c r="CA23" s="14">
        <f>SUMIFS($N:$N,$B:$B,$BY23,$C:$C,CA$1)</f>
        <v>0</v>
      </c>
      <c r="CB23" s="14">
        <f>SUMIFS($N:$N,$B:$B,$BY23,$C:$C,CB$1)</f>
        <v>0</v>
      </c>
      <c r="CC23" s="14">
        <f>SUMIFS($N:$N,$B:$B,$BY23,$C:$C,CC$1)</f>
        <v>0</v>
      </c>
      <c r="CD23" s="14">
        <f>SUMIFS($N:$N,$B:$B,$BY23,$C:$C,CD$1)</f>
        <v>91.550000000000011</v>
      </c>
      <c r="CE23" s="14">
        <f>SUMIFS($N:$N,$B:$B,$BY23,$C:$C,CE$1)</f>
        <v>145.35</v>
      </c>
      <c r="CF23" s="14">
        <f>SUMIFS($N:$N,$B:$B,$BY23,$C:$C,CF$1)</f>
        <v>294.87916666666672</v>
      </c>
      <c r="CG23" s="14">
        <f>SUMIFS($N:$N,$B:$B,$BY23,$C:$C,CG$1)</f>
        <v>257.05</v>
      </c>
      <c r="CH23" s="14">
        <f>SUMIFS($N:$N,$B:$B,$BY23,$C:$C,CH$1)</f>
        <v>120.82499999999999</v>
      </c>
      <c r="CI23" s="14">
        <f>SUMIFS($N:$N,$B:$B,$BY23,$C:$C,CI$1)</f>
        <v>12.950000000000003</v>
      </c>
      <c r="CJ23" s="14">
        <f>SUMIFS($N:$N,$B:$B,$BY23,$C:$C,CJ$1)</f>
        <v>0</v>
      </c>
      <c r="CK23" s="14">
        <f>SUMIFS($N:$N,$B:$B,$BY23,$C:$C,CK$1)</f>
        <v>0</v>
      </c>
      <c r="CL23" s="556">
        <f t="shared" si="57"/>
        <v>922.60416666666674</v>
      </c>
      <c r="CM23">
        <f t="shared" si="58"/>
        <v>2018</v>
      </c>
      <c r="CN23" s="14">
        <f>SUMIFS($P:$P,$B:$B,$CM23,$C:$C,CN$1)</f>
        <v>0</v>
      </c>
      <c r="CO23" s="14">
        <f>SUMIFS($P:$P,$B:$B,$CM23,$C:$C,CO$1)</f>
        <v>0</v>
      </c>
      <c r="CP23" s="14">
        <f>SUMIFS($P:$P,$B:$B,$CM23,$C:$C,CP$1)</f>
        <v>0</v>
      </c>
      <c r="CQ23" s="14">
        <f>SUMIFS($P:$P,$B:$B,$CM23,$C:$C,CQ$1)</f>
        <v>0</v>
      </c>
      <c r="CR23" s="14">
        <f>SUMIFS($P:$P,$B:$B,$CM23,$C:$C,CR$1)</f>
        <v>138.58750000000001</v>
      </c>
      <c r="CS23" s="14">
        <f>SUMIFS($P:$P,$B:$B,$CM23,$C:$C,CS$1)</f>
        <v>204.52916666666664</v>
      </c>
      <c r="CT23" s="14">
        <f>SUMIFS($P:$P,$B:$B,$CM23,$C:$C,CT$1)</f>
        <v>356.87916666666678</v>
      </c>
      <c r="CU23" s="14">
        <f>SUMIFS($P:$P,$B:$B,$CM23,$C:$C,CU$1)</f>
        <v>319.05000000000013</v>
      </c>
      <c r="CV23" s="14">
        <f>SUMIFS($P:$P,$B:$B,$CM23,$C:$C,CV$1)</f>
        <v>161.10416666666669</v>
      </c>
      <c r="CW23" s="14">
        <f>SUMIFS($P:$P,$B:$B,$CM23,$C:$C,CW$1)</f>
        <v>22.083333333333336</v>
      </c>
      <c r="CX23" s="14">
        <f>SUMIFS($P:$P,$B:$B,$CM23,$C:$C,CX$1)</f>
        <v>0</v>
      </c>
      <c r="CY23" s="14">
        <f>SUMIFS($P:$P,$B:$B,$CM23,$C:$C,CY$1)</f>
        <v>0</v>
      </c>
      <c r="CZ23" s="556">
        <f t="shared" si="59"/>
        <v>1202.2333333333336</v>
      </c>
      <c r="DA23">
        <f t="shared" si="60"/>
        <v>2018</v>
      </c>
      <c r="DB23" s="14">
        <f>SUMIFS($R:$R,$B:$B,$DA23,$C:$C,DB$1)</f>
        <v>0</v>
      </c>
      <c r="DC23" s="14">
        <f>SUMIFS($R:$R,$B:$B,$DA23,$C:$C,DC$1)</f>
        <v>0</v>
      </c>
      <c r="DD23" s="14">
        <f>SUMIFS($R:$R,$B:$B,$DA23,$C:$C,DD$1)</f>
        <v>0</v>
      </c>
      <c r="DE23" s="14">
        <f>SUMIFS($R:$R,$B:$B,$DA23,$C:$C,DE$1)</f>
        <v>3.6666666666666643</v>
      </c>
      <c r="DF23" s="14">
        <f>SUMIFS($R:$R,$B:$B,$DA23,$C:$C,DF$1)</f>
        <v>190.18749999999997</v>
      </c>
      <c r="DG23" s="14">
        <f>SUMIFS($R:$R,$B:$B,$DA23,$C:$C,DG$1)</f>
        <v>264.52916666666664</v>
      </c>
      <c r="DH23" s="14">
        <f>SUMIFS($R:$R,$B:$B,$DA23,$C:$C,DH$1)</f>
        <v>418.87916666666678</v>
      </c>
      <c r="DI23" s="14">
        <f>SUMIFS($R:$R,$B:$B,$DA23,$C:$C,DI$1)</f>
        <v>381.05000000000013</v>
      </c>
      <c r="DJ23" s="14">
        <f>SUMIFS($R:$R,$B:$B,$DA23,$C:$C,DJ$1)</f>
        <v>212.18333333333331</v>
      </c>
      <c r="DK23" s="14">
        <f>SUMIFS($R:$R,$B:$B,$DA23,$C:$C,DK$1)</f>
        <v>33.462500000000006</v>
      </c>
      <c r="DL23" s="14">
        <f>SUMIFS($R:$R,$B:$B,$DA23,$C:$C,DL$1)</f>
        <v>0</v>
      </c>
      <c r="DM23" s="14">
        <f>SUMIFS($R:$R,$B:$B,$DA23,$C:$C,DM$1)</f>
        <v>0</v>
      </c>
      <c r="DN23" s="556">
        <f t="shared" si="61"/>
        <v>1503.9583333333337</v>
      </c>
      <c r="DO23" s="556"/>
      <c r="DP23" s="18">
        <f>'Monthly Data'!F23</f>
        <v>137215.36217948719</v>
      </c>
      <c r="DQ23" s="18">
        <f>'Monthly Data'!J23</f>
        <v>102707.01842948719</v>
      </c>
      <c r="DR23" s="18">
        <f>'Monthly Data'!N23</f>
        <v>89615.484775641031</v>
      </c>
    </row>
    <row r="24" spans="1:122">
      <c r="A24" s="9">
        <v>43040</v>
      </c>
      <c r="B24">
        <v>2017</v>
      </c>
      <c r="C24">
        <v>11</v>
      </c>
      <c r="D24" s="13">
        <v>-0.85777777777777764</v>
      </c>
      <c r="E24" s="14">
        <v>625.73333333333346</v>
      </c>
      <c r="F24" s="14">
        <v>0</v>
      </c>
      <c r="G24" s="14">
        <v>565.73333333333335</v>
      </c>
      <c r="H24" s="14">
        <v>0</v>
      </c>
      <c r="I24" s="14">
        <v>505.73333333333341</v>
      </c>
      <c r="J24" s="14">
        <v>0</v>
      </c>
      <c r="K24" s="14">
        <v>445.73333333333335</v>
      </c>
      <c r="L24" s="14">
        <v>0</v>
      </c>
      <c r="M24" s="14">
        <v>385.73333333333341</v>
      </c>
      <c r="N24" s="14">
        <v>0</v>
      </c>
      <c r="O24" s="14">
        <v>325.73333333333335</v>
      </c>
      <c r="P24" s="14">
        <v>0</v>
      </c>
      <c r="Q24" s="14">
        <v>265.73333333333329</v>
      </c>
      <c r="R24" s="14">
        <v>0</v>
      </c>
      <c r="S24" s="30"/>
      <c r="U24">
        <f t="shared" si="48"/>
        <v>2019</v>
      </c>
      <c r="V24" s="14">
        <f>SUMIFS($F:$F,$B:$B,$U24,$C:$C,V$1)</f>
        <v>0</v>
      </c>
      <c r="W24" s="14">
        <f>SUMIFS($F:$F,$B:$B,$U24,$C:$C,W$1)</f>
        <v>0</v>
      </c>
      <c r="X24" s="14">
        <f>SUMIFS($F:$F,$B:$B,$U24,$C:$C,X$1)</f>
        <v>0</v>
      </c>
      <c r="Y24" s="14">
        <f>SUMIFS($F:$F,$B:$B,$U24,$C:$C,Y$1)</f>
        <v>0</v>
      </c>
      <c r="Z24" s="14">
        <f>SUMIFS($F:$F,$B:$B,$U24,$C:$C,Z$1)</f>
        <v>0</v>
      </c>
      <c r="AA24" s="14">
        <f>SUMIFS($F:$F,$B:$B,$U24,$C:$C,AA$1)</f>
        <v>3.0125000000000099</v>
      </c>
      <c r="AB24" s="14">
        <f>SUMIFS($F:$F,$B:$B,$U24,$C:$C,AB$1)</f>
        <v>56.491666666666646</v>
      </c>
      <c r="AC24" s="14">
        <f>SUMIFS($F:$F,$B:$B,$U24,$C:$C,AC$1)</f>
        <v>10.224999999999994</v>
      </c>
      <c r="AD24" s="14">
        <f>SUMIFS($F:$F,$B:$B,$U24,$C:$C,AD$1)</f>
        <v>1.9916666666666636</v>
      </c>
      <c r="AE24" s="14">
        <f>SUMIFS($F:$F,$B:$B,$U24,$C:$C,AE$1)</f>
        <v>0</v>
      </c>
      <c r="AF24" s="14">
        <f>SUMIFS($F:$F,$B:$B,$U24,$C:$C,AF$1)</f>
        <v>0</v>
      </c>
      <c r="AG24" s="14">
        <f>SUMIFS($F:$F,$B:$B,$U24,$C:$C,AG$1)</f>
        <v>0</v>
      </c>
      <c r="AH24" s="556">
        <f t="shared" si="49"/>
        <v>71.720833333333317</v>
      </c>
      <c r="AI24">
        <f t="shared" si="50"/>
        <v>2019</v>
      </c>
      <c r="AJ24" s="14">
        <f>SUMIFS($H:$H,$B:$B,$AI24,$C:$C,AJ$1)</f>
        <v>0</v>
      </c>
      <c r="AK24" s="14">
        <f>SUMIFS($H:$H,$B:$B,$AI24,$C:$C,AK$1)</f>
        <v>0</v>
      </c>
      <c r="AL24" s="14">
        <f>SUMIFS($H:$H,$B:$B,$AI24,$C:$C,AL$1)</f>
        <v>0</v>
      </c>
      <c r="AM24" s="14">
        <f>SUMIFS($H:$H,$B:$B,$AI24,$C:$C,AM$1)</f>
        <v>0</v>
      </c>
      <c r="AN24" s="14">
        <f>SUMIFS($H:$H,$B:$B,$AI24,$C:$C,AN$1)</f>
        <v>0</v>
      </c>
      <c r="AO24" s="14">
        <f>SUMIFS($H:$H,$B:$B,$AI24,$C:$C,AO$1)</f>
        <v>17.120833333333337</v>
      </c>
      <c r="AP24" s="14">
        <f>SUMIFS($H:$H,$B:$B,$AI24,$C:$C,AP$1)</f>
        <v>105.89999999999998</v>
      </c>
      <c r="AQ24" s="14">
        <f>SUMIFS($H:$H,$B:$B,$AI24,$C:$C,AQ$1)</f>
        <v>35.05416666666666</v>
      </c>
      <c r="AR24" s="14">
        <f>SUMIFS($H:$H,$B:$B,$AI24,$C:$C,AR$1)</f>
        <v>5.55833333333333</v>
      </c>
      <c r="AS24" s="14">
        <f>SUMIFS($H:$H,$B:$B,$AI24,$C:$C,AS$1)</f>
        <v>0</v>
      </c>
      <c r="AT24" s="14">
        <f>SUMIFS($H:$H,$B:$B,$AI24,$C:$C,AT$1)</f>
        <v>0</v>
      </c>
      <c r="AU24" s="14">
        <f>SUMIFS($H:$H,$B:$B,$AI24,$C:$C,AU$1)</f>
        <v>0</v>
      </c>
      <c r="AV24" s="556">
        <f t="shared" si="51"/>
        <v>163.63333333333333</v>
      </c>
      <c r="AW24">
        <f t="shared" si="52"/>
        <v>2019</v>
      </c>
      <c r="AX24" s="14">
        <f>SUMIFS($J:$J,$B:$B,$AW24,$C:$C,AX$1)</f>
        <v>0</v>
      </c>
      <c r="AY24" s="14">
        <f>SUMIFS($J:$J,$B:$B,$AW24,$C:$C,AY$1)</f>
        <v>0</v>
      </c>
      <c r="AZ24" s="14">
        <f>SUMIFS($J:$J,$B:$B,$AW24,$C:$C,AZ$1)</f>
        <v>0</v>
      </c>
      <c r="BA24" s="14">
        <f>SUMIFS($J:$J,$B:$B,$AW24,$C:$C,BA$1)</f>
        <v>0</v>
      </c>
      <c r="BB24" s="14">
        <f>SUMIFS($J:$J,$B:$B,$AW24,$C:$C,BB$1)</f>
        <v>0.69166666666666643</v>
      </c>
      <c r="BC24" s="14">
        <f>SUMIFS($J:$J,$B:$B,$AW24,$C:$C,BC$1)</f>
        <v>44.412499999999994</v>
      </c>
      <c r="BD24" s="14">
        <f>SUMIFS($J:$J,$B:$B,$AW24,$C:$C,BD$1)</f>
        <v>166.43749999999997</v>
      </c>
      <c r="BE24" s="14">
        <f>SUMIFS($J:$J,$B:$B,$AW24,$C:$C,BE$1)</f>
        <v>79.866666666666632</v>
      </c>
      <c r="BF24" s="14">
        <f>SUMIFS($J:$J,$B:$B,$AW24,$C:$C,BF$1)</f>
        <v>14.024999999999991</v>
      </c>
      <c r="BG24" s="14">
        <f>SUMIFS($J:$J,$B:$B,$AW24,$C:$C,BG$1)</f>
        <v>0</v>
      </c>
      <c r="BH24" s="14">
        <f>SUMIFS($J:$J,$B:$B,$AW24,$C:$C,BH$1)</f>
        <v>0</v>
      </c>
      <c r="BI24" s="14">
        <f>SUMIFS($J:$J,$B:$B,$AW24,$C:$C,BI$1)</f>
        <v>0</v>
      </c>
      <c r="BJ24" s="556">
        <f t="shared" si="53"/>
        <v>305.43333333333322</v>
      </c>
      <c r="BK24">
        <f t="shared" si="54"/>
        <v>2019</v>
      </c>
      <c r="BL24" s="14">
        <f>SUMIFS($L:$L,$B:$B,$BK24,$C:$C,BL$1)</f>
        <v>0</v>
      </c>
      <c r="BM24" s="14">
        <f>SUMIFS($L:$L,$B:$B,$BK24,$C:$C,BM$1)</f>
        <v>0</v>
      </c>
      <c r="BN24" s="14">
        <f>SUMIFS($L:$L,$B:$B,$BK24,$C:$C,BN$1)</f>
        <v>0</v>
      </c>
      <c r="BO24" s="14">
        <f>SUMIFS($L:$L,$B:$B,$BK24,$C:$C,BO$1)</f>
        <v>0</v>
      </c>
      <c r="BP24" s="14">
        <f>SUMIFS($L:$L,$B:$B,$BK24,$C:$C,BP$1)</f>
        <v>5.0458333333333307</v>
      </c>
      <c r="BQ24" s="14">
        <f>SUMIFS($L:$L,$B:$B,$BK24,$C:$C,BQ$1)</f>
        <v>83.199999999999989</v>
      </c>
      <c r="BR24" s="14">
        <f>SUMIFS($L:$L,$B:$B,$BK24,$C:$C,BR$1)</f>
        <v>228.43749999999991</v>
      </c>
      <c r="BS24" s="14">
        <f>SUMIFS($L:$L,$B:$B,$BK24,$C:$C,BS$1)</f>
        <v>137.80416666666662</v>
      </c>
      <c r="BT24" s="14">
        <f>SUMIFS($L:$L,$B:$B,$BK24,$C:$C,BT$1)</f>
        <v>31.395833333333321</v>
      </c>
      <c r="BU24" s="14">
        <f>SUMIFS($L:$L,$B:$B,$BK24,$C:$C,BU$1)</f>
        <v>0</v>
      </c>
      <c r="BV24" s="14">
        <f>SUMIFS($L:$L,$B:$B,$BK24,$C:$C,BV$1)</f>
        <v>0</v>
      </c>
      <c r="BW24" s="14">
        <f>SUMIFS($L:$L,$B:$B,$BK24,$C:$C,BW$1)</f>
        <v>0</v>
      </c>
      <c r="BX24" s="556">
        <f t="shared" si="55"/>
        <v>485.88333333333316</v>
      </c>
      <c r="BY24">
        <f t="shared" si="56"/>
        <v>2019</v>
      </c>
      <c r="BZ24" s="14">
        <f>SUMIFS($N:$N,$B:$B,$BY24,$C:$C,BZ$1)</f>
        <v>0</v>
      </c>
      <c r="CA24" s="14">
        <f>SUMIFS($N:$N,$B:$B,$BY24,$C:$C,CA$1)</f>
        <v>0</v>
      </c>
      <c r="CB24" s="14">
        <f>SUMIFS($N:$N,$B:$B,$BY24,$C:$C,CB$1)</f>
        <v>0</v>
      </c>
      <c r="CC24" s="14">
        <f>SUMIFS($N:$N,$B:$B,$BY24,$C:$C,CC$1)</f>
        <v>0</v>
      </c>
      <c r="CD24" s="14">
        <f>SUMIFS($N:$N,$B:$B,$BY24,$C:$C,CD$1)</f>
        <v>16.06666666666667</v>
      </c>
      <c r="CE24" s="14">
        <f>SUMIFS($N:$N,$B:$B,$BY24,$C:$C,CE$1)</f>
        <v>134.69583333333335</v>
      </c>
      <c r="CF24" s="14">
        <f>SUMIFS($N:$N,$B:$B,$BY24,$C:$C,CF$1)</f>
        <v>290.43749999999994</v>
      </c>
      <c r="CG24" s="14">
        <f>SUMIFS($N:$N,$B:$B,$BY24,$C:$C,CG$1)</f>
        <v>199.80416666666667</v>
      </c>
      <c r="CH24" s="14">
        <f>SUMIFS($N:$N,$B:$B,$BY24,$C:$C,CH$1)</f>
        <v>66.591666666666669</v>
      </c>
      <c r="CI24" s="14">
        <f>SUMIFS($N:$N,$B:$B,$BY24,$C:$C,CI$1)</f>
        <v>0.59166666666666856</v>
      </c>
      <c r="CJ24" s="14">
        <f>SUMIFS($N:$N,$B:$B,$BY24,$C:$C,CJ$1)</f>
        <v>0</v>
      </c>
      <c r="CK24" s="14">
        <f>SUMIFS($N:$N,$B:$B,$BY24,$C:$C,CK$1)</f>
        <v>0</v>
      </c>
      <c r="CL24" s="556">
        <f t="shared" si="57"/>
        <v>708.1875</v>
      </c>
      <c r="CM24">
        <f t="shared" si="58"/>
        <v>2019</v>
      </c>
      <c r="CN24" s="14">
        <f>SUMIFS($P:$P,$B:$B,$CM24,$C:$C,CN$1)</f>
        <v>0</v>
      </c>
      <c r="CO24" s="14">
        <f>SUMIFS($P:$P,$B:$B,$CM24,$C:$C,CO$1)</f>
        <v>0</v>
      </c>
      <c r="CP24" s="14">
        <f>SUMIFS($P:$P,$B:$B,$CM24,$C:$C,CP$1)</f>
        <v>0</v>
      </c>
      <c r="CQ24" s="14">
        <f>SUMIFS($P:$P,$B:$B,$CM24,$C:$C,CQ$1)</f>
        <v>0</v>
      </c>
      <c r="CR24" s="14">
        <f>SUMIFS($P:$P,$B:$B,$CM24,$C:$C,CR$1)</f>
        <v>40.208333333333343</v>
      </c>
      <c r="CS24" s="14">
        <f>SUMIFS($P:$P,$B:$B,$CM24,$C:$C,CS$1)</f>
        <v>188.9291666666667</v>
      </c>
      <c r="CT24" s="14">
        <f>SUMIFS($P:$P,$B:$B,$CM24,$C:$C,CT$1)</f>
        <v>352.4375</v>
      </c>
      <c r="CU24" s="14">
        <f>SUMIFS($P:$P,$B:$B,$CM24,$C:$C,CU$1)</f>
        <v>261.80416666666673</v>
      </c>
      <c r="CV24" s="14">
        <f>SUMIFS($P:$P,$B:$B,$CM24,$C:$C,CV$1)</f>
        <v>116.52916666666667</v>
      </c>
      <c r="CW24" s="14">
        <f>SUMIFS($P:$P,$B:$B,$CM24,$C:$C,CW$1)</f>
        <v>6.7208333333333332</v>
      </c>
      <c r="CX24" s="14">
        <f>SUMIFS($P:$P,$B:$B,$CM24,$C:$C,CX$1)</f>
        <v>0</v>
      </c>
      <c r="CY24" s="14">
        <f>SUMIFS($P:$P,$B:$B,$CM24,$C:$C,CY$1)</f>
        <v>0</v>
      </c>
      <c r="CZ24" s="556">
        <f t="shared" si="59"/>
        <v>966.62916666666683</v>
      </c>
      <c r="DA24">
        <f t="shared" si="60"/>
        <v>2019</v>
      </c>
      <c r="DB24" s="14">
        <f>SUMIFS($R:$R,$B:$B,$DA24,$C:$C,DB$1)</f>
        <v>0</v>
      </c>
      <c r="DC24" s="14">
        <f>SUMIFS($R:$R,$B:$B,$DA24,$C:$C,DC$1)</f>
        <v>0</v>
      </c>
      <c r="DD24" s="14">
        <f>SUMIFS($R:$R,$B:$B,$DA24,$C:$C,DD$1)</f>
        <v>0</v>
      </c>
      <c r="DE24" s="14">
        <f>SUMIFS($R:$R,$B:$B,$DA24,$C:$C,DE$1)</f>
        <v>1.4250000000000007</v>
      </c>
      <c r="DF24" s="14">
        <f>SUMIFS($R:$R,$B:$B,$DA24,$C:$C,DF$1)</f>
        <v>78.129166666666663</v>
      </c>
      <c r="DG24" s="14">
        <f>SUMIFS($R:$R,$B:$B,$DA24,$C:$C,DG$1)</f>
        <v>248.12500000000006</v>
      </c>
      <c r="DH24" s="14">
        <f>SUMIFS($R:$R,$B:$B,$DA24,$C:$C,DH$1)</f>
        <v>414.4375</v>
      </c>
      <c r="DI24" s="14">
        <f>SUMIFS($R:$R,$B:$B,$DA24,$C:$C,DI$1)</f>
        <v>323.80416666666667</v>
      </c>
      <c r="DJ24" s="14">
        <f>SUMIFS($R:$R,$B:$B,$DA24,$C:$C,DJ$1)</f>
        <v>172.72083333333327</v>
      </c>
      <c r="DK24" s="14">
        <f>SUMIFS($R:$R,$B:$B,$DA24,$C:$C,DK$1)</f>
        <v>20.520833333333329</v>
      </c>
      <c r="DL24" s="14">
        <f>SUMIFS($R:$R,$B:$B,$DA24,$C:$C,DL$1)</f>
        <v>0</v>
      </c>
      <c r="DM24" s="14">
        <f>SUMIFS($R:$R,$B:$B,$DA24,$C:$C,DM$1)</f>
        <v>0</v>
      </c>
      <c r="DN24" s="556">
        <f t="shared" si="61"/>
        <v>1259.1625000000001</v>
      </c>
      <c r="DO24" s="556"/>
      <c r="DP24" s="18">
        <f>'Monthly Data'!F24</f>
        <v>143563.81089743588</v>
      </c>
      <c r="DQ24" s="18">
        <f>'Monthly Data'!J24</f>
        <v>107096.77964743591</v>
      </c>
      <c r="DR24" s="18">
        <f>'Monthly Data'!N24</f>
        <v>93370.319711538468</v>
      </c>
    </row>
    <row r="25" spans="1:122">
      <c r="A25" s="9">
        <v>43070</v>
      </c>
      <c r="B25">
        <v>2017</v>
      </c>
      <c r="C25">
        <v>12</v>
      </c>
      <c r="D25" s="13">
        <v>-10.792741935483871</v>
      </c>
      <c r="E25" s="14">
        <v>954.57499999999993</v>
      </c>
      <c r="F25" s="14">
        <v>0</v>
      </c>
      <c r="G25" s="14">
        <v>892.57499999999993</v>
      </c>
      <c r="H25" s="14">
        <v>0</v>
      </c>
      <c r="I25" s="14">
        <v>830.57499999999993</v>
      </c>
      <c r="J25" s="14">
        <v>0</v>
      </c>
      <c r="K25" s="14">
        <v>768.57499999999993</v>
      </c>
      <c r="L25" s="14">
        <v>0</v>
      </c>
      <c r="M25" s="14">
        <v>706.57499999999993</v>
      </c>
      <c r="N25" s="14">
        <v>0</v>
      </c>
      <c r="O25" s="14">
        <v>644.57499999999993</v>
      </c>
      <c r="P25" s="14">
        <v>0</v>
      </c>
      <c r="Q25" s="14">
        <v>582.57499999999993</v>
      </c>
      <c r="R25" s="14">
        <v>0</v>
      </c>
      <c r="S25" s="30"/>
      <c r="U25">
        <f t="shared" si="48"/>
        <v>2020</v>
      </c>
      <c r="V25" s="14">
        <f>SUMIFS($F:$F,$B:$B,$U25,$C:$C,V$1)</f>
        <v>0</v>
      </c>
      <c r="W25" s="14">
        <f>SUMIFS($F:$F,$B:$B,$U25,$C:$C,W$1)</f>
        <v>0</v>
      </c>
      <c r="X25" s="14">
        <f>SUMIFS($F:$F,$B:$B,$U25,$C:$C,X$1)</f>
        <v>0</v>
      </c>
      <c r="Y25" s="14">
        <f>SUMIFS($F:$F,$B:$B,$U25,$C:$C,Y$1)</f>
        <v>0</v>
      </c>
      <c r="Z25" s="14">
        <f>SUMIFS($F:$F,$B:$B,$U25,$C:$C,Z$1)</f>
        <v>11.670833333333331</v>
      </c>
      <c r="AA25" s="14">
        <f>SUMIFS($F:$F,$B:$B,$U25,$C:$C,AA$1)</f>
        <v>24.616666666666671</v>
      </c>
      <c r="AB25" s="14">
        <f>SUMIFS($F:$F,$B:$B,$U25,$C:$C,AB$1)</f>
        <v>76.975000000000023</v>
      </c>
      <c r="AC25" s="14">
        <f>SUMIFS($F:$F,$B:$B,$U25,$C:$C,AC$1)</f>
        <v>10.383333333333329</v>
      </c>
      <c r="AD25" s="14">
        <f>SUMIFS($F:$F,$B:$B,$U25,$C:$C,AD$1)</f>
        <v>0.16249999999999432</v>
      </c>
      <c r="AE25" s="14">
        <f>SUMIFS($F:$F,$B:$B,$U25,$C:$C,AE$1)</f>
        <v>0</v>
      </c>
      <c r="AF25" s="14">
        <f>SUMIFS($F:$F,$B:$B,$U25,$C:$C,AF$1)</f>
        <v>0</v>
      </c>
      <c r="AG25" s="14">
        <f>SUMIFS($F:$F,$B:$B,$U25,$C:$C,AG$1)</f>
        <v>0</v>
      </c>
      <c r="AH25" s="556">
        <f t="shared" si="49"/>
        <v>123.80833333333334</v>
      </c>
      <c r="AI25">
        <f t="shared" si="50"/>
        <v>2020</v>
      </c>
      <c r="AJ25" s="14">
        <f>SUMIFS($H:$H,$B:$B,$AI25,$C:$C,AJ$1)</f>
        <v>0</v>
      </c>
      <c r="AK25" s="14">
        <f>SUMIFS($H:$H,$B:$B,$AI25,$C:$C,AK$1)</f>
        <v>0</v>
      </c>
      <c r="AL25" s="14">
        <f>SUMIFS($H:$H,$B:$B,$AI25,$C:$C,AL$1)</f>
        <v>0</v>
      </c>
      <c r="AM25" s="14">
        <f>SUMIFS($H:$H,$B:$B,$AI25,$C:$C,AM$1)</f>
        <v>0</v>
      </c>
      <c r="AN25" s="14">
        <f>SUMIFS($H:$H,$B:$B,$AI25,$C:$C,AN$1)</f>
        <v>22.49583333333333</v>
      </c>
      <c r="AO25" s="14">
        <f>SUMIFS($H:$H,$B:$B,$AI25,$C:$C,AO$1)</f>
        <v>47.608333333333348</v>
      </c>
      <c r="AP25" s="14">
        <f>SUMIFS($H:$H,$B:$B,$AI25,$C:$C,AP$1)</f>
        <v>135.125</v>
      </c>
      <c r="AQ25" s="14">
        <f>SUMIFS($H:$H,$B:$B,$AI25,$C:$C,AQ$1)</f>
        <v>32.741666666666674</v>
      </c>
      <c r="AR25" s="14">
        <f>SUMIFS($H:$H,$B:$B,$AI25,$C:$C,AR$1)</f>
        <v>6.8916666666666622</v>
      </c>
      <c r="AS25" s="14">
        <f>SUMIFS($H:$H,$B:$B,$AI25,$C:$C,AS$1)</f>
        <v>0</v>
      </c>
      <c r="AT25" s="14">
        <f>SUMIFS($H:$H,$B:$B,$AI25,$C:$C,AT$1)</f>
        <v>0</v>
      </c>
      <c r="AU25" s="14">
        <f>SUMIFS($H:$H,$B:$B,$AI25,$C:$C,AU$1)</f>
        <v>0</v>
      </c>
      <c r="AV25" s="556">
        <f t="shared" si="51"/>
        <v>244.86250000000001</v>
      </c>
      <c r="AW25">
        <f t="shared" si="52"/>
        <v>2020</v>
      </c>
      <c r="AX25" s="14">
        <f>SUMIFS($J:$J,$B:$B,$AW25,$C:$C,AX$1)</f>
        <v>0</v>
      </c>
      <c r="AY25" s="14">
        <f>SUMIFS($J:$J,$B:$B,$AW25,$C:$C,AY$1)</f>
        <v>0</v>
      </c>
      <c r="AZ25" s="14">
        <f>SUMIFS($J:$J,$B:$B,$AW25,$C:$C,AZ$1)</f>
        <v>0</v>
      </c>
      <c r="BA25" s="14">
        <f>SUMIFS($J:$J,$B:$B,$AW25,$C:$C,BA$1)</f>
        <v>0</v>
      </c>
      <c r="BB25" s="14">
        <f>SUMIFS($J:$J,$B:$B,$AW25,$C:$C,BB$1)</f>
        <v>40.104166666666657</v>
      </c>
      <c r="BC25" s="14">
        <f>SUMIFS($J:$J,$B:$B,$AW25,$C:$C,BC$1)</f>
        <v>84.933333333333351</v>
      </c>
      <c r="BD25" s="14">
        <f>SUMIFS($J:$J,$B:$B,$AW25,$C:$C,BD$1)</f>
        <v>197.12500000000003</v>
      </c>
      <c r="BE25" s="14">
        <f>SUMIFS($J:$J,$B:$B,$AW25,$C:$C,BE$1)</f>
        <v>72.175000000000011</v>
      </c>
      <c r="BF25" s="14">
        <f>SUMIFS($J:$J,$B:$B,$AW25,$C:$C,BF$1)</f>
        <v>18.354166666666668</v>
      </c>
      <c r="BG25" s="14">
        <f>SUMIFS($J:$J,$B:$B,$AW25,$C:$C,BG$1)</f>
        <v>0</v>
      </c>
      <c r="BH25" s="14">
        <f>SUMIFS($J:$J,$B:$B,$AW25,$C:$C,BH$1)</f>
        <v>0</v>
      </c>
      <c r="BI25" s="14">
        <f>SUMIFS($J:$J,$B:$B,$AW25,$C:$C,BI$1)</f>
        <v>0</v>
      </c>
      <c r="BJ25" s="556">
        <f t="shared" si="53"/>
        <v>412.69166666666672</v>
      </c>
      <c r="BK25">
        <f t="shared" si="54"/>
        <v>2020</v>
      </c>
      <c r="BL25" s="14">
        <f>SUMIFS($L:$L,$B:$B,$BK25,$C:$C,BL$1)</f>
        <v>0</v>
      </c>
      <c r="BM25" s="14">
        <f>SUMIFS($L:$L,$B:$B,$BK25,$C:$C,BM$1)</f>
        <v>0</v>
      </c>
      <c r="BN25" s="14">
        <f>SUMIFS($L:$L,$B:$B,$BK25,$C:$C,BN$1)</f>
        <v>0</v>
      </c>
      <c r="BO25" s="14">
        <f>SUMIFS($L:$L,$B:$B,$BK25,$C:$C,BO$1)</f>
        <v>0</v>
      </c>
      <c r="BP25" s="14">
        <f>SUMIFS($L:$L,$B:$B,$BK25,$C:$C,BP$1)</f>
        <v>59.924999999999997</v>
      </c>
      <c r="BQ25" s="14">
        <f>SUMIFS($L:$L,$B:$B,$BK25,$C:$C,BQ$1)</f>
        <v>129.76250000000002</v>
      </c>
      <c r="BR25" s="14">
        <f>SUMIFS($L:$L,$B:$B,$BK25,$C:$C,BR$1)</f>
        <v>259.12500000000006</v>
      </c>
      <c r="BS25" s="14">
        <f>SUMIFS($L:$L,$B:$B,$BK25,$C:$C,BS$1)</f>
        <v>120.66666666666664</v>
      </c>
      <c r="BT25" s="14">
        <f>SUMIFS($L:$L,$B:$B,$BK25,$C:$C,BT$1)</f>
        <v>40.23749999999999</v>
      </c>
      <c r="BU25" s="14">
        <f>SUMIFS($L:$L,$B:$B,$BK25,$C:$C,BU$1)</f>
        <v>0.45000000000000107</v>
      </c>
      <c r="BV25" s="14">
        <f>SUMIFS($L:$L,$B:$B,$BK25,$C:$C,BV$1)</f>
        <v>0.92499999999999893</v>
      </c>
      <c r="BW25" s="14">
        <f>SUMIFS($L:$L,$B:$B,$BK25,$C:$C,BW$1)</f>
        <v>0</v>
      </c>
      <c r="BX25" s="556">
        <f t="shared" si="55"/>
        <v>611.0916666666667</v>
      </c>
      <c r="BY25">
        <f t="shared" si="56"/>
        <v>2020</v>
      </c>
      <c r="BZ25" s="14">
        <f>SUMIFS($N:$N,$B:$B,$BY25,$C:$C,BZ$1)</f>
        <v>0</v>
      </c>
      <c r="CA25" s="14">
        <f>SUMIFS($N:$N,$B:$B,$BY25,$C:$C,CA$1)</f>
        <v>0</v>
      </c>
      <c r="CB25" s="14">
        <f>SUMIFS($N:$N,$B:$B,$BY25,$C:$C,CB$1)</f>
        <v>0</v>
      </c>
      <c r="CC25" s="14">
        <f>SUMIFS($N:$N,$B:$B,$BY25,$C:$C,CC$1)</f>
        <v>0</v>
      </c>
      <c r="CD25" s="14">
        <f>SUMIFS($N:$N,$B:$B,$BY25,$C:$C,CD$1)</f>
        <v>84.133333333333326</v>
      </c>
      <c r="CE25" s="14">
        <f>SUMIFS($N:$N,$B:$B,$BY25,$C:$C,CE$1)</f>
        <v>179.51249999999999</v>
      </c>
      <c r="CF25" s="14">
        <f>SUMIFS($N:$N,$B:$B,$BY25,$C:$C,CF$1)</f>
        <v>321.12500000000011</v>
      </c>
      <c r="CG25" s="14">
        <f>SUMIFS($N:$N,$B:$B,$BY25,$C:$C,CG$1)</f>
        <v>178.70833333333334</v>
      </c>
      <c r="CH25" s="14">
        <f>SUMIFS($N:$N,$B:$B,$BY25,$C:$C,CH$1)</f>
        <v>68.32916666666668</v>
      </c>
      <c r="CI25" s="14">
        <f>SUMIFS($N:$N,$B:$B,$BY25,$C:$C,CI$1)</f>
        <v>4.1500000000000021</v>
      </c>
      <c r="CJ25" s="14">
        <f>SUMIFS($N:$N,$B:$B,$BY25,$C:$C,CJ$1)</f>
        <v>5.0749999999999975</v>
      </c>
      <c r="CK25" s="14">
        <f>SUMIFS($N:$N,$B:$B,$BY25,$C:$C,CK$1)</f>
        <v>0</v>
      </c>
      <c r="CL25" s="556">
        <f t="shared" si="57"/>
        <v>841.03333333333353</v>
      </c>
      <c r="CM25">
        <f t="shared" si="58"/>
        <v>2020</v>
      </c>
      <c r="CN25" s="14">
        <f>SUMIFS($P:$P,$B:$B,$CM25,$C:$C,CN$1)</f>
        <v>0</v>
      </c>
      <c r="CO25" s="14">
        <f>SUMIFS($P:$P,$B:$B,$CM25,$C:$C,CO$1)</f>
        <v>0</v>
      </c>
      <c r="CP25" s="14">
        <f>SUMIFS($P:$P,$B:$B,$CM25,$C:$C,CP$1)</f>
        <v>0</v>
      </c>
      <c r="CQ25" s="14">
        <f>SUMIFS($P:$P,$B:$B,$CM25,$C:$C,CQ$1)</f>
        <v>0.77083333333333393</v>
      </c>
      <c r="CR25" s="14">
        <f>SUMIFS($P:$P,$B:$B,$CM25,$C:$C,CR$1)</f>
        <v>114.84583333333335</v>
      </c>
      <c r="CS25" s="14">
        <f>SUMIFS($P:$P,$B:$B,$CM25,$C:$C,CS$1)</f>
        <v>233.53749999999999</v>
      </c>
      <c r="CT25" s="14">
        <f>SUMIFS($P:$P,$B:$B,$CM25,$C:$C,CT$1)</f>
        <v>383.12500000000017</v>
      </c>
      <c r="CU25" s="14">
        <f>SUMIFS($P:$P,$B:$B,$CM25,$C:$C,CU$1)</f>
        <v>240.70833333333334</v>
      </c>
      <c r="CV25" s="14">
        <f>SUMIFS($P:$P,$B:$B,$CM25,$C:$C,CV$1)</f>
        <v>109.925</v>
      </c>
      <c r="CW25" s="14">
        <f>SUMIFS($P:$P,$B:$B,$CM25,$C:$C,CW$1)</f>
        <v>10.033333333333337</v>
      </c>
      <c r="CX25" s="14">
        <f>SUMIFS($P:$P,$B:$B,$CM25,$C:$C,CX$1)</f>
        <v>13.40833333333333</v>
      </c>
      <c r="CY25" s="14">
        <f>SUMIFS($P:$P,$B:$B,$CM25,$C:$C,CY$1)</f>
        <v>0</v>
      </c>
      <c r="CZ25" s="556">
        <f t="shared" si="59"/>
        <v>1106.354166666667</v>
      </c>
      <c r="DA25">
        <f t="shared" si="60"/>
        <v>2020</v>
      </c>
      <c r="DB25" s="14">
        <f>SUMIFS($R:$R,$B:$B,$DA25,$C:$C,DB$1)</f>
        <v>0</v>
      </c>
      <c r="DC25" s="14">
        <f>SUMIFS($R:$R,$B:$B,$DA25,$C:$C,DC$1)</f>
        <v>0</v>
      </c>
      <c r="DD25" s="14">
        <f>SUMIFS($R:$R,$B:$B,$DA25,$C:$C,DD$1)</f>
        <v>0</v>
      </c>
      <c r="DE25" s="14">
        <f>SUMIFS($R:$R,$B:$B,$DA25,$C:$C,DE$1)</f>
        <v>3.4583333333333339</v>
      </c>
      <c r="DF25" s="14">
        <f>SUMIFS($R:$R,$B:$B,$DA25,$C:$C,DF$1)</f>
        <v>152.78333333333336</v>
      </c>
      <c r="DG25" s="14">
        <f>SUMIFS($R:$R,$B:$B,$DA25,$C:$C,DG$1)</f>
        <v>292.22500000000002</v>
      </c>
      <c r="DH25" s="14">
        <f>SUMIFS($R:$R,$B:$B,$DA25,$C:$C,DH$1)</f>
        <v>445.12500000000006</v>
      </c>
      <c r="DI25" s="14">
        <f>SUMIFS($R:$R,$B:$B,$DA25,$C:$C,DI$1)</f>
        <v>302.70833333333326</v>
      </c>
      <c r="DJ25" s="14">
        <f>SUMIFS($R:$R,$B:$B,$DA25,$C:$C,DJ$1)</f>
        <v>158.79166666666663</v>
      </c>
      <c r="DK25" s="14">
        <f>SUMIFS($R:$R,$B:$B,$DA25,$C:$C,DK$1)</f>
        <v>27.883333333333333</v>
      </c>
      <c r="DL25" s="14">
        <f>SUMIFS($R:$R,$B:$B,$DA25,$C:$C,DL$1)</f>
        <v>26.654166666666661</v>
      </c>
      <c r="DM25" s="14">
        <f>SUMIFS($R:$R,$B:$B,$DA25,$C:$C,DM$1)</f>
        <v>0</v>
      </c>
      <c r="DN25" s="556">
        <f t="shared" si="61"/>
        <v>1409.6291666666668</v>
      </c>
      <c r="DO25" s="556"/>
      <c r="DP25" s="18">
        <f>'Monthly Data'!F25</f>
        <v>76269429.279615387</v>
      </c>
      <c r="DQ25" s="18">
        <f>'Monthly Data'!J25</f>
        <v>28984020.540865384</v>
      </c>
      <c r="DR25" s="18">
        <f>'Monthly Data'!N25</f>
        <v>70926474.15464744</v>
      </c>
    </row>
    <row r="26" spans="1:122">
      <c r="A26" s="9">
        <v>43101</v>
      </c>
      <c r="B26">
        <v>2018</v>
      </c>
      <c r="C26">
        <v>1</v>
      </c>
      <c r="D26" s="13">
        <v>-11.091935483870968</v>
      </c>
      <c r="E26" s="14">
        <v>963.85000000000014</v>
      </c>
      <c r="F26" s="14">
        <v>0</v>
      </c>
      <c r="G26" s="14">
        <v>901.85000000000014</v>
      </c>
      <c r="H26" s="14">
        <v>0</v>
      </c>
      <c r="I26" s="14">
        <v>839.85000000000014</v>
      </c>
      <c r="J26" s="14">
        <v>0</v>
      </c>
      <c r="K26" s="14">
        <v>777.85000000000014</v>
      </c>
      <c r="L26" s="14">
        <v>0</v>
      </c>
      <c r="M26" s="14">
        <v>715.85000000000014</v>
      </c>
      <c r="N26" s="14">
        <v>0</v>
      </c>
      <c r="O26" s="14">
        <v>653.85000000000014</v>
      </c>
      <c r="P26" s="14">
        <v>0</v>
      </c>
      <c r="Q26" s="14">
        <v>591.85000000000014</v>
      </c>
      <c r="R26" s="14">
        <v>0</v>
      </c>
      <c r="S26" s="30"/>
      <c r="U26">
        <f t="shared" si="48"/>
        <v>2021</v>
      </c>
      <c r="V26" s="14">
        <f>SUMIFS($F:$F,$B:$B,$U26,$C:$C,V$1)</f>
        <v>0</v>
      </c>
      <c r="W26" s="14">
        <f>SUMIFS($F:$F,$B:$B,$U26,$C:$C,W$1)</f>
        <v>0</v>
      </c>
      <c r="X26" s="14">
        <f>SUMIFS($F:$F,$B:$B,$U26,$C:$C,X$1)</f>
        <v>0</v>
      </c>
      <c r="Y26" s="14">
        <f>SUMIFS($F:$F,$B:$B,$U26,$C:$C,Y$1)</f>
        <v>0</v>
      </c>
      <c r="Z26" s="14">
        <f>SUMIFS($F:$F,$B:$B,$U26,$C:$C,Z$1)</f>
        <v>6.7666666666666657</v>
      </c>
      <c r="AA26" s="14">
        <f>SUMIFS($F:$F,$B:$B,$U26,$C:$C,AA$1)</f>
        <v>30.758333333333322</v>
      </c>
      <c r="AB26" s="14">
        <f>SUMIFS($F:$F,$B:$B,$U26,$C:$C,AB$1)</f>
        <v>16.575000000000003</v>
      </c>
      <c r="AC26" s="14">
        <f>SUMIFS($F:$F,$B:$B,$U26,$C:$C,AC$1)</f>
        <v>63.208333333333329</v>
      </c>
      <c r="AD26" s="14">
        <f>SUMIFS($F:$F,$B:$B,$U26,$C:$C,AD$1)</f>
        <v>0</v>
      </c>
      <c r="AE26" s="14">
        <f>SUMIFS($F:$F,$B:$B,$U26,$C:$C,AE$1)</f>
        <v>0</v>
      </c>
      <c r="AF26" s="14">
        <f>SUMIFS($F:$F,$B:$B,$U26,$C:$C,AF$1)</f>
        <v>0</v>
      </c>
      <c r="AG26" s="14">
        <f>SUMIFS($F:$F,$B:$B,$U26,$C:$C,AG$1)</f>
        <v>0</v>
      </c>
      <c r="AH26" s="556">
        <f t="shared" si="49"/>
        <v>117.30833333333332</v>
      </c>
      <c r="AI26">
        <f t="shared" si="50"/>
        <v>2021</v>
      </c>
      <c r="AJ26" s="14">
        <f>SUMIFS($H:$H,$B:$B,$AI26,$C:$C,AJ$1)</f>
        <v>0</v>
      </c>
      <c r="AK26" s="14">
        <f>SUMIFS($H:$H,$B:$B,$AI26,$C:$C,AK$1)</f>
        <v>0</v>
      </c>
      <c r="AL26" s="14">
        <f>SUMIFS($H:$H,$B:$B,$AI26,$C:$C,AL$1)</f>
        <v>0</v>
      </c>
      <c r="AM26" s="14">
        <f>SUMIFS($H:$H,$B:$B,$AI26,$C:$C,AM$1)</f>
        <v>0</v>
      </c>
      <c r="AN26" s="14">
        <f>SUMIFS($H:$H,$B:$B,$AI26,$C:$C,AN$1)</f>
        <v>18.766666666666666</v>
      </c>
      <c r="AO26" s="14">
        <f>SUMIFS($H:$H,$B:$B,$AI26,$C:$C,AO$1)</f>
        <v>60.770833333333329</v>
      </c>
      <c r="AP26" s="14">
        <f>SUMIFS($H:$H,$B:$B,$AI26,$C:$C,AP$1)</f>
        <v>43.233333333333348</v>
      </c>
      <c r="AQ26" s="14">
        <f>SUMIFS($H:$H,$B:$B,$AI26,$C:$C,AQ$1)</f>
        <v>106.32499999999999</v>
      </c>
      <c r="AR26" s="14">
        <f>SUMIFS($H:$H,$B:$B,$AI26,$C:$C,AR$1)</f>
        <v>0.625</v>
      </c>
      <c r="AS26" s="14">
        <f>SUMIFS($H:$H,$B:$B,$AI26,$C:$C,AS$1)</f>
        <v>0</v>
      </c>
      <c r="AT26" s="14">
        <f>SUMIFS($H:$H,$B:$B,$AI26,$C:$C,AT$1)</f>
        <v>0</v>
      </c>
      <c r="AU26" s="14">
        <f>SUMIFS($H:$H,$B:$B,$AI26,$C:$C,AU$1)</f>
        <v>0</v>
      </c>
      <c r="AV26" s="556">
        <f t="shared" si="51"/>
        <v>229.72083333333333</v>
      </c>
      <c r="AW26">
        <f t="shared" si="52"/>
        <v>2021</v>
      </c>
      <c r="AX26" s="14">
        <f>SUMIFS($J:$J,$B:$B,$AW26,$C:$C,AX$1)</f>
        <v>0</v>
      </c>
      <c r="AY26" s="14">
        <f>SUMIFS($J:$J,$B:$B,$AW26,$C:$C,AY$1)</f>
        <v>0</v>
      </c>
      <c r="AZ26" s="14">
        <f>SUMIFS($J:$J,$B:$B,$AW26,$C:$C,AZ$1)</f>
        <v>0</v>
      </c>
      <c r="BA26" s="14">
        <f>SUMIFS($J:$J,$B:$B,$AW26,$C:$C,BA$1)</f>
        <v>0</v>
      </c>
      <c r="BB26" s="14">
        <f>SUMIFS($J:$J,$B:$B,$AW26,$C:$C,BB$1)</f>
        <v>32.508333333333333</v>
      </c>
      <c r="BC26" s="14">
        <f>SUMIFS($J:$J,$B:$B,$AW26,$C:$C,BC$1)</f>
        <v>104.28333333333333</v>
      </c>
      <c r="BD26" s="14">
        <f>SUMIFS($J:$J,$B:$B,$AW26,$C:$C,BD$1)</f>
        <v>89.083333333333343</v>
      </c>
      <c r="BE26" s="14">
        <f>SUMIFS($J:$J,$B:$B,$AW26,$C:$C,BE$1)</f>
        <v>161.08749999999998</v>
      </c>
      <c r="BF26" s="14">
        <f>SUMIFS($J:$J,$B:$B,$AW26,$C:$C,BF$1)</f>
        <v>12.112499999999997</v>
      </c>
      <c r="BG26" s="14">
        <f>SUMIFS($J:$J,$B:$B,$AW26,$C:$C,BG$1)</f>
        <v>6.2999999999999972</v>
      </c>
      <c r="BH26" s="14">
        <f>SUMIFS($J:$J,$B:$B,$AW26,$C:$C,BH$1)</f>
        <v>0</v>
      </c>
      <c r="BI26" s="14">
        <f>SUMIFS($J:$J,$B:$B,$AW26,$C:$C,BI$1)</f>
        <v>0</v>
      </c>
      <c r="BJ26" s="556">
        <f t="shared" si="53"/>
        <v>405.375</v>
      </c>
      <c r="BK26">
        <f t="shared" si="54"/>
        <v>2021</v>
      </c>
      <c r="BL26" s="14">
        <f>SUMIFS($L:$L,$B:$B,$BK26,$C:$C,BL$1)</f>
        <v>0</v>
      </c>
      <c r="BM26" s="14">
        <f>SUMIFS($L:$L,$B:$B,$BK26,$C:$C,BM$1)</f>
        <v>0</v>
      </c>
      <c r="BN26" s="14">
        <f>SUMIFS($L:$L,$B:$B,$BK26,$C:$C,BN$1)</f>
        <v>0</v>
      </c>
      <c r="BO26" s="14">
        <f>SUMIFS($L:$L,$B:$B,$BK26,$C:$C,BO$1)</f>
        <v>1.9749999999999996</v>
      </c>
      <c r="BP26" s="14">
        <f>SUMIFS($L:$L,$B:$B,$BK26,$C:$C,BP$1)</f>
        <v>52.029166666666661</v>
      </c>
      <c r="BQ26" s="14">
        <f>SUMIFS($L:$L,$B:$B,$BK26,$C:$C,BQ$1)</f>
        <v>158.0916666666667</v>
      </c>
      <c r="BR26" s="14">
        <f>SUMIFS($L:$L,$B:$B,$BK26,$C:$C,BR$1)</f>
        <v>144.10416666666671</v>
      </c>
      <c r="BS26" s="14">
        <f>SUMIFS($L:$L,$B:$B,$BK26,$C:$C,BS$1)</f>
        <v>222.10416666666663</v>
      </c>
      <c r="BT26" s="14">
        <f>SUMIFS($L:$L,$B:$B,$BK26,$C:$C,BT$1)</f>
        <v>39.370833333333316</v>
      </c>
      <c r="BU26" s="14">
        <f>SUMIFS($L:$L,$B:$B,$BK26,$C:$C,BU$1)</f>
        <v>17.770833333333329</v>
      </c>
      <c r="BV26" s="14">
        <f>SUMIFS($L:$L,$B:$B,$BK26,$C:$C,BV$1)</f>
        <v>0</v>
      </c>
      <c r="BW26" s="14">
        <f>SUMIFS($L:$L,$B:$B,$BK26,$C:$C,BW$1)</f>
        <v>0</v>
      </c>
      <c r="BX26" s="556">
        <f t="shared" si="55"/>
        <v>635.44583333333333</v>
      </c>
      <c r="BY26">
        <f t="shared" si="56"/>
        <v>2021</v>
      </c>
      <c r="BZ26" s="14">
        <f>SUMIFS($N:$N,$B:$B,$BY26,$C:$C,BZ$1)</f>
        <v>0</v>
      </c>
      <c r="CA26" s="14">
        <f>SUMIFS($N:$N,$B:$B,$BY26,$C:$C,CA$1)</f>
        <v>0</v>
      </c>
      <c r="CB26" s="14">
        <f>SUMIFS($N:$N,$B:$B,$BY26,$C:$C,CB$1)</f>
        <v>0</v>
      </c>
      <c r="CC26" s="14">
        <f>SUMIFS($N:$N,$B:$B,$BY26,$C:$C,CC$1)</f>
        <v>9.0875000000000004</v>
      </c>
      <c r="CD26" s="14">
        <f>SUMIFS($N:$N,$B:$B,$BY26,$C:$C,CD$1)</f>
        <v>79.041666666666686</v>
      </c>
      <c r="CE26" s="14">
        <f>SUMIFS($N:$N,$B:$B,$BY26,$C:$C,CE$1)</f>
        <v>216.09166666666664</v>
      </c>
      <c r="CF26" s="14">
        <f>SUMIFS($N:$N,$B:$B,$BY26,$C:$C,CF$1)</f>
        <v>205.77500000000006</v>
      </c>
      <c r="CG26" s="14">
        <f>SUMIFS($N:$N,$B:$B,$BY26,$C:$C,CG$1)</f>
        <v>284.10416666666663</v>
      </c>
      <c r="CH26" s="14">
        <f>SUMIFS($N:$N,$B:$B,$BY26,$C:$C,CH$1)</f>
        <v>83.741666666666646</v>
      </c>
      <c r="CI26" s="14">
        <f>SUMIFS($N:$N,$B:$B,$BY26,$C:$C,CI$1)</f>
        <v>38.133333333333326</v>
      </c>
      <c r="CJ26" s="14">
        <f>SUMIFS($N:$N,$B:$B,$BY26,$C:$C,CJ$1)</f>
        <v>0</v>
      </c>
      <c r="CK26" s="14">
        <f>SUMIFS($N:$N,$B:$B,$BY26,$C:$C,CK$1)</f>
        <v>0</v>
      </c>
      <c r="CL26" s="556">
        <f t="shared" si="57"/>
        <v>915.97500000000002</v>
      </c>
      <c r="CM26">
        <f t="shared" si="58"/>
        <v>2021</v>
      </c>
      <c r="CN26" s="14">
        <f>SUMIFS($P:$P,$B:$B,$CM26,$C:$C,CN$1)</f>
        <v>0</v>
      </c>
      <c r="CO26" s="14">
        <f>SUMIFS($P:$P,$B:$B,$CM26,$C:$C,CO$1)</f>
        <v>0</v>
      </c>
      <c r="CP26" s="14">
        <f>SUMIFS($P:$P,$B:$B,$CM26,$C:$C,CP$1)</f>
        <v>1.1000000000000032</v>
      </c>
      <c r="CQ26" s="14">
        <f>SUMIFS($P:$P,$B:$B,$CM26,$C:$C,CQ$1)</f>
        <v>27.116666666666667</v>
      </c>
      <c r="CR26" s="14">
        <f>SUMIFS($P:$P,$B:$B,$CM26,$C:$C,CR$1)</f>
        <v>110.03333333333333</v>
      </c>
      <c r="CS26" s="14">
        <f>SUMIFS($P:$P,$B:$B,$CM26,$C:$C,CS$1)</f>
        <v>275.60833333333329</v>
      </c>
      <c r="CT26" s="14">
        <f>SUMIFS($P:$P,$B:$B,$CM26,$C:$C,CT$1)</f>
        <v>267.77500000000009</v>
      </c>
      <c r="CU26" s="14">
        <f>SUMIFS($P:$P,$B:$B,$CM26,$C:$C,CU$1)</f>
        <v>346.10416666666663</v>
      </c>
      <c r="CV26" s="14">
        <f>SUMIFS($P:$P,$B:$B,$CM26,$C:$C,CV$1)</f>
        <v>136.3458333333333</v>
      </c>
      <c r="CW26" s="14">
        <f>SUMIFS($P:$P,$B:$B,$CM26,$C:$C,CW$1)</f>
        <v>70.17916666666666</v>
      </c>
      <c r="CX26" s="14">
        <f>SUMIFS($P:$P,$B:$B,$CM26,$C:$C,CX$1)</f>
        <v>0</v>
      </c>
      <c r="CY26" s="14">
        <f>SUMIFS($P:$P,$B:$B,$CM26,$C:$C,CY$1)</f>
        <v>0</v>
      </c>
      <c r="CZ26" s="556">
        <f t="shared" si="59"/>
        <v>1234.2625</v>
      </c>
      <c r="DA26">
        <f t="shared" si="60"/>
        <v>2021</v>
      </c>
      <c r="DB26" s="14">
        <f>SUMIFS($R:$R,$B:$B,$DA26,$C:$C,DB$1)</f>
        <v>0</v>
      </c>
      <c r="DC26" s="14">
        <f>SUMIFS($R:$R,$B:$B,$DA26,$C:$C,DC$1)</f>
        <v>0</v>
      </c>
      <c r="DD26" s="14">
        <f>SUMIFS($R:$R,$B:$B,$DA26,$C:$C,DD$1)</f>
        <v>7.237500000000006</v>
      </c>
      <c r="DE26" s="14">
        <f>SUMIFS($R:$R,$B:$B,$DA26,$C:$C,DE$1)</f>
        <v>50.774999999999999</v>
      </c>
      <c r="DF26" s="14">
        <f>SUMIFS($R:$R,$B:$B,$DA26,$C:$C,DF$1)</f>
        <v>146.03333333333333</v>
      </c>
      <c r="DG26" s="14">
        <f>SUMIFS($R:$R,$B:$B,$DA26,$C:$C,DG$1)</f>
        <v>335.60833333333329</v>
      </c>
      <c r="DH26" s="14">
        <f>SUMIFS($R:$R,$B:$B,$DA26,$C:$C,DH$1)</f>
        <v>329.77500000000009</v>
      </c>
      <c r="DI26" s="14">
        <f>SUMIFS($R:$R,$B:$B,$DA26,$C:$C,DI$1)</f>
        <v>408.10416666666663</v>
      </c>
      <c r="DJ26" s="14">
        <f>SUMIFS($R:$R,$B:$B,$DA26,$C:$C,DJ$1)</f>
        <v>195.54999999999995</v>
      </c>
      <c r="DK26" s="14">
        <f>SUMIFS($R:$R,$B:$B,$DA26,$C:$C,DK$1)</f>
        <v>107.97499999999998</v>
      </c>
      <c r="DL26" s="14">
        <f>SUMIFS($R:$R,$B:$B,$DA26,$C:$C,DL$1)</f>
        <v>0</v>
      </c>
      <c r="DM26" s="14">
        <f>SUMIFS($R:$R,$B:$B,$DA26,$C:$C,DM$1)</f>
        <v>0.15476190476190332</v>
      </c>
      <c r="DN26" s="556">
        <f t="shared" si="61"/>
        <v>1581.2130952380951</v>
      </c>
      <c r="DO26" s="556"/>
      <c r="DP26" s="18">
        <f>'Monthly Data'!F26</f>
        <v>138184.10424530588</v>
      </c>
      <c r="DQ26" s="18">
        <f>'Monthly Data'!J26</f>
        <v>116499.30518896331</v>
      </c>
      <c r="DR26" s="18">
        <f>'Monthly Data'!N26</f>
        <v>100126.09152892765</v>
      </c>
    </row>
    <row r="27" spans="1:122">
      <c r="A27" s="9">
        <v>43132</v>
      </c>
      <c r="B27">
        <v>2018</v>
      </c>
      <c r="C27">
        <v>2</v>
      </c>
      <c r="D27" s="13">
        <v>-6.9385416666666657</v>
      </c>
      <c r="E27" s="14">
        <v>754.27916666666658</v>
      </c>
      <c r="F27" s="14">
        <v>0</v>
      </c>
      <c r="G27" s="14">
        <v>698.27916666666658</v>
      </c>
      <c r="H27" s="14">
        <v>0</v>
      </c>
      <c r="I27" s="14">
        <v>642.27916666666658</v>
      </c>
      <c r="J27" s="14">
        <v>0</v>
      </c>
      <c r="K27" s="14">
        <v>586.27916666666658</v>
      </c>
      <c r="L27" s="14">
        <v>0</v>
      </c>
      <c r="M27" s="14">
        <v>530.2791666666667</v>
      </c>
      <c r="N27" s="14">
        <v>0</v>
      </c>
      <c r="O27" s="14">
        <v>474.27916666666675</v>
      </c>
      <c r="P27" s="14">
        <v>0</v>
      </c>
      <c r="Q27" s="14">
        <v>418.2791666666667</v>
      </c>
      <c r="R27" s="14">
        <v>0</v>
      </c>
      <c r="S27" s="30"/>
      <c r="U27">
        <f t="shared" si="48"/>
        <v>2022</v>
      </c>
      <c r="V27" s="14">
        <f>SUMIFS($F:$F,$B:$B,$U27,$C:$C,V$1)</f>
        <v>0</v>
      </c>
      <c r="W27" s="14">
        <f>SUMIFS($F:$F,$B:$B,$U27,$C:$C,W$1)</f>
        <v>0</v>
      </c>
      <c r="X27" s="14">
        <f>SUMIFS($F:$F,$B:$B,$U27,$C:$C,X$1)</f>
        <v>0</v>
      </c>
      <c r="Y27" s="14">
        <f>SUMIFS($F:$F,$B:$B,$U27,$C:$C,Y$1)</f>
        <v>0</v>
      </c>
      <c r="Z27" s="14">
        <f>SUMIFS($F:$F,$B:$B,$U27,$C:$C,Z$1)</f>
        <v>8.2083333333333321</v>
      </c>
      <c r="AA27" s="14">
        <f>SUMIFS($F:$F,$B:$B,$U27,$C:$C,AA$1)</f>
        <v>13.324999999999996</v>
      </c>
      <c r="AB27" s="14">
        <f>SUMIFS($F:$F,$B:$B,$U27,$C:$C,AB$1)</f>
        <v>25.635416666666639</v>
      </c>
      <c r="AC27" s="14">
        <f>SUMIFS($F:$F,$B:$B,$U27,$C:$C,AC$1)</f>
        <v>19.116666666666667</v>
      </c>
      <c r="AD27" s="14">
        <f>SUMIFS($F:$F,$B:$B,$U27,$C:$C,AD$1)</f>
        <v>0.22083333333333499</v>
      </c>
      <c r="AE27" s="14">
        <f>SUMIFS($F:$F,$B:$B,$U27,$C:$C,AE$1)</f>
        <v>0</v>
      </c>
      <c r="AF27" s="14">
        <f>SUMIFS($F:$F,$B:$B,$U27,$C:$C,AF$1)</f>
        <v>0</v>
      </c>
      <c r="AG27" s="14">
        <f>SUMIFS($F:$F,$B:$B,$U27,$C:$C,AG$1)</f>
        <v>0</v>
      </c>
      <c r="AH27" s="556">
        <f t="shared" si="49"/>
        <v>66.506249999999966</v>
      </c>
      <c r="AI27">
        <f t="shared" si="50"/>
        <v>2022</v>
      </c>
      <c r="AJ27" s="14">
        <f>SUMIFS($H:$H,$B:$B,$AI27,$C:$C,AJ$1)</f>
        <v>0</v>
      </c>
      <c r="AK27" s="14">
        <f>SUMIFS($H:$H,$B:$B,$AI27,$C:$C,AK$1)</f>
        <v>0</v>
      </c>
      <c r="AL27" s="14">
        <f>SUMIFS($H:$H,$B:$B,$AI27,$C:$C,AL$1)</f>
        <v>0</v>
      </c>
      <c r="AM27" s="14">
        <f>SUMIFS($H:$H,$B:$B,$AI27,$C:$C,AM$1)</f>
        <v>0</v>
      </c>
      <c r="AN27" s="14">
        <f>SUMIFS($H:$H,$B:$B,$AI27,$C:$C,AN$1)</f>
        <v>23.237499999999986</v>
      </c>
      <c r="AO27" s="14">
        <f>SUMIFS($H:$H,$B:$B,$AI27,$C:$C,AO$1)</f>
        <v>26.704166666666662</v>
      </c>
      <c r="AP27" s="14">
        <f>SUMIFS($H:$H,$B:$B,$AI27,$C:$C,AP$1)</f>
        <v>67.327083333333306</v>
      </c>
      <c r="AQ27" s="14">
        <f>SUMIFS($H:$H,$B:$B,$AI27,$C:$C,AQ$1)</f>
        <v>53.183333333333337</v>
      </c>
      <c r="AR27" s="14">
        <f>SUMIFS($H:$H,$B:$B,$AI27,$C:$C,AR$1)</f>
        <v>4.9500000000000099</v>
      </c>
      <c r="AS27" s="14">
        <f>SUMIFS($H:$H,$B:$B,$AI27,$C:$C,AS$1)</f>
        <v>0</v>
      </c>
      <c r="AT27" s="14">
        <f>SUMIFS($H:$H,$B:$B,$AI27,$C:$C,AT$1)</f>
        <v>0.90000000000000213</v>
      </c>
      <c r="AU27" s="14">
        <f>SUMIFS($H:$H,$B:$B,$AI27,$C:$C,AU$1)</f>
        <v>0</v>
      </c>
      <c r="AV27" s="556">
        <f t="shared" si="51"/>
        <v>176.30208333333331</v>
      </c>
      <c r="AW27">
        <f t="shared" si="52"/>
        <v>2022</v>
      </c>
      <c r="AX27" s="14">
        <f>SUMIFS($J:$J,$B:$B,$AW27,$C:$C,AX$1)</f>
        <v>0</v>
      </c>
      <c r="AY27" s="14">
        <f>SUMIFS($J:$J,$B:$B,$AW27,$C:$C,AY$1)</f>
        <v>0</v>
      </c>
      <c r="AZ27" s="14">
        <f>SUMIFS($J:$J,$B:$B,$AW27,$C:$C,AZ$1)</f>
        <v>0</v>
      </c>
      <c r="BA27" s="14">
        <f>SUMIFS($J:$J,$B:$B,$AW27,$C:$C,BA$1)</f>
        <v>0</v>
      </c>
      <c r="BB27" s="14">
        <f>SUMIFS($J:$J,$B:$B,$AW27,$C:$C,BB$1)</f>
        <v>46.320833333333297</v>
      </c>
      <c r="BC27" s="14">
        <f>SUMIFS($J:$J,$B:$B,$AW27,$C:$C,BC$1)</f>
        <v>52.583333333333329</v>
      </c>
      <c r="BD27" s="14">
        <f>SUMIFS($J:$J,$B:$B,$AW27,$C:$C,BD$1)</f>
        <v>125.34791666666662</v>
      </c>
      <c r="BE27" s="14">
        <f>SUMIFS($J:$J,$B:$B,$AW27,$C:$C,BE$1)</f>
        <v>101.2416666666667</v>
      </c>
      <c r="BF27" s="14">
        <f>SUMIFS($J:$J,$B:$B,$AW27,$C:$C,BF$1)</f>
        <v>21.129166666666677</v>
      </c>
      <c r="BG27" s="14">
        <f>SUMIFS($J:$J,$B:$B,$AW27,$C:$C,BG$1)</f>
        <v>0</v>
      </c>
      <c r="BH27" s="14">
        <f>SUMIFS($J:$J,$B:$B,$AW27,$C:$C,BH$1)</f>
        <v>2.9000000000000021</v>
      </c>
      <c r="BI27" s="14">
        <f>SUMIFS($J:$J,$B:$B,$AW27,$C:$C,BI$1)</f>
        <v>0</v>
      </c>
      <c r="BJ27" s="556">
        <f t="shared" si="53"/>
        <v>349.52291666666662</v>
      </c>
      <c r="BK27">
        <f t="shared" si="54"/>
        <v>2022</v>
      </c>
      <c r="BL27" s="14">
        <f>SUMIFS($L:$L,$B:$B,$BK27,$C:$C,BL$1)</f>
        <v>0</v>
      </c>
      <c r="BM27" s="14">
        <f>SUMIFS($L:$L,$B:$B,$BK27,$C:$C,BM$1)</f>
        <v>0</v>
      </c>
      <c r="BN27" s="14">
        <f>SUMIFS($L:$L,$B:$B,$BK27,$C:$C,BN$1)</f>
        <v>0</v>
      </c>
      <c r="BO27" s="14">
        <f>SUMIFS($L:$L,$B:$B,$BK27,$C:$C,BO$1)</f>
        <v>0</v>
      </c>
      <c r="BP27" s="14">
        <f>SUMIFS($L:$L,$B:$B,$BK27,$C:$C,BP$1)</f>
        <v>74.320833333333297</v>
      </c>
      <c r="BQ27" s="14">
        <f>SUMIFS($L:$L,$B:$B,$BK27,$C:$C,BQ$1)</f>
        <v>96.424999999999997</v>
      </c>
      <c r="BR27" s="14">
        <f>SUMIFS($L:$L,$B:$B,$BK27,$C:$C,BR$1)</f>
        <v>186.86874999999995</v>
      </c>
      <c r="BS27" s="14">
        <f>SUMIFS($L:$L,$B:$B,$BK27,$C:$C,BS$1)</f>
        <v>161.74166666666665</v>
      </c>
      <c r="BT27" s="14">
        <f>SUMIFS($L:$L,$B:$B,$BK27,$C:$C,BT$1)</f>
        <v>41.95833333333335</v>
      </c>
      <c r="BU27" s="14">
        <f>SUMIFS($L:$L,$B:$B,$BK27,$C:$C,BU$1)</f>
        <v>0.69166666666666821</v>
      </c>
      <c r="BV27" s="14">
        <f>SUMIFS($L:$L,$B:$B,$BK27,$C:$C,BV$1)</f>
        <v>7.8416666666666703</v>
      </c>
      <c r="BW27" s="14">
        <f>SUMIFS($L:$L,$B:$B,$BK27,$C:$C,BW$1)</f>
        <v>0</v>
      </c>
      <c r="BX27" s="556">
        <f t="shared" si="55"/>
        <v>569.84791666666672</v>
      </c>
      <c r="BY27">
        <f t="shared" si="56"/>
        <v>2022</v>
      </c>
      <c r="BZ27" s="14">
        <f>SUMIFS($N:$N,$B:$B,$BY27,$C:$C,BZ$1)</f>
        <v>0</v>
      </c>
      <c r="CA27" s="14">
        <f>SUMIFS($N:$N,$B:$B,$BY27,$C:$C,CA$1)</f>
        <v>0</v>
      </c>
      <c r="CB27" s="14">
        <f>SUMIFS($N:$N,$B:$B,$BY27,$C:$C,CB$1)</f>
        <v>0</v>
      </c>
      <c r="CC27" s="14">
        <f>SUMIFS($N:$N,$B:$B,$BY27,$C:$C,CC$1)</f>
        <v>0</v>
      </c>
      <c r="CD27" s="14">
        <f>SUMIFS($N:$N,$B:$B,$BY27,$C:$C,CD$1)</f>
        <v>105.25833333333331</v>
      </c>
      <c r="CE27" s="14">
        <f>SUMIFS($N:$N,$B:$B,$BY27,$C:$C,CE$1)</f>
        <v>152.1875</v>
      </c>
      <c r="CF27" s="14">
        <f>SUMIFS($N:$N,$B:$B,$BY27,$C:$C,CF$1)</f>
        <v>248.86874999999998</v>
      </c>
      <c r="CG27" s="14">
        <f>SUMIFS($N:$N,$B:$B,$BY27,$C:$C,CG$1)</f>
        <v>223.74166666666665</v>
      </c>
      <c r="CH27" s="14">
        <f>SUMIFS($N:$N,$B:$B,$BY27,$C:$C,CH$1)</f>
        <v>74.350000000000023</v>
      </c>
      <c r="CI27" s="14">
        <f>SUMIFS($N:$N,$B:$B,$BY27,$C:$C,CI$1)</f>
        <v>7.2291666666666661</v>
      </c>
      <c r="CJ27" s="14">
        <f>SUMIFS($N:$N,$B:$B,$BY27,$C:$C,CJ$1)</f>
        <v>15.083333333333337</v>
      </c>
      <c r="CK27" s="14">
        <f>SUMIFS($N:$N,$B:$B,$BY27,$C:$C,CK$1)</f>
        <v>0</v>
      </c>
      <c r="CL27" s="556">
        <f t="shared" si="57"/>
        <v>826.71875</v>
      </c>
      <c r="CM27">
        <f t="shared" si="58"/>
        <v>2022</v>
      </c>
      <c r="CN27" s="14">
        <f>SUMIFS($P:$P,$B:$B,$CM27,$C:$C,CN$1)</f>
        <v>0</v>
      </c>
      <c r="CO27" s="14">
        <f>SUMIFS($P:$P,$B:$B,$CM27,$C:$C,CO$1)</f>
        <v>0</v>
      </c>
      <c r="CP27" s="14">
        <f>SUMIFS($P:$P,$B:$B,$CM27,$C:$C,CP$1)</f>
        <v>0</v>
      </c>
      <c r="CQ27" s="14">
        <f>SUMIFS($P:$P,$B:$B,$CM27,$C:$C,CQ$1)</f>
        <v>0.60416666666666607</v>
      </c>
      <c r="CR27" s="14">
        <f>SUMIFS($P:$P,$B:$B,$CM27,$C:$C,CR$1)</f>
        <v>147.53749999999999</v>
      </c>
      <c r="CS27" s="14">
        <f>SUMIFS($P:$P,$B:$B,$CM27,$C:$C,CS$1)</f>
        <v>212.1875</v>
      </c>
      <c r="CT27" s="14">
        <f>SUMIFS($P:$P,$B:$B,$CM27,$C:$C,CT$1)</f>
        <v>310.86875000000009</v>
      </c>
      <c r="CU27" s="14">
        <f>SUMIFS($P:$P,$B:$B,$CM27,$C:$C,CU$1)</f>
        <v>285.74166666666667</v>
      </c>
      <c r="CV27" s="14">
        <f>SUMIFS($P:$P,$B:$B,$CM27,$C:$C,CV$1)</f>
        <v>121.11250000000001</v>
      </c>
      <c r="CW27" s="14">
        <f>SUMIFS($P:$P,$B:$B,$CM27,$C:$C,CW$1)</f>
        <v>21.991666666666667</v>
      </c>
      <c r="CX27" s="14">
        <f>SUMIFS($P:$P,$B:$B,$CM27,$C:$C,CX$1)</f>
        <v>25.875</v>
      </c>
      <c r="CY27" s="14">
        <f>SUMIFS($P:$P,$B:$B,$CM27,$C:$C,CY$1)</f>
        <v>0</v>
      </c>
      <c r="CZ27" s="556">
        <f t="shared" si="59"/>
        <v>1125.91875</v>
      </c>
      <c r="DA27">
        <f t="shared" si="60"/>
        <v>2022</v>
      </c>
      <c r="DB27" s="14">
        <f>SUMIFS($R:$R,$B:$B,$DA27,$C:$C,DB$1)</f>
        <v>0</v>
      </c>
      <c r="DC27" s="14">
        <f>SUMIFS($R:$R,$B:$B,$DA27,$C:$C,DC$1)</f>
        <v>0</v>
      </c>
      <c r="DD27" s="14">
        <f>SUMIFS($R:$R,$B:$B,$DA27,$C:$C,DD$1)</f>
        <v>0</v>
      </c>
      <c r="DE27" s="14">
        <f>SUMIFS($R:$R,$B:$B,$DA27,$C:$C,DE$1)</f>
        <v>4.1458333333333339</v>
      </c>
      <c r="DF27" s="14">
        <f>SUMIFS($R:$R,$B:$B,$DA27,$C:$C,DF$1)</f>
        <v>206.64999999999995</v>
      </c>
      <c r="DG27" s="14">
        <f>SUMIFS($R:$R,$B:$B,$DA27,$C:$C,DG$1)</f>
        <v>272.1875</v>
      </c>
      <c r="DH27" s="14">
        <f>SUMIFS($R:$R,$B:$B,$DA27,$C:$C,DH$1)</f>
        <v>372.86874999999998</v>
      </c>
      <c r="DI27" s="14">
        <f>SUMIFS($R:$R,$B:$B,$DA27,$C:$C,DI$1)</f>
        <v>347.74166666666667</v>
      </c>
      <c r="DJ27" s="14">
        <f>SUMIFS($R:$R,$B:$B,$DA27,$C:$C,DJ$1)</f>
        <v>175.0916666666667</v>
      </c>
      <c r="DK27" s="14">
        <f>SUMIFS($R:$R,$B:$B,$DA27,$C:$C,DK$1)</f>
        <v>41.641666666666673</v>
      </c>
      <c r="DL27" s="14">
        <f>SUMIFS($R:$R,$B:$B,$DA27,$C:$C,DL$1)</f>
        <v>39.625</v>
      </c>
      <c r="DM27" s="14">
        <f>SUMIFS($R:$R,$B:$B,$DA27,$C:$C,DM$1)</f>
        <v>0</v>
      </c>
      <c r="DN27" s="556">
        <f t="shared" si="61"/>
        <v>1459.9520833333333</v>
      </c>
      <c r="DO27" s="556"/>
      <c r="DP27" s="18">
        <f>'Monthly Data'!F27</f>
        <v>141275.87925579111</v>
      </c>
      <c r="DQ27" s="18">
        <f>'Monthly Data'!J27</f>
        <v>120386.83199193618</v>
      </c>
      <c r="DR27" s="18">
        <f>'Monthly Data'!N27</f>
        <v>103279.762066118</v>
      </c>
    </row>
    <row r="28" spans="1:122">
      <c r="A28" s="9">
        <v>43160</v>
      </c>
      <c r="B28">
        <v>2018</v>
      </c>
      <c r="C28">
        <v>3</v>
      </c>
      <c r="D28" s="13">
        <v>-2.95</v>
      </c>
      <c r="E28" s="14">
        <v>711.45</v>
      </c>
      <c r="F28" s="14">
        <v>0</v>
      </c>
      <c r="G28" s="14">
        <v>649.45000000000016</v>
      </c>
      <c r="H28" s="14">
        <v>0</v>
      </c>
      <c r="I28" s="14">
        <v>587.45000000000016</v>
      </c>
      <c r="J28" s="14">
        <v>0</v>
      </c>
      <c r="K28" s="14">
        <v>525.45000000000016</v>
      </c>
      <c r="L28" s="14">
        <v>0</v>
      </c>
      <c r="M28" s="14">
        <v>463.4500000000001</v>
      </c>
      <c r="N28" s="14">
        <v>0</v>
      </c>
      <c r="O28" s="14">
        <v>401.4500000000001</v>
      </c>
      <c r="P28" s="14">
        <v>0</v>
      </c>
      <c r="Q28" s="14">
        <v>339.45000000000005</v>
      </c>
      <c r="R28" s="14">
        <v>0</v>
      </c>
      <c r="S28" s="30"/>
      <c r="U28">
        <f t="shared" si="48"/>
        <v>2023</v>
      </c>
      <c r="V28" s="14">
        <f>SUMIFS($F:$F,$B:$B,$U28,$C:$C,V$1)</f>
        <v>0</v>
      </c>
      <c r="W28" s="14">
        <f>SUMIFS($F:$F,$B:$B,$U28,$C:$C,W$1)</f>
        <v>0</v>
      </c>
      <c r="X28" s="14">
        <f>SUMIFS($F:$F,$B:$B,$U28,$C:$C,X$1)</f>
        <v>0</v>
      </c>
      <c r="Y28" s="14">
        <f>SUMIFS($F:$F,$B:$B,$U28,$C:$C,Y$1)</f>
        <v>0</v>
      </c>
      <c r="Z28" s="14">
        <f>SUMIFS($F:$F,$B:$B,$U28,$C:$C,Z$1)</f>
        <v>2.0875000000000021</v>
      </c>
      <c r="AA28" s="14">
        <f>SUMIFS($F:$F,$B:$B,$U28,$C:$C,AA$1)</f>
        <v>15.55</v>
      </c>
      <c r="AB28" s="14">
        <f>SUMIFS($F:$F,$B:$B,$U28,$C:$C,AB$1)</f>
        <v>34.637499999999989</v>
      </c>
      <c r="AC28" s="14">
        <f>SUMIFS($F:$F,$B:$B,$U28,$C:$C,AC$1)</f>
        <v>0.9166666666666643</v>
      </c>
      <c r="AD28" s="14">
        <f>SUMIFS($F:$F,$B:$B,$U28,$C:$C,AD$1)</f>
        <v>16.212500000000002</v>
      </c>
      <c r="AE28" s="14">
        <f>SUMIFS($F:$F,$B:$B,$U28,$C:$C,AE$1)</f>
        <v>0</v>
      </c>
      <c r="AF28" s="14">
        <f>SUMIFS($F:$F,$B:$B,$U28,$C:$C,AF$1)</f>
        <v>0</v>
      </c>
      <c r="AG28" s="14">
        <f>SUMIFS($F:$F,$B:$B,$U28,$C:$C,AG$1)</f>
        <v>0</v>
      </c>
      <c r="AH28" s="556">
        <f t="shared" si="49"/>
        <v>69.404166666666654</v>
      </c>
      <c r="AI28">
        <f t="shared" si="50"/>
        <v>2023</v>
      </c>
      <c r="AJ28" s="14">
        <f>SUMIFS($H:$H,$B:$B,$AI28,$C:$C,AJ$1)</f>
        <v>0</v>
      </c>
      <c r="AK28" s="14">
        <f>SUMIFS($H:$H,$B:$B,$AI28,$C:$C,AK$1)</f>
        <v>0</v>
      </c>
      <c r="AL28" s="14">
        <f>SUMIFS($H:$H,$B:$B,$AI28,$C:$C,AL$1)</f>
        <v>0</v>
      </c>
      <c r="AM28" s="14">
        <f>SUMIFS($H:$H,$B:$B,$AI28,$C:$C,AM$1)</f>
        <v>0</v>
      </c>
      <c r="AN28" s="14">
        <f>SUMIFS($H:$H,$B:$B,$AI28,$C:$C,AN$1)</f>
        <v>6.2729166666666671</v>
      </c>
      <c r="AO28" s="14">
        <f>SUMIFS($H:$H,$B:$B,$AI28,$C:$C,AO$1)</f>
        <v>34.462499999999991</v>
      </c>
      <c r="AP28" s="14">
        <f>SUMIFS($H:$H,$B:$B,$AI28,$C:$C,AP$1)</f>
        <v>76.07499999999996</v>
      </c>
      <c r="AQ28" s="14">
        <f>SUMIFS($H:$H,$B:$B,$AI28,$C:$C,AQ$1)</f>
        <v>14.849999999999994</v>
      </c>
      <c r="AR28" s="14">
        <f>SUMIFS($H:$H,$B:$B,$AI28,$C:$C,AR$1)</f>
        <v>26.945833333333336</v>
      </c>
      <c r="AS28" s="14">
        <f>SUMIFS($H:$H,$B:$B,$AI28,$C:$C,AS$1)</f>
        <v>3.9999999999999964</v>
      </c>
      <c r="AT28" s="14">
        <f>SUMIFS($H:$H,$B:$B,$AI28,$C:$C,AT$1)</f>
        <v>0</v>
      </c>
      <c r="AU28" s="14">
        <f>SUMIFS($H:$H,$B:$B,$AI28,$C:$C,AU$1)</f>
        <v>0</v>
      </c>
      <c r="AV28" s="556">
        <f t="shared" si="51"/>
        <v>162.60624999999993</v>
      </c>
      <c r="AW28">
        <f t="shared" si="52"/>
        <v>2023</v>
      </c>
      <c r="AX28" s="14">
        <f>SUMIFS($J:$J,$B:$B,$AW28,$C:$C,AX$1)</f>
        <v>0</v>
      </c>
      <c r="AY28" s="14">
        <f>SUMIFS($J:$J,$B:$B,$AW28,$C:$C,AY$1)</f>
        <v>0</v>
      </c>
      <c r="AZ28" s="14">
        <f>SUMIFS($J:$J,$B:$B,$AW28,$C:$C,AZ$1)</f>
        <v>0</v>
      </c>
      <c r="BA28" s="14">
        <f>SUMIFS($J:$J,$B:$B,$AW28,$C:$C,BA$1)</f>
        <v>0</v>
      </c>
      <c r="BB28" s="14">
        <f>SUMIFS($J:$J,$B:$B,$AW28,$C:$C,BB$1)</f>
        <v>18.093750000000007</v>
      </c>
      <c r="BC28" s="14">
        <f>SUMIFS($J:$J,$B:$B,$AW28,$C:$C,BC$1)</f>
        <v>69.091666666666669</v>
      </c>
      <c r="BD28" s="14">
        <f>SUMIFS($J:$J,$B:$B,$AW28,$C:$C,BD$1)</f>
        <v>132.00416666666663</v>
      </c>
      <c r="BE28" s="14">
        <f>SUMIFS($J:$J,$B:$B,$AW28,$C:$C,BE$1)</f>
        <v>52.329166666666687</v>
      </c>
      <c r="BF28" s="14">
        <f>SUMIFS($J:$J,$B:$B,$AW28,$C:$C,BF$1)</f>
        <v>39.816666666666677</v>
      </c>
      <c r="BG28" s="14">
        <f>SUMIFS($J:$J,$B:$B,$AW28,$C:$C,BG$1)</f>
        <v>12.391666666666669</v>
      </c>
      <c r="BH28" s="14">
        <f>SUMIFS($J:$J,$B:$B,$AW28,$C:$C,BH$1)</f>
        <v>0</v>
      </c>
      <c r="BI28" s="14">
        <f>SUMIFS($J:$J,$B:$B,$AW28,$C:$C,BI$1)</f>
        <v>0</v>
      </c>
      <c r="BJ28" s="556">
        <f t="shared" si="53"/>
        <v>323.72708333333333</v>
      </c>
      <c r="BK28">
        <f t="shared" si="54"/>
        <v>2023</v>
      </c>
      <c r="BL28" s="14">
        <f>SUMIFS($L:$L,$B:$B,$BK28,$C:$C,BL$1)</f>
        <v>0</v>
      </c>
      <c r="BM28" s="14">
        <f>SUMIFS($L:$L,$B:$B,$BK28,$C:$C,BM$1)</f>
        <v>0</v>
      </c>
      <c r="BN28" s="14">
        <f>SUMIFS($L:$L,$B:$B,$BK28,$C:$C,BN$1)</f>
        <v>0</v>
      </c>
      <c r="BO28" s="14">
        <f>SUMIFS($L:$L,$B:$B,$BK28,$C:$C,BO$1)</f>
        <v>1.7500000000000053</v>
      </c>
      <c r="BP28" s="14">
        <f>SUMIFS($L:$L,$B:$B,$BK28,$C:$C,BP$1)</f>
        <v>33.47708333333334</v>
      </c>
      <c r="BQ28" s="14">
        <f>SUMIFS($L:$L,$B:$B,$BK28,$C:$C,BQ$1)</f>
        <v>118.625</v>
      </c>
      <c r="BR28" s="14">
        <f>SUMIFS($L:$L,$B:$B,$BK28,$C:$C,BR$1)</f>
        <v>193.62083333333328</v>
      </c>
      <c r="BS28" s="14">
        <f>SUMIFS($L:$L,$B:$B,$BK28,$C:$C,BS$1)</f>
        <v>109.28333333333336</v>
      </c>
      <c r="BT28" s="14">
        <f>SUMIFS($L:$L,$B:$B,$BK28,$C:$C,BT$1)</f>
        <v>63.491666666666674</v>
      </c>
      <c r="BU28" s="14">
        <f>SUMIFS($L:$L,$B:$B,$BK28,$C:$C,BU$1)</f>
        <v>28.733333333333338</v>
      </c>
      <c r="BV28" s="14">
        <f>SUMIFS($L:$L,$B:$B,$BK28,$C:$C,BV$1)</f>
        <v>0</v>
      </c>
      <c r="BW28" s="14">
        <f>SUMIFS($L:$L,$B:$B,$BK28,$C:$C,BW$1)</f>
        <v>0</v>
      </c>
      <c r="BX28" s="556">
        <f t="shared" si="55"/>
        <v>548.98125000000005</v>
      </c>
      <c r="BY28">
        <f t="shared" si="56"/>
        <v>2023</v>
      </c>
      <c r="BZ28" s="14">
        <f>SUMIFS($N:$N,$B:$B,$BY28,$C:$C,BZ$1)</f>
        <v>0</v>
      </c>
      <c r="CA28" s="14">
        <f>SUMIFS($N:$N,$B:$B,$BY28,$C:$C,CA$1)</f>
        <v>0</v>
      </c>
      <c r="CB28" s="14">
        <f>SUMIFS($N:$N,$B:$B,$BY28,$C:$C,CB$1)</f>
        <v>0</v>
      </c>
      <c r="CC28" s="14">
        <f>SUMIFS($N:$N,$B:$B,$BY28,$C:$C,CC$1)</f>
        <v>7.1333333333333417</v>
      </c>
      <c r="CD28" s="14">
        <f>SUMIFS($N:$N,$B:$B,$BY28,$C:$C,CD$1)</f>
        <v>64.672916666666652</v>
      </c>
      <c r="CE28" s="14">
        <f>SUMIFS($N:$N,$B:$B,$BY28,$C:$C,CE$1)</f>
        <v>176.22499999999999</v>
      </c>
      <c r="CF28" s="14">
        <f>SUMIFS($N:$N,$B:$B,$BY28,$C:$C,CF$1)</f>
        <v>255.62083333333328</v>
      </c>
      <c r="CG28" s="14">
        <f>SUMIFS($N:$N,$B:$B,$BY28,$C:$C,CG$1)</f>
        <v>170.83333333333337</v>
      </c>
      <c r="CH28" s="14">
        <f>SUMIFS($N:$N,$B:$B,$BY28,$C:$C,CH$1)</f>
        <v>103.32083333333338</v>
      </c>
      <c r="CI28" s="14">
        <f>SUMIFS($N:$N,$B:$B,$BY28,$C:$C,CI$1)</f>
        <v>46.733333333333334</v>
      </c>
      <c r="CJ28" s="14">
        <f>SUMIFS($N:$N,$B:$B,$BY28,$C:$C,CJ$1)</f>
        <v>0</v>
      </c>
      <c r="CK28" s="14">
        <f>SUMIFS($N:$N,$B:$B,$BY28,$C:$C,CK$1)</f>
        <v>0</v>
      </c>
      <c r="CL28" s="556">
        <f t="shared" si="57"/>
        <v>824.53958333333344</v>
      </c>
      <c r="CM28">
        <f t="shared" si="58"/>
        <v>2023</v>
      </c>
      <c r="CN28" s="14">
        <f>SUMIFS($P:$P,$B:$B,$CM28,$C:$C,CN$1)</f>
        <v>0</v>
      </c>
      <c r="CO28" s="14">
        <f>SUMIFS($P:$P,$B:$B,$CM28,$C:$C,CO$1)</f>
        <v>0</v>
      </c>
      <c r="CP28" s="14">
        <f>SUMIFS($P:$P,$B:$B,$CM28,$C:$C,CP$1)</f>
        <v>0</v>
      </c>
      <c r="CQ28" s="14">
        <f>SUMIFS($P:$P,$B:$B,$CM28,$C:$C,CQ$1)</f>
        <v>18.508333333333347</v>
      </c>
      <c r="CR28" s="14">
        <f>SUMIFS($P:$P,$B:$B,$CM28,$C:$C,CR$1)</f>
        <v>102.08124999999998</v>
      </c>
      <c r="CS28" s="14">
        <f>SUMIFS($P:$P,$B:$B,$CM28,$C:$C,CS$1)</f>
        <v>236.22500000000002</v>
      </c>
      <c r="CT28" s="14">
        <f>SUMIFS($P:$P,$B:$B,$CM28,$C:$C,CT$1)</f>
        <v>317.62083333333328</v>
      </c>
      <c r="CU28" s="14">
        <f>SUMIFS($P:$P,$B:$B,$CM28,$C:$C,CU$1)</f>
        <v>232.83333333333337</v>
      </c>
      <c r="CV28" s="14">
        <f>SUMIFS($P:$P,$B:$B,$CM28,$C:$C,CV$1)</f>
        <v>154.46666666666673</v>
      </c>
      <c r="CW28" s="14">
        <f>SUMIFS($P:$P,$B:$B,$CM28,$C:$C,CW$1)</f>
        <v>69.26666666666668</v>
      </c>
      <c r="CX28" s="14">
        <f>SUMIFS($P:$P,$B:$B,$CM28,$C:$C,CX$1)</f>
        <v>0</v>
      </c>
      <c r="CY28" s="14">
        <f>SUMIFS($P:$P,$B:$B,$CM28,$C:$C,CY$1)</f>
        <v>0</v>
      </c>
      <c r="CZ28" s="556">
        <f t="shared" si="59"/>
        <v>1131.0020833333335</v>
      </c>
      <c r="DA28">
        <f t="shared" si="60"/>
        <v>2023</v>
      </c>
      <c r="DB28" s="14">
        <f>SUMIFS($R:$R,$B:$B,$DA28,$C:$C,DB$1)</f>
        <v>0</v>
      </c>
      <c r="DC28" s="14">
        <f>SUMIFS($R:$R,$B:$B,$DA28,$C:$C,DC$1)</f>
        <v>0</v>
      </c>
      <c r="DD28" s="14">
        <f>SUMIFS($R:$R,$B:$B,$DA28,$C:$C,DD$1)</f>
        <v>0</v>
      </c>
      <c r="DE28" s="14">
        <f>SUMIFS($R:$R,$B:$B,$DA28,$C:$C,DE$1)</f>
        <v>37.32083333333334</v>
      </c>
      <c r="DF28" s="14">
        <f>SUMIFS($R:$R,$B:$B,$DA28,$C:$C,DF$1)</f>
        <v>147.42708333333334</v>
      </c>
      <c r="DG28" s="14">
        <f>SUMIFS($R:$R,$B:$B,$DA28,$C:$C,DG$1)</f>
        <v>296.22499999999997</v>
      </c>
      <c r="DH28" s="14">
        <f>SUMIFS($R:$R,$B:$B,$DA28,$C:$C,DH$1)</f>
        <v>379.62083333333334</v>
      </c>
      <c r="DI28" s="14">
        <f>SUMIFS($R:$R,$B:$B,$DA28,$C:$C,DI$1)</f>
        <v>294.83333333333337</v>
      </c>
      <c r="DJ28" s="14">
        <f>SUMIFS($R:$R,$B:$B,$DA28,$C:$C,DJ$1)</f>
        <v>214.00416666666672</v>
      </c>
      <c r="DK28" s="14">
        <f>SUMIFS($R:$R,$B:$B,$DA28,$C:$C,DK$1)</f>
        <v>101.7291666666667</v>
      </c>
      <c r="DL28" s="14">
        <f>SUMIFS($R:$R,$B:$B,$DA28,$C:$C,DL$1)</f>
        <v>0</v>
      </c>
      <c r="DM28" s="14">
        <f>SUMIFS($R:$R,$B:$B,$DA28,$C:$C,DM$1)</f>
        <v>0</v>
      </c>
      <c r="DN28" s="556">
        <f t="shared" si="61"/>
        <v>1471.1604166666668</v>
      </c>
      <c r="DO28" s="556"/>
      <c r="DP28" s="18">
        <f>'Monthly Data'!F28</f>
        <v>144367.65426627634</v>
      </c>
      <c r="DQ28" s="18">
        <f>'Monthly Data'!J28</f>
        <v>124274.35879490906</v>
      </c>
      <c r="DR28" s="18">
        <f>'Monthly Data'!N28</f>
        <v>106433.43260330835</v>
      </c>
    </row>
    <row r="29" spans="1:122">
      <c r="A29" s="9">
        <v>43191</v>
      </c>
      <c r="B29">
        <v>2018</v>
      </c>
      <c r="C29">
        <v>4</v>
      </c>
      <c r="D29" s="13">
        <v>1.294861111111111</v>
      </c>
      <c r="E29" s="14">
        <v>561.15416666666681</v>
      </c>
      <c r="F29" s="14">
        <v>0</v>
      </c>
      <c r="G29" s="14">
        <v>501.1541666666667</v>
      </c>
      <c r="H29" s="14">
        <v>0</v>
      </c>
      <c r="I29" s="14">
        <v>441.1541666666667</v>
      </c>
      <c r="J29" s="14">
        <v>0</v>
      </c>
      <c r="K29" s="14">
        <v>381.15416666666664</v>
      </c>
      <c r="L29" s="14">
        <v>0</v>
      </c>
      <c r="M29" s="14">
        <v>321.15416666666664</v>
      </c>
      <c r="N29" s="14">
        <v>0</v>
      </c>
      <c r="O29" s="14">
        <v>261.15416666666664</v>
      </c>
      <c r="P29" s="14">
        <v>0</v>
      </c>
      <c r="Q29" s="14">
        <v>204.82083333333333</v>
      </c>
      <c r="R29" s="14">
        <v>3.6666666666666643</v>
      </c>
      <c r="S29" s="30"/>
      <c r="U29">
        <f>U28+1</f>
        <v>2024</v>
      </c>
      <c r="V29" s="14">
        <f>SUMIFS($F:$F,$B:$B,$U29,$C:$C,V$1)</f>
        <v>0</v>
      </c>
      <c r="W29" s="14">
        <f>SUMIFS($F:$F,$B:$B,$U29,$C:$C,W$1)</f>
        <v>0</v>
      </c>
      <c r="X29" s="14">
        <f>SUMIFS($F:$F,$B:$B,$U29,$C:$C,X$1)</f>
        <v>0</v>
      </c>
      <c r="Y29" s="14">
        <f>SUMIFS($F:$F,$B:$B,$U29,$C:$C,Y$1)</f>
        <v>0</v>
      </c>
      <c r="Z29" s="14">
        <f>SUMIFS($F:$F,$B:$B,$U29,$C:$C,Z$1)</f>
        <v>1.1291666666666664</v>
      </c>
      <c r="AA29" s="14">
        <f>SUMIFS($F:$F,$B:$B,$U29,$C:$C,AA$1)</f>
        <v>26.924999999999997</v>
      </c>
      <c r="AB29" s="14">
        <f>SUMIFS($F:$F,$B:$B,$U29,$C:$C,AB$1)</f>
        <v>43.308333333333337</v>
      </c>
      <c r="AC29" s="14">
        <f>SUMIFS($F:$F,$B:$B,$U29,$C:$C,AC$1)</f>
        <v>28.349999999999994</v>
      </c>
      <c r="AD29" s="14">
        <f>SUMIFS($F:$F,$B:$B,$U29,$C:$C,AD$1)</f>
        <v>0</v>
      </c>
      <c r="AE29" s="14">
        <f>SUMIFS($F:$F,$B:$B,$U29,$C:$C,AE$1)</f>
        <v>0</v>
      </c>
      <c r="AF29" s="14">
        <f>SUMIFS($F:$F,$B:$B,$U29,$C:$C,AF$1)</f>
        <v>0</v>
      </c>
      <c r="AG29" s="14">
        <f>SUMIFS($F:$F,$B:$B,$U29,$C:$C,AG$1)</f>
        <v>0</v>
      </c>
      <c r="AH29" s="556">
        <f t="shared" si="49"/>
        <v>99.712499999999991</v>
      </c>
      <c r="AI29">
        <f>AI28+1</f>
        <v>2024</v>
      </c>
      <c r="AJ29" s="14">
        <f>SUMIFS($H:$H,$B:$B,$AI29,$C:$C,AJ$1)</f>
        <v>0</v>
      </c>
      <c r="AK29" s="14">
        <f>SUMIFS($H:$H,$B:$B,$AI29,$C:$C,AK$1)</f>
        <v>0</v>
      </c>
      <c r="AL29" s="14">
        <f>SUMIFS($H:$H,$B:$B,$AI29,$C:$C,AL$1)</f>
        <v>0</v>
      </c>
      <c r="AM29" s="14">
        <f>SUMIFS($H:$H,$B:$B,$AI29,$C:$C,AM$1)</f>
        <v>0</v>
      </c>
      <c r="AN29" s="14">
        <f>SUMIFS($H:$H,$B:$B,$AI29,$C:$C,AN$1)</f>
        <v>8.1125000000000007</v>
      </c>
      <c r="AO29" s="14">
        <f>SUMIFS($H:$H,$B:$B,$AI29,$C:$C,AO$1)</f>
        <v>48.704166666666659</v>
      </c>
      <c r="AP29" s="14">
        <f>SUMIFS($H:$H,$B:$B,$AI29,$C:$C,AP$1)</f>
        <v>90.391666666666666</v>
      </c>
      <c r="AQ29" s="14">
        <f>SUMIFS($H:$H,$B:$B,$AI29,$C:$C,AQ$1)</f>
        <v>57.533333333333317</v>
      </c>
      <c r="AR29" s="14">
        <f>SUMIFS($H:$H,$B:$B,$AI29,$C:$C,AR$1)</f>
        <v>9.7124999999999879</v>
      </c>
      <c r="AS29" s="14">
        <f>SUMIFS($H:$H,$B:$B,$AI29,$C:$C,AS$1)</f>
        <v>1.2250000000000014</v>
      </c>
      <c r="AT29" s="14">
        <f>SUMIFS($H:$H,$B:$B,$AI29,$C:$C,AT$1)</f>
        <v>0</v>
      </c>
      <c r="AU29" s="14">
        <f>SUMIFS($H:$H,$B:$B,$AI29,$C:$C,AU$1)</f>
        <v>0</v>
      </c>
      <c r="AV29" s="556">
        <f t="shared" si="51"/>
        <v>215.67916666666659</v>
      </c>
      <c r="AW29">
        <f>AW28+1</f>
        <v>2024</v>
      </c>
      <c r="AX29" s="14">
        <f>SUMIFS($J:$J,$B:$B,$AW29,$C:$C,AX$1)</f>
        <v>0</v>
      </c>
      <c r="AY29" s="14">
        <f>SUMIFS($J:$J,$B:$B,$AW29,$C:$C,AY$1)</f>
        <v>0</v>
      </c>
      <c r="AZ29" s="14">
        <f>SUMIFS($J:$J,$B:$B,$AW29,$C:$C,AZ$1)</f>
        <v>0</v>
      </c>
      <c r="BA29" s="14">
        <f>SUMIFS($J:$J,$B:$B,$AW29,$C:$C,BA$1)</f>
        <v>0</v>
      </c>
      <c r="BB29" s="14">
        <f>SUMIFS($J:$J,$B:$B,$AW29,$C:$C,BB$1)</f>
        <v>26.291666666666675</v>
      </c>
      <c r="BC29" s="14">
        <f>SUMIFS($J:$J,$B:$B,$AW29,$C:$C,BC$1)</f>
        <v>85.183333333333337</v>
      </c>
      <c r="BD29" s="14">
        <f>SUMIFS($J:$J,$B:$B,$AW29,$C:$C,BD$1)</f>
        <v>150.14166666666665</v>
      </c>
      <c r="BE29" s="14">
        <f>SUMIFS($J:$J,$B:$B,$AW29,$C:$C,BE$1)</f>
        <v>97.670833333333292</v>
      </c>
      <c r="BF29" s="14">
        <f>SUMIFS($J:$J,$B:$B,$AW29,$C:$C,BF$1)</f>
        <v>35.054166666666646</v>
      </c>
      <c r="BG29" s="14">
        <f>SUMIFS($J:$J,$B:$B,$AW29,$C:$C,BG$1)</f>
        <v>3.2250000000000014</v>
      </c>
      <c r="BH29" s="14">
        <f>SUMIFS($J:$J,$B:$B,$AW29,$C:$C,BH$1)</f>
        <v>0</v>
      </c>
      <c r="BI29" s="14">
        <f>SUMIFS($J:$J,$B:$B,$AW29,$C:$C,BI$1)</f>
        <v>0</v>
      </c>
      <c r="BJ29" s="556">
        <f t="shared" si="53"/>
        <v>397.56666666666661</v>
      </c>
      <c r="BK29">
        <f>BK28+1</f>
        <v>2024</v>
      </c>
      <c r="BL29" s="14">
        <f>SUMIFS($L:$L,$B:$B,$BK29,$C:$C,BL$1)</f>
        <v>0</v>
      </c>
      <c r="BM29" s="14">
        <f>SUMIFS($L:$L,$B:$B,$BK29,$C:$C,BM$1)</f>
        <v>0</v>
      </c>
      <c r="BN29" s="14">
        <f>SUMIFS($L:$L,$B:$B,$BK29,$C:$C,BN$1)</f>
        <v>0</v>
      </c>
      <c r="BO29" s="14">
        <f>SUMIFS($L:$L,$B:$B,$BK29,$C:$C,BO$1)</f>
        <v>0</v>
      </c>
      <c r="BP29" s="14">
        <f>SUMIFS($L:$L,$B:$B,$BK29,$C:$C,BP$1)</f>
        <v>56.833333333333329</v>
      </c>
      <c r="BQ29" s="14">
        <f>SUMIFS($L:$L,$B:$B,$BK29,$C:$C,BQ$1)</f>
        <v>132.89166666666665</v>
      </c>
      <c r="BR29" s="14">
        <f>SUMIFS($L:$L,$B:$B,$BK29,$C:$C,BR$1)</f>
        <v>212.14166666666665</v>
      </c>
      <c r="BS29" s="14">
        <f>SUMIFS($L:$L,$B:$B,$BK29,$C:$C,BS$1)</f>
        <v>151.90416666666661</v>
      </c>
      <c r="BT29" s="14">
        <f>SUMIFS($L:$L,$B:$B,$BK29,$C:$C,BT$1)</f>
        <v>76.075000000000003</v>
      </c>
      <c r="BU29" s="14">
        <f>SUMIFS($L:$L,$B:$B,$BK29,$C:$C,BU$1)</f>
        <v>7.6875000000000036</v>
      </c>
      <c r="BV29" s="14">
        <f>SUMIFS($L:$L,$B:$B,$BK29,$C:$C,BV$1)</f>
        <v>0.6041666666666643</v>
      </c>
      <c r="BW29" s="14">
        <f>SUMIFS($L:$L,$B:$B,$BK29,$C:$C,BW$1)</f>
        <v>0</v>
      </c>
      <c r="BX29" s="556">
        <f t="shared" si="55"/>
        <v>638.13749999999993</v>
      </c>
      <c r="BY29">
        <f>BY28+1</f>
        <v>2024</v>
      </c>
      <c r="BZ29" s="14">
        <f>SUMIFS($N:$N,$B:$B,$BY29,$C:$C,BZ$1)</f>
        <v>0</v>
      </c>
      <c r="CA29" s="14">
        <f>SUMIFS($N:$N,$B:$B,$BY29,$C:$C,CA$1)</f>
        <v>0</v>
      </c>
      <c r="CB29" s="14">
        <f>SUMIFS($N:$N,$B:$B,$BY29,$C:$C,CB$1)</f>
        <v>0</v>
      </c>
      <c r="CC29" s="14">
        <f>SUMIFS($N:$N,$B:$B,$BY29,$C:$C,CC$1)</f>
        <v>0.7333333333333325</v>
      </c>
      <c r="CD29" s="14">
        <f>SUMIFS($N:$N,$B:$B,$BY29,$C:$C,CD$1)</f>
        <v>96.229166666666686</v>
      </c>
      <c r="CE29" s="14">
        <f>SUMIFS($N:$N,$B:$B,$BY29,$C:$C,CE$1)</f>
        <v>187.28333333333333</v>
      </c>
      <c r="CF29" s="14">
        <f>SUMIFS($N:$N,$B:$B,$BY29,$C:$C,CF$1)</f>
        <v>274.14166666666665</v>
      </c>
      <c r="CG29" s="14">
        <f>SUMIFS($N:$N,$B:$B,$BY29,$C:$C,CG$1)</f>
        <v>212.65</v>
      </c>
      <c r="CH29" s="14">
        <f>SUMIFS($N:$N,$B:$B,$BY29,$C:$C,CH$1)</f>
        <v>127.19583333333331</v>
      </c>
      <c r="CI29" s="14">
        <f>SUMIFS($N:$N,$B:$B,$BY29,$C:$C,CI$1)</f>
        <v>20.145833333333339</v>
      </c>
      <c r="CJ29" s="14">
        <f>SUMIFS($N:$N,$B:$B,$BY29,$C:$C,CJ$1)</f>
        <v>2.6374999999999975</v>
      </c>
      <c r="CK29" s="14">
        <f>SUMIFS($N:$N,$B:$B,$BY29,$C:$C,CK$1)</f>
        <v>0</v>
      </c>
      <c r="CL29" s="556">
        <f t="shared" si="57"/>
        <v>921.01666666666677</v>
      </c>
      <c r="CM29">
        <f>CM28+1</f>
        <v>2024</v>
      </c>
      <c r="CN29" s="14">
        <f>SUMIFS($P:$P,$B:$B,$CM29,$C:$C,CN$1)</f>
        <v>0</v>
      </c>
      <c r="CO29" s="14">
        <f>SUMIFS($P:$P,$B:$B,$CM29,$C:$C,CO$1)</f>
        <v>0</v>
      </c>
      <c r="CP29" s="14">
        <f>SUMIFS($P:$P,$B:$B,$CM29,$C:$C,CP$1)</f>
        <v>0</v>
      </c>
      <c r="CQ29" s="14">
        <f>SUMIFS($P:$P,$B:$B,$CM29,$C:$C,CQ$1)</f>
        <v>7.8500000000000032</v>
      </c>
      <c r="CR29" s="14">
        <f>SUMIFS($P:$P,$B:$B,$CM29,$C:$C,CR$1)</f>
        <v>148.82500000000002</v>
      </c>
      <c r="CS29" s="14">
        <f>SUMIFS($P:$P,$B:$B,$CM29,$C:$C,CS$1)</f>
        <v>245.28333333333333</v>
      </c>
      <c r="CT29" s="14">
        <f>SUMIFS($P:$P,$B:$B,$CM29,$C:$C,CT$1)</f>
        <v>336.14166666666665</v>
      </c>
      <c r="CU29" s="14">
        <f>SUMIFS($P:$P,$B:$B,$CM29,$C:$C,CU$1)</f>
        <v>274.65000000000003</v>
      </c>
      <c r="CV29" s="14">
        <f>SUMIFS($P:$P,$B:$B,$CM29,$C:$C,CV$1)</f>
        <v>181.45</v>
      </c>
      <c r="CW29" s="14">
        <f>SUMIFS($P:$P,$B:$B,$CM29,$C:$C,CW$1)</f>
        <v>39.741666666666674</v>
      </c>
      <c r="CX29" s="14">
        <f>SUMIFS($P:$P,$B:$B,$CM29,$C:$C,CX$1)</f>
        <v>6.6374999999999975</v>
      </c>
      <c r="CY29" s="14">
        <f>SUMIFS($P:$P,$B:$B,$CM29,$C:$C,CY$1)</f>
        <v>0</v>
      </c>
      <c r="CZ29" s="556">
        <f t="shared" si="59"/>
        <v>1240.5791666666667</v>
      </c>
      <c r="DA29">
        <f>DA28+1</f>
        <v>2024</v>
      </c>
      <c r="DB29" s="14">
        <f>SUMIFS($R:$R,$B:$B,$DA29,$C:$C,DB$1)</f>
        <v>0</v>
      </c>
      <c r="DC29" s="14">
        <f>SUMIFS($R:$R,$B:$B,$DA29,$C:$C,DC$1)</f>
        <v>0</v>
      </c>
      <c r="DD29" s="14">
        <f>SUMIFS($R:$R,$B:$B,$DA29,$C:$C,DD$1)</f>
        <v>0</v>
      </c>
      <c r="DE29" s="14">
        <f>SUMIFS($R:$R,$B:$B,$DA29,$C:$C,DE$1)</f>
        <v>18.445833333333333</v>
      </c>
      <c r="DF29" s="14">
        <f>SUMIFS($R:$R,$B:$B,$DA29,$C:$C,DF$1)</f>
        <v>210.82499999999999</v>
      </c>
      <c r="DG29" s="14">
        <f>SUMIFS($R:$R,$B:$B,$DA29,$C:$C,DG$1)</f>
        <v>304.68333333333339</v>
      </c>
      <c r="DH29" s="14">
        <f>SUMIFS($R:$R,$B:$B,$DA29,$C:$C,DH$1)</f>
        <v>398.14166666666659</v>
      </c>
      <c r="DI29" s="14">
        <f>SUMIFS($R:$R,$B:$B,$DA29,$C:$C,DI$1)</f>
        <v>336.65000000000003</v>
      </c>
      <c r="DJ29" s="14">
        <f>SUMIFS($R:$R,$B:$B,$DA29,$C:$C,DJ$1)</f>
        <v>239.03749999999997</v>
      </c>
      <c r="DK29" s="14">
        <f>SUMIFS($R:$R,$B:$B,$DA29,$C:$C,DK$1)</f>
        <v>63.495833333333337</v>
      </c>
      <c r="DL29" s="14">
        <f>SUMIFS($R:$R,$B:$B,$DA29,$C:$C,DL$1)</f>
        <v>10.637499999999998</v>
      </c>
      <c r="DM29" s="14">
        <f>SUMIFS($R:$R,$B:$B,$DA29,$C:$C,DM$1)</f>
        <v>0</v>
      </c>
      <c r="DN29" s="556">
        <f t="shared" si="61"/>
        <v>1581.9166666666667</v>
      </c>
      <c r="DO29" s="556"/>
      <c r="DP29" s="18">
        <f>'Monthly Data'!F29</f>
        <v>147459.42927676154</v>
      </c>
      <c r="DQ29" s="18">
        <f>'Monthly Data'!J29</f>
        <v>128161.88559788195</v>
      </c>
      <c r="DR29" s="18">
        <f>'Monthly Data'!N29</f>
        <v>109587.1031404987</v>
      </c>
    </row>
    <row r="30" spans="1:122">
      <c r="A30" s="9">
        <v>43221</v>
      </c>
      <c r="B30">
        <v>2018</v>
      </c>
      <c r="C30">
        <v>5</v>
      </c>
      <c r="D30" s="13">
        <v>13.981720430107529</v>
      </c>
      <c r="E30" s="14">
        <v>189.08749999999998</v>
      </c>
      <c r="F30" s="14">
        <v>2.5208333333333321</v>
      </c>
      <c r="G30" s="14">
        <v>133.90416666666667</v>
      </c>
      <c r="H30" s="14">
        <v>9.3374999999999986</v>
      </c>
      <c r="I30" s="14">
        <v>90.058333333333337</v>
      </c>
      <c r="J30" s="14">
        <v>27.491666666666656</v>
      </c>
      <c r="K30" s="14">
        <v>53.466666666666654</v>
      </c>
      <c r="L30" s="14">
        <v>52.899999999999991</v>
      </c>
      <c r="M30" s="14">
        <v>30.116666666666667</v>
      </c>
      <c r="N30" s="14">
        <v>91.550000000000011</v>
      </c>
      <c r="O30" s="14">
        <v>15.154166666666669</v>
      </c>
      <c r="P30" s="14">
        <v>138.58750000000001</v>
      </c>
      <c r="Q30" s="14">
        <v>4.7541666666666673</v>
      </c>
      <c r="R30" s="14">
        <v>190.18749999999997</v>
      </c>
      <c r="S30" s="30"/>
      <c r="U30">
        <f>U29+1</f>
        <v>2025</v>
      </c>
      <c r="V30" s="14">
        <f>SUMIFS($F:$F,$B:$B,$U30,$C:$C,V$1)</f>
        <v>0</v>
      </c>
      <c r="W30" s="14">
        <f>SUMIFS($F:$F,$B:$B,$U30,$C:$C,W$1)</f>
        <v>0</v>
      </c>
      <c r="X30" s="14">
        <f>SUMIFS($F:$F,$B:$B,$U30,$C:$C,X$1)</f>
        <v>0</v>
      </c>
      <c r="Y30" s="14">
        <f>SUMIFS($F:$F,$B:$B,$U30,$C:$C,Y$1)</f>
        <v>0</v>
      </c>
      <c r="Z30" s="14">
        <f>SUMIFS($F:$F,$B:$B,$U30,$C:$C,Z$1)</f>
        <v>0</v>
      </c>
      <c r="AA30" s="14">
        <f>SUMIFS($F:$F,$B:$B,$U30,$C:$C,AA$1)</f>
        <v>32.862500000000011</v>
      </c>
      <c r="AB30" s="14">
        <f>SUMIFS($F:$F,$B:$B,$U30,$C:$C,AB$1)</f>
        <v>61.560416666666669</v>
      </c>
      <c r="AC30" s="14">
        <f>SUMIFS($F:$F,$B:$B,$U30,$C:$C,AC$1)</f>
        <v>38.35833333333332</v>
      </c>
      <c r="AD30" s="14">
        <f>SUMIFS($F:$F,$B:$B,$U30,$C:$C,AD$1)</f>
        <v>0</v>
      </c>
      <c r="AE30" s="14">
        <f>SUMIFS($F:$F,$B:$B,$U30,$C:$C,AE$1)</f>
        <v>2.6458333333333357</v>
      </c>
      <c r="AF30" s="14">
        <f>SUMIFS($F:$F,$B:$B,$U30,$C:$C,AF$1)</f>
        <v>0</v>
      </c>
      <c r="AG30" s="14">
        <f>SUMIFS($F:$F,$B:$B,$U30,$C:$C,AG$1)</f>
        <v>0</v>
      </c>
      <c r="AH30" s="556">
        <f t="shared" si="49"/>
        <v>135.42708333333334</v>
      </c>
      <c r="AI30">
        <f>AI29+1</f>
        <v>2025</v>
      </c>
      <c r="AJ30" s="14">
        <f>SUMIFS($H:$H,$B:$B,$AI30,$C:$C,AJ$1)</f>
        <v>0</v>
      </c>
      <c r="AK30" s="14">
        <f>SUMIFS($H:$H,$B:$B,$AI30,$C:$C,AK$1)</f>
        <v>0</v>
      </c>
      <c r="AL30" s="14">
        <f>SUMIFS($H:$H,$B:$B,$AI30,$C:$C,AL$1)</f>
        <v>0</v>
      </c>
      <c r="AM30" s="14">
        <f>SUMIFS($H:$H,$B:$B,$AI30,$C:$C,AM$1)</f>
        <v>0</v>
      </c>
      <c r="AN30" s="14">
        <f>SUMIFS($H:$H,$B:$B,$AI30,$C:$C,AN$1)</f>
        <v>2.34375</v>
      </c>
      <c r="AO30" s="14">
        <f>SUMIFS($H:$H,$B:$B,$AI30,$C:$C,AO$1)</f>
        <v>53.908333333333331</v>
      </c>
      <c r="AP30" s="14">
        <f>SUMIFS($H:$H,$B:$B,$AI30,$C:$C,AP$1)</f>
        <v>107.87708333333333</v>
      </c>
      <c r="AQ30" s="14">
        <f>SUMIFS($H:$H,$B:$B,$AI30,$C:$C,AQ$1)</f>
        <v>65.120833333333309</v>
      </c>
      <c r="AR30" s="14">
        <f>SUMIFS($H:$H,$B:$B,$AI30,$C:$C,AR$1)</f>
        <v>0.45416666666666572</v>
      </c>
      <c r="AS30" s="14">
        <f>SUMIFS($H:$H,$B:$B,$AI30,$C:$C,AS$1)</f>
        <v>6.6458333333333357</v>
      </c>
      <c r="AT30" s="14">
        <f>SUMIFS($H:$H,$B:$B,$AI30,$C:$C,AT$1)</f>
        <v>0</v>
      </c>
      <c r="AU30" s="14">
        <f>SUMIFS($H:$H,$B:$B,$AI30,$C:$C,AU$1)</f>
        <v>0</v>
      </c>
      <c r="AV30" s="556">
        <f t="shared" si="51"/>
        <v>236.35</v>
      </c>
      <c r="AW30">
        <f>AW29+1</f>
        <v>2025</v>
      </c>
      <c r="AX30" s="14">
        <f>SUMIFS($J:$J,$B:$B,$AW30,$C:$C,AX$1)</f>
        <v>0</v>
      </c>
      <c r="AY30" s="14">
        <f>SUMIFS($J:$J,$B:$B,$AW30,$C:$C,AY$1)</f>
        <v>0</v>
      </c>
      <c r="AZ30" s="14">
        <f>SUMIFS($J:$J,$B:$B,$AW30,$C:$C,AZ$1)</f>
        <v>0</v>
      </c>
      <c r="BA30" s="14">
        <f>SUMIFS($J:$J,$B:$B,$AW30,$C:$C,BA$1)</f>
        <v>2.0833333333332149E-2</v>
      </c>
      <c r="BB30" s="14">
        <f>SUMIFS($J:$J,$B:$B,$AW30,$C:$C,BB$1)</f>
        <v>14.695833333333336</v>
      </c>
      <c r="BC30" s="14">
        <f>SUMIFS($J:$J,$B:$B,$AW30,$C:$C,BC$1)</f>
        <v>89.6875</v>
      </c>
      <c r="BD30" s="14">
        <f>SUMIFS($J:$J,$B:$B,$AW30,$C:$C,BD$1)</f>
        <v>163.46041666666662</v>
      </c>
      <c r="BE30" s="14">
        <f>SUMIFS($J:$J,$B:$B,$AW30,$C:$C,BE$1)</f>
        <v>106.71041666666666</v>
      </c>
      <c r="BF30" s="14">
        <f>SUMIFS($J:$J,$B:$B,$AW30,$C:$C,BF$1)</f>
        <v>8.9833333333333343</v>
      </c>
      <c r="BG30" s="14">
        <f>SUMIFS($J:$J,$B:$B,$AW30,$C:$C,BG$1)</f>
        <v>13.075000000000003</v>
      </c>
      <c r="BH30" s="14">
        <f>SUMIFS($J:$J,$B:$B,$AW30,$C:$C,BH$1)</f>
        <v>0</v>
      </c>
      <c r="BI30" s="14">
        <f>SUMIFS($J:$J,$B:$B,$AW30,$C:$C,BI$1)</f>
        <v>0</v>
      </c>
      <c r="BJ30" s="556">
        <f t="shared" si="53"/>
        <v>396.63333333333327</v>
      </c>
      <c r="BK30">
        <f>BK29+1</f>
        <v>2025</v>
      </c>
      <c r="BL30" s="14">
        <f>SUMIFS($L:$L,$B:$B,$BK30,$C:$C,BL$1)</f>
        <v>0</v>
      </c>
      <c r="BM30" s="14">
        <f>SUMIFS($L:$L,$B:$B,$BK30,$C:$C,BM$1)</f>
        <v>0</v>
      </c>
      <c r="BN30" s="14">
        <f>SUMIFS($L:$L,$B:$B,$BK30,$C:$C,BN$1)</f>
        <v>0</v>
      </c>
      <c r="BO30" s="14">
        <f>SUMIFS($L:$L,$B:$B,$BK30,$C:$C,BO$1)</f>
        <v>2.0208333333333321</v>
      </c>
      <c r="BP30" s="14">
        <f>SUMIFS($L:$L,$B:$B,$BK30,$C:$C,BP$1)</f>
        <v>35.304166666666674</v>
      </c>
      <c r="BQ30" s="14">
        <f>SUMIFS($L:$L,$B:$B,$BK30,$C:$C,BQ$1)</f>
        <v>137.98333333333338</v>
      </c>
      <c r="BR30" s="14">
        <f>SUMIFS($L:$L,$B:$B,$BK30,$C:$C,BR$1)</f>
        <v>223.84375</v>
      </c>
      <c r="BS30" s="14">
        <f>SUMIFS($L:$L,$B:$B,$BK30,$C:$C,BS$1)</f>
        <v>158.08124999999998</v>
      </c>
      <c r="BT30" s="14">
        <f>SUMIFS($L:$L,$B:$B,$BK30,$C:$C,BT$1)</f>
        <v>33.087500000000006</v>
      </c>
      <c r="BU30" s="14">
        <f>SUMIFS($L:$L,$B:$B,$BK30,$C:$C,BU$1)</f>
        <v>22.220833333333335</v>
      </c>
      <c r="BV30" s="14">
        <f>SUMIFS($L:$L,$B:$B,$BK30,$C:$C,BV$1)</f>
        <v>0</v>
      </c>
      <c r="BW30" s="14">
        <f>SUMIFS($L:$L,$B:$B,$BK30,$C:$C,BW$1)</f>
        <v>0</v>
      </c>
      <c r="BX30" s="556">
        <f t="shared" si="55"/>
        <v>612.54166666666663</v>
      </c>
      <c r="BY30">
        <f>BY29+1</f>
        <v>2025</v>
      </c>
      <c r="BZ30" s="14">
        <f>SUMIFS($N:$N,$B:$B,$BY30,$C:$C,BZ$1)</f>
        <v>0</v>
      </c>
      <c r="CA30" s="14">
        <f>SUMIFS($N:$N,$B:$B,$BY30,$C:$C,CA$1)</f>
        <v>0</v>
      </c>
      <c r="CB30" s="14">
        <f>SUMIFS($N:$N,$B:$B,$BY30,$C:$C,CB$1)</f>
        <v>0</v>
      </c>
      <c r="CC30" s="14">
        <f>SUMIFS($N:$N,$B:$B,$BY30,$C:$C,CC$1)</f>
        <v>4.6874999999999982</v>
      </c>
      <c r="CD30" s="14">
        <f>SUMIFS($N:$N,$B:$B,$BY30,$C:$C,CD$1)</f>
        <v>62.020833333333329</v>
      </c>
      <c r="CE30" s="14">
        <f>SUMIFS($N:$N,$B:$B,$BY30,$C:$C,CE$1)</f>
        <v>191.33749999999998</v>
      </c>
      <c r="CF30" s="14">
        <f>SUMIFS($N:$N,$B:$B,$BY30,$C:$C,CF$1)</f>
        <v>285.84375000000006</v>
      </c>
      <c r="CG30" s="14">
        <f>SUMIFS($N:$N,$B:$B,$BY30,$C:$C,CG$1)</f>
        <v>218.76041666666663</v>
      </c>
      <c r="CH30" s="14">
        <f>SUMIFS($N:$N,$B:$B,$BY30,$C:$C,CH$1)</f>
        <v>73.020833333333343</v>
      </c>
      <c r="CI30" s="14">
        <f>SUMIFS($N:$N,$B:$B,$BY30,$C:$C,CI$1)</f>
        <v>37.666666666666671</v>
      </c>
      <c r="CJ30" s="14">
        <f>SUMIFS($N:$N,$B:$B,$BY30,$C:$C,CJ$1)</f>
        <v>0</v>
      </c>
      <c r="CK30" s="14">
        <f>SUMIFS($N:$N,$B:$B,$BY30,$C:$C,CK$1)</f>
        <v>0</v>
      </c>
      <c r="CL30" s="556">
        <f t="shared" si="57"/>
        <v>873.33749999999998</v>
      </c>
      <c r="CM30">
        <f>CM29+1</f>
        <v>2025</v>
      </c>
      <c r="CN30" s="14">
        <f>SUMIFS($P:$P,$B:$B,$CM30,$C:$C,CN$1)</f>
        <v>0</v>
      </c>
      <c r="CO30" s="14">
        <f>SUMIFS($P:$P,$B:$B,$CM30,$C:$C,CO$1)</f>
        <v>0</v>
      </c>
      <c r="CP30" s="14">
        <f>SUMIFS($P:$P,$B:$B,$CM30,$C:$C,CP$1)</f>
        <v>0</v>
      </c>
      <c r="CQ30" s="14">
        <f>SUMIFS($P:$P,$B:$B,$CM30,$C:$C,CQ$1)</f>
        <v>8.80833333333333</v>
      </c>
      <c r="CR30" s="14">
        <f>SUMIFS($P:$P,$B:$B,$CM30,$C:$C,CR$1)</f>
        <v>94.225000000000009</v>
      </c>
      <c r="CS30" s="14">
        <f>SUMIFS($P:$P,$B:$B,$CM30,$C:$C,CS$1)</f>
        <v>248.45</v>
      </c>
      <c r="CT30" s="14">
        <f>SUMIFS($P:$P,$B:$B,$CM30,$C:$C,CT$1)</f>
        <v>347.84375000000006</v>
      </c>
      <c r="CU30" s="14">
        <f>SUMIFS($P:$P,$B:$B,$CM30,$C:$C,CU$1)</f>
        <v>280.76041666666669</v>
      </c>
      <c r="CV30" s="14">
        <f>SUMIFS($P:$P,$B:$B,$CM30,$C:$C,CV$1)</f>
        <v>125.17083333333335</v>
      </c>
      <c r="CW30" s="14">
        <f>SUMIFS($P:$P,$B:$B,$CM30,$C:$C,CW$1)</f>
        <v>56.94583333333334</v>
      </c>
      <c r="CX30" s="14">
        <f>SUMIFS($P:$P,$B:$B,$CM30,$C:$C,CX$1)</f>
        <v>0</v>
      </c>
      <c r="CY30" s="14">
        <f>SUMIFS($P:$P,$B:$B,$CM30,$C:$C,CY$1)</f>
        <v>0</v>
      </c>
      <c r="CZ30" s="556">
        <f t="shared" si="59"/>
        <v>1162.2041666666669</v>
      </c>
      <c r="DA30">
        <f>DA29+1</f>
        <v>2025</v>
      </c>
      <c r="DB30" s="14">
        <f>SUMIFS($R:$R,$B:$B,$DA30,$C:$C,DB$1)</f>
        <v>0</v>
      </c>
      <c r="DC30" s="14">
        <f>SUMIFS($R:$R,$B:$B,$DA30,$C:$C,DC$1)</f>
        <v>0</v>
      </c>
      <c r="DD30" s="14">
        <f>SUMIFS($R:$R,$B:$B,$DA30,$C:$C,DD$1)</f>
        <v>0</v>
      </c>
      <c r="DE30" s="14">
        <f>SUMIFS($R:$R,$B:$B,$DA30,$C:$C,DE$1)</f>
        <v>18.695833333333333</v>
      </c>
      <c r="DF30" s="14">
        <f>SUMIFS($R:$R,$B:$B,$DA30,$C:$C,DF$1)</f>
        <v>140.16249999999997</v>
      </c>
      <c r="DG30" s="14">
        <f>SUMIFS($R:$R,$B:$B,$DA30,$C:$C,DG$1)</f>
        <v>307.07499999999999</v>
      </c>
      <c r="DH30" s="14">
        <f>SUMIFS($R:$R,$B:$B,$DA30,$C:$C,DH$1)</f>
        <v>409.84375000000006</v>
      </c>
      <c r="DI30" s="14">
        <f>SUMIFS($R:$R,$B:$B,$DA30,$C:$C,DI$1)</f>
        <v>342.76041666666669</v>
      </c>
      <c r="DJ30" s="14">
        <f>SUMIFS($R:$R,$B:$B,$DA30,$C:$C,DJ$1)</f>
        <v>182.55416666666667</v>
      </c>
      <c r="DK30" s="14">
        <f>SUMIFS($R:$R,$B:$B,$DA30,$C:$C,DK$1)</f>
        <v>82.104166666666657</v>
      </c>
      <c r="DL30" s="14">
        <f>SUMIFS($R:$R,$B:$B,$DA30,$C:$C,DL$1)</f>
        <v>0</v>
      </c>
      <c r="DM30" s="14">
        <f>SUMIFS($R:$R,$B:$B,$DA30,$C:$C,DM$1)</f>
        <v>0</v>
      </c>
      <c r="DN30" s="556">
        <f t="shared" si="61"/>
        <v>1483.1958333333334</v>
      </c>
      <c r="DO30" s="556"/>
      <c r="DP30" s="18">
        <f>'Monthly Data'!F30</f>
        <v>150551.20428724677</v>
      </c>
      <c r="DQ30" s="18">
        <f>'Monthly Data'!J30</f>
        <v>132049.41240085484</v>
      </c>
      <c r="DR30" s="18">
        <f>'Monthly Data'!N30</f>
        <v>112740.77367768905</v>
      </c>
    </row>
    <row r="31" spans="1:122">
      <c r="A31" s="9">
        <v>43252</v>
      </c>
      <c r="B31">
        <v>2018</v>
      </c>
      <c r="C31">
        <v>6</v>
      </c>
      <c r="D31" s="13">
        <v>16.817638888888887</v>
      </c>
      <c r="E31" s="14">
        <v>109.22083333333332</v>
      </c>
      <c r="F31" s="14">
        <v>13.749999999999989</v>
      </c>
      <c r="G31" s="14">
        <v>61.166666666666629</v>
      </c>
      <c r="H31" s="14">
        <v>25.695833333333322</v>
      </c>
      <c r="I31" s="14">
        <v>23.574999999999989</v>
      </c>
      <c r="J31" s="14">
        <v>48.104166666666657</v>
      </c>
      <c r="K31" s="14">
        <v>4.7916666666666625</v>
      </c>
      <c r="L31" s="14">
        <v>89.320833333333354</v>
      </c>
      <c r="M31" s="14">
        <v>0.82083333333333464</v>
      </c>
      <c r="N31" s="14">
        <v>145.35</v>
      </c>
      <c r="O31" s="14">
        <v>0</v>
      </c>
      <c r="P31" s="14">
        <v>204.52916666666664</v>
      </c>
      <c r="Q31" s="14">
        <v>0</v>
      </c>
      <c r="R31" s="14">
        <v>264.52916666666664</v>
      </c>
      <c r="S31" s="30"/>
      <c r="U31" s="77">
        <f>U30+1</f>
        <v>2026</v>
      </c>
      <c r="V31" s="328">
        <f t="shared" ref="V31:AG31" si="62">AVERAGE(V21:V30)</f>
        <v>0</v>
      </c>
      <c r="W31" s="328">
        <f t="shared" si="62"/>
        <v>0</v>
      </c>
      <c r="X31" s="328">
        <f t="shared" si="62"/>
        <v>0</v>
      </c>
      <c r="Y31" s="328">
        <f t="shared" si="62"/>
        <v>0</v>
      </c>
      <c r="Z31" s="328">
        <f t="shared" si="62"/>
        <v>4.5312499999999982</v>
      </c>
      <c r="AA31" s="328">
        <f t="shared" si="62"/>
        <v>19.564583333333331</v>
      </c>
      <c r="AB31" s="328">
        <f t="shared" si="62"/>
        <v>43.461249999999993</v>
      </c>
      <c r="AC31" s="328">
        <f t="shared" si="62"/>
        <v>25.37791666666666</v>
      </c>
      <c r="AD31" s="328">
        <f t="shared" si="62"/>
        <v>4.6616666666666644</v>
      </c>
      <c r="AE31" s="328">
        <f t="shared" si="62"/>
        <v>0.26458333333333356</v>
      </c>
      <c r="AF31" s="328">
        <f t="shared" si="62"/>
        <v>0</v>
      </c>
      <c r="AG31" s="328">
        <f t="shared" si="62"/>
        <v>0</v>
      </c>
      <c r="AH31" s="557">
        <f>SUM(V31:AG31)</f>
        <v>97.861249999999984</v>
      </c>
      <c r="AI31" s="77">
        <f>AI30+1</f>
        <v>2026</v>
      </c>
      <c r="AJ31" s="328">
        <f t="shared" ref="AJ31:AU31" si="63">AVERAGE(AJ21:AJ30)</f>
        <v>0</v>
      </c>
      <c r="AK31" s="328">
        <f t="shared" si="63"/>
        <v>0</v>
      </c>
      <c r="AL31" s="328">
        <f t="shared" si="63"/>
        <v>0</v>
      </c>
      <c r="AM31" s="328">
        <f t="shared" si="63"/>
        <v>0</v>
      </c>
      <c r="AN31" s="328">
        <f t="shared" si="63"/>
        <v>11.748333333333331</v>
      </c>
      <c r="AO31" s="328">
        <f t="shared" si="63"/>
        <v>38.647499999999994</v>
      </c>
      <c r="AP31" s="328">
        <f t="shared" si="63"/>
        <v>86.563333333333318</v>
      </c>
      <c r="AQ31" s="328">
        <f t="shared" si="63"/>
        <v>55.666249999999991</v>
      </c>
      <c r="AR31" s="328">
        <f t="shared" si="63"/>
        <v>12.891249999999996</v>
      </c>
      <c r="AS31" s="328">
        <f t="shared" si="63"/>
        <v>1.1929166666666666</v>
      </c>
      <c r="AT31" s="328">
        <f t="shared" si="63"/>
        <v>9.0000000000000219E-2</v>
      </c>
      <c r="AU31" s="328">
        <f t="shared" si="63"/>
        <v>0</v>
      </c>
      <c r="AV31" s="557">
        <f>SUM(AJ31:AU31)</f>
        <v>206.79958333333329</v>
      </c>
      <c r="AW31" s="77">
        <f>AW30+1</f>
        <v>2026</v>
      </c>
      <c r="AX31" s="328">
        <f t="shared" ref="AX31:BI31" si="64">AVERAGE(AX21:AX30)</f>
        <v>0</v>
      </c>
      <c r="AY31" s="328">
        <f t="shared" si="64"/>
        <v>0</v>
      </c>
      <c r="AZ31" s="328">
        <f t="shared" si="64"/>
        <v>0</v>
      </c>
      <c r="BA31" s="328">
        <f t="shared" si="64"/>
        <v>0.10958333333333314</v>
      </c>
      <c r="BB31" s="328">
        <f t="shared" si="64"/>
        <v>25.584791666666661</v>
      </c>
      <c r="BC31" s="328">
        <f t="shared" si="64"/>
        <v>71.254583333333329</v>
      </c>
      <c r="BD31" s="328">
        <f t="shared" si="64"/>
        <v>143.17708333333331</v>
      </c>
      <c r="BE31" s="328">
        <f t="shared" si="64"/>
        <v>101.44270833333331</v>
      </c>
      <c r="BF31" s="328">
        <f t="shared" si="64"/>
        <v>29.37833333333333</v>
      </c>
      <c r="BG31" s="328">
        <f t="shared" si="64"/>
        <v>4.1383333333333336</v>
      </c>
      <c r="BH31" s="328">
        <f t="shared" si="64"/>
        <v>0.2900000000000002</v>
      </c>
      <c r="BI31" s="328">
        <f t="shared" si="64"/>
        <v>0</v>
      </c>
      <c r="BJ31" s="557">
        <f>SUM(AX31:BI31)</f>
        <v>375.37541666666664</v>
      </c>
      <c r="BK31" s="77">
        <f>BK30+1</f>
        <v>2026</v>
      </c>
      <c r="BL31" s="328">
        <f t="shared" ref="BL31:BW31" si="65">AVERAGE(BL21:BL30)</f>
        <v>0</v>
      </c>
      <c r="BM31" s="328">
        <f t="shared" si="65"/>
        <v>0</v>
      </c>
      <c r="BN31" s="328">
        <f t="shared" si="65"/>
        <v>0</v>
      </c>
      <c r="BO31" s="328">
        <f t="shared" si="65"/>
        <v>0.88208333333333366</v>
      </c>
      <c r="BP31" s="328">
        <f t="shared" si="65"/>
        <v>46.13604166666665</v>
      </c>
      <c r="BQ31" s="328">
        <f t="shared" si="65"/>
        <v>116.09625000000001</v>
      </c>
      <c r="BR31" s="328">
        <f t="shared" si="65"/>
        <v>204.02916666666664</v>
      </c>
      <c r="BS31" s="328">
        <f t="shared" si="65"/>
        <v>157.46729166666665</v>
      </c>
      <c r="BT31" s="328">
        <f t="shared" si="65"/>
        <v>56.210833333333333</v>
      </c>
      <c r="BU31" s="328">
        <f t="shared" si="65"/>
        <v>9.9754166666666659</v>
      </c>
      <c r="BV31" s="328">
        <f t="shared" si="65"/>
        <v>0.93708333333333338</v>
      </c>
      <c r="BW31" s="328">
        <f t="shared" si="65"/>
        <v>0</v>
      </c>
      <c r="BX31" s="557">
        <f>SUM(BL31:BW31)</f>
        <v>591.73416666666662</v>
      </c>
      <c r="BY31" s="77">
        <f>BY30+1</f>
        <v>2026</v>
      </c>
      <c r="BZ31" s="328">
        <f t="shared" ref="BZ31:CK31" si="66">AVERAGE(BZ21:BZ30)</f>
        <v>0</v>
      </c>
      <c r="CA31" s="328">
        <f t="shared" si="66"/>
        <v>0</v>
      </c>
      <c r="CB31" s="328">
        <f t="shared" si="66"/>
        <v>0</v>
      </c>
      <c r="CC31" s="328">
        <f t="shared" si="66"/>
        <v>2.8104166666666677</v>
      </c>
      <c r="CD31" s="328">
        <f t="shared" si="66"/>
        <v>74.673124999999999</v>
      </c>
      <c r="CE31" s="328">
        <f t="shared" si="66"/>
        <v>169.78833333333333</v>
      </c>
      <c r="CF31" s="328">
        <f t="shared" si="66"/>
        <v>265.99625000000003</v>
      </c>
      <c r="CG31" s="328">
        <f t="shared" si="66"/>
        <v>218.46562499999996</v>
      </c>
      <c r="CH31" s="328">
        <f t="shared" si="66"/>
        <v>95.131249999999994</v>
      </c>
      <c r="CI31" s="328">
        <f t="shared" si="66"/>
        <v>21.813750000000006</v>
      </c>
      <c r="CJ31" s="328">
        <f t="shared" si="66"/>
        <v>2.2795833333333335</v>
      </c>
      <c r="CK31" s="328">
        <f t="shared" si="66"/>
        <v>0</v>
      </c>
      <c r="CL31" s="557">
        <f>SUM(BZ31:CK31)</f>
        <v>850.95833333333337</v>
      </c>
      <c r="CM31" s="77">
        <f>CM30+1</f>
        <v>2026</v>
      </c>
      <c r="CN31" s="328">
        <f t="shared" ref="CN31:CY31" si="67">AVERAGE(CN21:CN30)</f>
        <v>0</v>
      </c>
      <c r="CO31" s="328">
        <f t="shared" si="67"/>
        <v>0</v>
      </c>
      <c r="CP31" s="328">
        <f t="shared" si="67"/>
        <v>0.11000000000000032</v>
      </c>
      <c r="CQ31" s="328">
        <f t="shared" si="67"/>
        <v>7.7354166666666684</v>
      </c>
      <c r="CR31" s="328">
        <f t="shared" si="67"/>
        <v>111.43645833333332</v>
      </c>
      <c r="CS31" s="328">
        <f t="shared" si="67"/>
        <v>227.31958333333333</v>
      </c>
      <c r="CT31" s="328">
        <f t="shared" si="67"/>
        <v>327.99625000000003</v>
      </c>
      <c r="CU31" s="328">
        <f t="shared" si="67"/>
        <v>280.40312500000005</v>
      </c>
      <c r="CV31" s="328">
        <f t="shared" si="67"/>
        <v>144.00333333333333</v>
      </c>
      <c r="CW31" s="328">
        <f t="shared" si="67"/>
        <v>40.02791666666667</v>
      </c>
      <c r="CX31" s="328">
        <f t="shared" si="67"/>
        <v>4.5920833333333331</v>
      </c>
      <c r="CY31" s="328">
        <f t="shared" si="67"/>
        <v>0</v>
      </c>
      <c r="CZ31" s="557">
        <f>SUM(CN31:CY31)</f>
        <v>1143.6241666666665</v>
      </c>
      <c r="DA31" s="77">
        <f>DA30+1</f>
        <v>2026</v>
      </c>
      <c r="DB31" s="328">
        <f t="shared" ref="DB31:DM31" si="68">AVERAGE(DB21:DB30)</f>
        <v>0</v>
      </c>
      <c r="DC31" s="328">
        <f t="shared" si="68"/>
        <v>0</v>
      </c>
      <c r="DD31" s="328">
        <f t="shared" si="68"/>
        <v>0.72375000000000056</v>
      </c>
      <c r="DE31" s="328">
        <f t="shared" si="68"/>
        <v>16.344999999999999</v>
      </c>
      <c r="DF31" s="328">
        <f t="shared" si="68"/>
        <v>157.8352083333333</v>
      </c>
      <c r="DG31" s="328">
        <f t="shared" si="68"/>
        <v>286.81333333333333</v>
      </c>
      <c r="DH31" s="328">
        <f t="shared" si="68"/>
        <v>389.99625000000003</v>
      </c>
      <c r="DI31" s="328">
        <f t="shared" si="68"/>
        <v>342.40312500000005</v>
      </c>
      <c r="DJ31" s="328">
        <f t="shared" si="68"/>
        <v>199.58499999999998</v>
      </c>
      <c r="DK31" s="328">
        <f t="shared" si="68"/>
        <v>64.804583333333326</v>
      </c>
      <c r="DL31" s="328">
        <f t="shared" si="68"/>
        <v>7.6916666666666673</v>
      </c>
      <c r="DM31" s="328">
        <f t="shared" si="68"/>
        <v>1.5476190476190333E-2</v>
      </c>
      <c r="DN31" s="557">
        <f>SUM(DB31:DM31)</f>
        <v>1466.2133928571429</v>
      </c>
      <c r="DO31" s="557"/>
      <c r="DP31" s="18">
        <f>'Monthly Data'!F31</f>
        <v>153642.979297732</v>
      </c>
      <c r="DQ31" s="18">
        <f>'Monthly Data'!J31</f>
        <v>135936.9392038277</v>
      </c>
      <c r="DR31" s="18">
        <f>'Monthly Data'!N31</f>
        <v>115894.4442148794</v>
      </c>
    </row>
    <row r="32" spans="1:122">
      <c r="A32" s="9">
        <v>43282</v>
      </c>
      <c r="B32">
        <v>2018</v>
      </c>
      <c r="C32">
        <v>7</v>
      </c>
      <c r="D32" s="13">
        <v>21.512231182795702</v>
      </c>
      <c r="E32" s="14">
        <v>15.241666666666678</v>
      </c>
      <c r="F32" s="14">
        <v>62.120833333333351</v>
      </c>
      <c r="G32" s="14">
        <v>1.9291666666666636</v>
      </c>
      <c r="H32" s="14">
        <v>110.80833333333332</v>
      </c>
      <c r="I32" s="14">
        <v>0</v>
      </c>
      <c r="J32" s="14">
        <v>170.87916666666661</v>
      </c>
      <c r="K32" s="14">
        <v>0</v>
      </c>
      <c r="L32" s="14">
        <v>232.87916666666661</v>
      </c>
      <c r="M32" s="14">
        <v>0</v>
      </c>
      <c r="N32" s="14">
        <v>294.87916666666672</v>
      </c>
      <c r="O32" s="14">
        <v>0</v>
      </c>
      <c r="P32" s="14">
        <v>356.87916666666678</v>
      </c>
      <c r="Q32" s="14">
        <v>0</v>
      </c>
      <c r="R32" s="14">
        <v>418.87916666666678</v>
      </c>
      <c r="S32" s="30"/>
      <c r="U32" s="77">
        <f>U31+1</f>
        <v>2027</v>
      </c>
      <c r="V32" s="328">
        <f t="shared" ref="V32:AG32" si="69">V31</f>
        <v>0</v>
      </c>
      <c r="W32" s="328">
        <f t="shared" si="69"/>
        <v>0</v>
      </c>
      <c r="X32" s="328">
        <f t="shared" si="69"/>
        <v>0</v>
      </c>
      <c r="Y32" s="328">
        <f t="shared" si="69"/>
        <v>0</v>
      </c>
      <c r="Z32" s="328">
        <f t="shared" si="69"/>
        <v>4.5312499999999982</v>
      </c>
      <c r="AA32" s="328">
        <f t="shared" si="69"/>
        <v>19.564583333333331</v>
      </c>
      <c r="AB32" s="328">
        <f t="shared" si="69"/>
        <v>43.461249999999993</v>
      </c>
      <c r="AC32" s="328">
        <f t="shared" si="69"/>
        <v>25.37791666666666</v>
      </c>
      <c r="AD32" s="328">
        <f t="shared" si="69"/>
        <v>4.6616666666666644</v>
      </c>
      <c r="AE32" s="328">
        <f t="shared" si="69"/>
        <v>0.26458333333333356</v>
      </c>
      <c r="AF32" s="328">
        <f t="shared" si="69"/>
        <v>0</v>
      </c>
      <c r="AG32" s="328">
        <f t="shared" si="69"/>
        <v>0</v>
      </c>
      <c r="AH32" s="557">
        <f t="shared" si="49"/>
        <v>97.861249999999984</v>
      </c>
      <c r="AI32" s="77">
        <f>AI31+1</f>
        <v>2027</v>
      </c>
      <c r="AJ32" s="328">
        <f t="shared" ref="AJ32:AU32" si="70">AJ31</f>
        <v>0</v>
      </c>
      <c r="AK32" s="328">
        <f t="shared" si="70"/>
        <v>0</v>
      </c>
      <c r="AL32" s="328">
        <f t="shared" si="70"/>
        <v>0</v>
      </c>
      <c r="AM32" s="328">
        <f t="shared" si="70"/>
        <v>0</v>
      </c>
      <c r="AN32" s="328">
        <f t="shared" si="70"/>
        <v>11.748333333333331</v>
      </c>
      <c r="AO32" s="328">
        <f t="shared" si="70"/>
        <v>38.647499999999994</v>
      </c>
      <c r="AP32" s="328">
        <f t="shared" si="70"/>
        <v>86.563333333333318</v>
      </c>
      <c r="AQ32" s="328">
        <f t="shared" si="70"/>
        <v>55.666249999999991</v>
      </c>
      <c r="AR32" s="328">
        <f t="shared" si="70"/>
        <v>12.891249999999996</v>
      </c>
      <c r="AS32" s="328">
        <f t="shared" si="70"/>
        <v>1.1929166666666666</v>
      </c>
      <c r="AT32" s="328">
        <f t="shared" si="70"/>
        <v>9.0000000000000219E-2</v>
      </c>
      <c r="AU32" s="328">
        <f t="shared" si="70"/>
        <v>0</v>
      </c>
      <c r="AV32" s="557">
        <f t="shared" si="51"/>
        <v>206.79958333333329</v>
      </c>
      <c r="AW32" s="77">
        <f>AW31+1</f>
        <v>2027</v>
      </c>
      <c r="AX32" s="328">
        <f t="shared" ref="AX32:BI32" si="71">AX31</f>
        <v>0</v>
      </c>
      <c r="AY32" s="328">
        <f t="shared" si="71"/>
        <v>0</v>
      </c>
      <c r="AZ32" s="328">
        <f t="shared" si="71"/>
        <v>0</v>
      </c>
      <c r="BA32" s="328">
        <f t="shared" si="71"/>
        <v>0.10958333333333314</v>
      </c>
      <c r="BB32" s="328">
        <f t="shared" si="71"/>
        <v>25.584791666666661</v>
      </c>
      <c r="BC32" s="328">
        <f t="shared" si="71"/>
        <v>71.254583333333329</v>
      </c>
      <c r="BD32" s="328">
        <f t="shared" si="71"/>
        <v>143.17708333333331</v>
      </c>
      <c r="BE32" s="328">
        <f t="shared" si="71"/>
        <v>101.44270833333331</v>
      </c>
      <c r="BF32" s="328">
        <f t="shared" si="71"/>
        <v>29.37833333333333</v>
      </c>
      <c r="BG32" s="328">
        <f t="shared" si="71"/>
        <v>4.1383333333333336</v>
      </c>
      <c r="BH32" s="328">
        <f t="shared" si="71"/>
        <v>0.2900000000000002</v>
      </c>
      <c r="BI32" s="328">
        <f t="shared" si="71"/>
        <v>0</v>
      </c>
      <c r="BJ32" s="557">
        <f t="shared" si="53"/>
        <v>375.37541666666664</v>
      </c>
      <c r="BK32" s="77">
        <f>BK31+1</f>
        <v>2027</v>
      </c>
      <c r="BL32" s="328">
        <f t="shared" ref="BL32:BW32" si="72">BL31</f>
        <v>0</v>
      </c>
      <c r="BM32" s="328">
        <f t="shared" si="72"/>
        <v>0</v>
      </c>
      <c r="BN32" s="328">
        <f t="shared" si="72"/>
        <v>0</v>
      </c>
      <c r="BO32" s="328">
        <f t="shared" si="72"/>
        <v>0.88208333333333366</v>
      </c>
      <c r="BP32" s="328">
        <f t="shared" si="72"/>
        <v>46.13604166666665</v>
      </c>
      <c r="BQ32" s="328">
        <f t="shared" si="72"/>
        <v>116.09625000000001</v>
      </c>
      <c r="BR32" s="328">
        <f t="shared" si="72"/>
        <v>204.02916666666664</v>
      </c>
      <c r="BS32" s="328">
        <f t="shared" si="72"/>
        <v>157.46729166666665</v>
      </c>
      <c r="BT32" s="328">
        <f t="shared" si="72"/>
        <v>56.210833333333333</v>
      </c>
      <c r="BU32" s="328">
        <f t="shared" si="72"/>
        <v>9.9754166666666659</v>
      </c>
      <c r="BV32" s="328">
        <f t="shared" si="72"/>
        <v>0.93708333333333338</v>
      </c>
      <c r="BW32" s="328">
        <f t="shared" si="72"/>
        <v>0</v>
      </c>
      <c r="BX32" s="557">
        <f t="shared" si="55"/>
        <v>591.73416666666662</v>
      </c>
      <c r="BY32" s="77">
        <f>BY31+1</f>
        <v>2027</v>
      </c>
      <c r="BZ32" s="328">
        <f t="shared" ref="BZ32:CK32" si="73">BZ31</f>
        <v>0</v>
      </c>
      <c r="CA32" s="328">
        <f t="shared" si="73"/>
        <v>0</v>
      </c>
      <c r="CB32" s="328">
        <f t="shared" si="73"/>
        <v>0</v>
      </c>
      <c r="CC32" s="328">
        <f t="shared" si="73"/>
        <v>2.8104166666666677</v>
      </c>
      <c r="CD32" s="328">
        <f t="shared" si="73"/>
        <v>74.673124999999999</v>
      </c>
      <c r="CE32" s="328">
        <f t="shared" si="73"/>
        <v>169.78833333333333</v>
      </c>
      <c r="CF32" s="328">
        <f t="shared" si="73"/>
        <v>265.99625000000003</v>
      </c>
      <c r="CG32" s="328">
        <f t="shared" si="73"/>
        <v>218.46562499999996</v>
      </c>
      <c r="CH32" s="328">
        <f t="shared" si="73"/>
        <v>95.131249999999994</v>
      </c>
      <c r="CI32" s="328">
        <f t="shared" si="73"/>
        <v>21.813750000000006</v>
      </c>
      <c r="CJ32" s="328">
        <f t="shared" si="73"/>
        <v>2.2795833333333335</v>
      </c>
      <c r="CK32" s="328">
        <f t="shared" si="73"/>
        <v>0</v>
      </c>
      <c r="CL32" s="557">
        <f t="shared" si="57"/>
        <v>850.95833333333337</v>
      </c>
      <c r="CM32" s="77">
        <f>CM31+1</f>
        <v>2027</v>
      </c>
      <c r="CN32" s="328">
        <f t="shared" ref="CN32:CY32" si="74">CN31</f>
        <v>0</v>
      </c>
      <c r="CO32" s="328">
        <f t="shared" si="74"/>
        <v>0</v>
      </c>
      <c r="CP32" s="328">
        <f t="shared" si="74"/>
        <v>0.11000000000000032</v>
      </c>
      <c r="CQ32" s="328">
        <f t="shared" si="74"/>
        <v>7.7354166666666684</v>
      </c>
      <c r="CR32" s="328">
        <f t="shared" si="74"/>
        <v>111.43645833333332</v>
      </c>
      <c r="CS32" s="328">
        <f t="shared" si="74"/>
        <v>227.31958333333333</v>
      </c>
      <c r="CT32" s="328">
        <f t="shared" si="74"/>
        <v>327.99625000000003</v>
      </c>
      <c r="CU32" s="328">
        <f t="shared" si="74"/>
        <v>280.40312500000005</v>
      </c>
      <c r="CV32" s="328">
        <f t="shared" si="74"/>
        <v>144.00333333333333</v>
      </c>
      <c r="CW32" s="328">
        <f t="shared" si="74"/>
        <v>40.02791666666667</v>
      </c>
      <c r="CX32" s="328">
        <f t="shared" si="74"/>
        <v>4.5920833333333331</v>
      </c>
      <c r="CY32" s="328">
        <f t="shared" si="74"/>
        <v>0</v>
      </c>
      <c r="CZ32" s="557">
        <f t="shared" si="59"/>
        <v>1143.6241666666665</v>
      </c>
      <c r="DA32" s="77">
        <f>DA31+1</f>
        <v>2027</v>
      </c>
      <c r="DB32" s="328">
        <f t="shared" ref="DB32:DM32" si="75">DB31</f>
        <v>0</v>
      </c>
      <c r="DC32" s="328">
        <f t="shared" si="75"/>
        <v>0</v>
      </c>
      <c r="DD32" s="328">
        <f t="shared" si="75"/>
        <v>0.72375000000000056</v>
      </c>
      <c r="DE32" s="328">
        <f t="shared" si="75"/>
        <v>16.344999999999999</v>
      </c>
      <c r="DF32" s="328">
        <f t="shared" si="75"/>
        <v>157.8352083333333</v>
      </c>
      <c r="DG32" s="328">
        <f t="shared" si="75"/>
        <v>286.81333333333333</v>
      </c>
      <c r="DH32" s="328">
        <f t="shared" si="75"/>
        <v>389.99625000000003</v>
      </c>
      <c r="DI32" s="328">
        <f t="shared" si="75"/>
        <v>342.40312500000005</v>
      </c>
      <c r="DJ32" s="328">
        <f t="shared" si="75"/>
        <v>199.58499999999998</v>
      </c>
      <c r="DK32" s="328">
        <f t="shared" si="75"/>
        <v>64.804583333333326</v>
      </c>
      <c r="DL32" s="328">
        <f t="shared" si="75"/>
        <v>7.6916666666666673</v>
      </c>
      <c r="DM32" s="328">
        <f t="shared" si="75"/>
        <v>1.5476190476190333E-2</v>
      </c>
      <c r="DN32" s="557">
        <f t="shared" si="61"/>
        <v>1466.2133928571429</v>
      </c>
      <c r="DO32" s="557"/>
      <c r="DP32" s="18">
        <f>'Monthly Data'!F32</f>
        <v>156734.75430821723</v>
      </c>
      <c r="DQ32" s="18">
        <f>'Monthly Data'!J32</f>
        <v>139824.46600680059</v>
      </c>
      <c r="DR32" s="18">
        <f>'Monthly Data'!N32</f>
        <v>119048.11475206976</v>
      </c>
    </row>
    <row r="33" spans="1:122">
      <c r="A33" s="9">
        <v>43313</v>
      </c>
      <c r="B33">
        <v>2018</v>
      </c>
      <c r="C33">
        <v>8</v>
      </c>
      <c r="D33" s="13">
        <v>20.291935483870969</v>
      </c>
      <c r="E33" s="14">
        <v>25.450000000000003</v>
      </c>
      <c r="F33" s="14">
        <v>34.500000000000007</v>
      </c>
      <c r="G33" s="14">
        <v>8.2375000000000007</v>
      </c>
      <c r="H33" s="14">
        <v>79.287499999999994</v>
      </c>
      <c r="I33" s="14">
        <v>3.0000000000000036</v>
      </c>
      <c r="J33" s="14">
        <v>136.05000000000001</v>
      </c>
      <c r="K33" s="14">
        <v>0</v>
      </c>
      <c r="L33" s="14">
        <v>195.04999999999998</v>
      </c>
      <c r="M33" s="14">
        <v>0</v>
      </c>
      <c r="N33" s="14">
        <v>257.05</v>
      </c>
      <c r="O33" s="14">
        <v>0</v>
      </c>
      <c r="P33" s="14">
        <v>319.05000000000013</v>
      </c>
      <c r="Q33" s="14">
        <v>0</v>
      </c>
      <c r="R33" s="14">
        <v>381.05000000000013</v>
      </c>
      <c r="S33" s="30"/>
      <c r="AH33" s="556"/>
      <c r="AV33" s="556"/>
      <c r="BJ33" s="556"/>
      <c r="BX33" s="556"/>
      <c r="CL33" s="556"/>
      <c r="CZ33" s="556"/>
      <c r="DN33" s="556"/>
      <c r="DO33" s="556"/>
      <c r="DP33" s="18">
        <f>'Monthly Data'!F33</f>
        <v>159826.52931870247</v>
      </c>
      <c r="DQ33" s="18">
        <f>'Monthly Data'!J33</f>
        <v>143711.99280977348</v>
      </c>
      <c r="DR33" s="18">
        <f>'Monthly Data'!N33</f>
        <v>122201.78528926011</v>
      </c>
    </row>
    <row r="34" spans="1:122">
      <c r="A34" s="9">
        <v>43344</v>
      </c>
      <c r="B34">
        <v>2018</v>
      </c>
      <c r="C34">
        <v>9</v>
      </c>
      <c r="D34" s="13">
        <v>14.931250000000002</v>
      </c>
      <c r="E34" s="14">
        <v>165.60416666666669</v>
      </c>
      <c r="F34" s="14">
        <v>13.541666666666668</v>
      </c>
      <c r="G34" s="14">
        <v>123.21250000000003</v>
      </c>
      <c r="H34" s="14">
        <v>31.15</v>
      </c>
      <c r="I34" s="14">
        <v>88.558333333333337</v>
      </c>
      <c r="J34" s="14">
        <v>56.495833333333323</v>
      </c>
      <c r="K34" s="14">
        <v>58.179166666666674</v>
      </c>
      <c r="L34" s="14">
        <v>86.11666666666666</v>
      </c>
      <c r="M34" s="14">
        <v>32.887500000000003</v>
      </c>
      <c r="N34" s="14">
        <v>120.82499999999999</v>
      </c>
      <c r="O34" s="14">
        <v>13.166666666666668</v>
      </c>
      <c r="P34" s="14">
        <v>161.10416666666669</v>
      </c>
      <c r="Q34" s="14">
        <v>4.2458333333333336</v>
      </c>
      <c r="R34" s="14">
        <v>212.18333333333331</v>
      </c>
      <c r="S34" s="30"/>
      <c r="U34" s="38" t="s">
        <v>168</v>
      </c>
      <c r="V34" s="18">
        <f>V31/AH31*AH34</f>
        <v>0</v>
      </c>
      <c r="W34" s="18">
        <f>W31/AH31*AH34</f>
        <v>0</v>
      </c>
      <c r="X34" s="18">
        <f>X31/AH31*AH34</f>
        <v>0</v>
      </c>
      <c r="Y34" s="18">
        <f>Y31/AH31*AH34</f>
        <v>0</v>
      </c>
      <c r="Z34" s="18">
        <f>Z31/AH31*AH34</f>
        <v>2.2144314654676887</v>
      </c>
      <c r="AA34" s="18">
        <f>AA31/AH31*AH34</f>
        <v>9.5612532837733646</v>
      </c>
      <c r="AB34" s="18">
        <f>AB31/AH31*AH34</f>
        <v>21.239604861474781</v>
      </c>
      <c r="AC34" s="18">
        <f>AC31/AH31*AH34</f>
        <v>12.402241587792231</v>
      </c>
      <c r="AD34" s="18">
        <f>AD31/AH31*AH34</f>
        <v>2.2781663664967815</v>
      </c>
      <c r="AE34" s="18">
        <f>AE31/AH31*AH34</f>
        <v>0.12930243499512495</v>
      </c>
      <c r="AF34" s="18">
        <f>AF31/AH31*AH34</f>
        <v>0</v>
      </c>
      <c r="AG34" s="18">
        <f>AG31/AH31*AH34</f>
        <v>0</v>
      </c>
      <c r="AH34" s="277">
        <f>MIN(AH21:AH30)</f>
        <v>47.824999999999974</v>
      </c>
      <c r="AI34" s="38" t="s">
        <v>168</v>
      </c>
      <c r="AJ34" s="18">
        <f>AJ31/AV31*AV34</f>
        <v>0</v>
      </c>
      <c r="AK34" s="18">
        <f>AK31/AV31*AV34</f>
        <v>0</v>
      </c>
      <c r="AL34" s="18">
        <f>AL31/AV31*AV34</f>
        <v>0</v>
      </c>
      <c r="AM34" s="18">
        <f>AM31/AV31*AV34</f>
        <v>0</v>
      </c>
      <c r="AN34" s="18">
        <f>AN31/AV31*AV34</f>
        <v>7.7976784420235088</v>
      </c>
      <c r="AO34" s="18">
        <f>AO31/AV31*AV34</f>
        <v>25.651364243561094</v>
      </c>
      <c r="AP34" s="18">
        <f>AP31/AV31*AV34</f>
        <v>57.454365572679386</v>
      </c>
      <c r="AQ34" s="18">
        <f>AQ31/AV31*AV34</f>
        <v>36.94715712072275</v>
      </c>
      <c r="AR34" s="18">
        <f>AR31/AV31*AV34</f>
        <v>8.5562623534460673</v>
      </c>
      <c r="AS34" s="18">
        <f>AS31/AV31*AV34</f>
        <v>0.79177022909325112</v>
      </c>
      <c r="AT34" s="18">
        <f>AT31/AV31*AV34</f>
        <v>5.9735371807245079E-2</v>
      </c>
      <c r="AU34" s="18">
        <f>AU31/AV31*AV34</f>
        <v>0</v>
      </c>
      <c r="AV34" s="277">
        <f>MIN(AV21:AV30)</f>
        <v>137.2583333333333</v>
      </c>
      <c r="AW34" s="38" t="s">
        <v>168</v>
      </c>
      <c r="AX34" s="18">
        <f>AX31/BJ31*BJ34</f>
        <v>0</v>
      </c>
      <c r="AY34" s="18">
        <f>AY31/BJ31*BJ34</f>
        <v>0</v>
      </c>
      <c r="AZ34" s="18">
        <f>AZ31/BJ31*BJ34</f>
        <v>0</v>
      </c>
      <c r="BA34" s="18">
        <f>BA31/BJ31*BJ34</f>
        <v>8.507082539220906E-2</v>
      </c>
      <c r="BB34" s="18">
        <f>BB31/BJ31*BJ34</f>
        <v>19.861773486579914</v>
      </c>
      <c r="BC34" s="18">
        <f>BC31/BJ31*BJ34</f>
        <v>55.315767761015543</v>
      </c>
      <c r="BD34" s="18">
        <f>BD31/BJ31*BJ34</f>
        <v>111.1500470547448</v>
      </c>
      <c r="BE34" s="18">
        <f>BE31/BJ31*BJ34</f>
        <v>78.751162840497074</v>
      </c>
      <c r="BF34" s="18">
        <f>BF31/BJ31*BJ34</f>
        <v>22.806744322258119</v>
      </c>
      <c r="BG34" s="18">
        <f>BG31/BJ31*BJ34</f>
        <v>3.2126366456099693</v>
      </c>
      <c r="BH34" s="18">
        <f>BH31/BJ31*BJ34</f>
        <v>0.22513039723565645</v>
      </c>
      <c r="BI34" s="18">
        <f>BI31/BJ31*BJ34</f>
        <v>0</v>
      </c>
      <c r="BJ34" s="277">
        <f>MIN(BJ21:BJ30)</f>
        <v>291.4083333333333</v>
      </c>
      <c r="BK34" s="38" t="s">
        <v>168</v>
      </c>
      <c r="BL34" s="18">
        <f>BL31/BX31*BX34</f>
        <v>0</v>
      </c>
      <c r="BM34" s="18">
        <f>BM31/BX31*BX34</f>
        <v>0</v>
      </c>
      <c r="BN34" s="18">
        <f>BN31/BX31*BX34</f>
        <v>0</v>
      </c>
      <c r="BO34" s="18">
        <f>BO31/BX31*BX34</f>
        <v>0.72429414156037597</v>
      </c>
      <c r="BP34" s="18">
        <f>BP31/BX31*BX34</f>
        <v>37.883115382845972</v>
      </c>
      <c r="BQ34" s="18">
        <f>BQ31/BX31*BX34</f>
        <v>95.328673102082703</v>
      </c>
      <c r="BR34" s="18">
        <f>BR31/BX31*BX34</f>
        <v>167.53193778831798</v>
      </c>
      <c r="BS34" s="18">
        <f>BS31/BX31*BX34</f>
        <v>129.29916316471872</v>
      </c>
      <c r="BT34" s="18">
        <f>BT31/BX31*BX34</f>
        <v>46.155704044092609</v>
      </c>
      <c r="BU34" s="18">
        <f>BU31/BX31*BX34</f>
        <v>8.1909901006598744</v>
      </c>
      <c r="BV34" s="18">
        <f>BV31/BX31*BX34</f>
        <v>0.76945560905492927</v>
      </c>
      <c r="BW34" s="18">
        <f>BW31/BX31*BX34</f>
        <v>0</v>
      </c>
      <c r="BX34" s="277">
        <f>MIN(BX21:BX30)</f>
        <v>485.88333333333316</v>
      </c>
      <c r="BY34" s="38" t="s">
        <v>168</v>
      </c>
      <c r="BZ34" s="18">
        <f>BZ31/CL31*CL34</f>
        <v>0</v>
      </c>
      <c r="CA34" s="18">
        <f>CA31/CL31*CL34</f>
        <v>0</v>
      </c>
      <c r="CB34" s="18">
        <f>CB31/CL31*CL34</f>
        <v>0</v>
      </c>
      <c r="CC34" s="18">
        <f>CC31/CL31*CL34</f>
        <v>2.33889472041326</v>
      </c>
      <c r="CD34" s="18">
        <f>CD31/CL31*CL34</f>
        <v>62.144727467193846</v>
      </c>
      <c r="CE34" s="18">
        <f>CE31/CL31*CL34</f>
        <v>141.30183653234096</v>
      </c>
      <c r="CF34" s="18">
        <f>CF31/CL31*CL34</f>
        <v>221.36832312221517</v>
      </c>
      <c r="CG34" s="18">
        <f>CG31/CL31*CL34</f>
        <v>181.81222128543794</v>
      </c>
      <c r="CH34" s="18">
        <f>CH31/CL31*CL34</f>
        <v>79.170459316701752</v>
      </c>
      <c r="CI34" s="18">
        <f>CI31/CL31*CL34</f>
        <v>18.153914795818444</v>
      </c>
      <c r="CJ34" s="18">
        <f>CJ31/CL31*CL34</f>
        <v>1.8971227598785685</v>
      </c>
      <c r="CK34" s="18">
        <f>CK31/CL31*CL34</f>
        <v>0</v>
      </c>
      <c r="CL34" s="277">
        <f>MIN(CL21:CL30)</f>
        <v>708.1875</v>
      </c>
      <c r="CM34" s="38" t="s">
        <v>168</v>
      </c>
      <c r="CN34" s="18">
        <f>CN31/CZ31*CZ34</f>
        <v>0</v>
      </c>
      <c r="CO34" s="18">
        <f>CO31/CZ31*CZ34</f>
        <v>0</v>
      </c>
      <c r="CP34" s="18">
        <f>CP31/CZ31*CZ34</f>
        <v>9.2975657066825132E-2</v>
      </c>
      <c r="CQ34" s="18">
        <f>CQ31/CZ31*CZ34</f>
        <v>6.5382313388091058</v>
      </c>
      <c r="CR34" s="18">
        <f>CR31/CZ31*CZ34</f>
        <v>94.189799406741059</v>
      </c>
      <c r="CS34" s="18">
        <f>CS31/CZ31*CZ34</f>
        <v>192.13806931430472</v>
      </c>
      <c r="CT34" s="18">
        <f>CT31/CZ31*CZ34</f>
        <v>277.23333508367784</v>
      </c>
      <c r="CU34" s="18">
        <f>CU31/CZ31*CZ34</f>
        <v>237.00604354969119</v>
      </c>
      <c r="CV34" s="18">
        <f>CV31/CZ31*CZ34</f>
        <v>121.71640487708792</v>
      </c>
      <c r="CW34" s="18">
        <f>CW31/CZ31*CZ34</f>
        <v>33.832925937267667</v>
      </c>
      <c r="CX34" s="18">
        <f>CX31/CZ31*CZ34</f>
        <v>3.8813815020207452</v>
      </c>
      <c r="CY34" s="18">
        <f>CY31/CZ31*CZ34</f>
        <v>0</v>
      </c>
      <c r="CZ34" s="277">
        <f>MIN(CZ21:CZ30)</f>
        <v>966.62916666666683</v>
      </c>
      <c r="DA34" s="38" t="s">
        <v>168</v>
      </c>
      <c r="DB34" s="18">
        <f>DB31/DN31*DN34</f>
        <v>0</v>
      </c>
      <c r="DC34" s="18">
        <f>DC31/DN31*DN34</f>
        <v>0</v>
      </c>
      <c r="DD34" s="18">
        <f>DD31/DN31*DN34</f>
        <v>0.62154585670449747</v>
      </c>
      <c r="DE34" s="18">
        <f>DE31/DN31*DN34</f>
        <v>14.036845634314339</v>
      </c>
      <c r="DF34" s="18">
        <f>DF31/DN31*DN34</f>
        <v>135.54655582960194</v>
      </c>
      <c r="DG34" s="18">
        <f>DG31/DN31*DN34</f>
        <v>246.31107285794698</v>
      </c>
      <c r="DH34" s="18">
        <f>DH31/DN31*DN34</f>
        <v>334.92304430782895</v>
      </c>
      <c r="DI34" s="18">
        <f>DI31/DN31*DN34</f>
        <v>294.05076845101485</v>
      </c>
      <c r="DJ34" s="18">
        <f>DJ31/DN31*DN34</f>
        <v>171.40066295042075</v>
      </c>
      <c r="DK34" s="18">
        <f>DK31/DN31*DN34</f>
        <v>55.653223165864773</v>
      </c>
      <c r="DL34" s="18">
        <f>DL31/DN31*DN34</f>
        <v>6.6054902215112357</v>
      </c>
      <c r="DM34" s="18">
        <f>DM31/DN31*DN34</f>
        <v>1.3290724791772984E-2</v>
      </c>
      <c r="DN34" s="277">
        <f>MIN(DN21:DN30)</f>
        <v>1259.1625000000001</v>
      </c>
      <c r="DO34" s="277"/>
      <c r="DP34" s="18">
        <f>'Monthly Data'!F34</f>
        <v>162918.3043291877</v>
      </c>
      <c r="DQ34" s="18">
        <f>'Monthly Data'!J34</f>
        <v>147599.51961274637</v>
      </c>
      <c r="DR34" s="18">
        <f>'Monthly Data'!N34</f>
        <v>125355.45582645046</v>
      </c>
    </row>
    <row r="35" spans="1:122">
      <c r="A35" s="9">
        <v>43374</v>
      </c>
      <c r="B35">
        <v>2018</v>
      </c>
      <c r="C35">
        <v>10</v>
      </c>
      <c r="D35" s="13">
        <v>5.8143817204301067</v>
      </c>
      <c r="E35" s="14">
        <v>439.75416666666661</v>
      </c>
      <c r="F35" s="14">
        <v>0</v>
      </c>
      <c r="G35" s="14">
        <v>377.75416666666661</v>
      </c>
      <c r="H35" s="14">
        <v>0</v>
      </c>
      <c r="I35" s="14">
        <v>317.70833333333331</v>
      </c>
      <c r="J35" s="14">
        <v>1.9541666666666693</v>
      </c>
      <c r="K35" s="14">
        <v>259.37916666666666</v>
      </c>
      <c r="L35" s="14">
        <v>5.625</v>
      </c>
      <c r="M35" s="14">
        <v>204.70416666666665</v>
      </c>
      <c r="N35" s="14">
        <v>12.950000000000003</v>
      </c>
      <c r="O35" s="14">
        <v>151.83749999999998</v>
      </c>
      <c r="P35" s="14">
        <v>22.083333333333336</v>
      </c>
      <c r="Q35" s="14">
        <v>101.21666666666665</v>
      </c>
      <c r="R35" s="14">
        <v>33.462500000000006</v>
      </c>
      <c r="S35" s="30"/>
      <c r="U35" s="555" t="s">
        <v>169</v>
      </c>
      <c r="V35" s="18">
        <f>V31/AH32*AH35</f>
        <v>0</v>
      </c>
      <c r="W35" s="18">
        <f>W31/AH32*AH35</f>
        <v>0</v>
      </c>
      <c r="X35" s="18">
        <f>X31/AH32*AH35</f>
        <v>0</v>
      </c>
      <c r="Y35" s="18">
        <f>Y31/AH32*AH35</f>
        <v>0</v>
      </c>
      <c r="Z35" s="18">
        <f>Z31/AH32*AH35</f>
        <v>6.2706533112357201</v>
      </c>
      <c r="AA35" s="18">
        <f>AA31/AH32*AH35</f>
        <v>27.074807009569959</v>
      </c>
      <c r="AB35" s="18">
        <f>AB31/AH32*AH35</f>
        <v>60.144646890580631</v>
      </c>
      <c r="AC35" s="18">
        <f>AC31/AH32*AH35</f>
        <v>35.119694825511175</v>
      </c>
      <c r="AD35" s="18">
        <f>AD31/AH32*AH35</f>
        <v>6.4511328042395606</v>
      </c>
      <c r="AE35" s="18">
        <f>AE31/AH32*AH35</f>
        <v>0.36614849219629303</v>
      </c>
      <c r="AF35" s="18">
        <f>AF31/AH32*AH35</f>
        <v>0</v>
      </c>
      <c r="AG35" s="18">
        <f>AG31/AH32*AH35</f>
        <v>0</v>
      </c>
      <c r="AH35" s="277">
        <f>MAX(AH21:AH30)</f>
        <v>135.42708333333334</v>
      </c>
      <c r="AI35" s="555" t="s">
        <v>169</v>
      </c>
      <c r="AJ35" s="18">
        <f>AJ31/AV32*AV35</f>
        <v>0</v>
      </c>
      <c r="AK35" s="18">
        <f>AK31/AV32*AV35</f>
        <v>0</v>
      </c>
      <c r="AL35" s="18">
        <f>AL31/AV32*AV35</f>
        <v>0</v>
      </c>
      <c r="AM35" s="18">
        <f>AM31/AV32*AV35</f>
        <v>0</v>
      </c>
      <c r="AN35" s="18">
        <f>AN31/AV32*AV35</f>
        <v>14.559280187406351</v>
      </c>
      <c r="AO35" s="18">
        <f>AO31/AV32*AV35</f>
        <v>47.894434476616851</v>
      </c>
      <c r="AP35" s="18">
        <f>AP31/AV32*AV35</f>
        <v>107.27477576585488</v>
      </c>
      <c r="AQ35" s="18">
        <f>AQ31/AV32*AV35</f>
        <v>68.985149445215669</v>
      </c>
      <c r="AR35" s="18">
        <f>AR31/AV32*AV35</f>
        <v>15.975655047459393</v>
      </c>
      <c r="AS35" s="18">
        <f>AS31/AV32*AV35</f>
        <v>1.4783380329317772</v>
      </c>
      <c r="AT35" s="18">
        <f>AT31/AV32*AV35</f>
        <v>0.1115337111817201</v>
      </c>
      <c r="AU35" s="18">
        <f>AU31/AV32*AV35</f>
        <v>0</v>
      </c>
      <c r="AV35" s="277">
        <f>MAX(AV21:AV30)</f>
        <v>256.27916666666664</v>
      </c>
      <c r="AW35" s="555" t="s">
        <v>169</v>
      </c>
      <c r="AX35" s="18">
        <f>AX31/BJ32*BJ35</f>
        <v>0</v>
      </c>
      <c r="AY35" s="18">
        <f>AY31/BJ32*BJ35</f>
        <v>0</v>
      </c>
      <c r="AZ35" s="18">
        <f>AZ31/BJ32*BJ35</f>
        <v>0</v>
      </c>
      <c r="BA35" s="18">
        <f>BA31/BJ32*BJ35</f>
        <v>0.12873381758927982</v>
      </c>
      <c r="BB35" s="18">
        <f>BB31/BJ32*BJ35</f>
        <v>30.055920031723787</v>
      </c>
      <c r="BC35" s="18">
        <f>BC31/BJ32*BJ35</f>
        <v>83.706839846997596</v>
      </c>
      <c r="BD35" s="18">
        <f>BD31/BJ32*BJ35</f>
        <v>168.19831965443478</v>
      </c>
      <c r="BE35" s="18">
        <f>BE31/BJ32*BJ35</f>
        <v>119.17055918186347</v>
      </c>
      <c r="BF35" s="18">
        <f>BF31/BJ32*BJ35</f>
        <v>34.512410686634816</v>
      </c>
      <c r="BG35" s="18">
        <f>BG31/BJ32*BJ35</f>
        <v>4.8615371722309106</v>
      </c>
      <c r="BH35" s="18">
        <f>BH31/BJ32*BJ35</f>
        <v>0.34067960852524326</v>
      </c>
      <c r="BI35" s="18">
        <f>BI31/BJ32*BJ35</f>
        <v>0</v>
      </c>
      <c r="BJ35" s="277">
        <f>MAX(BJ21:BJ30)</f>
        <v>440.97499999999991</v>
      </c>
      <c r="BK35" s="555" t="s">
        <v>169</v>
      </c>
      <c r="BL35" s="18">
        <f>BL31/BX32*BX35</f>
        <v>0</v>
      </c>
      <c r="BM35" s="18">
        <f>BM31/BX32*BX35</f>
        <v>0</v>
      </c>
      <c r="BN35" s="18">
        <f>BN31/BX32*BX35</f>
        <v>0</v>
      </c>
      <c r="BO35" s="18">
        <f>BO31/BX32*BX35</f>
        <v>0.98666536517195491</v>
      </c>
      <c r="BP35" s="18">
        <f>BP31/BX32*BX35</f>
        <v>51.606047499627962</v>
      </c>
      <c r="BQ35" s="18">
        <f>BQ31/BX32*BX35</f>
        <v>129.8609151455961</v>
      </c>
      <c r="BR35" s="18">
        <f>BR31/BX32*BX35</f>
        <v>228.21938089926829</v>
      </c>
      <c r="BS35" s="18">
        <f>BS31/BX32*BX35</f>
        <v>176.13701218886766</v>
      </c>
      <c r="BT35" s="18">
        <f>BT31/BX32*BX35</f>
        <v>62.875331957433971</v>
      </c>
      <c r="BU35" s="18">
        <f>BU31/BX32*BX35</f>
        <v>11.158127306368334</v>
      </c>
      <c r="BV35" s="18">
        <f>BV31/BX32*BX35</f>
        <v>1.0481863043324167</v>
      </c>
      <c r="BW35" s="18">
        <f>BW31/BX32*BX35</f>
        <v>0</v>
      </c>
      <c r="BX35" s="277">
        <f>MAX(BX21:BX30)</f>
        <v>661.89166666666665</v>
      </c>
      <c r="BY35" s="555" t="s">
        <v>169</v>
      </c>
      <c r="BZ35" s="18">
        <f>BZ31/CL32*CL35</f>
        <v>0</v>
      </c>
      <c r="CA35" s="18">
        <f>CA31/CL32*CL35</f>
        <v>0</v>
      </c>
      <c r="CB35" s="18">
        <f>CB31/CL32*CL35</f>
        <v>0</v>
      </c>
      <c r="CC35" s="18">
        <f>CC31/CL32*CL35</f>
        <v>3.0470377046304016</v>
      </c>
      <c r="CD35" s="18">
        <f>CD31/CL32*CL35</f>
        <v>80.960175797507716</v>
      </c>
      <c r="CE35" s="18">
        <f>CE31/CL32*CL35</f>
        <v>184.0835416360639</v>
      </c>
      <c r="CF35" s="18">
        <f>CF31/CL32*CL35</f>
        <v>288.39161561107579</v>
      </c>
      <c r="CG35" s="18">
        <f>CG31/CL32*CL35</f>
        <v>236.85918335026682</v>
      </c>
      <c r="CH35" s="18">
        <f>CH31/CL32*CL35</f>
        <v>103.14075812197032</v>
      </c>
      <c r="CI35" s="18">
        <f>CI31/CL32*CL35</f>
        <v>23.650343209861436</v>
      </c>
      <c r="CJ35" s="18">
        <f>CJ31/CL32*CL35</f>
        <v>2.4715112352902775</v>
      </c>
      <c r="CK35" s="18">
        <f>CK31/CL32*CL35</f>
        <v>0</v>
      </c>
      <c r="CL35" s="277">
        <f>MAX(CL21:CL30)</f>
        <v>922.60416666666674</v>
      </c>
      <c r="CM35" s="555" t="s">
        <v>169</v>
      </c>
      <c r="CN35" s="18">
        <f>CN31/CZ32*CZ35</f>
        <v>0</v>
      </c>
      <c r="CO35" s="18">
        <f>CO31/CZ32*CZ35</f>
        <v>0</v>
      </c>
      <c r="CP35" s="18">
        <f>CP31/CZ32*CZ35</f>
        <v>0.11932565987223402</v>
      </c>
      <c r="CQ35" s="18">
        <f>CQ31/CZ32*CZ35</f>
        <v>8.3912154376061316</v>
      </c>
      <c r="CR35" s="18">
        <f>CR31/CZ32*CZ35</f>
        <v>120.88389931317884</v>
      </c>
      <c r="CS35" s="18">
        <f>CS31/CZ32*CZ35</f>
        <v>246.59144802846558</v>
      </c>
      <c r="CT35" s="18">
        <f>CT31/CZ32*CZ35</f>
        <v>355.80335424425579</v>
      </c>
      <c r="CU35" s="18">
        <f>CU31/CZ32*CZ35</f>
        <v>304.17534473510392</v>
      </c>
      <c r="CV35" s="18">
        <f>CV31/CZ32*CZ35</f>
        <v>156.21175248910205</v>
      </c>
      <c r="CW35" s="18">
        <f>CW31/CZ32*CZ35</f>
        <v>43.421432450552551</v>
      </c>
      <c r="CX35" s="18">
        <f>CX31/CZ32*CZ35</f>
        <v>4.9813943085298762</v>
      </c>
      <c r="CY35" s="18">
        <f>CY31/CZ32*CZ35</f>
        <v>0</v>
      </c>
      <c r="CZ35" s="277">
        <f>MAX(CZ21:CZ30)</f>
        <v>1240.5791666666667</v>
      </c>
      <c r="DA35" s="555" t="s">
        <v>169</v>
      </c>
      <c r="DB35" s="18">
        <f>DB31/DN32*DN35</f>
        <v>0</v>
      </c>
      <c r="DC35" s="18">
        <f>DC31/DN32*DN35</f>
        <v>0</v>
      </c>
      <c r="DD35" s="18">
        <f>DD31/DN32*DN35</f>
        <v>0.78086327207048833</v>
      </c>
      <c r="DE35" s="18">
        <f>DE31/DN32*DN35</f>
        <v>17.634832721232637</v>
      </c>
      <c r="DF35" s="18">
        <f>DF31/DN32*DN35</f>
        <v>170.29045558147666</v>
      </c>
      <c r="DG35" s="18">
        <f>DG31/DN32*DN35</f>
        <v>309.44662927821781</v>
      </c>
      <c r="DH35" s="18">
        <f>DH31/DN32*DN35</f>
        <v>420.77201778268739</v>
      </c>
      <c r="DI35" s="18">
        <f>DI31/DN32*DN35</f>
        <v>369.42317727759615</v>
      </c>
      <c r="DJ35" s="18">
        <f>DJ31/DN32*DN35</f>
        <v>215.33484788419796</v>
      </c>
      <c r="DK35" s="18">
        <f>DK31/DN32*DN35</f>
        <v>69.918506372132995</v>
      </c>
      <c r="DL35" s="18">
        <f>DL31/DN32*DN35</f>
        <v>8.2986390342090992</v>
      </c>
      <c r="DM35" s="18">
        <f>DM31/DN32*DN35</f>
        <v>1.6697462845490986E-2</v>
      </c>
      <c r="DN35" s="277">
        <f>MAX(DN21:DN30)</f>
        <v>1581.9166666666667</v>
      </c>
      <c r="DO35" s="277"/>
      <c r="DP35" s="18">
        <f>'Monthly Data'!F35</f>
        <v>166010.07933967293</v>
      </c>
      <c r="DQ35" s="18">
        <f>'Monthly Data'!J35</f>
        <v>151487.04641571926</v>
      </c>
      <c r="DR35" s="18">
        <f>'Monthly Data'!N35</f>
        <v>128509.12636364081</v>
      </c>
    </row>
    <row r="36" spans="1:122">
      <c r="A36" s="9">
        <v>43405</v>
      </c>
      <c r="B36">
        <v>2018</v>
      </c>
      <c r="C36">
        <v>11</v>
      </c>
      <c r="D36" s="13">
        <v>-2.707777777777777</v>
      </c>
      <c r="E36" s="14">
        <v>681.23333333333335</v>
      </c>
      <c r="F36" s="14">
        <v>0</v>
      </c>
      <c r="G36" s="14">
        <v>621.23333333333335</v>
      </c>
      <c r="H36" s="14">
        <v>0</v>
      </c>
      <c r="I36" s="14">
        <v>561.23333333333335</v>
      </c>
      <c r="J36" s="14">
        <v>0</v>
      </c>
      <c r="K36" s="14">
        <v>501.23333333333341</v>
      </c>
      <c r="L36" s="14">
        <v>0</v>
      </c>
      <c r="M36" s="14">
        <v>441.23333333333341</v>
      </c>
      <c r="N36" s="14">
        <v>0</v>
      </c>
      <c r="O36" s="14">
        <v>381.23333333333341</v>
      </c>
      <c r="P36" s="14">
        <v>0</v>
      </c>
      <c r="Q36" s="14">
        <v>321.23333333333341</v>
      </c>
      <c r="R36" s="14">
        <v>0</v>
      </c>
      <c r="S36" s="30"/>
      <c r="DP36" s="18">
        <f>'Monthly Data'!F36</f>
        <v>169101.85435015816</v>
      </c>
      <c r="DQ36" s="18">
        <f>'Monthly Data'!J36</f>
        <v>155374.57321869212</v>
      </c>
      <c r="DR36" s="18">
        <f>'Monthly Data'!N36</f>
        <v>131662.79690083116</v>
      </c>
    </row>
    <row r="37" spans="1:122">
      <c r="A37" s="9">
        <v>43435</v>
      </c>
      <c r="B37">
        <v>2018</v>
      </c>
      <c r="C37">
        <v>12</v>
      </c>
      <c r="D37" s="13">
        <v>-7.5935483870967735</v>
      </c>
      <c r="E37" s="14">
        <v>855.4000000000002</v>
      </c>
      <c r="F37" s="14">
        <v>0</v>
      </c>
      <c r="G37" s="14">
        <v>793.4000000000002</v>
      </c>
      <c r="H37" s="14">
        <v>0</v>
      </c>
      <c r="I37" s="14">
        <v>731.4000000000002</v>
      </c>
      <c r="J37" s="14">
        <v>0</v>
      </c>
      <c r="K37" s="14">
        <v>669.4000000000002</v>
      </c>
      <c r="L37" s="14">
        <v>0</v>
      </c>
      <c r="M37" s="14">
        <v>607.4000000000002</v>
      </c>
      <c r="N37" s="14">
        <v>0</v>
      </c>
      <c r="O37" s="14">
        <v>545.40000000000009</v>
      </c>
      <c r="P37" s="14">
        <v>0</v>
      </c>
      <c r="Q37" s="14">
        <v>483.40000000000003</v>
      </c>
      <c r="R37" s="14">
        <v>0</v>
      </c>
      <c r="S37" s="30"/>
      <c r="U37"/>
      <c r="Y37" s="76" t="s">
        <v>170</v>
      </c>
      <c r="AM37" s="76" t="s">
        <v>170</v>
      </c>
      <c r="AR37" s="76"/>
      <c r="BA37" s="76" t="s">
        <v>170</v>
      </c>
      <c r="BF37" s="76"/>
      <c r="BO37" s="76" t="s">
        <v>170</v>
      </c>
      <c r="BT37" s="76"/>
      <c r="CC37" s="76" t="s">
        <v>170</v>
      </c>
      <c r="CH37" s="76"/>
      <c r="CQ37" s="76" t="s">
        <v>170</v>
      </c>
      <c r="CV37" s="76"/>
      <c r="DE37" s="76" t="s">
        <v>170</v>
      </c>
      <c r="DP37" s="18">
        <f>'Monthly Data'!F37</f>
        <v>81888692.629360646</v>
      </c>
      <c r="DQ37" s="18">
        <f>'Monthly Data'!J37</f>
        <v>30219324.100021664</v>
      </c>
      <c r="DR37" s="18">
        <f>'Monthly Data'!N37</f>
        <v>71637155.467438027</v>
      </c>
    </row>
    <row r="38" spans="1:122">
      <c r="A38" s="9">
        <v>43466</v>
      </c>
      <c r="B38">
        <v>2019</v>
      </c>
      <c r="C38">
        <v>1</v>
      </c>
      <c r="D38" s="13">
        <v>-14.022580645161291</v>
      </c>
      <c r="E38" s="14">
        <v>1054.7000000000003</v>
      </c>
      <c r="F38" s="14">
        <v>0</v>
      </c>
      <c r="G38" s="14">
        <v>992.70000000000027</v>
      </c>
      <c r="H38" s="14">
        <v>0</v>
      </c>
      <c r="I38" s="14">
        <v>930.70000000000027</v>
      </c>
      <c r="J38" s="14">
        <v>0</v>
      </c>
      <c r="K38" s="14">
        <v>868.70000000000027</v>
      </c>
      <c r="L38" s="14">
        <v>0</v>
      </c>
      <c r="M38" s="14">
        <v>806.70000000000027</v>
      </c>
      <c r="N38" s="14">
        <v>0</v>
      </c>
      <c r="O38" s="14">
        <v>744.70000000000027</v>
      </c>
      <c r="P38" s="14">
        <v>0</v>
      </c>
      <c r="Q38" s="14">
        <v>682.70000000000016</v>
      </c>
      <c r="R38" s="14">
        <v>0</v>
      </c>
      <c r="S38" s="30"/>
      <c r="U38"/>
      <c r="AA38" s="38" t="str">
        <f>U3</f>
        <v>HDD20</v>
      </c>
      <c r="AB38" s="38" t="str">
        <f>U20</f>
        <v>CDD20</v>
      </c>
      <c r="AD38" t="str">
        <f>AA38&amp;" Min"</f>
        <v>HDD20 Min</v>
      </c>
      <c r="AE38" t="str">
        <f>AA38&amp;" Max"</f>
        <v>HDD20 Max</v>
      </c>
      <c r="AF38" t="str">
        <f>AB38&amp;" Min"</f>
        <v>CDD20 Min</v>
      </c>
      <c r="AG38" t="str">
        <f>AB38&amp;" Max"</f>
        <v>CDD20 Max</v>
      </c>
      <c r="AO38" s="38" t="str">
        <f>AI3</f>
        <v>HDD18</v>
      </c>
      <c r="AP38" s="38" t="s">
        <v>71</v>
      </c>
      <c r="AR38" t="str">
        <f>AO38&amp;" Min"</f>
        <v>HDD18 Min</v>
      </c>
      <c r="AS38" t="str">
        <f>AO38&amp;" Max"</f>
        <v>HDD18 Max</v>
      </c>
      <c r="AT38" t="str">
        <f>AP38&amp;" Min"</f>
        <v>CDD18 Min</v>
      </c>
      <c r="AU38" t="str">
        <f>AP38&amp;" Max"</f>
        <v>CDD18 Max</v>
      </c>
      <c r="BC38" s="38" t="str">
        <f>AW3</f>
        <v>HDD16</v>
      </c>
      <c r="BD38" s="38" t="str">
        <f>AW20</f>
        <v>CDD16</v>
      </c>
      <c r="BF38" t="str">
        <f>BC38&amp;" Min"</f>
        <v>HDD16 Min</v>
      </c>
      <c r="BG38" t="str">
        <f>BC38&amp;" Max"</f>
        <v>HDD16 Max</v>
      </c>
      <c r="BH38" t="str">
        <f>BD38&amp;" Min"</f>
        <v>CDD16 Min</v>
      </c>
      <c r="BI38" t="str">
        <f>BD38&amp;" Max"</f>
        <v>CDD16 Max</v>
      </c>
      <c r="BQ38" s="38" t="str">
        <f>BK3</f>
        <v>HDD14</v>
      </c>
      <c r="BR38" s="38" t="str">
        <f>BK20</f>
        <v>CDD14</v>
      </c>
      <c r="BT38" t="str">
        <f>BQ38&amp;" Min"</f>
        <v>HDD14 Min</v>
      </c>
      <c r="BU38" t="str">
        <f>BQ38&amp;" Max"</f>
        <v>HDD14 Max</v>
      </c>
      <c r="BV38" t="str">
        <f>BR38&amp;" Min"</f>
        <v>CDD14 Min</v>
      </c>
      <c r="BW38" t="str">
        <f>BR38&amp;" Max"</f>
        <v>CDD14 Max</v>
      </c>
      <c r="CE38" s="38" t="str">
        <f>BY3</f>
        <v>HDD12</v>
      </c>
      <c r="CF38" s="38" t="str">
        <f>BY20</f>
        <v>CDD12</v>
      </c>
      <c r="CH38" t="str">
        <f>CE38&amp;" Min"</f>
        <v>HDD12 Min</v>
      </c>
      <c r="CI38" t="str">
        <f>CE38&amp;" Max"</f>
        <v>HDD12 Max</v>
      </c>
      <c r="CJ38" t="str">
        <f>CF38&amp;" Min"</f>
        <v>CDD12 Min</v>
      </c>
      <c r="CK38" t="str">
        <f>CF38&amp;" Max"</f>
        <v>CDD12 Max</v>
      </c>
      <c r="CS38" s="38" t="str">
        <f>CM3</f>
        <v>HDD10</v>
      </c>
      <c r="CT38" s="38" t="str">
        <f>CM20</f>
        <v>CDD10</v>
      </c>
      <c r="CV38" t="str">
        <f>CS38&amp;" Min"</f>
        <v>HDD10 Min</v>
      </c>
      <c r="CW38" t="str">
        <f>CS38&amp;" Max"</f>
        <v>HDD10 Max</v>
      </c>
      <c r="CX38" t="str">
        <f>CT38&amp;" Min"</f>
        <v>CDD10 Min</v>
      </c>
      <c r="CY38" t="str">
        <f>CT38&amp;" Max"</f>
        <v>CDD10 Max</v>
      </c>
      <c r="DG38" s="38" t="str">
        <f>DA3</f>
        <v>HDD8</v>
      </c>
      <c r="DH38" s="38" t="str">
        <f>DA20</f>
        <v>CDD8</v>
      </c>
      <c r="DJ38" t="str">
        <f>DG38&amp;" Min"</f>
        <v>HDD8 Min</v>
      </c>
      <c r="DK38" t="str">
        <f>DG38&amp;" Max"</f>
        <v>HDD8 Max</v>
      </c>
      <c r="DL38" t="str">
        <f>DH38&amp;" Min"</f>
        <v>CDD8 Min</v>
      </c>
      <c r="DM38" t="str">
        <f>DH38&amp;" Max"</f>
        <v>CDD8 Max</v>
      </c>
      <c r="DP38" s="18">
        <f>'Monthly Data'!F38</f>
        <v>159020.88139322816</v>
      </c>
      <c r="DQ38" s="18">
        <f>'Monthly Data'!J38</f>
        <v>151405.07528035509</v>
      </c>
      <c r="DR38" s="18">
        <f>'Monthly Data'!N38</f>
        <v>128861.79026130038</v>
      </c>
    </row>
    <row r="39" spans="1:122">
      <c r="A39" s="9">
        <v>43497</v>
      </c>
      <c r="B39">
        <v>2019</v>
      </c>
      <c r="C39">
        <v>2</v>
      </c>
      <c r="D39" s="13">
        <v>-10.674181547619048</v>
      </c>
      <c r="E39" s="14">
        <v>858.87708333333342</v>
      </c>
      <c r="F39" s="14">
        <v>0</v>
      </c>
      <c r="G39" s="14">
        <v>802.87708333333342</v>
      </c>
      <c r="H39" s="14">
        <v>0</v>
      </c>
      <c r="I39" s="14">
        <v>746.87708333333342</v>
      </c>
      <c r="J39" s="14">
        <v>0</v>
      </c>
      <c r="K39" s="14">
        <v>690.87708333333342</v>
      </c>
      <c r="L39" s="14">
        <v>0</v>
      </c>
      <c r="M39" s="14">
        <v>634.8770833333333</v>
      </c>
      <c r="N39" s="14">
        <v>0</v>
      </c>
      <c r="O39" s="14">
        <v>578.87708333333319</v>
      </c>
      <c r="P39" s="14">
        <v>0</v>
      </c>
      <c r="Q39" s="14">
        <v>522.8770833333333</v>
      </c>
      <c r="R39" s="14">
        <v>0</v>
      </c>
      <c r="S39" s="30"/>
      <c r="Y39" t="s">
        <v>171</v>
      </c>
      <c r="Z39" t="s">
        <v>172</v>
      </c>
      <c r="AA39" s="13">
        <f ca="1">OFFSET(V$15,0,(ROW()-ROW(AA$39)))</f>
        <v>914.55166666666662</v>
      </c>
      <c r="AB39" s="13">
        <f ca="1">OFFSET(V$32,0,(ROW()-ROW(AB$39)))</f>
        <v>0</v>
      </c>
      <c r="AD39" s="18">
        <f ca="1">OFFSET(V$17,0,(ROW()-ROW(AD$39)))</f>
        <v>817.22005262600237</v>
      </c>
      <c r="AE39" s="18">
        <f ca="1">OFFSET(V$18,0,(ROW()-ROW(AE$39)))</f>
        <v>1009.7976825258449</v>
      </c>
      <c r="AF39" s="18">
        <f ca="1">OFFSET(V$34,0,(ROW()-ROW(AF$39)))</f>
        <v>0</v>
      </c>
      <c r="AG39" s="33">
        <f ca="1">OFFSET(V$35,0,(ROW()-ROW(AG$39)))</f>
        <v>0</v>
      </c>
      <c r="AM39" t="s">
        <v>171</v>
      </c>
      <c r="AN39" t="s">
        <v>172</v>
      </c>
      <c r="AO39" s="13">
        <f ca="1">OFFSET($AJ$15,0,(ROW()-ROW(AO$39)))</f>
        <v>852.55166666666662</v>
      </c>
      <c r="AP39" s="13">
        <f ca="1">OFFSET($AJ$32,0,(ROW()-ROW(AP$39)))</f>
        <v>0</v>
      </c>
      <c r="AR39" s="18">
        <f ca="1">OFFSET(AJ$17,0,(ROW()-ROW(AR$39)))</f>
        <v>750.59476891120983</v>
      </c>
      <c r="AS39" s="18">
        <f ca="1">OFFSET(AJ$18,0,(ROW()-ROW(AS$39)))</f>
        <v>950.29946511324727</v>
      </c>
      <c r="AT39" s="18">
        <f ca="1">OFFSET(AJ$34,0,(ROW()-ROW(AT$39)))</f>
        <v>0</v>
      </c>
      <c r="AU39" s="33">
        <f ca="1">OFFSET(AJ$35,0,(ROW()-ROW(AU$39)))</f>
        <v>0</v>
      </c>
      <c r="BA39" t="s">
        <v>171</v>
      </c>
      <c r="BB39" t="s">
        <v>172</v>
      </c>
      <c r="BC39" s="13">
        <f ca="1">OFFSET(AX$15,0,(ROW()-ROW(BC$39)))</f>
        <v>790.55166666666673</v>
      </c>
      <c r="BD39" s="13">
        <f ca="1">OFFSET(AX$32,0,(ROW()-ROW(BD$39)))</f>
        <v>0</v>
      </c>
      <c r="BF39" s="18">
        <f ca="1">OFFSET(AX$17,0,(ROW()-ROW(BF$39)))</f>
        <v>685.17734726615981</v>
      </c>
      <c r="BG39" s="18">
        <f ca="1">OFFSET(AX$18,0,(ROW()-ROW(BG$39)))</f>
        <v>888.68550478264171</v>
      </c>
      <c r="BH39" s="18">
        <f ca="1">OFFSET(AX$34,0,(ROW()-ROW(BH$39)))</f>
        <v>0</v>
      </c>
      <c r="BI39" s="33">
        <f ca="1">OFFSET(AX$35,0,(ROW()-ROW(BI$39)))</f>
        <v>0</v>
      </c>
      <c r="BO39" t="s">
        <v>171</v>
      </c>
      <c r="BP39" t="s">
        <v>172</v>
      </c>
      <c r="BQ39" s="13">
        <f ca="1">OFFSET(BL$15,0,(ROW()-ROW(BQ$39)))</f>
        <v>728.55166666666662</v>
      </c>
      <c r="BR39" s="13">
        <f ca="1">OFFSET(BL$32,0,(ROW()-ROW(BR$39)))</f>
        <v>0</v>
      </c>
      <c r="BT39" s="18">
        <f ca="1">OFFSET(BL$17,0,(ROW()-ROW(BT$39)))</f>
        <v>621.98082181690586</v>
      </c>
      <c r="BU39" s="18">
        <f ca="1">OFFSET(BL$18,0,(ROW()-ROW(BU$39)))</f>
        <v>824.89036437511777</v>
      </c>
      <c r="BV39" s="18">
        <f ca="1">OFFSET(BL$34,0,(ROW()-ROW(BV$39)))</f>
        <v>0</v>
      </c>
      <c r="BW39" s="33">
        <f ca="1">OFFSET(BL$35,0,(ROW()-ROW(BW$39)))</f>
        <v>0</v>
      </c>
      <c r="CC39" t="s">
        <v>171</v>
      </c>
      <c r="CD39" t="s">
        <v>172</v>
      </c>
      <c r="CE39" s="13">
        <f ca="1">OFFSET(BZ$15,0,(ROW()-ROW(CE$39)))</f>
        <v>666.55166666666685</v>
      </c>
      <c r="CF39" s="13">
        <f ca="1">OFFSET(BZ$32,0,(ROW()-ROW(CF$39)))</f>
        <v>0</v>
      </c>
      <c r="CH39" s="18">
        <f ca="1">OFFSET(BZ$17,0,(ROW()-ROW(CH$39)))</f>
        <v>558.84621096192325</v>
      </c>
      <c r="CI39" s="18">
        <f ca="1">OFFSET(BZ$18,0,(ROW()-ROW(CI$39)))</f>
        <v>760.37575070291223</v>
      </c>
      <c r="CJ39" s="18">
        <f ca="1">OFFSET(BZ$34,0,(ROW()-ROW(CJ$39)))</f>
        <v>0</v>
      </c>
      <c r="CK39" s="33">
        <f ca="1">OFFSET(BZ$35,0,(ROW()-ROW(CK$39)))</f>
        <v>0</v>
      </c>
      <c r="CQ39" t="s">
        <v>171</v>
      </c>
      <c r="CR39" t="s">
        <v>172</v>
      </c>
      <c r="CS39" s="13">
        <f ca="1">OFFSET(CN$15,0,(ROW()-ROW(CS$39)))</f>
        <v>604.55166666666685</v>
      </c>
      <c r="CT39" s="13">
        <f ca="1">OFFSET(CN$32,0,(ROW()-ROW(CT$39)))</f>
        <v>0</v>
      </c>
      <c r="CV39" s="18">
        <f ca="1">OFFSET(CN$17,0,(ROW()-ROW(CV$39)))</f>
        <v>496.38922372472001</v>
      </c>
      <c r="CW39" s="18">
        <f ca="1">OFFSET(CN$18,0,(ROW()-ROW(CW$39)))</f>
        <v>696.13262462924922</v>
      </c>
      <c r="CX39" s="18">
        <f ca="1">OFFSET(CN$34,0,(ROW()-ROW(CX$39)))</f>
        <v>0</v>
      </c>
      <c r="CY39" s="33">
        <f ca="1">OFFSET(CN$35,0,(ROW()-ROW(CY$39)))</f>
        <v>0</v>
      </c>
      <c r="DE39" t="s">
        <v>171</v>
      </c>
      <c r="DF39" t="s">
        <v>172</v>
      </c>
      <c r="DG39" s="13">
        <f ca="1">OFFSET(DB$15,0,(ROW()-ROW(DG$39)))</f>
        <v>542.55166666666662</v>
      </c>
      <c r="DH39" s="13">
        <f ca="1">OFFSET(DB$32,0,(ROW()-ROW(DH$39)))</f>
        <v>0</v>
      </c>
      <c r="DJ39" s="18">
        <f ca="1">OFFSET(DB$17,0,(ROW()-ROW(DJ$39)))</f>
        <v>431.78544796206648</v>
      </c>
      <c r="DK39" s="18">
        <f ca="1">OFFSET(DB$18,0,(ROW()-ROW(DK$39)))</f>
        <v>632.70281627716895</v>
      </c>
      <c r="DL39" s="18">
        <f ca="1">OFFSET(DB$34,0,(ROW()-ROW(DL$39)))</f>
        <v>0</v>
      </c>
      <c r="DM39" s="33">
        <f ca="1">OFFSET(DB$35,0,(ROW()-ROW(DM$39)))</f>
        <v>0</v>
      </c>
      <c r="DP39" s="18">
        <f>'Monthly Data'!F39</f>
        <v>159531.81667192865</v>
      </c>
      <c r="DQ39" s="18">
        <f>'Monthly Data'!J39</f>
        <v>153208.32497036053</v>
      </c>
      <c r="DR39" s="18">
        <f>'Monthly Data'!N39</f>
        <v>130380.52503167716</v>
      </c>
    </row>
    <row r="40" spans="1:122">
      <c r="A40" s="9">
        <v>43525</v>
      </c>
      <c r="B40">
        <v>2019</v>
      </c>
      <c r="C40">
        <v>3</v>
      </c>
      <c r="D40" s="13">
        <v>-4.9610215053763458</v>
      </c>
      <c r="E40" s="14">
        <v>773.79166666666663</v>
      </c>
      <c r="F40" s="14">
        <v>0</v>
      </c>
      <c r="G40" s="14">
        <v>711.79166666666663</v>
      </c>
      <c r="H40" s="14">
        <v>0</v>
      </c>
      <c r="I40" s="14">
        <v>649.79166666666663</v>
      </c>
      <c r="J40" s="14">
        <v>0</v>
      </c>
      <c r="K40" s="14">
        <v>587.79166666666663</v>
      </c>
      <c r="L40" s="14">
        <v>0</v>
      </c>
      <c r="M40" s="14">
        <v>525.79166666666674</v>
      </c>
      <c r="N40" s="14">
        <v>0</v>
      </c>
      <c r="O40" s="14">
        <v>463.79166666666674</v>
      </c>
      <c r="P40" s="14">
        <v>0</v>
      </c>
      <c r="Q40" s="14">
        <v>401.79166666666669</v>
      </c>
      <c r="R40" s="14">
        <v>0</v>
      </c>
      <c r="S40" s="30"/>
      <c r="Y40" t="s">
        <v>171</v>
      </c>
      <c r="Z40" t="s">
        <v>173</v>
      </c>
      <c r="AA40" s="13">
        <f ca="1">OFFSET(V$15,0,(ROW()-ROW(AA$39)))</f>
        <v>803.82854166666664</v>
      </c>
      <c r="AB40" s="13">
        <f ca="1">OFFSET(V$32,0,(ROW()-ROW(AB$39)))</f>
        <v>0</v>
      </c>
      <c r="AD40" s="18">
        <f t="shared" ref="AD40:AD50" ca="1" si="76">OFFSET(V$17,0,(ROW()-ROW(AA$39)))</f>
        <v>718.28069103781206</v>
      </c>
      <c r="AE40" s="18">
        <f t="shared" ref="AE40:AE50" ca="1" si="77">OFFSET(V$18,0,(ROW()-ROW(AE$39)))</f>
        <v>887.54329373386554</v>
      </c>
      <c r="AF40" s="18">
        <f t="shared" ref="AF40:AF50" ca="1" si="78">OFFSET(V$34,0,(ROW()-ROW(AF$39)))</f>
        <v>0</v>
      </c>
      <c r="AG40" s="33">
        <f t="shared" ref="AG40:AG50" ca="1" si="79">OFFSET(V$35,0,(ROW()-ROW(AG$39)))</f>
        <v>0</v>
      </c>
      <c r="AM40" t="s">
        <v>171</v>
      </c>
      <c r="AN40" t="s">
        <v>173</v>
      </c>
      <c r="AO40" s="13">
        <f ca="1">OFFSET($AJ$15,0,(ROW()-ROW(AO$39)))</f>
        <v>747.22854166666662</v>
      </c>
      <c r="AP40" s="13">
        <f ca="1">OFFSET($AJ$32,0,(ROW()-ROW(AP$39)))</f>
        <v>0</v>
      </c>
      <c r="AR40" s="18">
        <f t="shared" ref="AR40:AR50" ca="1" si="80">OFFSET(AJ$17,0,(ROW()-ROW(AO$39)))</f>
        <v>657.86726656584096</v>
      </c>
      <c r="AS40" s="18">
        <f t="shared" ref="AS40:AS50" ca="1" si="81">OFFSET(AJ$18,0,(ROW()-ROW(AS$39)))</f>
        <v>832.90070411746512</v>
      </c>
      <c r="AT40" s="18">
        <f t="shared" ref="AT40:AT50" ca="1" si="82">OFFSET(AJ$34,0,(ROW()-ROW(AT$39)))</f>
        <v>0</v>
      </c>
      <c r="AU40" s="33">
        <f t="shared" ref="AU40:AU50" ca="1" si="83">OFFSET(AJ$35,0,(ROW()-ROW(AU$39)))</f>
        <v>0</v>
      </c>
      <c r="BA40" t="s">
        <v>171</v>
      </c>
      <c r="BB40" t="s">
        <v>173</v>
      </c>
      <c r="BC40" s="13">
        <f ca="1">OFFSET(AX$15,0,(ROW()-ROW(BC$39)))</f>
        <v>690.62854166666671</v>
      </c>
      <c r="BD40" s="13">
        <f ca="1">OFFSET(AX$32,0,(ROW()-ROW(BD$39)))</f>
        <v>0</v>
      </c>
      <c r="BF40" s="18">
        <f t="shared" ref="BF40:BF50" ca="1" si="84">OFFSET(AX$17,0,(ROW()-ROW(BC$39)))</f>
        <v>598.573188923511</v>
      </c>
      <c r="BG40" s="18">
        <f t="shared" ref="BG40:BG50" ca="1" si="85">OFFSET(AX$18,0,(ROW()-ROW(BG$39)))</f>
        <v>776.35858609495222</v>
      </c>
      <c r="BH40" s="18">
        <f t="shared" ref="BH40:BH50" ca="1" si="86">OFFSET(AX$34,0,(ROW()-ROW(BH$39)))</f>
        <v>0</v>
      </c>
      <c r="BI40" s="33">
        <f t="shared" ref="BI40:BI50" ca="1" si="87">OFFSET(AX$35,0,(ROW()-ROW(BI$39)))</f>
        <v>0</v>
      </c>
      <c r="BO40" t="s">
        <v>171</v>
      </c>
      <c r="BP40" t="s">
        <v>173</v>
      </c>
      <c r="BQ40" s="13">
        <f ca="1">OFFSET(BL$15,0,(ROW()-ROW(BQ$39)))</f>
        <v>634.02854166666668</v>
      </c>
      <c r="BR40" s="13">
        <f ca="1">OFFSET(BL$32,0,(ROW()-ROW(BR$39)))</f>
        <v>0</v>
      </c>
      <c r="BT40" s="18">
        <f t="shared" ref="BT40:BT50" ca="1" si="88">OFFSET(BL$17,0,(ROW()-ROW(BQ$39)))</f>
        <v>541.28431989660908</v>
      </c>
      <c r="BU40" s="18">
        <f t="shared" ref="BU40:BU50" ca="1" si="89">OFFSET(BL$18,0,(ROW()-ROW(BU$39)))</f>
        <v>717.86814674727873</v>
      </c>
      <c r="BV40" s="18">
        <f t="shared" ref="BV40:BV50" ca="1" si="90">OFFSET(BL$34,0,(ROW()-ROW(BV$39)))</f>
        <v>0</v>
      </c>
      <c r="BW40" s="33">
        <f t="shared" ref="BW40:BW50" ca="1" si="91">OFFSET(BL$35,0,(ROW()-ROW(BW$39)))</f>
        <v>0</v>
      </c>
      <c r="CC40" t="s">
        <v>171</v>
      </c>
      <c r="CD40" t="s">
        <v>173</v>
      </c>
      <c r="CE40" s="13">
        <f ca="1">OFFSET(BZ$15,0,(ROW()-ROW(CE$39)))</f>
        <v>577.42854166666666</v>
      </c>
      <c r="CF40" s="13">
        <f ca="1">OFFSET(BZ$32,0,(ROW()-ROW(CF$39)))</f>
        <v>0</v>
      </c>
      <c r="CH40" s="18">
        <f t="shared" ref="CH40:CH50" ca="1" si="92">OFFSET(BZ$17,0,(ROW()-ROW(CE$39)))</f>
        <v>484.12414033173565</v>
      </c>
      <c r="CI40" s="18">
        <f t="shared" ref="CI40:CI50" ca="1" si="93">OFFSET(BZ$18,0,(ROW()-ROW(CI$39)))</f>
        <v>658.70761833478184</v>
      </c>
      <c r="CJ40" s="18">
        <f t="shared" ref="CJ40:CJ50" ca="1" si="94">OFFSET(BZ$34,0,(ROW()-ROW(CJ$39)))</f>
        <v>0</v>
      </c>
      <c r="CK40" s="33">
        <f t="shared" ref="CK40:CK50" ca="1" si="95">OFFSET(BZ$35,0,(ROW()-ROW(CK$39)))</f>
        <v>0</v>
      </c>
      <c r="CQ40" t="s">
        <v>171</v>
      </c>
      <c r="CR40" t="s">
        <v>173</v>
      </c>
      <c r="CS40" s="13">
        <f ca="1">OFFSET(CN$15,0,(ROW()-ROW(CS$39)))</f>
        <v>520.82854166666664</v>
      </c>
      <c r="CT40" s="13">
        <f ca="1">OFFSET(CN$32,0,(ROW()-ROW(CT$39)))</f>
        <v>0</v>
      </c>
      <c r="CV40" s="18">
        <f t="shared" ref="CV40:CV50" ca="1" si="96">OFFSET(CN$17,0,(ROW()-ROW(CS$39)))</f>
        <v>427.64529443294543</v>
      </c>
      <c r="CW40" s="18">
        <f t="shared" ref="CW40:CW50" ca="1" si="97">OFFSET(CN$18,0,(ROW()-ROW(CW$39)))</f>
        <v>599.72663989387308</v>
      </c>
      <c r="CX40" s="18">
        <f t="shared" ref="CX40:CX50" ca="1" si="98">OFFSET(CN$34,0,(ROW()-ROW(CX$39)))</f>
        <v>0</v>
      </c>
      <c r="CY40" s="33">
        <f t="shared" ref="CY40:CY50" ca="1" si="99">OFFSET(CN$35,0,(ROW()-ROW(CY$39)))</f>
        <v>0</v>
      </c>
      <c r="DE40" t="s">
        <v>171</v>
      </c>
      <c r="DF40" t="s">
        <v>173</v>
      </c>
      <c r="DG40" s="13">
        <f ca="1">OFFSET(DB$15,0,(ROW()-ROW(DG$39)))</f>
        <v>464.22854166666667</v>
      </c>
      <c r="DH40" s="13">
        <f ca="1">OFFSET(DB$32,0,(ROW()-ROW(DH$39)))</f>
        <v>0</v>
      </c>
      <c r="DJ40" s="18">
        <f t="shared" ref="DJ40:DJ50" ca="1" si="100">OFFSET(DB$17,0,(ROW()-ROW(DG$39)))</f>
        <v>369.45260909772378</v>
      </c>
      <c r="DK40" s="18">
        <f t="shared" ref="DK40:DK50" ca="1" si="101">OFFSET(DB$18,0,(ROW()-ROW(DK$39)))</f>
        <v>541.36541043785655</v>
      </c>
      <c r="DL40" s="18">
        <f t="shared" ref="DL40:DL50" ca="1" si="102">OFFSET(DB$34,0,(ROW()-ROW(DL$39)))</f>
        <v>0</v>
      </c>
      <c r="DM40" s="33">
        <f t="shared" ref="DM40:DM50" ca="1" si="103">OFFSET(DB$35,0,(ROW()-ROW(DM$39)))</f>
        <v>0</v>
      </c>
      <c r="DP40" s="18">
        <f>'Monthly Data'!F40</f>
        <v>160042.75195062911</v>
      </c>
      <c r="DQ40" s="18">
        <f>'Monthly Data'!J40</f>
        <v>155011.57466036599</v>
      </c>
      <c r="DR40" s="18">
        <f>'Monthly Data'!N40</f>
        <v>131899.25980205394</v>
      </c>
    </row>
    <row r="41" spans="1:122">
      <c r="A41" s="9">
        <v>43556</v>
      </c>
      <c r="B41">
        <v>2019</v>
      </c>
      <c r="C41">
        <v>4</v>
      </c>
      <c r="D41" s="13">
        <v>3.2954166666666667</v>
      </c>
      <c r="E41" s="14">
        <v>501.13749999999999</v>
      </c>
      <c r="F41" s="14">
        <v>0</v>
      </c>
      <c r="G41" s="14">
        <v>441.13750000000005</v>
      </c>
      <c r="H41" s="14">
        <v>0</v>
      </c>
      <c r="I41" s="14">
        <v>381.13750000000005</v>
      </c>
      <c r="J41" s="14">
        <v>0</v>
      </c>
      <c r="K41" s="14">
        <v>321.13750000000005</v>
      </c>
      <c r="L41" s="14">
        <v>0</v>
      </c>
      <c r="M41" s="14">
        <v>261.13750000000005</v>
      </c>
      <c r="N41" s="14">
        <v>0</v>
      </c>
      <c r="O41" s="14">
        <v>201.13750000000002</v>
      </c>
      <c r="P41" s="14">
        <v>0</v>
      </c>
      <c r="Q41" s="14">
        <v>142.56249999999997</v>
      </c>
      <c r="R41" s="14">
        <v>1.4250000000000007</v>
      </c>
      <c r="S41" s="30"/>
      <c r="Y41" t="s">
        <v>171</v>
      </c>
      <c r="Z41" t="s">
        <v>174</v>
      </c>
      <c r="AA41" s="13">
        <f ca="1">OFFSET(V$15,0,(ROW()-ROW(AA$39)))</f>
        <v>698.29604166666672</v>
      </c>
      <c r="AB41" s="13">
        <f ca="1">OFFSET(V$32,0,(ROW()-ROW(AB$39)))</f>
        <v>0</v>
      </c>
      <c r="AD41" s="18">
        <f t="shared" ca="1" si="76"/>
        <v>623.97953961343092</v>
      </c>
      <c r="AE41" s="18">
        <f t="shared" ca="1" si="77"/>
        <v>771.02010776716202</v>
      </c>
      <c r="AF41" s="18">
        <f t="shared" ca="1" si="78"/>
        <v>0</v>
      </c>
      <c r="AG41" s="33">
        <f t="shared" ca="1" si="79"/>
        <v>0</v>
      </c>
      <c r="AM41" t="s">
        <v>171</v>
      </c>
      <c r="AN41" t="s">
        <v>174</v>
      </c>
      <c r="AO41" s="13">
        <f ca="1">OFFSET($AJ$15,0,(ROW()-ROW(AO$39)))</f>
        <v>636.29604166666672</v>
      </c>
      <c r="AP41" s="13">
        <f ca="1">OFFSET($AJ$32,0,(ROW()-ROW(AP$39)))</f>
        <v>0</v>
      </c>
      <c r="AR41" s="18">
        <f t="shared" ca="1" si="80"/>
        <v>560.20121598172079</v>
      </c>
      <c r="AS41" s="18">
        <f t="shared" ca="1" si="81"/>
        <v>709.24943518517148</v>
      </c>
      <c r="AT41" s="18">
        <f t="shared" ca="1" si="82"/>
        <v>0</v>
      </c>
      <c r="AU41" s="33">
        <f t="shared" ca="1" si="83"/>
        <v>0</v>
      </c>
      <c r="BA41" t="s">
        <v>171</v>
      </c>
      <c r="BB41" t="s">
        <v>174</v>
      </c>
      <c r="BC41" s="13">
        <f ca="1">OFFSET(AX$15,0,(ROW()-ROW(BC$39)))</f>
        <v>574.29604166666661</v>
      </c>
      <c r="BD41" s="13">
        <f ca="1">OFFSET(AX$32,0,(ROW()-ROW(BD$39)))</f>
        <v>0</v>
      </c>
      <c r="BF41" s="18">
        <f t="shared" ca="1" si="84"/>
        <v>497.74689620702321</v>
      </c>
      <c r="BG41" s="18">
        <f t="shared" ca="1" si="85"/>
        <v>645.58534148079877</v>
      </c>
      <c r="BH41" s="18">
        <f t="shared" ca="1" si="86"/>
        <v>0</v>
      </c>
      <c r="BI41" s="33">
        <f t="shared" ca="1" si="87"/>
        <v>0</v>
      </c>
      <c r="BO41" t="s">
        <v>171</v>
      </c>
      <c r="BP41" t="s">
        <v>174</v>
      </c>
      <c r="BQ41" s="13">
        <f ca="1">OFFSET(BL$15,0,(ROW()-ROW(BQ$39)))</f>
        <v>512.29604166666672</v>
      </c>
      <c r="BR41" s="13">
        <f ca="1">OFFSET(BL$32,0,(ROW()-ROW(BR$39)))</f>
        <v>0</v>
      </c>
      <c r="BT41" s="18">
        <f t="shared" ca="1" si="88"/>
        <v>437.35856712433741</v>
      </c>
      <c r="BU41" s="18">
        <f t="shared" ca="1" si="89"/>
        <v>580.03857216030963</v>
      </c>
      <c r="BV41" s="18">
        <f t="shared" ca="1" si="90"/>
        <v>0</v>
      </c>
      <c r="BW41" s="33">
        <f t="shared" ca="1" si="91"/>
        <v>0</v>
      </c>
      <c r="CC41" t="s">
        <v>171</v>
      </c>
      <c r="CD41" t="s">
        <v>174</v>
      </c>
      <c r="CE41" s="13">
        <f ca="1">OFFSET(BZ$15,0,(ROW()-ROW(CE$39)))</f>
        <v>450.29604166666667</v>
      </c>
      <c r="CF41" s="13">
        <f ca="1">OFFSET(BZ$32,0,(ROW()-ROW(CF$39)))</f>
        <v>0</v>
      </c>
      <c r="CH41" s="18">
        <f t="shared" ca="1" si="92"/>
        <v>377.53447974260899</v>
      </c>
      <c r="CI41" s="18">
        <f t="shared" ca="1" si="93"/>
        <v>513.67989586329861</v>
      </c>
      <c r="CJ41" s="18">
        <f t="shared" ca="1" si="94"/>
        <v>0</v>
      </c>
      <c r="CK41" s="33">
        <f t="shared" ca="1" si="95"/>
        <v>0</v>
      </c>
      <c r="CQ41" t="s">
        <v>171</v>
      </c>
      <c r="CR41" t="s">
        <v>174</v>
      </c>
      <c r="CS41" s="13">
        <f ca="1">OFFSET(CN$15,0,(ROW()-ROW(CS$39)))</f>
        <v>388.40604166666662</v>
      </c>
      <c r="CT41" s="13">
        <f ca="1">OFFSET(CN$32,0,(ROW()-ROW(CT$39)))</f>
        <v>0.11000000000000032</v>
      </c>
      <c r="CV41" s="18">
        <f t="shared" ca="1" si="96"/>
        <v>318.91496482998338</v>
      </c>
      <c r="CW41" s="18">
        <f t="shared" ca="1" si="97"/>
        <v>447.24401918877754</v>
      </c>
      <c r="CX41" s="18">
        <f t="shared" ca="1" si="98"/>
        <v>9.2975657066825132E-2</v>
      </c>
      <c r="CY41" s="33">
        <f t="shared" ca="1" si="99"/>
        <v>0.11932565987223402</v>
      </c>
      <c r="DE41" t="s">
        <v>171</v>
      </c>
      <c r="DF41" t="s">
        <v>174</v>
      </c>
      <c r="DG41" s="13">
        <f ca="1">OFFSET(DB$15,0,(ROW()-ROW(DG$39)))</f>
        <v>327.01979166666672</v>
      </c>
      <c r="DH41" s="13">
        <f ca="1">OFFSET(DB$32,0,(ROW()-ROW(DH$39)))</f>
        <v>0.72375000000000056</v>
      </c>
      <c r="DJ41" s="18">
        <f t="shared" ca="1" si="100"/>
        <v>260.25611183682054</v>
      </c>
      <c r="DK41" s="18">
        <f t="shared" ca="1" si="101"/>
        <v>381.35786115461781</v>
      </c>
      <c r="DL41" s="18">
        <f t="shared" ca="1" si="102"/>
        <v>0.62154585670449747</v>
      </c>
      <c r="DM41" s="33">
        <f t="shared" ca="1" si="103"/>
        <v>0.78086327207048833</v>
      </c>
      <c r="DP41" s="18">
        <f>'Monthly Data'!F41</f>
        <v>160553.68722932957</v>
      </c>
      <c r="DQ41" s="18">
        <f>'Monthly Data'!J41</f>
        <v>156814.82435037143</v>
      </c>
      <c r="DR41" s="18">
        <f>'Monthly Data'!N41</f>
        <v>133417.9945724307</v>
      </c>
    </row>
    <row r="42" spans="1:122">
      <c r="A42" s="9">
        <v>43586</v>
      </c>
      <c r="B42">
        <v>2019</v>
      </c>
      <c r="C42">
        <v>5</v>
      </c>
      <c r="D42" s="13">
        <v>10.082930107526883</v>
      </c>
      <c r="E42" s="14">
        <v>307.42916666666667</v>
      </c>
      <c r="F42" s="14">
        <v>0</v>
      </c>
      <c r="G42" s="14">
        <v>245.42916666666662</v>
      </c>
      <c r="H42" s="14">
        <v>0</v>
      </c>
      <c r="I42" s="14">
        <v>184.12083333333331</v>
      </c>
      <c r="J42" s="14">
        <v>0.69166666666666643</v>
      </c>
      <c r="K42" s="14">
        <v>126.47499999999999</v>
      </c>
      <c r="L42" s="14">
        <v>5.0458333333333307</v>
      </c>
      <c r="M42" s="14">
        <v>75.495833333333323</v>
      </c>
      <c r="N42" s="14">
        <v>16.06666666666667</v>
      </c>
      <c r="O42" s="14">
        <v>37.637500000000003</v>
      </c>
      <c r="P42" s="14">
        <v>40.208333333333343</v>
      </c>
      <c r="Q42" s="14">
        <v>13.55833333333333</v>
      </c>
      <c r="R42" s="14">
        <v>78.129166666666663</v>
      </c>
      <c r="S42" s="30"/>
      <c r="Y42" t="s">
        <v>171</v>
      </c>
      <c r="Z42" t="s">
        <v>175</v>
      </c>
      <c r="AA42" s="13">
        <f ca="1">OFFSET(V$15,0,(ROW()-ROW(AA$39)))</f>
        <v>468.60374999999993</v>
      </c>
      <c r="AB42" s="13">
        <f ca="1">OFFSET(V$32,0,(ROW()-ROW(AB$39)))</f>
        <v>0</v>
      </c>
      <c r="AD42" s="18">
        <f t="shared" ca="1" si="76"/>
        <v>418.73236383846591</v>
      </c>
      <c r="AE42" s="18">
        <f t="shared" ca="1" si="77"/>
        <v>517.40650421381736</v>
      </c>
      <c r="AF42" s="18">
        <f t="shared" ca="1" si="78"/>
        <v>0</v>
      </c>
      <c r="AG42" s="33">
        <f t="shared" ca="1" si="79"/>
        <v>0</v>
      </c>
      <c r="AM42" t="s">
        <v>171</v>
      </c>
      <c r="AN42" t="s">
        <v>175</v>
      </c>
      <c r="AO42" s="13">
        <f ca="1">OFFSET($AJ$15,0,(ROW()-ROW(AO$39)))</f>
        <v>408.60374999999999</v>
      </c>
      <c r="AP42" s="13">
        <f ca="1">OFFSET($AJ$32,0,(ROW()-ROW(AP$39)))</f>
        <v>0</v>
      </c>
      <c r="AR42" s="18">
        <f t="shared" ca="1" si="80"/>
        <v>359.73871062458045</v>
      </c>
      <c r="AS42" s="18">
        <f t="shared" ca="1" si="81"/>
        <v>455.4514878686926</v>
      </c>
      <c r="AT42" s="18">
        <f t="shared" ca="1" si="82"/>
        <v>0</v>
      </c>
      <c r="AU42" s="33">
        <f t="shared" ca="1" si="83"/>
        <v>0</v>
      </c>
      <c r="BA42" t="s">
        <v>171</v>
      </c>
      <c r="BB42" t="s">
        <v>175</v>
      </c>
      <c r="BC42" s="13">
        <f ca="1">OFFSET(AX$15,0,(ROW()-ROW(BC$39)))</f>
        <v>348.71333333333342</v>
      </c>
      <c r="BD42" s="13">
        <f ca="1">OFFSET(AX$32,0,(ROW()-ROW(BD$39)))</f>
        <v>0.10958333333333314</v>
      </c>
      <c r="BF42" s="18">
        <f t="shared" ca="1" si="84"/>
        <v>302.23258866446446</v>
      </c>
      <c r="BG42" s="18">
        <f t="shared" ca="1" si="85"/>
        <v>392.00029261140975</v>
      </c>
      <c r="BH42" s="18">
        <f t="shared" ca="1" si="86"/>
        <v>8.507082539220906E-2</v>
      </c>
      <c r="BI42" s="33">
        <f t="shared" ca="1" si="87"/>
        <v>0.12873381758927982</v>
      </c>
      <c r="BO42" t="s">
        <v>171</v>
      </c>
      <c r="BP42" t="s">
        <v>175</v>
      </c>
      <c r="BQ42" s="13">
        <f ca="1">OFFSET(BL$15,0,(ROW()-ROW(BQ$39)))</f>
        <v>289.4858333333334</v>
      </c>
      <c r="BR42" s="13">
        <f ca="1">OFFSET(BL$32,0,(ROW()-ROW(BR$39)))</f>
        <v>0.88208333333333366</v>
      </c>
      <c r="BT42" s="18">
        <f t="shared" ca="1" si="88"/>
        <v>247.14051831741773</v>
      </c>
      <c r="BU42" s="18">
        <f t="shared" ca="1" si="89"/>
        <v>327.76546326812968</v>
      </c>
      <c r="BV42" s="18">
        <f t="shared" ca="1" si="90"/>
        <v>0.72429414156037597</v>
      </c>
      <c r="BW42" s="33">
        <f t="shared" ca="1" si="91"/>
        <v>0.98666536517195491</v>
      </c>
      <c r="CC42" t="s">
        <v>171</v>
      </c>
      <c r="CD42" t="s">
        <v>175</v>
      </c>
      <c r="CE42" s="13">
        <f ca="1">OFFSET(BZ$15,0,(ROW()-ROW(CE$39)))</f>
        <v>231.41416666666669</v>
      </c>
      <c r="CF42" s="13">
        <f ca="1">OFFSET(BZ$32,0,(ROW()-ROW(CF$39)))</f>
        <v>2.8104166666666677</v>
      </c>
      <c r="CH42" s="18">
        <f t="shared" ca="1" si="92"/>
        <v>194.02086390589025</v>
      </c>
      <c r="CI42" s="18">
        <f t="shared" ca="1" si="93"/>
        <v>263.98811900421146</v>
      </c>
      <c r="CJ42" s="18">
        <f t="shared" ca="1" si="94"/>
        <v>2.33889472041326</v>
      </c>
      <c r="CK42" s="33">
        <f t="shared" ca="1" si="95"/>
        <v>3.0470377046304016</v>
      </c>
      <c r="CQ42" t="s">
        <v>171</v>
      </c>
      <c r="CR42" t="s">
        <v>175</v>
      </c>
      <c r="CS42" s="13">
        <f ca="1">OFFSET(CN$15,0,(ROW()-ROW(CS$39)))</f>
        <v>176.3391666666667</v>
      </c>
      <c r="CT42" s="13">
        <f ca="1">OFFSET(CN$32,0,(ROW()-ROW(CT$39)))</f>
        <v>7.7354166666666684</v>
      </c>
      <c r="CV42" s="18">
        <f t="shared" ca="1" si="96"/>
        <v>144.78971257587139</v>
      </c>
      <c r="CW42" s="18">
        <f t="shared" ca="1" si="97"/>
        <v>203.05203621956977</v>
      </c>
      <c r="CX42" s="18">
        <f t="shared" ca="1" si="98"/>
        <v>6.5382313388091058</v>
      </c>
      <c r="CY42" s="33">
        <f t="shared" ca="1" si="99"/>
        <v>8.3912154376061316</v>
      </c>
      <c r="DE42" t="s">
        <v>171</v>
      </c>
      <c r="DF42" t="s">
        <v>175</v>
      </c>
      <c r="DG42" s="13">
        <f ca="1">OFFSET(DB$15,0,(ROW()-ROW(DG$39)))</f>
        <v>124.94874999999998</v>
      </c>
      <c r="DH42" s="13">
        <f ca="1">OFFSET(DB$32,0,(ROW()-ROW(DH$39)))</f>
        <v>16.344999999999999</v>
      </c>
      <c r="DJ42" s="18">
        <f t="shared" ca="1" si="100"/>
        <v>99.439473336272584</v>
      </c>
      <c r="DK42" s="18">
        <f t="shared" ca="1" si="101"/>
        <v>145.71041040388519</v>
      </c>
      <c r="DL42" s="18">
        <f t="shared" ca="1" si="102"/>
        <v>14.036845634314339</v>
      </c>
      <c r="DM42" s="33">
        <f t="shared" ca="1" si="103"/>
        <v>17.634832721232637</v>
      </c>
      <c r="DP42" s="18">
        <f>'Monthly Data'!F42</f>
        <v>161064.62250803006</v>
      </c>
      <c r="DQ42" s="18">
        <f>'Monthly Data'!J42</f>
        <v>158618.0740403769</v>
      </c>
      <c r="DR42" s="18">
        <f>'Monthly Data'!N42</f>
        <v>134936.72934280749</v>
      </c>
    </row>
    <row r="43" spans="1:122">
      <c r="A43" s="9">
        <v>43617</v>
      </c>
      <c r="B43">
        <v>2019</v>
      </c>
      <c r="C43">
        <v>6</v>
      </c>
      <c r="D43" s="13">
        <v>16.270833333333336</v>
      </c>
      <c r="E43" s="14">
        <v>114.8875</v>
      </c>
      <c r="F43" s="14">
        <v>3.0125000000000099</v>
      </c>
      <c r="G43" s="14">
        <v>68.995833333333337</v>
      </c>
      <c r="H43" s="14">
        <v>17.120833333333337</v>
      </c>
      <c r="I43" s="14">
        <v>36.287500000000001</v>
      </c>
      <c r="J43" s="14">
        <v>44.412499999999994</v>
      </c>
      <c r="K43" s="14">
        <v>15.075000000000003</v>
      </c>
      <c r="L43" s="14">
        <v>83.199999999999989</v>
      </c>
      <c r="M43" s="14">
        <v>6.5708333333333382</v>
      </c>
      <c r="N43" s="14">
        <v>134.69583333333335</v>
      </c>
      <c r="O43" s="14">
        <v>0.80416666666666892</v>
      </c>
      <c r="P43" s="14">
        <v>188.9291666666667</v>
      </c>
      <c r="Q43" s="14">
        <v>0</v>
      </c>
      <c r="R43" s="14">
        <v>248.12500000000006</v>
      </c>
      <c r="S43" s="30"/>
      <c r="Y43" t="s">
        <v>171</v>
      </c>
      <c r="Z43" t="s">
        <v>86</v>
      </c>
      <c r="AA43" s="13">
        <f ca="1">OFFSET(V$15,0,(ROW()-ROW(AA$39)))</f>
        <v>232.88687500000006</v>
      </c>
      <c r="AB43" s="13">
        <f ca="1">OFFSET(V$32,0,(ROW()-ROW(AB$39)))</f>
        <v>4.5312499999999982</v>
      </c>
      <c r="AD43" s="18">
        <f t="shared" ca="1" si="76"/>
        <v>208.10177399498693</v>
      </c>
      <c r="AE43" s="18">
        <f t="shared" ca="1" si="77"/>
        <v>257.1408868815717</v>
      </c>
      <c r="AF43" s="18">
        <f t="shared" ca="1" si="78"/>
        <v>2.2144314654676887</v>
      </c>
      <c r="AG43" s="33">
        <f t="shared" ca="1" si="79"/>
        <v>6.2706533112357201</v>
      </c>
      <c r="AM43" t="s">
        <v>171</v>
      </c>
      <c r="AN43" t="s">
        <v>86</v>
      </c>
      <c r="AO43" s="13">
        <f ca="1">OFFSET($AJ$15,0,(ROW()-ROW(AO$39)))</f>
        <v>178.10395833333331</v>
      </c>
      <c r="AP43" s="13">
        <f ca="1">OFFSET($AJ$32,0,(ROW()-ROW(AP$39)))</f>
        <v>11.748333333333331</v>
      </c>
      <c r="AR43" s="18">
        <f t="shared" ca="1" si="80"/>
        <v>156.80445499574424</v>
      </c>
      <c r="AS43" s="18">
        <f t="shared" ca="1" si="81"/>
        <v>198.52415162176143</v>
      </c>
      <c r="AT43" s="18">
        <f t="shared" ca="1" si="82"/>
        <v>7.7976784420235088</v>
      </c>
      <c r="AU43" s="33">
        <f t="shared" ca="1" si="83"/>
        <v>14.559280187406351</v>
      </c>
      <c r="BA43" t="s">
        <v>171</v>
      </c>
      <c r="BB43" t="s">
        <v>86</v>
      </c>
      <c r="BC43" s="13">
        <f ca="1">OFFSET(AX$15,0,(ROW()-ROW(BC$39)))</f>
        <v>129.94041666666666</v>
      </c>
      <c r="BD43" s="13">
        <f ca="1">OFFSET(AX$32,0,(ROW()-ROW(BD$39)))</f>
        <v>25.584791666666661</v>
      </c>
      <c r="BF43" s="18">
        <f t="shared" ca="1" si="84"/>
        <v>112.62038111908286</v>
      </c>
      <c r="BG43" s="18">
        <f t="shared" ca="1" si="85"/>
        <v>146.0703577591388</v>
      </c>
      <c r="BH43" s="18">
        <f t="shared" ca="1" si="86"/>
        <v>19.861773486579914</v>
      </c>
      <c r="BI43" s="33">
        <f t="shared" ca="1" si="87"/>
        <v>30.055920031723787</v>
      </c>
      <c r="BO43" t="s">
        <v>171</v>
      </c>
      <c r="BP43" t="s">
        <v>86</v>
      </c>
      <c r="BQ43" s="13">
        <f ca="1">OFFSET(BL$15,0,(ROW()-ROW(BQ$39)))</f>
        <v>88.491666666666674</v>
      </c>
      <c r="BR43" s="13">
        <f ca="1">OFFSET(BL$32,0,(ROW()-ROW(BR$39)))</f>
        <v>46.13604166666665</v>
      </c>
      <c r="BT43" s="18">
        <f t="shared" ca="1" si="88"/>
        <v>75.547311296541821</v>
      </c>
      <c r="BU43" s="18">
        <f t="shared" ca="1" si="89"/>
        <v>100.19320042846854</v>
      </c>
      <c r="BV43" s="18">
        <f t="shared" ca="1" si="90"/>
        <v>37.883115382845972</v>
      </c>
      <c r="BW43" s="33">
        <f t="shared" ca="1" si="91"/>
        <v>51.606047499627962</v>
      </c>
      <c r="CC43" t="s">
        <v>171</v>
      </c>
      <c r="CD43" t="s">
        <v>86</v>
      </c>
      <c r="CE43" s="13">
        <f ca="1">OFFSET(BZ$15,0,(ROW()-ROW(CE$39)))</f>
        <v>55.028749999999988</v>
      </c>
      <c r="CF43" s="13">
        <f ca="1">OFFSET(BZ$32,0,(ROW()-ROW(CF$39)))</f>
        <v>74.673124999999999</v>
      </c>
      <c r="CH43" s="18">
        <f t="shared" ca="1" si="92"/>
        <v>46.136871257498299</v>
      </c>
      <c r="CI43" s="18">
        <f t="shared" ca="1" si="93"/>
        <v>62.774619259061488</v>
      </c>
      <c r="CJ43" s="18">
        <f t="shared" ca="1" si="94"/>
        <v>62.144727467193846</v>
      </c>
      <c r="CK43" s="33">
        <f t="shared" ca="1" si="95"/>
        <v>80.960175797507716</v>
      </c>
      <c r="CQ43" t="s">
        <v>171</v>
      </c>
      <c r="CR43" t="s">
        <v>86</v>
      </c>
      <c r="CS43" s="13">
        <f ca="1">OFFSET(CN$15,0,(ROW()-ROW(CS$39)))</f>
        <v>29.792083333333331</v>
      </c>
      <c r="CT43" s="13">
        <f ca="1">OFFSET(CN$32,0,(ROW()-ROW(CT$39)))</f>
        <v>111.43645833333332</v>
      </c>
      <c r="CV43" s="18">
        <f t="shared" ca="1" si="96"/>
        <v>24.46187800707769</v>
      </c>
      <c r="CW43" s="18">
        <f t="shared" ca="1" si="97"/>
        <v>34.305159190706014</v>
      </c>
      <c r="CX43" s="18">
        <f t="shared" ca="1" si="98"/>
        <v>94.189799406741059</v>
      </c>
      <c r="CY43" s="33">
        <f t="shared" ca="1" si="99"/>
        <v>120.88389931317884</v>
      </c>
      <c r="DE43" t="s">
        <v>171</v>
      </c>
      <c r="DF43" t="s">
        <v>86</v>
      </c>
      <c r="DG43" s="13">
        <f ca="1">OFFSET(DB$15,0,(ROW()-ROW(DG$39)))</f>
        <v>14.190833333333334</v>
      </c>
      <c r="DH43" s="13">
        <f ca="1">OFFSET(DB$32,0,(ROW()-ROW(DH$39)))</f>
        <v>157.8352083333333</v>
      </c>
      <c r="DJ43" s="18">
        <f t="shared" ca="1" si="100"/>
        <v>11.293662344517159</v>
      </c>
      <c r="DK43" s="18">
        <f t="shared" ca="1" si="101"/>
        <v>16.548802200687359</v>
      </c>
      <c r="DL43" s="18">
        <f t="shared" ca="1" si="102"/>
        <v>135.54655582960194</v>
      </c>
      <c r="DM43" s="33">
        <f t="shared" ca="1" si="103"/>
        <v>170.29045558147666</v>
      </c>
      <c r="DP43" s="18">
        <f>'Monthly Data'!F43</f>
        <v>161575.55778673053</v>
      </c>
      <c r="DQ43" s="18">
        <f>'Monthly Data'!J43</f>
        <v>160421.32373038234</v>
      </c>
      <c r="DR43" s="18">
        <f>'Monthly Data'!N43</f>
        <v>136455.46411318425</v>
      </c>
    </row>
    <row r="44" spans="1:122">
      <c r="A44" s="9">
        <v>43647</v>
      </c>
      <c r="B44">
        <v>2019</v>
      </c>
      <c r="C44">
        <v>7</v>
      </c>
      <c r="D44" s="13">
        <v>21.368951612903224</v>
      </c>
      <c r="E44" s="14">
        <v>14.054166666666667</v>
      </c>
      <c r="F44" s="14">
        <v>56.491666666666646</v>
      </c>
      <c r="G44" s="14">
        <v>1.4625000000000021</v>
      </c>
      <c r="H44" s="14">
        <v>105.89999999999998</v>
      </c>
      <c r="I44" s="14">
        <v>0</v>
      </c>
      <c r="J44" s="14">
        <v>166.43749999999997</v>
      </c>
      <c r="K44" s="14">
        <v>0</v>
      </c>
      <c r="L44" s="14">
        <v>228.43749999999991</v>
      </c>
      <c r="M44" s="14">
        <v>0</v>
      </c>
      <c r="N44" s="14">
        <v>290.43749999999994</v>
      </c>
      <c r="O44" s="14">
        <v>0</v>
      </c>
      <c r="P44" s="14">
        <v>352.4375</v>
      </c>
      <c r="Q44" s="14">
        <v>0</v>
      </c>
      <c r="R44" s="14">
        <v>414.4375</v>
      </c>
      <c r="S44" s="30"/>
      <c r="Y44" t="s">
        <v>171</v>
      </c>
      <c r="Z44" t="s">
        <v>165</v>
      </c>
      <c r="AA44" s="13">
        <f ca="1">OFFSET(V$15,0,(ROW()-ROW(AA$39)))</f>
        <v>92.751249999999999</v>
      </c>
      <c r="AB44" s="13">
        <f ca="1">OFFSET(V$32,0,(ROW()-ROW(AB$39)))</f>
        <v>19.564583333333331</v>
      </c>
      <c r="AD44" s="18">
        <f t="shared" ca="1" si="76"/>
        <v>82.880152285321046</v>
      </c>
      <c r="AE44" s="18">
        <f t="shared" ca="1" si="77"/>
        <v>102.41083223077457</v>
      </c>
      <c r="AF44" s="18">
        <f t="shared" ca="1" si="78"/>
        <v>9.5612532837733646</v>
      </c>
      <c r="AG44" s="33">
        <f t="shared" ca="1" si="79"/>
        <v>27.074807009569959</v>
      </c>
      <c r="AM44" t="s">
        <v>171</v>
      </c>
      <c r="AN44" t="s">
        <v>165</v>
      </c>
      <c r="AO44" s="13">
        <f ca="1">OFFSET($AJ$15,0,(ROW()-ROW(AO$39)))</f>
        <v>51.834166666666661</v>
      </c>
      <c r="AP44" s="13">
        <f ca="1">OFFSET($AJ$32,0,(ROW()-ROW(AP$39)))</f>
        <v>38.647499999999994</v>
      </c>
      <c r="AR44" s="18">
        <f t="shared" ca="1" si="80"/>
        <v>45.635303843800436</v>
      </c>
      <c r="AS44" s="18">
        <f t="shared" ca="1" si="81"/>
        <v>57.777121063541692</v>
      </c>
      <c r="AT44" s="18">
        <f t="shared" ca="1" si="82"/>
        <v>25.651364243561094</v>
      </c>
      <c r="AU44" s="33">
        <f t="shared" ca="1" si="83"/>
        <v>47.894434476616851</v>
      </c>
      <c r="BA44" t="s">
        <v>171</v>
      </c>
      <c r="BB44" t="s">
        <v>165</v>
      </c>
      <c r="BC44" s="13">
        <f ca="1">OFFSET(AX$15,0,(ROW()-ROW(BC$39)))</f>
        <v>24.441250000000004</v>
      </c>
      <c r="BD44" s="13">
        <f ca="1">OFFSET(AX$32,0,(ROW()-ROW(BD$39)))</f>
        <v>71.254583333333329</v>
      </c>
      <c r="BF44" s="18">
        <f t="shared" ca="1" si="84"/>
        <v>21.183423607821158</v>
      </c>
      <c r="BG44" s="18">
        <f t="shared" ca="1" si="85"/>
        <v>27.475224592660496</v>
      </c>
      <c r="BH44" s="18">
        <f t="shared" ca="1" si="86"/>
        <v>55.315767761015543</v>
      </c>
      <c r="BI44" s="33">
        <f t="shared" ca="1" si="87"/>
        <v>83.706839846997596</v>
      </c>
      <c r="BO44" t="s">
        <v>171</v>
      </c>
      <c r="BP44" t="s">
        <v>165</v>
      </c>
      <c r="BQ44" s="13">
        <f ca="1">OFFSET(BL$15,0,(ROW()-ROW(BQ$39)))</f>
        <v>9.2829166666666687</v>
      </c>
      <c r="BR44" s="13">
        <f ca="1">OFFSET(BL$32,0,(ROW()-ROW(BR$39)))</f>
        <v>116.09625000000001</v>
      </c>
      <c r="BT44" s="18">
        <f t="shared" ca="1" si="88"/>
        <v>7.9250331875678288</v>
      </c>
      <c r="BU44" s="18">
        <f t="shared" ca="1" si="89"/>
        <v>10.510426181118047</v>
      </c>
      <c r="BV44" s="18">
        <f t="shared" ca="1" si="90"/>
        <v>95.328673102082703</v>
      </c>
      <c r="BW44" s="33">
        <f t="shared" ca="1" si="91"/>
        <v>129.8609151455961</v>
      </c>
      <c r="CC44" t="s">
        <v>171</v>
      </c>
      <c r="CD44" t="s">
        <v>165</v>
      </c>
      <c r="CE44" s="13">
        <f ca="1">OFFSET(BZ$15,0,(ROW()-ROW(CE$39)))</f>
        <v>2.9750000000000023</v>
      </c>
      <c r="CF44" s="13">
        <f ca="1">OFFSET(BZ$32,0,(ROW()-ROW(CF$39)))</f>
        <v>169.78833333333333</v>
      </c>
      <c r="CH44" s="18">
        <f t="shared" ca="1" si="92"/>
        <v>2.4942814799728792</v>
      </c>
      <c r="CI44" s="18">
        <f t="shared" ca="1" si="93"/>
        <v>3.3937622114932302</v>
      </c>
      <c r="CJ44" s="18">
        <f t="shared" ca="1" si="94"/>
        <v>141.30183653234096</v>
      </c>
      <c r="CK44" s="33">
        <f t="shared" ca="1" si="95"/>
        <v>184.0835416360639</v>
      </c>
      <c r="CQ44" t="s">
        <v>171</v>
      </c>
      <c r="CR44" t="s">
        <v>165</v>
      </c>
      <c r="CS44" s="13">
        <f ca="1">OFFSET(CN$15,0,(ROW()-ROW(CS$39)))</f>
        <v>0.50625000000000053</v>
      </c>
      <c r="CT44" s="13">
        <f ca="1">OFFSET(CN$32,0,(ROW()-ROW(CT$39)))</f>
        <v>227.31958333333333</v>
      </c>
      <c r="CV44" s="18">
        <f t="shared" ca="1" si="96"/>
        <v>0.41567505039928709</v>
      </c>
      <c r="CW44" s="18">
        <f t="shared" ca="1" si="97"/>
        <v>0.58293965702168993</v>
      </c>
      <c r="CX44" s="18">
        <f t="shared" ca="1" si="98"/>
        <v>192.13806931430472</v>
      </c>
      <c r="CY44" s="33">
        <f t="shared" ca="1" si="99"/>
        <v>246.59144802846558</v>
      </c>
      <c r="DE44" t="s">
        <v>171</v>
      </c>
      <c r="DF44" t="s">
        <v>165</v>
      </c>
      <c r="DG44" s="13">
        <f ca="1">OFFSET(DB$15,0,(ROW()-ROW(DG$39)))</f>
        <v>0</v>
      </c>
      <c r="DH44" s="13">
        <f ca="1">OFFSET(DB$32,0,(ROW()-ROW(DH$39)))</f>
        <v>286.81333333333333</v>
      </c>
      <c r="DJ44" s="18">
        <f t="shared" ca="1" si="100"/>
        <v>0</v>
      </c>
      <c r="DK44" s="18">
        <f t="shared" ca="1" si="101"/>
        <v>0</v>
      </c>
      <c r="DL44" s="18">
        <f t="shared" ca="1" si="102"/>
        <v>246.31107285794698</v>
      </c>
      <c r="DM44" s="33">
        <f t="shared" ca="1" si="103"/>
        <v>309.44662927821781</v>
      </c>
      <c r="DP44" s="18">
        <f>'Monthly Data'!F44</f>
        <v>162086.49306543099</v>
      </c>
      <c r="DQ44" s="18">
        <f>'Monthly Data'!J44</f>
        <v>162224.57342038781</v>
      </c>
      <c r="DR44" s="18">
        <f>'Monthly Data'!N44</f>
        <v>137974.19888356104</v>
      </c>
    </row>
    <row r="45" spans="1:122">
      <c r="A45" s="9">
        <v>43678</v>
      </c>
      <c r="B45">
        <v>2019</v>
      </c>
      <c r="C45">
        <v>8</v>
      </c>
      <c r="D45" s="13">
        <v>18.445295698924728</v>
      </c>
      <c r="E45" s="14">
        <v>58.420833333333356</v>
      </c>
      <c r="F45" s="14">
        <v>10.224999999999994</v>
      </c>
      <c r="G45" s="14">
        <v>21.250000000000011</v>
      </c>
      <c r="H45" s="14">
        <v>35.05416666666666</v>
      </c>
      <c r="I45" s="14">
        <v>4.0625000000000018</v>
      </c>
      <c r="J45" s="14">
        <v>79.866666666666632</v>
      </c>
      <c r="K45" s="14">
        <v>0</v>
      </c>
      <c r="L45" s="14">
        <v>137.80416666666662</v>
      </c>
      <c r="M45" s="14">
        <v>0</v>
      </c>
      <c r="N45" s="14">
        <v>199.80416666666667</v>
      </c>
      <c r="O45" s="14">
        <v>0</v>
      </c>
      <c r="P45" s="14">
        <v>261.80416666666673</v>
      </c>
      <c r="Q45" s="14">
        <v>0</v>
      </c>
      <c r="R45" s="14">
        <v>323.80416666666667</v>
      </c>
      <c r="S45" s="30"/>
      <c r="Y45" t="s">
        <v>171</v>
      </c>
      <c r="Z45" t="s">
        <v>166</v>
      </c>
      <c r="AA45" s="13">
        <f ca="1">OFFSET(V$15,0,(ROW()-ROW(AA$39)))</f>
        <v>25.464999999999996</v>
      </c>
      <c r="AB45" s="13">
        <f ca="1">OFFSET(V$32,0,(ROW()-ROW(AB$39)))</f>
        <v>43.461249999999993</v>
      </c>
      <c r="AD45" s="18">
        <f t="shared" ca="1" si="76"/>
        <v>22.754874763905612</v>
      </c>
      <c r="AE45" s="18">
        <f t="shared" ca="1" si="77"/>
        <v>28.117053330889604</v>
      </c>
      <c r="AF45" s="18">
        <f t="shared" ca="1" si="78"/>
        <v>21.239604861474781</v>
      </c>
      <c r="AG45" s="33">
        <f t="shared" ca="1" si="79"/>
        <v>60.144646890580631</v>
      </c>
      <c r="AM45" t="s">
        <v>171</v>
      </c>
      <c r="AN45" t="s">
        <v>166</v>
      </c>
      <c r="AO45" s="13">
        <f ca="1">OFFSET($AJ$15,0,(ROW()-ROW(AO$39)))</f>
        <v>6.5670833333333318</v>
      </c>
      <c r="AP45" s="13">
        <f ca="1">OFFSET($AJ$32,0,(ROW()-ROW(AP$39)))</f>
        <v>86.563333333333318</v>
      </c>
      <c r="AR45" s="18">
        <f t="shared" ca="1" si="80"/>
        <v>5.7817239584744504</v>
      </c>
      <c r="AS45" s="18">
        <f t="shared" ca="1" si="81"/>
        <v>7.3200206193025874</v>
      </c>
      <c r="AT45" s="18">
        <f t="shared" ca="1" si="82"/>
        <v>57.454365572679386</v>
      </c>
      <c r="AU45" s="33">
        <f t="shared" ca="1" si="83"/>
        <v>107.27477576585488</v>
      </c>
      <c r="BA45" t="s">
        <v>171</v>
      </c>
      <c r="BB45" t="s">
        <v>166</v>
      </c>
      <c r="BC45" s="13">
        <f ca="1">OFFSET(AX$15,0,(ROW()-ROW(BC$39)))</f>
        <v>1.180833333333333</v>
      </c>
      <c r="BD45" s="13">
        <f ca="1">OFFSET(AX$32,0,(ROW()-ROW(BD$39)))</f>
        <v>143.17708333333331</v>
      </c>
      <c r="BF45" s="18">
        <f t="shared" ca="1" si="84"/>
        <v>1.0234375373696301</v>
      </c>
      <c r="BG45" s="18">
        <f t="shared" ca="1" si="85"/>
        <v>1.327414147796584</v>
      </c>
      <c r="BH45" s="18">
        <f t="shared" ca="1" si="86"/>
        <v>111.1500470547448</v>
      </c>
      <c r="BI45" s="33">
        <f t="shared" ca="1" si="87"/>
        <v>168.19831965443478</v>
      </c>
      <c r="BO45" t="s">
        <v>171</v>
      </c>
      <c r="BP45" t="s">
        <v>166</v>
      </c>
      <c r="BQ45" s="13">
        <f ca="1">OFFSET(BL$15,0,(ROW()-ROW(BQ$39)))</f>
        <v>3.2916666666666393E-2</v>
      </c>
      <c r="BR45" s="13">
        <f ca="1">OFFSET(BL$32,0,(ROW()-ROW(BR$39)))</f>
        <v>204.02916666666664</v>
      </c>
      <c r="BT45" s="18">
        <f t="shared" ca="1" si="88"/>
        <v>2.8101693155790346E-2</v>
      </c>
      <c r="BU45" s="18">
        <f t="shared" ca="1" si="89"/>
        <v>3.7269341905306279E-2</v>
      </c>
      <c r="BV45" s="18">
        <f t="shared" ca="1" si="90"/>
        <v>167.53193778831798</v>
      </c>
      <c r="BW45" s="33">
        <f t="shared" ca="1" si="91"/>
        <v>228.21938089926829</v>
      </c>
      <c r="CC45" t="s">
        <v>171</v>
      </c>
      <c r="CD45" t="s">
        <v>166</v>
      </c>
      <c r="CE45" s="13">
        <f ca="1">OFFSET(BZ$15,0,(ROW()-ROW(CE$39)))</f>
        <v>0</v>
      </c>
      <c r="CF45" s="13">
        <f ca="1">OFFSET(BZ$32,0,(ROW()-ROW(CF$39)))</f>
        <v>265.99625000000003</v>
      </c>
      <c r="CH45" s="18">
        <f t="shared" ca="1" si="92"/>
        <v>0</v>
      </c>
      <c r="CI45" s="18">
        <f t="shared" ca="1" si="93"/>
        <v>0</v>
      </c>
      <c r="CJ45" s="18">
        <f t="shared" ca="1" si="94"/>
        <v>221.36832312221517</v>
      </c>
      <c r="CK45" s="33">
        <f t="shared" ca="1" si="95"/>
        <v>288.39161561107579</v>
      </c>
      <c r="CQ45" t="s">
        <v>171</v>
      </c>
      <c r="CR45" t="s">
        <v>166</v>
      </c>
      <c r="CS45" s="13">
        <f ca="1">OFFSET(CN$15,0,(ROW()-ROW(CS$39)))</f>
        <v>0</v>
      </c>
      <c r="CT45" s="13">
        <f ca="1">OFFSET(CN$32,0,(ROW()-ROW(CT$39)))</f>
        <v>327.99625000000003</v>
      </c>
      <c r="CV45" s="18">
        <f t="shared" ca="1" si="96"/>
        <v>0</v>
      </c>
      <c r="CW45" s="18">
        <f t="shared" ca="1" si="97"/>
        <v>0</v>
      </c>
      <c r="CX45" s="18">
        <f t="shared" ca="1" si="98"/>
        <v>277.23333508367784</v>
      </c>
      <c r="CY45" s="33">
        <f t="shared" ca="1" si="99"/>
        <v>355.80335424425579</v>
      </c>
      <c r="DE45" t="s">
        <v>171</v>
      </c>
      <c r="DF45" t="s">
        <v>166</v>
      </c>
      <c r="DG45" s="13">
        <f ca="1">OFFSET(DB$15,0,(ROW()-ROW(DG$39)))</f>
        <v>0</v>
      </c>
      <c r="DH45" s="13">
        <f ca="1">OFFSET(DB$32,0,(ROW()-ROW(DH$39)))</f>
        <v>389.99625000000003</v>
      </c>
      <c r="DJ45" s="18">
        <f t="shared" ca="1" si="100"/>
        <v>0</v>
      </c>
      <c r="DK45" s="18">
        <f t="shared" ca="1" si="101"/>
        <v>0</v>
      </c>
      <c r="DL45" s="18">
        <f t="shared" ca="1" si="102"/>
        <v>334.92304430782895</v>
      </c>
      <c r="DM45" s="33">
        <f t="shared" ca="1" si="103"/>
        <v>420.77201778268739</v>
      </c>
      <c r="DP45" s="18">
        <f>'Monthly Data'!F45</f>
        <v>162597.42834413148</v>
      </c>
      <c r="DQ45" s="18">
        <f>'Monthly Data'!J45</f>
        <v>164027.82311039325</v>
      </c>
      <c r="DR45" s="18">
        <f>'Monthly Data'!N45</f>
        <v>139492.9336539378</v>
      </c>
    </row>
    <row r="46" spans="1:122">
      <c r="A46" s="9">
        <v>43709</v>
      </c>
      <c r="B46">
        <v>2019</v>
      </c>
      <c r="C46">
        <v>9</v>
      </c>
      <c r="D46" s="13">
        <v>13.743055555555555</v>
      </c>
      <c r="E46" s="14">
        <v>189.70000000000007</v>
      </c>
      <c r="F46" s="14">
        <v>1.9916666666666636</v>
      </c>
      <c r="G46" s="14">
        <v>133.26666666666668</v>
      </c>
      <c r="H46" s="14">
        <v>5.55833333333333</v>
      </c>
      <c r="I46" s="14">
        <v>81.733333333333348</v>
      </c>
      <c r="J46" s="14">
        <v>14.024999999999991</v>
      </c>
      <c r="K46" s="14">
        <v>39.104166666666664</v>
      </c>
      <c r="L46" s="14">
        <v>31.395833333333321</v>
      </c>
      <c r="M46" s="14">
        <v>14.300000000000004</v>
      </c>
      <c r="N46" s="14">
        <v>66.591666666666669</v>
      </c>
      <c r="O46" s="14">
        <v>4.2375000000000025</v>
      </c>
      <c r="P46" s="14">
        <v>116.52916666666667</v>
      </c>
      <c r="Q46" s="14">
        <v>0.42916666666666714</v>
      </c>
      <c r="R46" s="14">
        <v>172.72083333333327</v>
      </c>
      <c r="S46" s="30"/>
      <c r="Y46" t="s">
        <v>171</v>
      </c>
      <c r="Z46" t="s">
        <v>167</v>
      </c>
      <c r="AA46" s="13">
        <f ca="1">OFFSET(V$15,0,(ROW()-ROW(AA$39)))</f>
        <v>54.974791666666668</v>
      </c>
      <c r="AB46" s="13">
        <f ca="1">OFFSET(V$32,0,(ROW()-ROW(AB$39)))</f>
        <v>25.37791666666666</v>
      </c>
      <c r="AD46" s="18">
        <f t="shared" ca="1" si="76"/>
        <v>49.124072238240799</v>
      </c>
      <c r="AE46" s="18">
        <f t="shared" ca="1" si="77"/>
        <v>60.700143300459935</v>
      </c>
      <c r="AF46" s="18">
        <f t="shared" ca="1" si="78"/>
        <v>12.402241587792231</v>
      </c>
      <c r="AG46" s="33">
        <f t="shared" ca="1" si="79"/>
        <v>35.119694825511175</v>
      </c>
      <c r="AM46" t="s">
        <v>171</v>
      </c>
      <c r="AN46" t="s">
        <v>167</v>
      </c>
      <c r="AO46" s="13">
        <f ca="1">OFFSET($AJ$15,0,(ROW()-ROW(AO$39)))</f>
        <v>23.263124999999995</v>
      </c>
      <c r="AP46" s="13">
        <f ca="1">OFFSET($AJ$32,0,(ROW()-ROW(AP$39)))</f>
        <v>55.666249999999991</v>
      </c>
      <c r="AR46" s="18">
        <f t="shared" ca="1" si="80"/>
        <v>20.481081225021654</v>
      </c>
      <c r="AS46" s="18">
        <f t="shared" ca="1" si="81"/>
        <v>25.930317315309463</v>
      </c>
      <c r="AT46" s="18">
        <f t="shared" ca="1" si="82"/>
        <v>36.94715712072275</v>
      </c>
      <c r="AU46" s="33">
        <f t="shared" ca="1" si="83"/>
        <v>68.985149445215669</v>
      </c>
      <c r="BA46" t="s">
        <v>171</v>
      </c>
      <c r="BB46" t="s">
        <v>167</v>
      </c>
      <c r="BC46" s="13">
        <f ca="1">OFFSET(AX$15,0,(ROW()-ROW(BC$39)))</f>
        <v>7.0395833333333373</v>
      </c>
      <c r="BD46" s="13">
        <f ca="1">OFFSET(AX$32,0,(ROW()-ROW(BD$39)))</f>
        <v>101.44270833333331</v>
      </c>
      <c r="BF46" s="18">
        <f t="shared" ca="1" si="84"/>
        <v>6.101262242011261</v>
      </c>
      <c r="BG46" s="18">
        <f t="shared" ca="1" si="85"/>
        <v>7.9134304964796414</v>
      </c>
      <c r="BH46" s="18">
        <f t="shared" ca="1" si="86"/>
        <v>78.751162840497074</v>
      </c>
      <c r="BI46" s="33">
        <f t="shared" ca="1" si="87"/>
        <v>119.17055918186347</v>
      </c>
      <c r="BO46" t="s">
        <v>171</v>
      </c>
      <c r="BP46" t="s">
        <v>167</v>
      </c>
      <c r="BQ46" s="13">
        <f ca="1">OFFSET(BL$15,0,(ROW()-ROW(BQ$39)))</f>
        <v>1.064166666666668</v>
      </c>
      <c r="BR46" s="13">
        <f ca="1">OFFSET(BL$32,0,(ROW()-ROW(BR$39)))</f>
        <v>157.46729166666665</v>
      </c>
      <c r="BT46" s="18">
        <f t="shared" ca="1" si="88"/>
        <v>0.90850283949226873</v>
      </c>
      <c r="BU46" s="18">
        <f t="shared" ca="1" si="89"/>
        <v>1.2048848003310526</v>
      </c>
      <c r="BV46" s="18">
        <f t="shared" ca="1" si="90"/>
        <v>129.29916316471872</v>
      </c>
      <c r="BW46" s="33">
        <f t="shared" ca="1" si="91"/>
        <v>176.13701218886766</v>
      </c>
      <c r="CC46" t="s">
        <v>171</v>
      </c>
      <c r="CD46" t="s">
        <v>167</v>
      </c>
      <c r="CE46" s="13">
        <f ca="1">OFFSET(BZ$15,0,(ROW()-ROW(CE$39)))</f>
        <v>6.25E-2</v>
      </c>
      <c r="CF46" s="13">
        <f ca="1">OFFSET(BZ$32,0,(ROW()-ROW(CF$39)))</f>
        <v>218.46562499999996</v>
      </c>
      <c r="CH46" s="18">
        <f t="shared" ca="1" si="92"/>
        <v>5.2400871428001622E-2</v>
      </c>
      <c r="CI46" s="18">
        <f t="shared" ca="1" si="93"/>
        <v>7.129752545153839E-2</v>
      </c>
      <c r="CJ46" s="18">
        <f t="shared" ca="1" si="94"/>
        <v>181.81222128543794</v>
      </c>
      <c r="CK46" s="33">
        <f t="shared" ca="1" si="95"/>
        <v>236.85918335026682</v>
      </c>
      <c r="CQ46" t="s">
        <v>171</v>
      </c>
      <c r="CR46" t="s">
        <v>167</v>
      </c>
      <c r="CS46" s="13">
        <f ca="1">OFFSET(CN$15,0,(ROW()-ROW(CS$39)))</f>
        <v>0</v>
      </c>
      <c r="CT46" s="13">
        <f ca="1">OFFSET(CN$32,0,(ROW()-ROW(CT$39)))</f>
        <v>280.40312500000005</v>
      </c>
      <c r="CV46" s="18">
        <f t="shared" ca="1" si="96"/>
        <v>0</v>
      </c>
      <c r="CW46" s="18">
        <f t="shared" ca="1" si="97"/>
        <v>0</v>
      </c>
      <c r="CX46" s="18">
        <f t="shared" ca="1" si="98"/>
        <v>237.00604354969119</v>
      </c>
      <c r="CY46" s="33">
        <f t="shared" ca="1" si="99"/>
        <v>304.17534473510392</v>
      </c>
      <c r="DE46" t="s">
        <v>171</v>
      </c>
      <c r="DF46" t="s">
        <v>167</v>
      </c>
      <c r="DG46" s="13">
        <f ca="1">OFFSET(DB$15,0,(ROW()-ROW(DG$39)))</f>
        <v>0</v>
      </c>
      <c r="DH46" s="13">
        <f ca="1">OFFSET(DB$32,0,(ROW()-ROW(DH$39)))</f>
        <v>342.40312500000005</v>
      </c>
      <c r="DJ46" s="18">
        <f t="shared" ca="1" si="100"/>
        <v>0</v>
      </c>
      <c r="DK46" s="18">
        <f t="shared" ca="1" si="101"/>
        <v>0</v>
      </c>
      <c r="DL46" s="18">
        <f t="shared" ca="1" si="102"/>
        <v>294.05076845101485</v>
      </c>
      <c r="DM46" s="33">
        <f t="shared" ca="1" si="103"/>
        <v>369.42317727759615</v>
      </c>
      <c r="DP46" s="18">
        <f>'Monthly Data'!F46</f>
        <v>163108.36362283194</v>
      </c>
      <c r="DQ46" s="18">
        <f>'Monthly Data'!J46</f>
        <v>165831.07280039872</v>
      </c>
      <c r="DR46" s="18">
        <f>'Monthly Data'!N46</f>
        <v>141011.66842431459</v>
      </c>
    </row>
    <row r="47" spans="1:122">
      <c r="A47" s="9">
        <v>43739</v>
      </c>
      <c r="B47">
        <v>2019</v>
      </c>
      <c r="C47">
        <v>10</v>
      </c>
      <c r="D47" s="13">
        <v>7.2086021505376339</v>
      </c>
      <c r="E47" s="14">
        <v>396.53333333333319</v>
      </c>
      <c r="F47" s="14">
        <v>0</v>
      </c>
      <c r="G47" s="14">
        <v>334.53333333333325</v>
      </c>
      <c r="H47" s="14">
        <v>0</v>
      </c>
      <c r="I47" s="14">
        <v>272.53333333333336</v>
      </c>
      <c r="J47" s="14">
        <v>0</v>
      </c>
      <c r="K47" s="14">
        <v>210.53333333333336</v>
      </c>
      <c r="L47" s="14">
        <v>0</v>
      </c>
      <c r="M47" s="14">
        <v>149.125</v>
      </c>
      <c r="N47" s="14">
        <v>0.59166666666666856</v>
      </c>
      <c r="O47" s="14">
        <v>93.254166666666663</v>
      </c>
      <c r="P47" s="14">
        <v>6.7208333333333332</v>
      </c>
      <c r="Q47" s="14">
        <v>45.054166666666674</v>
      </c>
      <c r="R47" s="14">
        <v>20.520833333333329</v>
      </c>
      <c r="S47" s="30"/>
      <c r="Y47" t="s">
        <v>171</v>
      </c>
      <c r="Z47" t="s">
        <v>176</v>
      </c>
      <c r="AA47" s="13">
        <f ca="1">OFFSET(V$15,0,(ROW()-ROW(AA$39)))</f>
        <v>166.50624999999999</v>
      </c>
      <c r="AB47" s="13">
        <f ca="1">OFFSET(V$32,0,(ROW()-ROW(AB$39)))</f>
        <v>4.6616666666666644</v>
      </c>
      <c r="AD47" s="18">
        <f t="shared" ca="1" si="76"/>
        <v>148.78573988445157</v>
      </c>
      <c r="AE47" s="18">
        <f t="shared" ca="1" si="77"/>
        <v>183.84704932952829</v>
      </c>
      <c r="AF47" s="18">
        <f t="shared" ca="1" si="78"/>
        <v>2.2781663664967815</v>
      </c>
      <c r="AG47" s="33">
        <f t="shared" ca="1" si="79"/>
        <v>6.4511328042395606</v>
      </c>
      <c r="AM47" t="s">
        <v>171</v>
      </c>
      <c r="AN47" t="s">
        <v>176</v>
      </c>
      <c r="AO47" s="13">
        <f ca="1">OFFSET($AJ$15,0,(ROW()-ROW(AO$39)))</f>
        <v>114.73583333333336</v>
      </c>
      <c r="AP47" s="13">
        <f ca="1">OFFSET($AJ$32,0,(ROW()-ROW(AP$39)))</f>
        <v>12.891249999999996</v>
      </c>
      <c r="AR47" s="18">
        <f t="shared" ca="1" si="80"/>
        <v>101.01454219588074</v>
      </c>
      <c r="AS47" s="18">
        <f t="shared" ca="1" si="81"/>
        <v>127.89066669975746</v>
      </c>
      <c r="AT47" s="18">
        <f t="shared" ca="1" si="82"/>
        <v>8.5562623534460673</v>
      </c>
      <c r="AU47" s="33">
        <f t="shared" ca="1" si="83"/>
        <v>15.975655047459393</v>
      </c>
      <c r="BA47" t="s">
        <v>171</v>
      </c>
      <c r="BB47" t="s">
        <v>176</v>
      </c>
      <c r="BC47" s="13">
        <f ca="1">OFFSET(AX$15,0,(ROW()-ROW(BC$39)))</f>
        <v>71.222916666666677</v>
      </c>
      <c r="BD47" s="13">
        <f ca="1">OFFSET(AX$32,0,(ROW()-ROW(BD$39)))</f>
        <v>29.37833333333333</v>
      </c>
      <c r="BF47" s="18">
        <f t="shared" ca="1" si="84"/>
        <v>61.729462050203885</v>
      </c>
      <c r="BG47" s="18">
        <f t="shared" ca="1" si="85"/>
        <v>80.06405693493619</v>
      </c>
      <c r="BH47" s="18">
        <f t="shared" ca="1" si="86"/>
        <v>22.806744322258119</v>
      </c>
      <c r="BI47" s="33">
        <f t="shared" ca="1" si="87"/>
        <v>34.512410686634816</v>
      </c>
      <c r="BO47" t="s">
        <v>171</v>
      </c>
      <c r="BP47" t="s">
        <v>176</v>
      </c>
      <c r="BQ47" s="13">
        <f ca="1">OFFSET(BL$15,0,(ROW()-ROW(BQ$39)))</f>
        <v>38.055416666666673</v>
      </c>
      <c r="BR47" s="13">
        <f ca="1">OFFSET(BL$32,0,(ROW()-ROW(BR$39)))</f>
        <v>56.210833333333333</v>
      </c>
      <c r="BT47" s="18">
        <f t="shared" ca="1" si="88"/>
        <v>32.488758746807868</v>
      </c>
      <c r="BU47" s="18">
        <f t="shared" ca="1" si="89"/>
        <v>43.0876051169287</v>
      </c>
      <c r="BV47" s="18">
        <f t="shared" ca="1" si="90"/>
        <v>46.155704044092609</v>
      </c>
      <c r="BW47" s="33">
        <f t="shared" ca="1" si="91"/>
        <v>62.875331957433971</v>
      </c>
      <c r="CC47" t="s">
        <v>171</v>
      </c>
      <c r="CD47" t="s">
        <v>176</v>
      </c>
      <c r="CE47" s="13">
        <f ca="1">OFFSET(BZ$15,0,(ROW()-ROW(CE$39)))</f>
        <v>16.975833333333334</v>
      </c>
      <c r="CF47" s="13">
        <f ca="1">OFFSET(BZ$32,0,(ROW()-ROW(CF$39)))</f>
        <v>95.131249999999994</v>
      </c>
      <c r="CH47" s="18">
        <f t="shared" ca="1" si="92"/>
        <v>14.232775358130947</v>
      </c>
      <c r="CI47" s="18">
        <f t="shared" ca="1" si="93"/>
        <v>19.365358546310514</v>
      </c>
      <c r="CJ47" s="18">
        <f t="shared" ca="1" si="94"/>
        <v>79.170459316701752</v>
      </c>
      <c r="CK47" s="33">
        <f t="shared" ca="1" si="95"/>
        <v>103.14075812197032</v>
      </c>
      <c r="CQ47" t="s">
        <v>171</v>
      </c>
      <c r="CR47" t="s">
        <v>176</v>
      </c>
      <c r="CS47" s="13">
        <f ca="1">OFFSET(CN$15,0,(ROW()-ROW(CS$39)))</f>
        <v>5.8479166666666682</v>
      </c>
      <c r="CT47" s="13">
        <f ca="1">OFFSET(CN$32,0,(ROW()-ROW(CT$39)))</f>
        <v>144.00333333333333</v>
      </c>
      <c r="CV47" s="18">
        <f t="shared" ca="1" si="96"/>
        <v>4.8016455410320908</v>
      </c>
      <c r="CW47" s="18">
        <f t="shared" ca="1" si="97"/>
        <v>6.7337926636209158</v>
      </c>
      <c r="CX47" s="18">
        <f t="shared" ca="1" si="98"/>
        <v>121.71640487708792</v>
      </c>
      <c r="CY47" s="33">
        <f t="shared" ca="1" si="99"/>
        <v>156.21175248910205</v>
      </c>
      <c r="DE47" t="s">
        <v>171</v>
      </c>
      <c r="DF47" t="s">
        <v>176</v>
      </c>
      <c r="DG47" s="13">
        <f ca="1">OFFSET(DB$15,0,(ROW()-ROW(DG$39)))</f>
        <v>1.4295833333333334</v>
      </c>
      <c r="DH47" s="13">
        <f ca="1">OFFSET(DB$32,0,(ROW()-ROW(DH$39)))</f>
        <v>199.58499999999998</v>
      </c>
      <c r="DJ47" s="18">
        <f t="shared" ca="1" si="100"/>
        <v>1.1377225763121257</v>
      </c>
      <c r="DK47" s="18">
        <f t="shared" ca="1" si="101"/>
        <v>1.6671249148675298</v>
      </c>
      <c r="DL47" s="18">
        <f t="shared" ca="1" si="102"/>
        <v>171.40066295042075</v>
      </c>
      <c r="DM47" s="33">
        <f t="shared" ca="1" si="103"/>
        <v>215.33484788419796</v>
      </c>
      <c r="DP47" s="18">
        <f>'Monthly Data'!F47</f>
        <v>163619.2989015324</v>
      </c>
      <c r="DQ47" s="18">
        <f>'Monthly Data'!J47</f>
        <v>167634.32249040419</v>
      </c>
      <c r="DR47" s="18">
        <f>'Monthly Data'!N47</f>
        <v>142530.40319469135</v>
      </c>
    </row>
    <row r="48" spans="1:122">
      <c r="A48" s="9">
        <v>43770</v>
      </c>
      <c r="B48">
        <v>2019</v>
      </c>
      <c r="C48">
        <v>11</v>
      </c>
      <c r="D48" s="13">
        <v>-2.736388888888889</v>
      </c>
      <c r="E48" s="14">
        <v>682.0916666666667</v>
      </c>
      <c r="F48" s="14">
        <v>0</v>
      </c>
      <c r="G48" s="14">
        <v>622.09166666666681</v>
      </c>
      <c r="H48" s="14">
        <v>0</v>
      </c>
      <c r="I48" s="14">
        <v>562.09166666666681</v>
      </c>
      <c r="J48" s="14">
        <v>0</v>
      </c>
      <c r="K48" s="14">
        <v>502.09166666666675</v>
      </c>
      <c r="L48" s="14">
        <v>0</v>
      </c>
      <c r="M48" s="14">
        <v>442.09166666666675</v>
      </c>
      <c r="N48" s="14">
        <v>0</v>
      </c>
      <c r="O48" s="14">
        <v>382.0916666666667</v>
      </c>
      <c r="P48" s="14">
        <v>0</v>
      </c>
      <c r="Q48" s="14">
        <v>322.09166666666664</v>
      </c>
      <c r="R48" s="14">
        <v>0</v>
      </c>
      <c r="S48" s="30"/>
      <c r="Y48" t="s">
        <v>171</v>
      </c>
      <c r="Z48" t="s">
        <v>177</v>
      </c>
      <c r="AA48" s="13">
        <f ca="1">OFFSET(V$15,0,(ROW()-ROW(AA$39)))</f>
        <v>363.47645833333326</v>
      </c>
      <c r="AB48" s="13">
        <f ca="1">OFFSET(V$32,0,(ROW()-ROW(AB$39)))</f>
        <v>0.26458333333333356</v>
      </c>
      <c r="AD48" s="18">
        <f t="shared" ca="1" si="76"/>
        <v>324.79329624987065</v>
      </c>
      <c r="AE48" s="18">
        <f t="shared" ca="1" si="77"/>
        <v>401.33072701673694</v>
      </c>
      <c r="AF48" s="18">
        <f t="shared" ca="1" si="78"/>
        <v>0.12930243499512495</v>
      </c>
      <c r="AG48" s="33">
        <f t="shared" ca="1" si="79"/>
        <v>0.36614849219629303</v>
      </c>
      <c r="AM48" t="s">
        <v>171</v>
      </c>
      <c r="AN48" t="s">
        <v>177</v>
      </c>
      <c r="AO48" s="13">
        <f ca="1">OFFSET($AJ$15,0,(ROW()-ROW(AO$39)))</f>
        <v>302.40479166666665</v>
      </c>
      <c r="AP48" s="13">
        <f ca="1">OFFSET($AJ$32,0,(ROW()-ROW(AP$39)))</f>
        <v>1.1929166666666666</v>
      </c>
      <c r="AR48" s="18">
        <f t="shared" ca="1" si="80"/>
        <v>266.24011610481193</v>
      </c>
      <c r="AS48" s="18">
        <f t="shared" ca="1" si="81"/>
        <v>337.07647642295342</v>
      </c>
      <c r="AT48" s="18">
        <f t="shared" ca="1" si="82"/>
        <v>0.79177022909325112</v>
      </c>
      <c r="AU48" s="33">
        <f t="shared" ca="1" si="83"/>
        <v>1.4783380329317772</v>
      </c>
      <c r="BA48" t="s">
        <v>171</v>
      </c>
      <c r="BB48" t="s">
        <v>177</v>
      </c>
      <c r="BC48" s="13">
        <f ca="1">OFFSET(AX$15,0,(ROW()-ROW(BC$39)))</f>
        <v>243.35020833333334</v>
      </c>
      <c r="BD48" s="13">
        <f ca="1">OFFSET(AX$32,0,(ROW()-ROW(BD$39)))</f>
        <v>4.1383333333333336</v>
      </c>
      <c r="BF48" s="18">
        <f t="shared" ca="1" si="84"/>
        <v>210.91353953568373</v>
      </c>
      <c r="BG48" s="18">
        <f t="shared" ca="1" si="85"/>
        <v>273.55808842138003</v>
      </c>
      <c r="BH48" s="18">
        <f t="shared" ca="1" si="86"/>
        <v>3.2126366456099693</v>
      </c>
      <c r="BI48" s="33">
        <f t="shared" ca="1" si="87"/>
        <v>4.8615371722309106</v>
      </c>
      <c r="BO48" t="s">
        <v>171</v>
      </c>
      <c r="BP48" t="s">
        <v>177</v>
      </c>
      <c r="BQ48" s="13">
        <f ca="1">OFFSET(BL$15,0,(ROW()-ROW(BQ$39)))</f>
        <v>187.18729166666668</v>
      </c>
      <c r="BR48" s="13">
        <f ca="1">OFFSET(BL$32,0,(ROW()-ROW(BR$39)))</f>
        <v>9.9754166666666659</v>
      </c>
      <c r="BT48" s="18">
        <f t="shared" ca="1" si="88"/>
        <v>159.80596961256128</v>
      </c>
      <c r="BU48" s="18">
        <f t="shared" ca="1" si="89"/>
        <v>211.93966096567132</v>
      </c>
      <c r="BV48" s="18">
        <f t="shared" ca="1" si="90"/>
        <v>8.1909901006598744</v>
      </c>
      <c r="BW48" s="33">
        <f t="shared" ca="1" si="91"/>
        <v>11.158127306368334</v>
      </c>
      <c r="CC48" t="s">
        <v>171</v>
      </c>
      <c r="CD48" t="s">
        <v>177</v>
      </c>
      <c r="CE48" s="13">
        <f ca="1">OFFSET(BZ$15,0,(ROW()-ROW(CE$39)))</f>
        <v>137.02562500000002</v>
      </c>
      <c r="CF48" s="13">
        <f ca="1">OFFSET(BZ$32,0,(ROW()-ROW(CF$39)))</f>
        <v>21.813750000000006</v>
      </c>
      <c r="CH48" s="18">
        <f t="shared" ca="1" si="92"/>
        <v>114.88419452746506</v>
      </c>
      <c r="CI48" s="18">
        <f t="shared" ca="1" si="93"/>
        <v>156.31340777520731</v>
      </c>
      <c r="CJ48" s="18">
        <f t="shared" ca="1" si="94"/>
        <v>18.153914795818444</v>
      </c>
      <c r="CK48" s="33">
        <f t="shared" ca="1" si="95"/>
        <v>23.650343209861436</v>
      </c>
      <c r="CQ48" t="s">
        <v>171</v>
      </c>
      <c r="CR48" t="s">
        <v>177</v>
      </c>
      <c r="CS48" s="13">
        <f ca="1">OFFSET(CN$15,0,(ROW()-ROW(CS$39)))</f>
        <v>93.239791666666662</v>
      </c>
      <c r="CT48" s="13">
        <f ca="1">OFFSET(CN$32,0,(ROW()-ROW(CT$39)))</f>
        <v>40.02791666666667</v>
      </c>
      <c r="CV48" s="18">
        <f t="shared" ca="1" si="96"/>
        <v>76.557936000514871</v>
      </c>
      <c r="CW48" s="18">
        <f t="shared" ca="1" si="97"/>
        <v>107.36429071593172</v>
      </c>
      <c r="CX48" s="18">
        <f t="shared" ca="1" si="98"/>
        <v>33.832925937267667</v>
      </c>
      <c r="CY48" s="33">
        <f t="shared" ca="1" si="99"/>
        <v>43.421432450552551</v>
      </c>
      <c r="DE48" t="s">
        <v>171</v>
      </c>
      <c r="DF48" t="s">
        <v>177</v>
      </c>
      <c r="DG48" s="13">
        <f ca="1">OFFSET(DB$15,0,(ROW()-ROW(DG$39)))</f>
        <v>56.016458333333347</v>
      </c>
      <c r="DH48" s="13">
        <f ca="1">OFFSET(DB$32,0,(ROW()-ROW(DH$39)))</f>
        <v>64.804583333333326</v>
      </c>
      <c r="DJ48" s="18">
        <f t="shared" ca="1" si="100"/>
        <v>44.580254823116888</v>
      </c>
      <c r="DK48" s="18">
        <f t="shared" ca="1" si="101"/>
        <v>65.32423200009714</v>
      </c>
      <c r="DL48" s="18">
        <f t="shared" ca="1" si="102"/>
        <v>55.653223165864773</v>
      </c>
      <c r="DM48" s="33">
        <f t="shared" ca="1" si="103"/>
        <v>69.918506372132995</v>
      </c>
      <c r="DP48" s="18">
        <f>'Monthly Data'!F48</f>
        <v>164130.23418023289</v>
      </c>
      <c r="DQ48" s="18">
        <f>'Monthly Data'!J48</f>
        <v>169437.57218040962</v>
      </c>
      <c r="DR48" s="18">
        <f>'Monthly Data'!N48</f>
        <v>144049.13796506813</v>
      </c>
    </row>
    <row r="49" spans="1:122">
      <c r="A49" s="9">
        <v>43800</v>
      </c>
      <c r="B49">
        <v>2019</v>
      </c>
      <c r="C49">
        <v>12</v>
      </c>
      <c r="D49" s="13">
        <v>-6.1836021505376344</v>
      </c>
      <c r="E49" s="14">
        <v>811.69166666666661</v>
      </c>
      <c r="F49" s="14">
        <v>0</v>
      </c>
      <c r="G49" s="14">
        <v>749.69166666666661</v>
      </c>
      <c r="H49" s="14">
        <v>0</v>
      </c>
      <c r="I49" s="14">
        <v>687.69166666666661</v>
      </c>
      <c r="J49" s="14">
        <v>0</v>
      </c>
      <c r="K49" s="14">
        <v>625.69166666666649</v>
      </c>
      <c r="L49" s="14">
        <v>0</v>
      </c>
      <c r="M49" s="14">
        <v>563.69166666666649</v>
      </c>
      <c r="N49" s="14">
        <v>0</v>
      </c>
      <c r="O49" s="14">
        <v>501.69166666666649</v>
      </c>
      <c r="P49" s="14">
        <v>0</v>
      </c>
      <c r="Q49" s="14">
        <v>439.69166666666661</v>
      </c>
      <c r="R49" s="14">
        <v>0</v>
      </c>
      <c r="S49" s="30"/>
      <c r="Y49" t="s">
        <v>171</v>
      </c>
      <c r="Z49" t="s">
        <v>178</v>
      </c>
      <c r="AA49" s="13">
        <f ca="1">OFFSET(V$15,0,(ROW()-ROW(AA$39)))</f>
        <v>586.00395833333334</v>
      </c>
      <c r="AB49" s="13">
        <f ca="1">OFFSET(V$32,0,(ROW()-ROW(AB$39)))</f>
        <v>0</v>
      </c>
      <c r="AD49" s="18">
        <f t="shared" ca="1" si="76"/>
        <v>523.63819685953126</v>
      </c>
      <c r="AE49" s="18">
        <f t="shared" ca="1" si="77"/>
        <v>647.03336142041019</v>
      </c>
      <c r="AF49" s="18">
        <f t="shared" ca="1" si="78"/>
        <v>0</v>
      </c>
      <c r="AG49" s="33">
        <f t="shared" ca="1" si="79"/>
        <v>0</v>
      </c>
      <c r="AM49" t="s">
        <v>171</v>
      </c>
      <c r="AN49" t="s">
        <v>178</v>
      </c>
      <c r="AO49" s="13">
        <f ca="1">OFFSET($AJ$15,0,(ROW()-ROW(AO$39)))</f>
        <v>526.09395833333338</v>
      </c>
      <c r="AP49" s="13">
        <f ca="1">OFFSET($AJ$32,0,(ROW()-ROW(AP$39)))</f>
        <v>9.0000000000000219E-2</v>
      </c>
      <c r="AR49" s="18">
        <f t="shared" ca="1" si="80"/>
        <v>463.17823132610772</v>
      </c>
      <c r="AS49" s="18">
        <f t="shared" ca="1" si="81"/>
        <v>586.4123275463005</v>
      </c>
      <c r="AT49" s="18">
        <f t="shared" ca="1" si="82"/>
        <v>5.9735371807245079E-2</v>
      </c>
      <c r="AU49" s="33">
        <f t="shared" ca="1" si="83"/>
        <v>0.1115337111817201</v>
      </c>
      <c r="BA49" t="s">
        <v>171</v>
      </c>
      <c r="BB49" t="s">
        <v>178</v>
      </c>
      <c r="BC49" s="13">
        <f ca="1">OFFSET(AX$15,0,(ROW()-ROW(BC$39)))</f>
        <v>466.29395833333336</v>
      </c>
      <c r="BD49" s="13">
        <f ca="1">OFFSET(AX$32,0,(ROW()-ROW(BD$39)))</f>
        <v>0.2900000000000002</v>
      </c>
      <c r="BF49" s="18">
        <f t="shared" ca="1" si="84"/>
        <v>404.14064113507726</v>
      </c>
      <c r="BG49" s="18">
        <f t="shared" ca="1" si="85"/>
        <v>524.17659618100583</v>
      </c>
      <c r="BH49" s="18">
        <f t="shared" ca="1" si="86"/>
        <v>0.22513039723565645</v>
      </c>
      <c r="BI49" s="33">
        <f t="shared" ca="1" si="87"/>
        <v>0.34067960852524326</v>
      </c>
      <c r="BO49" t="s">
        <v>171</v>
      </c>
      <c r="BP49" t="s">
        <v>178</v>
      </c>
      <c r="BQ49" s="13">
        <f ca="1">OFFSET(BL$15,0,(ROW()-ROW(BQ$39)))</f>
        <v>406.94104166666665</v>
      </c>
      <c r="BR49" s="13">
        <f ca="1">OFFSET(BL$32,0,(ROW()-ROW(BR$39)))</f>
        <v>0.93708333333333338</v>
      </c>
      <c r="BT49" s="18">
        <f t="shared" ca="1" si="88"/>
        <v>347.4146517087936</v>
      </c>
      <c r="BU49" s="18">
        <f t="shared" ca="1" si="89"/>
        <v>460.75214634460605</v>
      </c>
      <c r="BV49" s="18">
        <f t="shared" ca="1" si="90"/>
        <v>0.76945560905492927</v>
      </c>
      <c r="BW49" s="33">
        <f t="shared" ca="1" si="91"/>
        <v>1.0481863043324167</v>
      </c>
      <c r="CC49" t="s">
        <v>171</v>
      </c>
      <c r="CD49" t="s">
        <v>178</v>
      </c>
      <c r="CE49" s="13">
        <f ca="1">OFFSET(BZ$15,0,(ROW()-ROW(CE$39)))</f>
        <v>348.28354166666668</v>
      </c>
      <c r="CF49" s="13">
        <f ca="1">OFFSET(BZ$32,0,(ROW()-ROW(CF$39)))</f>
        <v>2.2795833333333335</v>
      </c>
      <c r="CH49" s="18">
        <f t="shared" ca="1" si="92"/>
        <v>292.00577739782477</v>
      </c>
      <c r="CI49" s="18">
        <f t="shared" ca="1" si="93"/>
        <v>397.30807482129762</v>
      </c>
      <c r="CJ49" s="18">
        <f t="shared" ca="1" si="94"/>
        <v>1.8971227598785685</v>
      </c>
      <c r="CK49" s="33">
        <f t="shared" ca="1" si="95"/>
        <v>2.4715112352902775</v>
      </c>
      <c r="CQ49" t="s">
        <v>171</v>
      </c>
      <c r="CR49" t="s">
        <v>178</v>
      </c>
      <c r="CS49" s="13">
        <f ca="1">OFFSET(CN$15,0,(ROW()-ROW(CS$39)))</f>
        <v>290.59604166666668</v>
      </c>
      <c r="CT49" s="13">
        <f ca="1">OFFSET(CN$32,0,(ROW()-ROW(CT$39)))</f>
        <v>4.5920833333333331</v>
      </c>
      <c r="CV49" s="18">
        <f t="shared" ca="1" si="96"/>
        <v>238.60449237654299</v>
      </c>
      <c r="CW49" s="18">
        <f t="shared" ca="1" si="97"/>
        <v>334.61719873783153</v>
      </c>
      <c r="CX49" s="18">
        <f t="shared" ca="1" si="98"/>
        <v>3.8813815020207452</v>
      </c>
      <c r="CY49" s="33">
        <f t="shared" ca="1" si="99"/>
        <v>4.9813943085298762</v>
      </c>
      <c r="DE49" t="s">
        <v>171</v>
      </c>
      <c r="DF49" t="s">
        <v>178</v>
      </c>
      <c r="DG49" s="13">
        <f ca="1">OFFSET(DB$15,0,(ROW()-ROW(DG$39)))</f>
        <v>233.69562500000001</v>
      </c>
      <c r="DH49" s="13">
        <f ca="1">OFFSET(DB$32,0,(ROW()-ROW(DH$39)))</f>
        <v>7.6916666666666673</v>
      </c>
      <c r="DJ49" s="18">
        <f t="shared" ca="1" si="100"/>
        <v>185.98481274115235</v>
      </c>
      <c r="DK49" s="18">
        <f t="shared" ca="1" si="101"/>
        <v>272.52681942270294</v>
      </c>
      <c r="DL49" s="18">
        <f t="shared" ca="1" si="102"/>
        <v>6.6054902215112357</v>
      </c>
      <c r="DM49" s="33">
        <f t="shared" ca="1" si="103"/>
        <v>8.2986390342090992</v>
      </c>
      <c r="DP49" s="18">
        <f>'Monthly Data'!F49</f>
        <v>86097544.169458941</v>
      </c>
      <c r="DQ49" s="18">
        <f>'Monthly Data'!J49</f>
        <v>30938448.821870416</v>
      </c>
      <c r="DR49" s="18">
        <f>'Monthly Data'!N49</f>
        <v>73677719.872735441</v>
      </c>
    </row>
    <row r="50" spans="1:122">
      <c r="A50" s="9">
        <v>43831</v>
      </c>
      <c r="B50">
        <f>B38+1</f>
        <v>2020</v>
      </c>
      <c r="C50">
        <f>C38</f>
        <v>1</v>
      </c>
      <c r="D50" s="13">
        <v>-7.4672043010752693</v>
      </c>
      <c r="E50" s="14">
        <v>851.48333333333335</v>
      </c>
      <c r="F50" s="14">
        <v>0</v>
      </c>
      <c r="G50" s="14">
        <v>789.48333333333335</v>
      </c>
      <c r="H50" s="14">
        <v>0</v>
      </c>
      <c r="I50" s="14">
        <v>727.48333333333335</v>
      </c>
      <c r="J50" s="14">
        <v>0</v>
      </c>
      <c r="K50" s="14">
        <v>665.48333333333335</v>
      </c>
      <c r="L50" s="14">
        <v>0</v>
      </c>
      <c r="M50" s="14">
        <v>603.48333333333335</v>
      </c>
      <c r="N50" s="14">
        <v>0</v>
      </c>
      <c r="O50" s="14">
        <v>541.48333333333335</v>
      </c>
      <c r="P50" s="14">
        <v>0</v>
      </c>
      <c r="Q50" s="14">
        <v>479.48333333333323</v>
      </c>
      <c r="R50" s="14">
        <v>0</v>
      </c>
      <c r="S50" s="30"/>
      <c r="Y50" t="s">
        <v>171</v>
      </c>
      <c r="Z50" t="s">
        <v>179</v>
      </c>
      <c r="AA50" s="13">
        <f ca="1">OFFSET(V$15,0,(ROW()-ROW(AA$39)))</f>
        <v>812.36333333333334</v>
      </c>
      <c r="AB50" s="13">
        <f ca="1">OFFSET(V$32,0,(ROW()-ROW(AB$39)))</f>
        <v>0</v>
      </c>
      <c r="AD50" s="18">
        <f t="shared" ca="1" si="76"/>
        <v>725.90716327464804</v>
      </c>
      <c r="AE50" s="18">
        <f t="shared" ca="1" si="77"/>
        <v>896.96694158227319</v>
      </c>
      <c r="AF50" s="18">
        <f t="shared" ca="1" si="78"/>
        <v>0</v>
      </c>
      <c r="AG50" s="33">
        <f t="shared" ca="1" si="79"/>
        <v>0</v>
      </c>
      <c r="AM50" t="s">
        <v>171</v>
      </c>
      <c r="AN50" t="s">
        <v>179</v>
      </c>
      <c r="AO50" s="13">
        <f ca="1">OFFSET($AJ$15,0,(ROW()-ROW(AO$39)))</f>
        <v>750.36333333333334</v>
      </c>
      <c r="AP50" s="13">
        <f ca="1">OFFSET($AJ$32,0,(ROW()-ROW(AP$39)))</f>
        <v>0</v>
      </c>
      <c r="AR50" s="18">
        <f t="shared" ca="1" si="80"/>
        <v>660.62716760013984</v>
      </c>
      <c r="AS50" s="18">
        <f t="shared" ca="1" si="81"/>
        <v>836.39490975983074</v>
      </c>
      <c r="AT50" s="18">
        <f t="shared" ca="1" si="82"/>
        <v>0</v>
      </c>
      <c r="AU50" s="33">
        <f t="shared" ca="1" si="83"/>
        <v>0</v>
      </c>
      <c r="BA50" t="s">
        <v>171</v>
      </c>
      <c r="BB50" t="s">
        <v>179</v>
      </c>
      <c r="BC50" s="13">
        <f ca="1">OFFSET(AX$15,0,(ROW()-ROW(BC$39)))</f>
        <v>688.36333333333334</v>
      </c>
      <c r="BD50" s="13">
        <f ca="1">OFFSET(AX$32,0,(ROW()-ROW(BD$39)))</f>
        <v>0</v>
      </c>
      <c r="BF50" s="18">
        <f t="shared" ca="1" si="84"/>
        <v>596.60991504492586</v>
      </c>
      <c r="BG50" s="18">
        <f t="shared" ca="1" si="85"/>
        <v>773.81218983013355</v>
      </c>
      <c r="BH50" s="18">
        <f t="shared" ca="1" si="86"/>
        <v>0</v>
      </c>
      <c r="BI50" s="33">
        <f t="shared" ca="1" si="87"/>
        <v>0</v>
      </c>
      <c r="BO50" t="s">
        <v>171</v>
      </c>
      <c r="BP50" t="s">
        <v>179</v>
      </c>
      <c r="BQ50" s="13">
        <f ca="1">OFFSET(BL$15,0,(ROW()-ROW(BQ$39)))</f>
        <v>626.36333333333334</v>
      </c>
      <c r="BR50" s="13">
        <f ca="1">OFFSET(BL$32,0,(ROW()-ROW(BR$39)))</f>
        <v>0</v>
      </c>
      <c r="BT50" s="18">
        <f t="shared" ca="1" si="88"/>
        <v>534.74036042647617</v>
      </c>
      <c r="BU50" s="18">
        <f t="shared" ca="1" si="89"/>
        <v>709.18934360346907</v>
      </c>
      <c r="BV50" s="18">
        <f t="shared" ca="1" si="90"/>
        <v>0</v>
      </c>
      <c r="BW50" s="33">
        <f t="shared" ca="1" si="91"/>
        <v>0</v>
      </c>
      <c r="CC50" t="s">
        <v>171</v>
      </c>
      <c r="CD50" t="s">
        <v>179</v>
      </c>
      <c r="CE50" s="13">
        <f ca="1">OFFSET(BZ$15,0,(ROW()-ROW(CE$39)))</f>
        <v>564.36333333333346</v>
      </c>
      <c r="CF50" s="13">
        <f ca="1">OFFSET(BZ$32,0,(ROW()-ROW(CF$39)))</f>
        <v>0</v>
      </c>
      <c r="CH50" s="18">
        <f t="shared" ca="1" si="92"/>
        <v>473.17008749885491</v>
      </c>
      <c r="CI50" s="18">
        <f t="shared" ca="1" si="93"/>
        <v>643.80334595597424</v>
      </c>
      <c r="CJ50" s="18">
        <f t="shared" ca="1" si="94"/>
        <v>0</v>
      </c>
      <c r="CK50" s="33">
        <f t="shared" ca="1" si="95"/>
        <v>0</v>
      </c>
      <c r="CQ50" t="s">
        <v>171</v>
      </c>
      <c r="CR50" t="s">
        <v>179</v>
      </c>
      <c r="CS50" s="13">
        <f ca="1">OFFSET(CN$15,0,(ROW()-ROW(CS$39)))</f>
        <v>502.36333333333334</v>
      </c>
      <c r="CT50" s="13">
        <f ca="1">OFFSET(CN$32,0,(ROW()-ROW(CT$39)))</f>
        <v>0</v>
      </c>
      <c r="CV50" s="18">
        <f t="shared" ca="1" si="96"/>
        <v>412.48376079424594</v>
      </c>
      <c r="CW50" s="18">
        <f t="shared" ca="1" si="97"/>
        <v>578.46421577008584</v>
      </c>
      <c r="CX50" s="18">
        <f t="shared" ca="1" si="98"/>
        <v>0</v>
      </c>
      <c r="CY50" s="33">
        <f t="shared" ca="1" si="99"/>
        <v>0</v>
      </c>
      <c r="DE50" t="s">
        <v>171</v>
      </c>
      <c r="DF50" t="s">
        <v>179</v>
      </c>
      <c r="DG50" s="13">
        <f ca="1">OFFSET(DB$15,0,(ROW()-ROW(DG$39)))</f>
        <v>440.37880952380954</v>
      </c>
      <c r="DH50" s="13">
        <f ca="1">OFFSET(DB$32,0,(ROW()-ROW(DH$39)))</f>
        <v>1.5476190476190333E-2</v>
      </c>
      <c r="DJ50" s="18">
        <f t="shared" ca="1" si="100"/>
        <v>350.47198861535088</v>
      </c>
      <c r="DK50" s="18">
        <f t="shared" ca="1" si="101"/>
        <v>513.55277318811659</v>
      </c>
      <c r="DL50" s="18">
        <f t="shared" ca="1" si="102"/>
        <v>1.3290724791772984E-2</v>
      </c>
      <c r="DM50" s="33">
        <f t="shared" ca="1" si="103"/>
        <v>1.6697462845490986E-2</v>
      </c>
      <c r="DP50" s="18">
        <f>'Monthly Data'!F50</f>
        <v>8414654.1696568504</v>
      </c>
      <c r="DQ50" s="18">
        <f>'Monthly Data'!J50</f>
        <v>3010167.2574951407</v>
      </c>
      <c r="DR50" s="18">
        <f>'Monthly Data'!N50</f>
        <v>6576915.9627391547</v>
      </c>
    </row>
    <row r="51" spans="1:122">
      <c r="A51" s="9">
        <v>43862</v>
      </c>
      <c r="B51">
        <f t="shared" ref="B51:B114" si="104">B39+1</f>
        <v>2020</v>
      </c>
      <c r="C51">
        <f t="shared" ref="C51:C114" si="105">C39</f>
        <v>2</v>
      </c>
      <c r="D51" s="13">
        <v>-7.7364942528735607</v>
      </c>
      <c r="E51" s="14">
        <v>804.35833333333335</v>
      </c>
      <c r="F51" s="14">
        <v>0</v>
      </c>
      <c r="G51" s="14">
        <v>746.35833333333335</v>
      </c>
      <c r="H51" s="14">
        <v>0</v>
      </c>
      <c r="I51" s="14">
        <v>688.35833333333335</v>
      </c>
      <c r="J51" s="14">
        <v>0</v>
      </c>
      <c r="K51" s="14">
        <v>630.35833333333323</v>
      </c>
      <c r="L51" s="14">
        <v>0</v>
      </c>
      <c r="M51" s="14">
        <v>572.35833333333323</v>
      </c>
      <c r="N51" s="14">
        <v>0</v>
      </c>
      <c r="O51" s="14">
        <v>514.35833333333323</v>
      </c>
      <c r="P51" s="14">
        <v>0</v>
      </c>
      <c r="Q51" s="14">
        <v>456.35833333333329</v>
      </c>
      <c r="R51" s="14">
        <v>0</v>
      </c>
      <c r="S51" s="30"/>
      <c r="DP51" s="18">
        <f>'Monthly Data'!F51</f>
        <v>7815438.1888876194</v>
      </c>
      <c r="DQ51" s="18">
        <f>'Monthly Data'!J51</f>
        <v>2813125.8986844411</v>
      </c>
      <c r="DR51" s="18">
        <f>'Monthly Data'!N51</f>
        <v>6044045.580237926</v>
      </c>
    </row>
    <row r="52" spans="1:122">
      <c r="A52" s="9">
        <v>43891</v>
      </c>
      <c r="B52">
        <f t="shared" si="104"/>
        <v>2020</v>
      </c>
      <c r="C52">
        <f t="shared" si="105"/>
        <v>3</v>
      </c>
      <c r="D52" s="13">
        <v>-1.2733870967741934</v>
      </c>
      <c r="E52" s="14">
        <v>659.47500000000002</v>
      </c>
      <c r="F52" s="14">
        <v>0</v>
      </c>
      <c r="G52" s="14">
        <v>597.47499999999991</v>
      </c>
      <c r="H52" s="14">
        <v>0</v>
      </c>
      <c r="I52" s="14">
        <v>535.47499999999991</v>
      </c>
      <c r="J52" s="14">
        <v>0</v>
      </c>
      <c r="K52" s="14">
        <v>473.47499999999997</v>
      </c>
      <c r="L52" s="14">
        <v>0</v>
      </c>
      <c r="M52" s="14">
        <v>411.47500000000002</v>
      </c>
      <c r="N52" s="14">
        <v>0</v>
      </c>
      <c r="O52" s="14">
        <v>349.47500000000014</v>
      </c>
      <c r="P52" s="14">
        <v>0</v>
      </c>
      <c r="Q52" s="14">
        <v>287.47500000000008</v>
      </c>
      <c r="R52" s="14">
        <v>0</v>
      </c>
      <c r="S52" s="30"/>
      <c r="DP52" s="18">
        <f>'Monthly Data'!F52</f>
        <v>7552050.2081183884</v>
      </c>
      <c r="DQ52" s="18">
        <f>'Monthly Data'!J52</f>
        <v>2549801.539873742</v>
      </c>
      <c r="DR52" s="18">
        <f>'Monthly Data'!N52</f>
        <v>5746554.1977366973</v>
      </c>
    </row>
    <row r="53" spans="1:122">
      <c r="A53" s="9">
        <v>43922</v>
      </c>
      <c r="B53">
        <f t="shared" si="104"/>
        <v>2020</v>
      </c>
      <c r="C53">
        <f t="shared" si="105"/>
        <v>4</v>
      </c>
      <c r="D53" s="13">
        <v>3.5943055555555548</v>
      </c>
      <c r="E53" s="14">
        <v>492.17083333333346</v>
      </c>
      <c r="F53" s="14">
        <v>0</v>
      </c>
      <c r="G53" s="14">
        <v>432.17083333333341</v>
      </c>
      <c r="H53" s="14">
        <v>0</v>
      </c>
      <c r="I53" s="14">
        <v>372.17083333333352</v>
      </c>
      <c r="J53" s="14">
        <v>0</v>
      </c>
      <c r="K53" s="14">
        <v>312.17083333333341</v>
      </c>
      <c r="L53" s="14">
        <v>0</v>
      </c>
      <c r="M53" s="14">
        <v>252.17083333333329</v>
      </c>
      <c r="N53" s="14">
        <v>0</v>
      </c>
      <c r="O53" s="14">
        <v>192.94166666666663</v>
      </c>
      <c r="P53" s="14">
        <v>0.77083333333333393</v>
      </c>
      <c r="Q53" s="14">
        <v>135.62916666666663</v>
      </c>
      <c r="R53" s="14">
        <v>3.4583333333333339</v>
      </c>
      <c r="S53" s="30"/>
      <c r="X53" s="33"/>
      <c r="CN53" s="13"/>
      <c r="CO53" s="13"/>
      <c r="CX53" s="13"/>
      <c r="CY53" s="13"/>
      <c r="DP53" s="18">
        <f>'Monthly Data'!F53</f>
        <v>6718611.2273491574</v>
      </c>
      <c r="DQ53" s="18">
        <f>'Monthly Data'!J53</f>
        <v>2013068.1810630427</v>
      </c>
      <c r="DR53" s="18">
        <f>'Monthly Data'!N53</f>
        <v>5135085.8152354676</v>
      </c>
    </row>
    <row r="54" spans="1:122">
      <c r="A54" s="9">
        <v>43952</v>
      </c>
      <c r="B54">
        <f t="shared" si="104"/>
        <v>2020</v>
      </c>
      <c r="C54">
        <f t="shared" si="105"/>
        <v>5</v>
      </c>
      <c r="D54" s="13">
        <v>11.401881720430106</v>
      </c>
      <c r="E54" s="14">
        <v>278.21250000000003</v>
      </c>
      <c r="F54" s="14">
        <v>11.670833333333331</v>
      </c>
      <c r="G54" s="14">
        <v>227.03749999999999</v>
      </c>
      <c r="H54" s="14">
        <v>22.49583333333333</v>
      </c>
      <c r="I54" s="14">
        <v>182.64583333333334</v>
      </c>
      <c r="J54" s="14">
        <v>40.104166666666657</v>
      </c>
      <c r="K54" s="14">
        <v>140.46666666666664</v>
      </c>
      <c r="L54" s="14">
        <v>59.924999999999997</v>
      </c>
      <c r="M54" s="14">
        <v>102.67499999999998</v>
      </c>
      <c r="N54" s="14">
        <v>84.133333333333326</v>
      </c>
      <c r="O54" s="14">
        <v>71.387499999999989</v>
      </c>
      <c r="P54" s="14">
        <v>114.84583333333335</v>
      </c>
      <c r="Q54" s="14">
        <v>47.325000000000003</v>
      </c>
      <c r="R54" s="14">
        <v>152.78333333333336</v>
      </c>
      <c r="S54" s="30"/>
      <c r="X54" s="33"/>
      <c r="CM54" s="13"/>
      <c r="CN54" s="33"/>
      <c r="CO54" s="33"/>
      <c r="CP54" s="33"/>
      <c r="CQ54" s="33"/>
      <c r="CR54" s="33"/>
      <c r="CS54" s="33"/>
      <c r="CT54" s="33"/>
      <c r="CU54" s="33"/>
      <c r="CV54" s="33"/>
      <c r="CW54" s="33"/>
      <c r="CX54" s="33"/>
      <c r="CY54" s="33"/>
      <c r="CZ54" s="33"/>
      <c r="DA54" s="33"/>
      <c r="DN54" s="31"/>
      <c r="DO54" s="31"/>
      <c r="DP54" s="18">
        <f>'Monthly Data'!F54</f>
        <v>6484978.2465799265</v>
      </c>
      <c r="DQ54" s="18">
        <f>'Monthly Data'!J54</f>
        <v>1942219.8222523434</v>
      </c>
      <c r="DR54" s="18">
        <f>'Monthly Data'!N54</f>
        <v>4880397.4327342389</v>
      </c>
    </row>
    <row r="55" spans="1:122">
      <c r="A55" s="9">
        <v>43983</v>
      </c>
      <c r="B55">
        <f t="shared" si="104"/>
        <v>2020</v>
      </c>
      <c r="C55">
        <f t="shared" si="105"/>
        <v>6</v>
      </c>
      <c r="D55" s="13">
        <v>17.740833333333331</v>
      </c>
      <c r="E55" s="14">
        <v>92.391666666666652</v>
      </c>
      <c r="F55" s="14">
        <v>24.616666666666671</v>
      </c>
      <c r="G55" s="14">
        <v>55.38333333333334</v>
      </c>
      <c r="H55" s="14">
        <v>47.608333333333348</v>
      </c>
      <c r="I55" s="14">
        <v>32.708333333333336</v>
      </c>
      <c r="J55" s="14">
        <v>84.933333333333351</v>
      </c>
      <c r="K55" s="14">
        <v>17.537500000000005</v>
      </c>
      <c r="L55" s="14">
        <v>129.76250000000002</v>
      </c>
      <c r="M55" s="14">
        <v>7.287500000000005</v>
      </c>
      <c r="N55" s="14">
        <v>179.51249999999999</v>
      </c>
      <c r="O55" s="14">
        <v>1.3125</v>
      </c>
      <c r="P55" s="14">
        <v>233.53749999999999</v>
      </c>
      <c r="Q55" s="14">
        <v>0</v>
      </c>
      <c r="R55" s="14">
        <v>292.22500000000002</v>
      </c>
      <c r="S55" s="30"/>
      <c r="DP55" s="18">
        <f>'Monthly Data'!F55</f>
        <v>6791535.2658106964</v>
      </c>
      <c r="DQ55" s="18">
        <f>'Monthly Data'!J55</f>
        <v>2049006.4634416441</v>
      </c>
      <c r="DR55" s="18">
        <f>'Monthly Data'!N55</f>
        <v>5172414.0502330102</v>
      </c>
    </row>
    <row r="56" spans="1:122">
      <c r="A56" s="9">
        <v>44013</v>
      </c>
      <c r="B56">
        <f t="shared" si="104"/>
        <v>2020</v>
      </c>
      <c r="C56">
        <f t="shared" si="105"/>
        <v>7</v>
      </c>
      <c r="D56" s="13">
        <v>22.358870967741932</v>
      </c>
      <c r="E56" s="14">
        <v>3.850000000000005</v>
      </c>
      <c r="F56" s="14">
        <v>76.975000000000023</v>
      </c>
      <c r="G56" s="14">
        <v>0</v>
      </c>
      <c r="H56" s="14">
        <v>135.125</v>
      </c>
      <c r="I56" s="14">
        <v>0</v>
      </c>
      <c r="J56" s="14">
        <v>197.12500000000003</v>
      </c>
      <c r="K56" s="14">
        <v>0</v>
      </c>
      <c r="L56" s="14">
        <v>259.12500000000006</v>
      </c>
      <c r="M56" s="14">
        <v>0</v>
      </c>
      <c r="N56" s="14">
        <v>321.12500000000011</v>
      </c>
      <c r="O56" s="14">
        <v>0</v>
      </c>
      <c r="P56" s="14">
        <v>383.12500000000017</v>
      </c>
      <c r="Q56" s="14">
        <v>0</v>
      </c>
      <c r="R56" s="14">
        <v>445.12500000000006</v>
      </c>
      <c r="S56" s="30"/>
      <c r="DP56" s="18">
        <f>'Monthly Data'!F56</f>
        <v>8887832.2850414645</v>
      </c>
      <c r="DQ56" s="18">
        <f>'Monthly Data'!J56</f>
        <v>2479208.1046309448</v>
      </c>
      <c r="DR56" s="18">
        <f>'Monthly Data'!N56</f>
        <v>5878605.6677317806</v>
      </c>
    </row>
    <row r="57" spans="1:122">
      <c r="A57" s="9">
        <v>44044</v>
      </c>
      <c r="B57">
        <f t="shared" si="104"/>
        <v>2020</v>
      </c>
      <c r="C57">
        <f t="shared" si="105"/>
        <v>8</v>
      </c>
      <c r="D57" s="13">
        <v>17.764784946236556</v>
      </c>
      <c r="E57" s="14">
        <v>79.675000000000011</v>
      </c>
      <c r="F57" s="14">
        <v>10.383333333333329</v>
      </c>
      <c r="G57" s="14">
        <v>40.033333333333331</v>
      </c>
      <c r="H57" s="14">
        <v>32.741666666666674</v>
      </c>
      <c r="I57" s="14">
        <v>17.466666666666679</v>
      </c>
      <c r="J57" s="14">
        <v>72.175000000000011</v>
      </c>
      <c r="K57" s="14">
        <v>3.958333333333341</v>
      </c>
      <c r="L57" s="14">
        <v>120.66666666666664</v>
      </c>
      <c r="M57" s="14">
        <v>0</v>
      </c>
      <c r="N57" s="14">
        <v>178.70833333333334</v>
      </c>
      <c r="O57" s="14">
        <v>0</v>
      </c>
      <c r="P57" s="14">
        <v>240.70833333333334</v>
      </c>
      <c r="Q57" s="14">
        <v>0</v>
      </c>
      <c r="R57" s="14">
        <v>302.70833333333326</v>
      </c>
      <c r="S57" s="30"/>
      <c r="DP57" s="18">
        <f>'Monthly Data'!F57</f>
        <v>6981508.3042722344</v>
      </c>
      <c r="DQ57" s="18">
        <f>'Monthly Data'!J57</f>
        <v>2169068.7458202457</v>
      </c>
      <c r="DR57" s="18">
        <f>'Monthly Data'!N57</f>
        <v>5677799.2852305518</v>
      </c>
    </row>
    <row r="58" spans="1:122">
      <c r="A58" s="9">
        <v>44075</v>
      </c>
      <c r="B58">
        <f t="shared" si="104"/>
        <v>2020</v>
      </c>
      <c r="C58">
        <f t="shared" si="105"/>
        <v>9</v>
      </c>
      <c r="D58" s="13">
        <v>13.116250000000001</v>
      </c>
      <c r="E58" s="14">
        <v>206.67499999999998</v>
      </c>
      <c r="F58" s="14">
        <v>0.16249999999999432</v>
      </c>
      <c r="G58" s="14">
        <v>153.40416666666664</v>
      </c>
      <c r="H58" s="14">
        <v>6.8916666666666622</v>
      </c>
      <c r="I58" s="14">
        <v>104.86666666666669</v>
      </c>
      <c r="J58" s="14">
        <v>18.354166666666668</v>
      </c>
      <c r="K58" s="14">
        <v>66.750000000000014</v>
      </c>
      <c r="L58" s="14">
        <v>40.23749999999999</v>
      </c>
      <c r="M58" s="14">
        <v>34.841666666666669</v>
      </c>
      <c r="N58" s="14">
        <v>68.32916666666668</v>
      </c>
      <c r="O58" s="14">
        <v>16.437500000000007</v>
      </c>
      <c r="P58" s="14">
        <v>109.925</v>
      </c>
      <c r="Q58" s="14">
        <v>5.3041666666666707</v>
      </c>
      <c r="R58" s="14">
        <v>158.79166666666663</v>
      </c>
      <c r="S58" s="30"/>
      <c r="DP58" s="18">
        <f>'Monthly Data'!F58</f>
        <v>5593018.3235030035</v>
      </c>
      <c r="DQ58" s="18">
        <f>'Monthly Data'!J58</f>
        <v>1937707.3870095464</v>
      </c>
      <c r="DR58" s="18">
        <f>'Monthly Data'!N58</f>
        <v>4853861.9027293231</v>
      </c>
    </row>
    <row r="59" spans="1:122">
      <c r="A59" s="9">
        <v>44105</v>
      </c>
      <c r="B59">
        <f t="shared" si="104"/>
        <v>2020</v>
      </c>
      <c r="C59">
        <f t="shared" si="105"/>
        <v>10</v>
      </c>
      <c r="D59" s="13">
        <v>6.0559139784946225</v>
      </c>
      <c r="E59" s="14">
        <v>432.26666666666665</v>
      </c>
      <c r="F59" s="14">
        <v>0</v>
      </c>
      <c r="G59" s="14">
        <v>370.26666666666665</v>
      </c>
      <c r="H59" s="14">
        <v>0</v>
      </c>
      <c r="I59" s="14">
        <v>308.26666666666671</v>
      </c>
      <c r="J59" s="14">
        <v>0</v>
      </c>
      <c r="K59" s="14">
        <v>246.71666666666667</v>
      </c>
      <c r="L59" s="14">
        <v>0.45000000000000107</v>
      </c>
      <c r="M59" s="14">
        <v>188.41666666666663</v>
      </c>
      <c r="N59" s="14">
        <v>4.1500000000000021</v>
      </c>
      <c r="O59" s="14">
        <v>132.30000000000001</v>
      </c>
      <c r="P59" s="14">
        <v>10.033333333333337</v>
      </c>
      <c r="Q59" s="14">
        <v>88.15000000000002</v>
      </c>
      <c r="R59" s="14">
        <v>27.883333333333333</v>
      </c>
      <c r="S59" s="30"/>
      <c r="DP59" s="18">
        <f>'Monthly Data'!F59</f>
        <v>6282108.3427337734</v>
      </c>
      <c r="DQ59" s="18">
        <f>'Monthly Data'!J59</f>
        <v>2079800.0281988471</v>
      </c>
      <c r="DR59" s="18">
        <f>'Monthly Data'!N59</f>
        <v>5147410.5202280935</v>
      </c>
    </row>
    <row r="60" spans="1:122">
      <c r="A60" s="9">
        <v>44136</v>
      </c>
      <c r="B60">
        <f t="shared" si="104"/>
        <v>2020</v>
      </c>
      <c r="C60">
        <f t="shared" si="105"/>
        <v>11</v>
      </c>
      <c r="D60" s="13">
        <v>2.8723611111111098</v>
      </c>
      <c r="E60" s="14">
        <v>513.82916666666665</v>
      </c>
      <c r="F60" s="14">
        <v>0</v>
      </c>
      <c r="G60" s="14">
        <v>453.82916666666659</v>
      </c>
      <c r="H60" s="14">
        <v>0</v>
      </c>
      <c r="I60" s="14">
        <v>393.82916666666659</v>
      </c>
      <c r="J60" s="14">
        <v>0</v>
      </c>
      <c r="K60" s="14">
        <v>334.75416666666661</v>
      </c>
      <c r="L60" s="14">
        <v>0.92499999999999893</v>
      </c>
      <c r="M60" s="14">
        <v>278.90416666666664</v>
      </c>
      <c r="N60" s="14">
        <v>5.0749999999999975</v>
      </c>
      <c r="O60" s="14">
        <v>227.23750000000001</v>
      </c>
      <c r="P60" s="14">
        <v>13.40833333333333</v>
      </c>
      <c r="Q60" s="14">
        <v>180.48333333333335</v>
      </c>
      <c r="R60" s="14">
        <v>26.654166666666661</v>
      </c>
      <c r="S60" s="30"/>
      <c r="DP60" s="18">
        <f>'Monthly Data'!F60</f>
        <v>6779288.3619645424</v>
      </c>
      <c r="DQ60" s="18">
        <f>'Monthly Data'!J60</f>
        <v>2308536.669388148</v>
      </c>
      <c r="DR60" s="18">
        <f>'Monthly Data'!N60</f>
        <v>5346134.1377268648</v>
      </c>
    </row>
    <row r="61" spans="1:122">
      <c r="A61" s="9">
        <v>44166</v>
      </c>
      <c r="B61">
        <f t="shared" si="104"/>
        <v>2020</v>
      </c>
      <c r="C61">
        <f t="shared" si="105"/>
        <v>12</v>
      </c>
      <c r="D61" s="13">
        <v>-5.029569892473118</v>
      </c>
      <c r="E61" s="14">
        <v>775.91666666666674</v>
      </c>
      <c r="F61" s="14">
        <v>0</v>
      </c>
      <c r="G61" s="14">
        <v>713.91666666666674</v>
      </c>
      <c r="H61" s="14">
        <v>0</v>
      </c>
      <c r="I61" s="14">
        <v>651.91666666666674</v>
      </c>
      <c r="J61" s="14">
        <v>0</v>
      </c>
      <c r="K61" s="14">
        <v>589.91666666666686</v>
      </c>
      <c r="L61" s="14">
        <v>0</v>
      </c>
      <c r="M61" s="14">
        <v>527.91666666666674</v>
      </c>
      <c r="N61" s="14">
        <v>0</v>
      </c>
      <c r="O61" s="14">
        <v>465.91666666666669</v>
      </c>
      <c r="P61" s="14">
        <v>0</v>
      </c>
      <c r="Q61" s="14">
        <v>403.91666666666663</v>
      </c>
      <c r="R61" s="14">
        <v>0</v>
      </c>
      <c r="S61" s="30"/>
      <c r="DP61" s="18">
        <f>'Monthly Data'!F61</f>
        <v>8783121.3811953124</v>
      </c>
      <c r="DQ61" s="18">
        <f>'Monthly Data'!J61</f>
        <v>2757605.3105774485</v>
      </c>
      <c r="DR61" s="18">
        <f>'Monthly Data'!N61</f>
        <v>6328103.7552256361</v>
      </c>
    </row>
    <row r="62" spans="1:122">
      <c r="A62" s="9">
        <v>44197</v>
      </c>
      <c r="B62">
        <f t="shared" si="104"/>
        <v>2021</v>
      </c>
      <c r="C62">
        <f t="shared" si="105"/>
        <v>1</v>
      </c>
      <c r="D62" s="13">
        <v>-7.5153225806451642</v>
      </c>
      <c r="E62" s="14">
        <v>852.97499999999991</v>
      </c>
      <c r="F62" s="14">
        <v>0</v>
      </c>
      <c r="G62" s="14">
        <v>790.97500000000002</v>
      </c>
      <c r="H62" s="14">
        <v>0</v>
      </c>
      <c r="I62" s="14">
        <v>728.97500000000002</v>
      </c>
      <c r="J62" s="14">
        <v>0</v>
      </c>
      <c r="K62" s="14">
        <v>666.97499999999991</v>
      </c>
      <c r="L62" s="14">
        <v>0</v>
      </c>
      <c r="M62" s="14">
        <v>604.97500000000002</v>
      </c>
      <c r="N62" s="14">
        <v>0</v>
      </c>
      <c r="O62" s="14">
        <v>542.97499999999991</v>
      </c>
      <c r="P62" s="14">
        <v>0</v>
      </c>
      <c r="Q62" s="14">
        <v>480.97499999999997</v>
      </c>
      <c r="R62" s="14">
        <v>0</v>
      </c>
      <c r="S62" s="30"/>
      <c r="DP62" s="18">
        <f>'Monthly Data'!F62</f>
        <v>8947694.596042579</v>
      </c>
      <c r="DQ62" s="18">
        <f>'Monthly Data'!J62</f>
        <v>2771093.6241201404</v>
      </c>
      <c r="DR62" s="18">
        <f>'Monthly Data'!N62</f>
        <v>5892807.3511189306</v>
      </c>
    </row>
    <row r="63" spans="1:122">
      <c r="A63" s="9">
        <v>44228</v>
      </c>
      <c r="B63">
        <f t="shared" si="104"/>
        <v>2021</v>
      </c>
      <c r="C63">
        <f t="shared" si="105"/>
        <v>2</v>
      </c>
      <c r="D63" s="13">
        <v>-9.2827380952380967</v>
      </c>
      <c r="E63" s="14">
        <v>819.91666666666652</v>
      </c>
      <c r="F63" s="14">
        <v>0</v>
      </c>
      <c r="G63" s="14">
        <v>763.91666666666652</v>
      </c>
      <c r="H63" s="14">
        <v>0</v>
      </c>
      <c r="I63" s="14">
        <v>707.91666666666652</v>
      </c>
      <c r="J63" s="14">
        <v>0</v>
      </c>
      <c r="K63" s="14">
        <v>651.9166666666664</v>
      </c>
      <c r="L63" s="14">
        <v>0</v>
      </c>
      <c r="M63" s="14">
        <v>595.91666666666652</v>
      </c>
      <c r="N63" s="14">
        <v>0</v>
      </c>
      <c r="O63" s="14">
        <v>539.9166666666664</v>
      </c>
      <c r="P63" s="14">
        <v>0</v>
      </c>
      <c r="Q63" s="14">
        <v>483.91666666666657</v>
      </c>
      <c r="R63" s="14">
        <v>0</v>
      </c>
      <c r="S63" s="30"/>
      <c r="DP63" s="18">
        <f>'Monthly Data'!F63</f>
        <v>8282825.1054581115</v>
      </c>
      <c r="DQ63" s="18">
        <f>'Monthly Data'!J63</f>
        <v>2684641.5361313201</v>
      </c>
      <c r="DR63" s="18">
        <f>'Monthly Data'!N63</f>
        <v>5662759.9500704687</v>
      </c>
    </row>
    <row r="64" spans="1:122">
      <c r="A64" s="9">
        <v>44256</v>
      </c>
      <c r="B64">
        <f t="shared" si="104"/>
        <v>2021</v>
      </c>
      <c r="C64">
        <f t="shared" si="105"/>
        <v>3</v>
      </c>
      <c r="D64" s="13">
        <v>-1.0211021505376345</v>
      </c>
      <c r="E64" s="14">
        <v>651.65416666666704</v>
      </c>
      <c r="F64" s="14">
        <v>0</v>
      </c>
      <c r="G64" s="14">
        <v>589.65416666666681</v>
      </c>
      <c r="H64" s="14">
        <v>0</v>
      </c>
      <c r="I64" s="14">
        <v>527.65416666666681</v>
      </c>
      <c r="J64" s="14">
        <v>0</v>
      </c>
      <c r="K64" s="14">
        <v>465.65416666666675</v>
      </c>
      <c r="L64" s="14">
        <v>0</v>
      </c>
      <c r="M64" s="14">
        <v>403.65416666666675</v>
      </c>
      <c r="N64" s="14">
        <v>0</v>
      </c>
      <c r="O64" s="14">
        <v>342.75416666666672</v>
      </c>
      <c r="P64" s="14">
        <v>1.1000000000000032</v>
      </c>
      <c r="Q64" s="14">
        <v>286.89166666666665</v>
      </c>
      <c r="R64" s="14">
        <v>7.237500000000006</v>
      </c>
      <c r="S64" s="30"/>
      <c r="DP64" s="18">
        <f>'Monthly Data'!F64</f>
        <v>7841494.614873644</v>
      </c>
      <c r="DQ64" s="18">
        <f>'Monthly Data'!J64</f>
        <v>2687386.4481424992</v>
      </c>
      <c r="DR64" s="18">
        <f>'Monthly Data'!N64</f>
        <v>5830922.5490220068</v>
      </c>
    </row>
    <row r="65" spans="1:122">
      <c r="A65" s="9">
        <v>44287</v>
      </c>
      <c r="B65">
        <f t="shared" si="104"/>
        <v>2021</v>
      </c>
      <c r="C65">
        <f t="shared" si="105"/>
        <v>4</v>
      </c>
      <c r="D65" s="13">
        <v>7.2934722222222224</v>
      </c>
      <c r="E65" s="14">
        <v>381.19583333333338</v>
      </c>
      <c r="F65" s="14">
        <v>0</v>
      </c>
      <c r="G65" s="14">
        <v>321.19583333333333</v>
      </c>
      <c r="H65" s="14">
        <v>0</v>
      </c>
      <c r="I65" s="14">
        <v>261.19583333333333</v>
      </c>
      <c r="J65" s="14">
        <v>0</v>
      </c>
      <c r="K65" s="14">
        <v>203.17083333333329</v>
      </c>
      <c r="L65" s="14">
        <v>1.9749999999999996</v>
      </c>
      <c r="M65" s="14">
        <v>150.2833333333333</v>
      </c>
      <c r="N65" s="14">
        <v>9.0875000000000004</v>
      </c>
      <c r="O65" s="14">
        <v>108.31250000000003</v>
      </c>
      <c r="P65" s="14">
        <v>27.116666666666667</v>
      </c>
      <c r="Q65" s="14">
        <v>71.970833333333331</v>
      </c>
      <c r="R65" s="14">
        <v>50.774999999999999</v>
      </c>
      <c r="S65" s="30"/>
      <c r="DP65" s="18">
        <f>'Monthly Data'!F65</f>
        <v>6176221.1242891774</v>
      </c>
      <c r="DQ65" s="18">
        <f>'Monthly Data'!J65</f>
        <v>2030798.3601536788</v>
      </c>
      <c r="DR65" s="18">
        <f>'Monthly Data'!N65</f>
        <v>4671495.1705421582</v>
      </c>
    </row>
    <row r="66" spans="1:122">
      <c r="A66" s="9">
        <v>44317</v>
      </c>
      <c r="B66">
        <f t="shared" si="104"/>
        <v>2021</v>
      </c>
      <c r="C66">
        <f t="shared" si="105"/>
        <v>5</v>
      </c>
      <c r="D66" s="13">
        <v>12.099731182795697</v>
      </c>
      <c r="E66" s="14">
        <v>251.67499999999995</v>
      </c>
      <c r="F66" s="14">
        <v>6.7666666666666657</v>
      </c>
      <c r="G66" s="14">
        <v>201.67500000000001</v>
      </c>
      <c r="H66" s="14">
        <v>18.766666666666666</v>
      </c>
      <c r="I66" s="14">
        <v>153.41666666666669</v>
      </c>
      <c r="J66" s="14">
        <v>32.508333333333333</v>
      </c>
      <c r="K66" s="14">
        <v>110.93750000000001</v>
      </c>
      <c r="L66" s="14">
        <v>52.029166666666661</v>
      </c>
      <c r="M66" s="14">
        <v>75.95</v>
      </c>
      <c r="N66" s="14">
        <v>79.041666666666686</v>
      </c>
      <c r="O66" s="14">
        <v>44.94166666666667</v>
      </c>
      <c r="P66" s="14">
        <v>110.03333333333333</v>
      </c>
      <c r="Q66" s="14">
        <v>18.94166666666667</v>
      </c>
      <c r="R66" s="14">
        <v>146.03333333333333</v>
      </c>
      <c r="S66" s="30"/>
      <c r="DP66" s="18">
        <f>'Monthly Data'!F66</f>
        <v>6246538.6337047098</v>
      </c>
      <c r="DQ66" s="18">
        <f>'Monthly Data'!J66</f>
        <v>2061848.2721648582</v>
      </c>
      <c r="DR66" s="18">
        <f>'Monthly Data'!N66</f>
        <v>4967977.1562202908</v>
      </c>
    </row>
    <row r="67" spans="1:122">
      <c r="A67" s="9">
        <v>44348</v>
      </c>
      <c r="B67">
        <f t="shared" si="104"/>
        <v>2021</v>
      </c>
      <c r="C67">
        <f t="shared" si="105"/>
        <v>6</v>
      </c>
      <c r="D67" s="13">
        <v>19.186944444444446</v>
      </c>
      <c r="E67" s="14">
        <v>55.149999999999991</v>
      </c>
      <c r="F67" s="14">
        <v>30.758333333333322</v>
      </c>
      <c r="G67" s="14">
        <v>25.162499999999994</v>
      </c>
      <c r="H67" s="14">
        <v>60.770833333333329</v>
      </c>
      <c r="I67" s="14">
        <v>8.6749999999999989</v>
      </c>
      <c r="J67" s="14">
        <v>104.28333333333333</v>
      </c>
      <c r="K67" s="14">
        <v>2.4833333333333325</v>
      </c>
      <c r="L67" s="14">
        <v>158.0916666666667</v>
      </c>
      <c r="M67" s="14">
        <v>0.4833333333333325</v>
      </c>
      <c r="N67" s="14">
        <v>216.09166666666664</v>
      </c>
      <c r="O67" s="14">
        <v>0</v>
      </c>
      <c r="P67" s="14">
        <v>275.60833333333329</v>
      </c>
      <c r="Q67" s="14">
        <v>0</v>
      </c>
      <c r="R67" s="14">
        <v>335.60833333333329</v>
      </c>
      <c r="S67" s="30"/>
      <c r="X67" s="33"/>
      <c r="AJ67" s="18"/>
      <c r="AK67" s="18"/>
      <c r="AL67" s="18"/>
      <c r="AM67" s="18"/>
      <c r="AN67" s="18"/>
      <c r="AO67" s="18"/>
      <c r="AP67" s="18"/>
      <c r="AQ67" s="18"/>
      <c r="AR67" s="18"/>
      <c r="AS67" s="18"/>
      <c r="AT67" s="18"/>
      <c r="CM67" s="13"/>
      <c r="CN67" s="33"/>
      <c r="CO67" s="33"/>
      <c r="CP67" s="33"/>
      <c r="CQ67" s="33"/>
      <c r="CR67" s="33"/>
      <c r="CS67" s="33"/>
      <c r="CT67" s="33"/>
      <c r="CU67" s="33"/>
      <c r="CV67" s="33"/>
      <c r="CW67" s="33"/>
      <c r="CX67" s="33"/>
      <c r="CY67" s="33"/>
      <c r="CZ67" s="33"/>
      <c r="DA67" s="33"/>
      <c r="DP67" s="18">
        <f>'Monthly Data'!F67</f>
        <v>7011045.1431202432</v>
      </c>
      <c r="DQ67" s="18">
        <f>'Monthly Data'!J67</f>
        <v>2202367.1841760376</v>
      </c>
      <c r="DR67" s="18">
        <f>'Monthly Data'!N67</f>
        <v>5386931.1568166604</v>
      </c>
    </row>
    <row r="68" spans="1:122">
      <c r="A68" s="9">
        <v>44378</v>
      </c>
      <c r="B68">
        <f t="shared" si="104"/>
        <v>2021</v>
      </c>
      <c r="C68">
        <f t="shared" si="105"/>
        <v>7</v>
      </c>
      <c r="D68" s="13">
        <v>18.637903225806447</v>
      </c>
      <c r="E68" s="14">
        <v>58.799999999999976</v>
      </c>
      <c r="F68" s="14">
        <v>16.575000000000003</v>
      </c>
      <c r="G68" s="14">
        <v>23.458333333333329</v>
      </c>
      <c r="H68" s="14">
        <v>43.233333333333348</v>
      </c>
      <c r="I68" s="14">
        <v>7.3083333333333336</v>
      </c>
      <c r="J68" s="14">
        <v>89.083333333333343</v>
      </c>
      <c r="K68" s="14">
        <v>0.32916666666666394</v>
      </c>
      <c r="L68" s="14">
        <v>144.10416666666671</v>
      </c>
      <c r="M68" s="14">
        <v>0</v>
      </c>
      <c r="N68" s="14">
        <v>205.77500000000006</v>
      </c>
      <c r="O68" s="14">
        <v>0</v>
      </c>
      <c r="P68" s="14">
        <v>267.77500000000009</v>
      </c>
      <c r="Q68" s="14">
        <v>0</v>
      </c>
      <c r="R68" s="14">
        <v>329.77500000000009</v>
      </c>
      <c r="S68" s="30"/>
      <c r="X68" s="33"/>
      <c r="AJ68" s="18"/>
      <c r="AK68" s="18"/>
      <c r="AL68" s="18"/>
      <c r="AM68" s="18"/>
      <c r="AN68" s="18"/>
      <c r="AO68" s="18"/>
      <c r="AP68" s="18"/>
      <c r="AQ68" s="18"/>
      <c r="AR68" s="18"/>
      <c r="AS68" s="18"/>
      <c r="AT68" s="18"/>
      <c r="CM68" s="13"/>
      <c r="CN68" s="33"/>
      <c r="CO68" s="33"/>
      <c r="CP68" s="33"/>
      <c r="CQ68" s="33"/>
      <c r="CR68" s="33"/>
      <c r="CS68" s="33"/>
      <c r="CT68" s="33"/>
      <c r="CU68" s="33"/>
      <c r="CV68" s="33"/>
      <c r="CW68" s="33"/>
      <c r="CX68" s="33"/>
      <c r="CY68" s="33"/>
      <c r="CZ68" s="33"/>
      <c r="DA68" s="33"/>
      <c r="DP68" s="18">
        <f>'Monthly Data'!F68</f>
        <v>7147666.6525357757</v>
      </c>
      <c r="DQ68" s="18">
        <f>'Monthly Data'!J68</f>
        <v>2304019.0961872172</v>
      </c>
      <c r="DR68" s="18">
        <f>'Monthly Data'!N68</f>
        <v>5505749.9418636365</v>
      </c>
    </row>
    <row r="69" spans="1:122">
      <c r="A69" s="9">
        <v>44409</v>
      </c>
      <c r="B69">
        <f t="shared" si="104"/>
        <v>2021</v>
      </c>
      <c r="C69">
        <f t="shared" si="105"/>
        <v>8</v>
      </c>
      <c r="D69" s="13">
        <v>21.164650537634408</v>
      </c>
      <c r="E69" s="14">
        <v>27.104166666666682</v>
      </c>
      <c r="F69" s="14">
        <v>63.208333333333329</v>
      </c>
      <c r="G69" s="14">
        <v>8.2208333333333385</v>
      </c>
      <c r="H69" s="14">
        <v>106.32499999999999</v>
      </c>
      <c r="I69" s="14">
        <v>0.98333333333333428</v>
      </c>
      <c r="J69" s="14">
        <v>161.08749999999998</v>
      </c>
      <c r="K69" s="14">
        <v>0</v>
      </c>
      <c r="L69" s="14">
        <v>222.10416666666663</v>
      </c>
      <c r="M69" s="14">
        <v>0</v>
      </c>
      <c r="N69" s="14">
        <v>284.10416666666663</v>
      </c>
      <c r="O69" s="14">
        <v>0</v>
      </c>
      <c r="P69" s="14">
        <v>346.10416666666663</v>
      </c>
      <c r="Q69" s="14">
        <v>0</v>
      </c>
      <c r="R69" s="14">
        <v>408.10416666666663</v>
      </c>
      <c r="S69" s="30"/>
      <c r="X69" s="33"/>
      <c r="AJ69" s="18"/>
      <c r="AK69" s="18"/>
      <c r="AL69" s="18"/>
      <c r="AM69" s="18"/>
      <c r="AN69" s="18"/>
      <c r="AO69" s="18"/>
      <c r="AP69" s="18"/>
      <c r="AQ69" s="18"/>
      <c r="AR69" s="18"/>
      <c r="AS69" s="18"/>
      <c r="AT69" s="18"/>
      <c r="CM69" s="13"/>
      <c r="CN69" s="33"/>
      <c r="CO69" s="33"/>
      <c r="CP69" s="33"/>
      <c r="CQ69" s="33"/>
      <c r="CR69" s="33"/>
      <c r="CS69" s="33"/>
      <c r="CT69" s="33"/>
      <c r="CU69" s="33"/>
      <c r="CV69" s="33"/>
      <c r="CW69" s="33"/>
      <c r="CX69" s="33"/>
      <c r="CY69" s="33"/>
      <c r="CZ69" s="33"/>
      <c r="DA69" s="33"/>
      <c r="DP69" s="18">
        <f>'Monthly Data'!F69</f>
        <v>8365336.1619513091</v>
      </c>
      <c r="DQ69" s="18">
        <f>'Monthly Data'!J69</f>
        <v>2586724.0081983968</v>
      </c>
      <c r="DR69" s="18">
        <f>'Monthly Data'!N69</f>
        <v>7520564.8088652845</v>
      </c>
    </row>
    <row r="70" spans="1:122">
      <c r="A70" s="9">
        <v>44440</v>
      </c>
      <c r="B70">
        <f t="shared" si="104"/>
        <v>2021</v>
      </c>
      <c r="C70">
        <f t="shared" si="105"/>
        <v>9</v>
      </c>
      <c r="D70" s="13">
        <v>14.518333333333336</v>
      </c>
      <c r="E70" s="14">
        <v>164.45000000000005</v>
      </c>
      <c r="F70" s="14">
        <v>0</v>
      </c>
      <c r="G70" s="14">
        <v>105.07500000000002</v>
      </c>
      <c r="H70" s="14">
        <v>0.625</v>
      </c>
      <c r="I70" s="14">
        <v>56.5625</v>
      </c>
      <c r="J70" s="14">
        <v>12.112499999999997</v>
      </c>
      <c r="K70" s="14">
        <v>23.820833333333333</v>
      </c>
      <c r="L70" s="14">
        <v>39.370833333333316</v>
      </c>
      <c r="M70" s="14">
        <v>8.1916666666666629</v>
      </c>
      <c r="N70" s="14">
        <v>83.741666666666646</v>
      </c>
      <c r="O70" s="14">
        <v>0.7958333333333325</v>
      </c>
      <c r="P70" s="14">
        <v>136.3458333333333</v>
      </c>
      <c r="Q70" s="14">
        <v>0</v>
      </c>
      <c r="R70" s="14">
        <v>195.54999999999995</v>
      </c>
      <c r="S70" s="30"/>
      <c r="X70" s="33"/>
      <c r="AJ70" s="18"/>
      <c r="AK70" s="18"/>
      <c r="AL70" s="18"/>
      <c r="AM70" s="18"/>
      <c r="AN70" s="18"/>
      <c r="AO70" s="18"/>
      <c r="AP70" s="18"/>
      <c r="AQ70" s="18"/>
      <c r="AR70" s="18"/>
      <c r="AS70" s="18"/>
      <c r="AT70" s="18"/>
      <c r="CM70" s="13"/>
      <c r="CN70" s="33"/>
      <c r="CO70" s="33"/>
      <c r="CP70" s="33"/>
      <c r="CQ70" s="33"/>
      <c r="CR70" s="33"/>
      <c r="CS70" s="33"/>
      <c r="CT70" s="33"/>
      <c r="CU70" s="33"/>
      <c r="CV70" s="33"/>
      <c r="CW70" s="33"/>
      <c r="CX70" s="33"/>
      <c r="CY70" s="33"/>
      <c r="CZ70" s="33"/>
      <c r="DA70" s="33"/>
      <c r="DP70" s="18">
        <f>'Monthly Data'!F70</f>
        <v>5638411.6713668425</v>
      </c>
      <c r="DQ70" s="18">
        <f>'Monthly Data'!J70</f>
        <v>2084247.9202095759</v>
      </c>
      <c r="DR70" s="18">
        <f>'Monthly Data'!N70</f>
        <v>7138503.3877345817</v>
      </c>
    </row>
    <row r="71" spans="1:122">
      <c r="A71" s="9">
        <v>44470</v>
      </c>
      <c r="B71">
        <f t="shared" si="104"/>
        <v>2021</v>
      </c>
      <c r="C71">
        <f t="shared" si="105"/>
        <v>10</v>
      </c>
      <c r="D71" s="13">
        <v>10.492607526881724</v>
      </c>
      <c r="E71" s="14">
        <v>294.72916666666663</v>
      </c>
      <c r="F71" s="14">
        <v>0</v>
      </c>
      <c r="G71" s="14">
        <v>232.72916666666669</v>
      </c>
      <c r="H71" s="14">
        <v>0</v>
      </c>
      <c r="I71" s="14">
        <v>177.0291666666667</v>
      </c>
      <c r="J71" s="14">
        <v>6.2999999999999972</v>
      </c>
      <c r="K71" s="14">
        <v>126.50000000000001</v>
      </c>
      <c r="L71" s="14">
        <v>17.770833333333329</v>
      </c>
      <c r="M71" s="14">
        <v>84.862500000000026</v>
      </c>
      <c r="N71" s="14">
        <v>38.133333333333326</v>
      </c>
      <c r="O71" s="14">
        <v>54.908333333333339</v>
      </c>
      <c r="P71" s="14">
        <v>70.17916666666666</v>
      </c>
      <c r="Q71" s="14">
        <v>30.704166666666669</v>
      </c>
      <c r="R71" s="14">
        <v>107.97499999999998</v>
      </c>
      <c r="S71" s="30"/>
      <c r="X71" s="33"/>
      <c r="AB71" s="18"/>
      <c r="AC71" s="18"/>
      <c r="AD71" s="18"/>
      <c r="AE71" s="18"/>
      <c r="AF71" s="18"/>
      <c r="AG71" s="18"/>
      <c r="AI71" s="18"/>
      <c r="AJ71" s="18"/>
      <c r="AK71" s="18"/>
      <c r="AL71" s="18"/>
      <c r="AM71" s="18"/>
      <c r="AN71" s="18"/>
      <c r="AO71" s="18"/>
      <c r="AP71" s="18"/>
      <c r="AQ71" s="18"/>
      <c r="AR71" s="18"/>
      <c r="AS71" s="18"/>
      <c r="AT71" s="18"/>
      <c r="AU71" s="18"/>
      <c r="AV71" s="18"/>
      <c r="AW71" s="18"/>
      <c r="AX71" s="18"/>
      <c r="CM71" s="13"/>
      <c r="CN71" s="33"/>
      <c r="CO71" s="33"/>
      <c r="CP71" s="33"/>
      <c r="CQ71" s="33"/>
      <c r="CR71" s="33"/>
      <c r="CS71" s="33"/>
      <c r="CT71" s="33"/>
      <c r="CU71" s="33"/>
      <c r="CV71" s="33"/>
      <c r="CW71" s="33"/>
      <c r="CX71" s="33"/>
      <c r="CY71" s="33"/>
      <c r="CZ71" s="33"/>
      <c r="DA71" s="33"/>
      <c r="DP71" s="18">
        <f>'Monthly Data'!F71</f>
        <v>5991389.1807823749</v>
      </c>
      <c r="DQ71" s="18">
        <f>'Monthly Data'!J71</f>
        <v>2150223.8322207555</v>
      </c>
      <c r="DR71" s="18">
        <f>'Monthly Data'!N71</f>
        <v>5536607.3747515306</v>
      </c>
    </row>
    <row r="72" spans="1:122">
      <c r="A72" s="9">
        <v>44501</v>
      </c>
      <c r="B72">
        <f t="shared" si="104"/>
        <v>2021</v>
      </c>
      <c r="C72">
        <f t="shared" si="105"/>
        <v>11</v>
      </c>
      <c r="D72" s="13">
        <v>0.52263888888888899</v>
      </c>
      <c r="E72" s="14">
        <v>584.32083333333333</v>
      </c>
      <c r="F72" s="14">
        <v>0</v>
      </c>
      <c r="G72" s="14">
        <v>524.32083333333333</v>
      </c>
      <c r="H72" s="14">
        <v>0</v>
      </c>
      <c r="I72" s="14">
        <v>464.32083333333333</v>
      </c>
      <c r="J72" s="14">
        <v>0</v>
      </c>
      <c r="K72" s="14">
        <v>404.32083333333333</v>
      </c>
      <c r="L72" s="14">
        <v>0</v>
      </c>
      <c r="M72" s="14">
        <v>344.32083333333333</v>
      </c>
      <c r="N72" s="14">
        <v>0</v>
      </c>
      <c r="O72" s="14">
        <v>284.32083333333327</v>
      </c>
      <c r="P72" s="14">
        <v>0</v>
      </c>
      <c r="Q72" s="14">
        <v>224.32083333333335</v>
      </c>
      <c r="R72" s="14">
        <v>0</v>
      </c>
      <c r="S72" s="30"/>
      <c r="T72" s="30"/>
      <c r="X72" s="33"/>
      <c r="AB72" s="18"/>
      <c r="AC72" s="18"/>
      <c r="AD72" s="18"/>
      <c r="AE72" s="18"/>
      <c r="AF72" s="18"/>
      <c r="AG72" s="18"/>
      <c r="AI72" s="18"/>
      <c r="AJ72" s="18"/>
      <c r="AK72" s="18"/>
      <c r="AL72" s="18"/>
      <c r="AM72" s="18"/>
      <c r="AN72" s="18"/>
      <c r="AO72" s="18"/>
      <c r="AP72" s="18"/>
      <c r="AQ72" s="18"/>
      <c r="AR72" s="18"/>
      <c r="AS72" s="18"/>
      <c r="AT72" s="18"/>
      <c r="AU72" s="18"/>
      <c r="AV72" s="18"/>
      <c r="AW72" s="18"/>
      <c r="AX72" s="18"/>
      <c r="CM72" s="13"/>
      <c r="CN72" s="33"/>
      <c r="CO72" s="33"/>
      <c r="CP72" s="33"/>
      <c r="CQ72" s="33"/>
      <c r="CR72" s="33"/>
      <c r="CS72" s="33"/>
      <c r="CT72" s="33"/>
      <c r="CU72" s="33"/>
      <c r="CV72" s="33"/>
      <c r="CW72" s="33"/>
      <c r="CX72" s="33"/>
      <c r="CY72" s="33"/>
      <c r="CZ72" s="33"/>
      <c r="DA72" s="33"/>
      <c r="DP72" s="18">
        <f>'Monthly Data'!F72</f>
        <v>7003129.6901979083</v>
      </c>
      <c r="DQ72" s="18">
        <f>'Monthly Data'!J72</f>
        <v>2496393.7442319351</v>
      </c>
      <c r="DR72" s="18">
        <f>'Monthly Data'!N72</f>
        <v>5589896.3406343106</v>
      </c>
    </row>
    <row r="73" spans="1:122">
      <c r="A73" s="9">
        <v>44531</v>
      </c>
      <c r="B73">
        <f t="shared" si="104"/>
        <v>2021</v>
      </c>
      <c r="C73">
        <f t="shared" si="105"/>
        <v>12</v>
      </c>
      <c r="D73" s="13">
        <v>-4.6518145161290319</v>
      </c>
      <c r="E73" s="14">
        <v>764.20624999999995</v>
      </c>
      <c r="F73" s="14">
        <v>0</v>
      </c>
      <c r="G73" s="14">
        <v>702.20624999999995</v>
      </c>
      <c r="H73" s="14">
        <v>0</v>
      </c>
      <c r="I73" s="14">
        <v>640.20625000000007</v>
      </c>
      <c r="J73" s="14">
        <v>0</v>
      </c>
      <c r="K73" s="14">
        <v>578.20625000000007</v>
      </c>
      <c r="L73" s="14">
        <v>0</v>
      </c>
      <c r="M73" s="14">
        <v>516.20625000000018</v>
      </c>
      <c r="N73" s="14">
        <v>0</v>
      </c>
      <c r="O73" s="14">
        <v>454.20625000000007</v>
      </c>
      <c r="P73" s="14">
        <v>0</v>
      </c>
      <c r="Q73" s="14">
        <v>392.36101190476188</v>
      </c>
      <c r="R73" s="14">
        <v>0.15476190476190332</v>
      </c>
      <c r="S73" s="30"/>
      <c r="T73" s="30"/>
      <c r="AG73" s="14"/>
      <c r="AJ73" s="18"/>
      <c r="AK73" s="18"/>
      <c r="AL73" s="18"/>
      <c r="AM73" s="18"/>
      <c r="AN73" s="18"/>
      <c r="AO73" s="18"/>
      <c r="AP73" s="18"/>
      <c r="AQ73" s="18"/>
      <c r="AR73" s="18"/>
      <c r="AS73" s="18"/>
      <c r="AT73" s="18"/>
      <c r="DP73" s="18">
        <f>'Monthly Data'!F73</f>
        <v>8633204.8396134414</v>
      </c>
      <c r="DQ73" s="18">
        <f>'Monthly Data'!J73</f>
        <v>2949612.3062431142</v>
      </c>
      <c r="DR73" s="18">
        <f>'Monthly Data'!N73</f>
        <v>6040034.3795858482</v>
      </c>
    </row>
    <row r="74" spans="1:122">
      <c r="A74" s="9">
        <v>44562</v>
      </c>
      <c r="B74">
        <f t="shared" si="104"/>
        <v>2022</v>
      </c>
      <c r="C74">
        <f t="shared" si="105"/>
        <v>1</v>
      </c>
      <c r="D74" s="13">
        <v>-16.084946236559141</v>
      </c>
      <c r="E74" s="14">
        <v>1118.6333333333332</v>
      </c>
      <c r="F74" s="14">
        <v>0</v>
      </c>
      <c r="G74" s="14">
        <v>1056.6333333333332</v>
      </c>
      <c r="H74" s="14">
        <v>0</v>
      </c>
      <c r="I74" s="14">
        <v>994.63333333333333</v>
      </c>
      <c r="J74" s="14">
        <v>0</v>
      </c>
      <c r="K74" s="14">
        <v>932.63333333333333</v>
      </c>
      <c r="L74" s="14">
        <v>0</v>
      </c>
      <c r="M74" s="14">
        <v>870.63333333333344</v>
      </c>
      <c r="N74" s="14">
        <v>0</v>
      </c>
      <c r="O74" s="14">
        <v>808.63333333333333</v>
      </c>
      <c r="P74" s="14">
        <v>0</v>
      </c>
      <c r="Q74" s="14">
        <v>746.63333333333333</v>
      </c>
      <c r="R74" s="14">
        <v>0</v>
      </c>
      <c r="S74" s="30"/>
      <c r="T74" s="30"/>
      <c r="AG74" s="14"/>
      <c r="AJ74" s="18"/>
      <c r="AK74" s="18"/>
      <c r="AL74" s="18"/>
      <c r="AM74" s="18"/>
      <c r="AN74" s="18"/>
      <c r="AO74" s="18"/>
      <c r="AP74" s="18"/>
      <c r="AQ74" s="18"/>
      <c r="AR74" s="18"/>
      <c r="AS74" s="18"/>
      <c r="AT74" s="18"/>
      <c r="DP74" s="18">
        <f>'Monthly Data'!F74</f>
        <v>10532825.528697059</v>
      </c>
      <c r="DQ74" s="18">
        <f>'Monthly Data'!J74</f>
        <v>3512426.4695312781</v>
      </c>
      <c r="DR74" s="18">
        <f>'Monthly Data'!N74</f>
        <v>7168571.6108332537</v>
      </c>
    </row>
    <row r="75" spans="1:122">
      <c r="A75" s="9">
        <v>44593</v>
      </c>
      <c r="B75">
        <f t="shared" si="104"/>
        <v>2022</v>
      </c>
      <c r="C75">
        <f t="shared" si="105"/>
        <v>2</v>
      </c>
      <c r="D75" s="13">
        <v>-10.063095238095238</v>
      </c>
      <c r="E75" s="14">
        <v>841.76666666666654</v>
      </c>
      <c r="F75" s="14">
        <v>0</v>
      </c>
      <c r="G75" s="14">
        <v>785.76666666666654</v>
      </c>
      <c r="H75" s="14">
        <v>0</v>
      </c>
      <c r="I75" s="14">
        <v>729.76666666666654</v>
      </c>
      <c r="J75" s="14">
        <v>0</v>
      </c>
      <c r="K75" s="14">
        <v>673.76666666666665</v>
      </c>
      <c r="L75" s="14">
        <v>0</v>
      </c>
      <c r="M75" s="14">
        <v>617.76666666666665</v>
      </c>
      <c r="N75" s="14">
        <v>0</v>
      </c>
      <c r="O75" s="14">
        <v>561.76666666666665</v>
      </c>
      <c r="P75" s="14">
        <v>0</v>
      </c>
      <c r="Q75" s="14">
        <v>505.76666666666682</v>
      </c>
      <c r="R75" s="14">
        <v>0</v>
      </c>
      <c r="S75" s="30"/>
      <c r="T75" s="30"/>
      <c r="AG75" s="14"/>
      <c r="AJ75" s="18"/>
      <c r="AK75" s="18"/>
      <c r="AL75" s="18"/>
      <c r="AM75" s="18"/>
      <c r="AN75" s="18"/>
      <c r="AO75" s="18"/>
      <c r="AP75" s="18"/>
      <c r="AQ75" s="18"/>
      <c r="AR75" s="18"/>
      <c r="AS75" s="18"/>
      <c r="AT75" s="18"/>
      <c r="DP75" s="18">
        <f>'Monthly Data'!F75</f>
        <v>8586318.012812933</v>
      </c>
      <c r="DQ75" s="18">
        <f>'Monthly Data'!J75</f>
        <v>3065402.7801112318</v>
      </c>
      <c r="DR75" s="18">
        <f>'Monthly Data'!N75</f>
        <v>6519634.1395640364</v>
      </c>
    </row>
    <row r="76" spans="1:122">
      <c r="A76" s="9">
        <v>44621</v>
      </c>
      <c r="B76">
        <f t="shared" si="104"/>
        <v>2022</v>
      </c>
      <c r="C76">
        <f t="shared" si="105"/>
        <v>3</v>
      </c>
      <c r="D76" s="13">
        <v>-2.7309139784946237</v>
      </c>
      <c r="E76" s="14">
        <v>704.6583333333333</v>
      </c>
      <c r="F76" s="14">
        <v>0</v>
      </c>
      <c r="G76" s="14">
        <v>642.6583333333333</v>
      </c>
      <c r="H76" s="14">
        <v>0</v>
      </c>
      <c r="I76" s="14">
        <v>580.65833333333342</v>
      </c>
      <c r="J76" s="14">
        <v>0</v>
      </c>
      <c r="K76" s="14">
        <v>518.65833333333342</v>
      </c>
      <c r="L76" s="14">
        <v>0</v>
      </c>
      <c r="M76" s="14">
        <v>456.65833333333342</v>
      </c>
      <c r="N76" s="14">
        <v>0</v>
      </c>
      <c r="O76" s="14">
        <v>394.65833333333342</v>
      </c>
      <c r="P76" s="14">
        <v>0</v>
      </c>
      <c r="Q76" s="14">
        <v>332.65833333333342</v>
      </c>
      <c r="R76" s="14">
        <v>0</v>
      </c>
      <c r="S76" s="30"/>
      <c r="T76" s="30"/>
      <c r="AG76" s="14"/>
      <c r="AJ76" s="18"/>
      <c r="AK76" s="18"/>
      <c r="AL76" s="18"/>
      <c r="AM76" s="18"/>
      <c r="AN76" s="18"/>
      <c r="AO76" s="18"/>
      <c r="AP76" s="18"/>
      <c r="AQ76" s="18"/>
      <c r="AR76" s="18"/>
      <c r="AS76" s="18"/>
      <c r="AT76" s="18"/>
      <c r="DP76" s="18">
        <f>'Monthly Data'!F76</f>
        <v>8070371.4969288055</v>
      </c>
      <c r="DQ76" s="18">
        <f>'Monthly Data'!J76</f>
        <v>2990160.0906911851</v>
      </c>
      <c r="DR76" s="18">
        <f>'Monthly Data'!N76</f>
        <v>6029488.6682948181</v>
      </c>
    </row>
    <row r="77" spans="1:122">
      <c r="A77" s="9">
        <v>44652</v>
      </c>
      <c r="B77">
        <f t="shared" si="104"/>
        <v>2022</v>
      </c>
      <c r="C77">
        <f t="shared" si="105"/>
        <v>4</v>
      </c>
      <c r="D77" s="13">
        <v>4.6259722222222219</v>
      </c>
      <c r="E77" s="14">
        <v>461.22083333333347</v>
      </c>
      <c r="F77" s="14">
        <v>0</v>
      </c>
      <c r="G77" s="14">
        <v>401.22083333333353</v>
      </c>
      <c r="H77" s="14">
        <v>0</v>
      </c>
      <c r="I77" s="14">
        <v>341.22083333333347</v>
      </c>
      <c r="J77" s="14">
        <v>0</v>
      </c>
      <c r="K77" s="14">
        <v>281.2208333333333</v>
      </c>
      <c r="L77" s="14">
        <v>0</v>
      </c>
      <c r="M77" s="14">
        <v>221.2208333333333</v>
      </c>
      <c r="N77" s="14">
        <v>0</v>
      </c>
      <c r="O77" s="14">
        <v>161.82499999999999</v>
      </c>
      <c r="P77" s="14">
        <v>0.60416666666666607</v>
      </c>
      <c r="Q77" s="14">
        <v>105.36666666666665</v>
      </c>
      <c r="R77" s="14">
        <v>4.1458333333333339</v>
      </c>
      <c r="S77" s="30"/>
      <c r="T77" s="30"/>
      <c r="AG77" s="14"/>
      <c r="AJ77" s="18"/>
      <c r="AK77" s="18"/>
      <c r="AL77" s="18"/>
      <c r="AM77" s="18"/>
      <c r="AN77" s="18"/>
      <c r="AO77" s="18"/>
      <c r="AP77" s="18"/>
      <c r="AQ77" s="18"/>
      <c r="AR77" s="18"/>
      <c r="AS77" s="18"/>
      <c r="AT77" s="18"/>
      <c r="DP77" s="18">
        <f>'Monthly Data'!F77</f>
        <v>6548410.9810446789</v>
      </c>
      <c r="DQ77" s="18">
        <f>'Monthly Data'!J77</f>
        <v>2398890.4012711388</v>
      </c>
      <c r="DR77" s="18">
        <f>'Monthly Data'!N77</f>
        <v>5243870.1970255999</v>
      </c>
    </row>
    <row r="78" spans="1:122">
      <c r="A78" s="9">
        <v>44682</v>
      </c>
      <c r="B78">
        <f t="shared" si="104"/>
        <v>2022</v>
      </c>
      <c r="C78">
        <f t="shared" si="105"/>
        <v>5</v>
      </c>
      <c r="D78" s="13">
        <v>14.666129032258066</v>
      </c>
      <c r="E78" s="14">
        <v>173.55833333333337</v>
      </c>
      <c r="F78" s="14">
        <v>8.2083333333333321</v>
      </c>
      <c r="G78" s="14">
        <v>126.58749999999998</v>
      </c>
      <c r="H78" s="14">
        <v>23.237499999999986</v>
      </c>
      <c r="I78" s="14">
        <v>87.67083333333332</v>
      </c>
      <c r="J78" s="14">
        <v>46.320833333333297</v>
      </c>
      <c r="K78" s="14">
        <v>53.670833333333341</v>
      </c>
      <c r="L78" s="14">
        <v>74.320833333333297</v>
      </c>
      <c r="M78" s="14">
        <v>22.608333333333334</v>
      </c>
      <c r="N78" s="14">
        <v>105.25833333333331</v>
      </c>
      <c r="O78" s="14">
        <v>2.8875000000000028</v>
      </c>
      <c r="P78" s="14">
        <v>147.53749999999999</v>
      </c>
      <c r="Q78" s="14">
        <v>0</v>
      </c>
      <c r="R78" s="14">
        <v>206.64999999999995</v>
      </c>
      <c r="S78" s="30"/>
      <c r="T78" s="30"/>
      <c r="AG78" s="14"/>
      <c r="AJ78" s="18"/>
      <c r="AK78" s="18"/>
      <c r="AL78" s="18"/>
      <c r="AM78" s="18"/>
      <c r="AN78" s="18"/>
      <c r="AO78" s="18"/>
      <c r="AP78" s="18"/>
      <c r="AQ78" s="18"/>
      <c r="AR78" s="18"/>
      <c r="AS78" s="18"/>
      <c r="AT78" s="18"/>
      <c r="DP78" s="18">
        <f>'Monthly Data'!F78</f>
        <v>6080494.4651605524</v>
      </c>
      <c r="DQ78" s="18">
        <f>'Monthly Data'!J78</f>
        <v>2192493.7118510921</v>
      </c>
      <c r="DR78" s="18">
        <f>'Monthly Data'!N78</f>
        <v>5283935.7257563816</v>
      </c>
    </row>
    <row r="79" spans="1:122">
      <c r="A79" s="9">
        <v>44713</v>
      </c>
      <c r="B79">
        <f t="shared" si="104"/>
        <v>2022</v>
      </c>
      <c r="C79">
        <f t="shared" si="105"/>
        <v>6</v>
      </c>
      <c r="D79" s="13">
        <v>17.072916666666668</v>
      </c>
      <c r="E79" s="14">
        <v>101.1375</v>
      </c>
      <c r="F79" s="14">
        <v>13.324999999999996</v>
      </c>
      <c r="G79" s="14">
        <v>54.516666666666666</v>
      </c>
      <c r="H79" s="14">
        <v>26.704166666666662</v>
      </c>
      <c r="I79" s="14">
        <v>20.395833333333325</v>
      </c>
      <c r="J79" s="14">
        <v>52.583333333333329</v>
      </c>
      <c r="K79" s="14">
        <v>4.2374999999999954</v>
      </c>
      <c r="L79" s="14">
        <v>96.424999999999997</v>
      </c>
      <c r="M79" s="14">
        <v>0</v>
      </c>
      <c r="N79" s="14">
        <v>152.1875</v>
      </c>
      <c r="O79" s="14">
        <v>0</v>
      </c>
      <c r="P79" s="14">
        <v>212.1875</v>
      </c>
      <c r="Q79" s="14">
        <v>0</v>
      </c>
      <c r="R79" s="14">
        <v>272.1875</v>
      </c>
      <c r="S79" s="30"/>
      <c r="T79" s="30"/>
      <c r="AG79" s="14"/>
      <c r="DP79" s="18">
        <f>'Monthly Data'!F79</f>
        <v>6310089.9492764249</v>
      </c>
      <c r="DQ79" s="18">
        <f>'Monthly Data'!J79</f>
        <v>2254321.0224310458</v>
      </c>
      <c r="DR79" s="18">
        <f>'Monthly Data'!N79</f>
        <v>5270216.2544871643</v>
      </c>
    </row>
    <row r="80" spans="1:122">
      <c r="A80" s="9">
        <v>44743</v>
      </c>
      <c r="B80">
        <f t="shared" si="104"/>
        <v>2022</v>
      </c>
      <c r="C80">
        <f t="shared" si="105"/>
        <v>7</v>
      </c>
      <c r="D80" s="13">
        <v>20.028024193548383</v>
      </c>
      <c r="E80" s="14">
        <v>24.766666666666666</v>
      </c>
      <c r="F80" s="14">
        <v>25.635416666666639</v>
      </c>
      <c r="G80" s="14">
        <v>4.4583333333333375</v>
      </c>
      <c r="H80" s="14">
        <v>67.327083333333306</v>
      </c>
      <c r="I80" s="14">
        <v>0.47916666666666607</v>
      </c>
      <c r="J80" s="14">
        <v>125.34791666666662</v>
      </c>
      <c r="K80" s="14">
        <v>0</v>
      </c>
      <c r="L80" s="14">
        <v>186.86874999999995</v>
      </c>
      <c r="M80" s="14">
        <v>0</v>
      </c>
      <c r="N80" s="14">
        <v>248.86874999999998</v>
      </c>
      <c r="O80" s="14">
        <v>0</v>
      </c>
      <c r="P80" s="14">
        <v>310.86875000000009</v>
      </c>
      <c r="Q80" s="14">
        <v>0</v>
      </c>
      <c r="R80" s="14">
        <v>372.86874999999998</v>
      </c>
      <c r="S80" s="30"/>
      <c r="T80" s="30"/>
      <c r="AG80" s="14"/>
      <c r="DP80" s="18">
        <f>'Monthly Data'!F80</f>
        <v>7465233.4333922984</v>
      </c>
      <c r="DQ80" s="18">
        <f>'Monthly Data'!J80</f>
        <v>2434782.333010999</v>
      </c>
      <c r="DR80" s="18">
        <f>'Monthly Data'!N80</f>
        <v>5765089.7832179461</v>
      </c>
    </row>
    <row r="81" spans="1:122">
      <c r="A81" s="9">
        <v>44774</v>
      </c>
      <c r="B81">
        <f t="shared" si="104"/>
        <v>2022</v>
      </c>
      <c r="C81">
        <f t="shared" si="105"/>
        <v>8</v>
      </c>
      <c r="D81" s="13">
        <v>19.217473118279578</v>
      </c>
      <c r="E81" s="14">
        <v>43.374999999999986</v>
      </c>
      <c r="F81" s="14">
        <v>19.116666666666667</v>
      </c>
      <c r="G81" s="14">
        <v>15.441666666666658</v>
      </c>
      <c r="H81" s="14">
        <v>53.183333333333337</v>
      </c>
      <c r="I81" s="14">
        <v>1.5000000000000053</v>
      </c>
      <c r="J81" s="14">
        <v>101.2416666666667</v>
      </c>
      <c r="K81" s="14">
        <v>0</v>
      </c>
      <c r="L81" s="14">
        <v>161.74166666666665</v>
      </c>
      <c r="M81" s="14">
        <v>0</v>
      </c>
      <c r="N81" s="14">
        <v>223.74166666666665</v>
      </c>
      <c r="O81" s="14">
        <v>0</v>
      </c>
      <c r="P81" s="14">
        <v>285.74166666666667</v>
      </c>
      <c r="Q81" s="14">
        <v>0</v>
      </c>
      <c r="R81" s="14">
        <v>347.74166666666667</v>
      </c>
      <c r="S81" s="30"/>
      <c r="T81" s="30"/>
      <c r="AG81" s="14"/>
      <c r="DP81" s="18">
        <f>'Monthly Data'!F81</f>
        <v>7425747.9175081719</v>
      </c>
      <c r="DQ81" s="18">
        <f>'Monthly Data'!J81</f>
        <v>2456843.6435909523</v>
      </c>
      <c r="DR81" s="18">
        <f>'Monthly Data'!N81</f>
        <v>5800196.3119487278</v>
      </c>
    </row>
    <row r="82" spans="1:122">
      <c r="A82" s="9">
        <v>44805</v>
      </c>
      <c r="B82">
        <f t="shared" si="104"/>
        <v>2022</v>
      </c>
      <c r="C82">
        <f t="shared" si="105"/>
        <v>9</v>
      </c>
      <c r="D82" s="13">
        <v>13.805694444444445</v>
      </c>
      <c r="E82" s="14">
        <v>186.05</v>
      </c>
      <c r="F82" s="14">
        <v>0.22083333333333499</v>
      </c>
      <c r="G82" s="14">
        <v>130.7791666666667</v>
      </c>
      <c r="H82" s="14">
        <v>4.9500000000000099</v>
      </c>
      <c r="I82" s="14">
        <v>86.958333333333343</v>
      </c>
      <c r="J82" s="14">
        <v>21.129166666666677</v>
      </c>
      <c r="K82" s="14">
        <v>47.787500000000001</v>
      </c>
      <c r="L82" s="14">
        <v>41.95833333333335</v>
      </c>
      <c r="M82" s="14">
        <v>20.179166666666667</v>
      </c>
      <c r="N82" s="14">
        <v>74.350000000000023</v>
      </c>
      <c r="O82" s="14">
        <v>6.9416666666666638</v>
      </c>
      <c r="P82" s="14">
        <v>121.11250000000001</v>
      </c>
      <c r="Q82" s="14">
        <v>0.92083333333332984</v>
      </c>
      <c r="R82" s="14">
        <v>175.0916666666667</v>
      </c>
      <c r="S82" s="30"/>
      <c r="T82" s="30"/>
      <c r="AG82" s="14"/>
      <c r="DP82" s="18">
        <f>'Monthly Data'!F82</f>
        <v>5812994.4016240453</v>
      </c>
      <c r="DQ82" s="18">
        <f>'Monthly Data'!J82</f>
        <v>2148681.954170906</v>
      </c>
      <c r="DR82" s="18">
        <f>'Monthly Data'!N82</f>
        <v>5197018.8406795096</v>
      </c>
    </row>
    <row r="83" spans="1:122">
      <c r="A83" s="9">
        <v>44835</v>
      </c>
      <c r="B83">
        <f t="shared" si="104"/>
        <v>2022</v>
      </c>
      <c r="C83">
        <f t="shared" si="105"/>
        <v>10</v>
      </c>
      <c r="D83" s="13">
        <v>7.5287634408602147</v>
      </c>
      <c r="E83" s="14">
        <v>386.60833333333323</v>
      </c>
      <c r="F83" s="14">
        <v>0</v>
      </c>
      <c r="G83" s="14">
        <v>324.60833333333329</v>
      </c>
      <c r="H83" s="14">
        <v>0</v>
      </c>
      <c r="I83" s="14">
        <v>262.60833333333335</v>
      </c>
      <c r="J83" s="14">
        <v>0</v>
      </c>
      <c r="K83" s="14">
        <v>201.29999999999998</v>
      </c>
      <c r="L83" s="14">
        <v>0.69166666666666821</v>
      </c>
      <c r="M83" s="14">
        <v>145.83750000000001</v>
      </c>
      <c r="N83" s="14">
        <v>7.2291666666666661</v>
      </c>
      <c r="O83" s="14">
        <v>98.6</v>
      </c>
      <c r="P83" s="14">
        <v>21.991666666666667</v>
      </c>
      <c r="Q83" s="14">
        <v>56.249999999999993</v>
      </c>
      <c r="R83" s="14">
        <v>41.641666666666673</v>
      </c>
      <c r="S83" s="30"/>
      <c r="T83" s="30"/>
      <c r="AG83" s="14"/>
      <c r="DP83" s="18">
        <f>'Monthly Data'!F83</f>
        <v>6059998.8857399179</v>
      </c>
      <c r="DQ83" s="18">
        <f>'Monthly Data'!J83</f>
        <v>2255916.2647508592</v>
      </c>
      <c r="DR83" s="18">
        <f>'Monthly Data'!N83</f>
        <v>5276473.3694102913</v>
      </c>
    </row>
    <row r="84" spans="1:122">
      <c r="A84" s="9">
        <v>44866</v>
      </c>
      <c r="B84">
        <f t="shared" si="104"/>
        <v>2022</v>
      </c>
      <c r="C84">
        <f t="shared" si="105"/>
        <v>11</v>
      </c>
      <c r="D84" s="13">
        <v>2.9962500000000007</v>
      </c>
      <c r="E84" s="14">
        <v>510.11250000000007</v>
      </c>
      <c r="F84" s="14">
        <v>0</v>
      </c>
      <c r="G84" s="14">
        <v>451.01250000000005</v>
      </c>
      <c r="H84" s="14">
        <v>0.90000000000000213</v>
      </c>
      <c r="I84" s="14">
        <v>393.01249999999999</v>
      </c>
      <c r="J84" s="14">
        <v>2.9000000000000021</v>
      </c>
      <c r="K84" s="14">
        <v>337.95416666666665</v>
      </c>
      <c r="L84" s="14">
        <v>7.8416666666666703</v>
      </c>
      <c r="M84" s="14">
        <v>285.19583333333333</v>
      </c>
      <c r="N84" s="14">
        <v>15.083333333333337</v>
      </c>
      <c r="O84" s="14">
        <v>235.98749999999995</v>
      </c>
      <c r="P84" s="14">
        <v>25.875</v>
      </c>
      <c r="Q84" s="14">
        <v>189.73750000000001</v>
      </c>
      <c r="R84" s="14">
        <v>39.625</v>
      </c>
      <c r="S84" s="30"/>
      <c r="T84" s="30"/>
      <c r="AG84" s="14"/>
      <c r="DP84" s="18">
        <f>'Monthly Data'!F84</f>
        <v>6806096.3698557913</v>
      </c>
      <c r="DQ84" s="18">
        <f>'Monthly Data'!J84</f>
        <v>2549219.5753308129</v>
      </c>
      <c r="DR84" s="18">
        <f>'Monthly Data'!N84</f>
        <v>6491309.6581410738</v>
      </c>
    </row>
    <row r="85" spans="1:122">
      <c r="A85" s="9">
        <v>44896</v>
      </c>
      <c r="B85">
        <f t="shared" si="104"/>
        <v>2022</v>
      </c>
      <c r="C85">
        <f t="shared" si="105"/>
        <v>12</v>
      </c>
      <c r="D85" s="13">
        <v>-3.3372311827956986</v>
      </c>
      <c r="E85" s="14">
        <v>723.45416666666654</v>
      </c>
      <c r="F85" s="14">
        <v>0</v>
      </c>
      <c r="G85" s="14">
        <v>661.45416666666654</v>
      </c>
      <c r="H85" s="14">
        <v>0</v>
      </c>
      <c r="I85" s="14">
        <v>599.45416666666654</v>
      </c>
      <c r="J85" s="14">
        <v>0</v>
      </c>
      <c r="K85" s="14">
        <v>537.45416666666665</v>
      </c>
      <c r="L85" s="14">
        <v>0</v>
      </c>
      <c r="M85" s="14">
        <v>475.45416666666677</v>
      </c>
      <c r="N85" s="14">
        <v>0</v>
      </c>
      <c r="O85" s="14">
        <v>413.45416666666677</v>
      </c>
      <c r="P85" s="14">
        <v>0</v>
      </c>
      <c r="Q85" s="14">
        <v>351.45416666666677</v>
      </c>
      <c r="R85" s="14">
        <v>0</v>
      </c>
      <c r="S85" s="30"/>
      <c r="T85" s="30"/>
      <c r="AG85" s="14"/>
      <c r="DP85" s="18">
        <f>'Monthly Data'!F85</f>
        <v>8382575.8539716648</v>
      </c>
      <c r="DQ85" s="18">
        <f>'Monthly Data'!J85</f>
        <v>2940389.8859107662</v>
      </c>
      <c r="DR85" s="18">
        <f>'Monthly Data'!N85</f>
        <v>6383842.9468718553</v>
      </c>
    </row>
    <row r="86" spans="1:122">
      <c r="A86" s="9">
        <v>44927</v>
      </c>
      <c r="B86">
        <f t="shared" si="104"/>
        <v>2023</v>
      </c>
      <c r="C86">
        <f t="shared" si="105"/>
        <v>1</v>
      </c>
      <c r="D86" s="13">
        <v>-6.5091397849462362</v>
      </c>
      <c r="E86" s="14">
        <v>821.78333333333342</v>
      </c>
      <c r="F86" s="14">
        <v>0</v>
      </c>
      <c r="G86" s="14">
        <v>759.78333333333342</v>
      </c>
      <c r="H86" s="14">
        <v>0</v>
      </c>
      <c r="I86" s="14">
        <v>697.78333333333342</v>
      </c>
      <c r="J86" s="14">
        <v>0</v>
      </c>
      <c r="K86" s="14">
        <v>635.78333333333342</v>
      </c>
      <c r="L86" s="14">
        <v>0</v>
      </c>
      <c r="M86" s="14">
        <v>573.78333333333342</v>
      </c>
      <c r="N86" s="14">
        <v>0</v>
      </c>
      <c r="O86" s="14">
        <v>511.78333333333347</v>
      </c>
      <c r="P86" s="14">
        <v>0</v>
      </c>
      <c r="Q86" s="14">
        <v>449.78333333333347</v>
      </c>
      <c r="R86" s="14">
        <v>0</v>
      </c>
      <c r="S86" s="30"/>
      <c r="T86" s="30"/>
      <c r="AG86" s="14"/>
      <c r="DP86" s="18">
        <f>'Monthly Data'!F86</f>
        <v>8740554.5448313784</v>
      </c>
      <c r="DQ86" s="18">
        <f>'Monthly Data'!J86</f>
        <v>3128498.5438320525</v>
      </c>
      <c r="DR86" s="18">
        <f>'Monthly Data'!N86</f>
        <v>6116806.1173214633</v>
      </c>
    </row>
    <row r="87" spans="1:122">
      <c r="A87" s="9">
        <v>44958</v>
      </c>
      <c r="B87">
        <f t="shared" si="104"/>
        <v>2023</v>
      </c>
      <c r="C87">
        <f t="shared" si="105"/>
        <v>2</v>
      </c>
      <c r="D87" s="13">
        <v>-8.3235119047619044</v>
      </c>
      <c r="E87" s="14">
        <v>793.05833333333328</v>
      </c>
      <c r="F87" s="14">
        <v>0</v>
      </c>
      <c r="G87" s="14">
        <v>737.05833333333328</v>
      </c>
      <c r="H87" s="14">
        <v>0</v>
      </c>
      <c r="I87" s="14">
        <v>681.05833333333328</v>
      </c>
      <c r="J87" s="14">
        <v>0</v>
      </c>
      <c r="K87" s="14">
        <v>625.05833333333328</v>
      </c>
      <c r="L87" s="14">
        <v>0</v>
      </c>
      <c r="M87" s="14">
        <v>569.05833333333328</v>
      </c>
      <c r="N87" s="14">
        <v>0</v>
      </c>
      <c r="O87" s="14">
        <v>513.05833333333339</v>
      </c>
      <c r="P87" s="14">
        <v>0</v>
      </c>
      <c r="Q87" s="14">
        <v>457.05833333333351</v>
      </c>
      <c r="R87" s="14">
        <v>0</v>
      </c>
      <c r="S87" s="30"/>
      <c r="T87" s="30"/>
      <c r="AG87" s="14"/>
      <c r="DP87" s="18">
        <f>'Monthly Data'!F87</f>
        <v>8231333.1919643153</v>
      </c>
      <c r="DQ87" s="18">
        <f>'Monthly Data'!J87</f>
        <v>2958044.9926468567</v>
      </c>
      <c r="DR87" s="18">
        <f>'Monthly Data'!N87</f>
        <v>5696520.6104506506</v>
      </c>
    </row>
    <row r="88" spans="1:122">
      <c r="A88" s="9">
        <v>44986</v>
      </c>
      <c r="B88">
        <f t="shared" si="104"/>
        <v>2023</v>
      </c>
      <c r="C88">
        <f t="shared" si="105"/>
        <v>3</v>
      </c>
      <c r="D88" s="13">
        <v>-2.2612903225806451</v>
      </c>
      <c r="E88" s="14">
        <v>690.10000000000025</v>
      </c>
      <c r="F88" s="14">
        <v>0</v>
      </c>
      <c r="G88" s="14">
        <v>628.10000000000025</v>
      </c>
      <c r="H88" s="14">
        <v>0</v>
      </c>
      <c r="I88" s="14">
        <v>566.09999999999991</v>
      </c>
      <c r="J88" s="14">
        <v>0</v>
      </c>
      <c r="K88" s="14">
        <v>504.1</v>
      </c>
      <c r="L88" s="14">
        <v>0</v>
      </c>
      <c r="M88" s="14">
        <v>442.1</v>
      </c>
      <c r="N88" s="14">
        <v>0</v>
      </c>
      <c r="O88" s="14">
        <v>380.09999999999997</v>
      </c>
      <c r="P88" s="14">
        <v>0</v>
      </c>
      <c r="Q88" s="14">
        <v>318.09999999999997</v>
      </c>
      <c r="R88" s="14">
        <v>0</v>
      </c>
      <c r="S88" s="30"/>
      <c r="T88" s="30"/>
      <c r="AG88" s="14"/>
      <c r="DP88" s="18">
        <f>'Monthly Data'!F88</f>
        <v>7931351.8390972503</v>
      </c>
      <c r="DQ88" s="18">
        <f>'Monthly Data'!J88</f>
        <v>2961710.4414616609</v>
      </c>
      <c r="DR88" s="18">
        <f>'Monthly Data'!N88</f>
        <v>5718312.5835798392</v>
      </c>
    </row>
    <row r="89" spans="1:122">
      <c r="A89" s="9">
        <v>45017</v>
      </c>
      <c r="B89">
        <f t="shared" si="104"/>
        <v>2023</v>
      </c>
      <c r="C89">
        <f t="shared" si="105"/>
        <v>4</v>
      </c>
      <c r="D89" s="13">
        <v>5.9763888888888896</v>
      </c>
      <c r="E89" s="14">
        <v>420.70833333333337</v>
      </c>
      <c r="F89" s="14">
        <v>0</v>
      </c>
      <c r="G89" s="14">
        <v>360.70833333333337</v>
      </c>
      <c r="H89" s="14">
        <v>0</v>
      </c>
      <c r="I89" s="14">
        <v>300.70833333333337</v>
      </c>
      <c r="J89" s="14">
        <v>0</v>
      </c>
      <c r="K89" s="14">
        <v>242.45833333333331</v>
      </c>
      <c r="L89" s="14">
        <v>1.7500000000000053</v>
      </c>
      <c r="M89" s="14">
        <v>187.84166666666664</v>
      </c>
      <c r="N89" s="14">
        <v>7.1333333333333417</v>
      </c>
      <c r="O89" s="14">
        <v>139.21666666666667</v>
      </c>
      <c r="P89" s="14">
        <v>18.508333333333347</v>
      </c>
      <c r="Q89" s="14">
        <v>98.029166666666683</v>
      </c>
      <c r="R89" s="14">
        <v>37.32083333333334</v>
      </c>
      <c r="S89" s="30"/>
      <c r="T89" s="30"/>
      <c r="AG89" s="14"/>
      <c r="DP89" s="18">
        <f>'Monthly Data'!F89</f>
        <v>6481760.4862301862</v>
      </c>
      <c r="DQ89" s="18">
        <f>'Monthly Data'!J89</f>
        <v>2410896.8902764646</v>
      </c>
      <c r="DR89" s="18">
        <f>'Monthly Data'!N89</f>
        <v>5301267.4367090268</v>
      </c>
    </row>
    <row r="90" spans="1:122">
      <c r="A90" s="9">
        <v>45047</v>
      </c>
      <c r="B90">
        <f t="shared" si="104"/>
        <v>2023</v>
      </c>
      <c r="C90">
        <f t="shared" si="105"/>
        <v>5</v>
      </c>
      <c r="D90" s="13">
        <v>12.488239247311826</v>
      </c>
      <c r="E90" s="14">
        <v>234.95208333333341</v>
      </c>
      <c r="F90" s="14">
        <v>2.0875000000000021</v>
      </c>
      <c r="G90" s="14">
        <v>177.13750000000005</v>
      </c>
      <c r="H90" s="14">
        <v>6.2729166666666671</v>
      </c>
      <c r="I90" s="14">
        <v>126.95833333333333</v>
      </c>
      <c r="J90" s="14">
        <v>18.093750000000007</v>
      </c>
      <c r="K90" s="14">
        <v>80.341666666666669</v>
      </c>
      <c r="L90" s="14">
        <v>33.47708333333334</v>
      </c>
      <c r="M90" s="14">
        <v>49.537499999999994</v>
      </c>
      <c r="N90" s="14">
        <v>64.672916666666652</v>
      </c>
      <c r="O90" s="14">
        <v>24.945833333333333</v>
      </c>
      <c r="P90" s="14">
        <v>102.08124999999998</v>
      </c>
      <c r="Q90" s="14">
        <v>8.2916666666666643</v>
      </c>
      <c r="R90" s="14">
        <v>147.42708333333334</v>
      </c>
      <c r="S90" s="30"/>
      <c r="T90" s="30"/>
      <c r="AG90" s="14"/>
      <c r="DP90" s="18">
        <f>'Monthly Data'!F90</f>
        <v>5935915.1333631221</v>
      </c>
      <c r="DQ90" s="18">
        <f>'Monthly Data'!J90</f>
        <v>2314837.3390912688</v>
      </c>
      <c r="DR90" s="18">
        <f>'Monthly Data'!N90</f>
        <v>5199018.4498382146</v>
      </c>
    </row>
    <row r="91" spans="1:122">
      <c r="A91" s="9">
        <v>45078</v>
      </c>
      <c r="B91">
        <f t="shared" si="104"/>
        <v>2023</v>
      </c>
      <c r="C91">
        <f t="shared" si="105"/>
        <v>6</v>
      </c>
      <c r="D91" s="13">
        <v>17.87416666666666</v>
      </c>
      <c r="E91" s="14">
        <v>79.324999999999989</v>
      </c>
      <c r="F91" s="14">
        <v>15.55</v>
      </c>
      <c r="G91" s="14">
        <v>38.23749999999999</v>
      </c>
      <c r="H91" s="14">
        <v>34.462499999999991</v>
      </c>
      <c r="I91" s="14">
        <v>12.866666666666669</v>
      </c>
      <c r="J91" s="14">
        <v>69.091666666666669</v>
      </c>
      <c r="K91" s="14">
        <v>2.3999999999999986</v>
      </c>
      <c r="L91" s="14">
        <v>118.625</v>
      </c>
      <c r="M91" s="14">
        <v>0</v>
      </c>
      <c r="N91" s="14">
        <v>176.22499999999999</v>
      </c>
      <c r="O91" s="14">
        <v>0</v>
      </c>
      <c r="P91" s="14">
        <v>236.22500000000002</v>
      </c>
      <c r="Q91" s="14">
        <v>0</v>
      </c>
      <c r="R91" s="14">
        <v>296.22499999999997</v>
      </c>
      <c r="S91" s="30"/>
      <c r="T91" s="30"/>
      <c r="AG91" s="14"/>
      <c r="DP91" s="18">
        <f>'Monthly Data'!F91</f>
        <v>6617170.7804960571</v>
      </c>
      <c r="DQ91" s="18">
        <f>'Monthly Data'!J91</f>
        <v>2409548.787906073</v>
      </c>
      <c r="DR91" s="18">
        <f>'Monthly Data'!N91</f>
        <v>5434895.9029674027</v>
      </c>
    </row>
    <row r="92" spans="1:122">
      <c r="A92" s="9">
        <v>45108</v>
      </c>
      <c r="B92">
        <f t="shared" si="104"/>
        <v>2023</v>
      </c>
      <c r="C92">
        <f t="shared" si="105"/>
        <v>7</v>
      </c>
      <c r="D92" s="13">
        <v>20.245833333333334</v>
      </c>
      <c r="E92" s="14">
        <v>27.016666666666673</v>
      </c>
      <c r="F92" s="14">
        <v>34.637499999999989</v>
      </c>
      <c r="G92" s="14">
        <v>6.454166666666671</v>
      </c>
      <c r="H92" s="14">
        <v>76.07499999999996</v>
      </c>
      <c r="I92" s="14">
        <v>0.38333333333333464</v>
      </c>
      <c r="J92" s="14">
        <v>132.00416666666663</v>
      </c>
      <c r="K92" s="14">
        <v>0</v>
      </c>
      <c r="L92" s="14">
        <v>193.62083333333328</v>
      </c>
      <c r="M92" s="14">
        <v>0</v>
      </c>
      <c r="N92" s="14">
        <v>255.62083333333328</v>
      </c>
      <c r="O92" s="14">
        <v>0</v>
      </c>
      <c r="P92" s="14">
        <v>317.62083333333328</v>
      </c>
      <c r="Q92" s="14">
        <v>0</v>
      </c>
      <c r="R92" s="14">
        <v>379.62083333333334</v>
      </c>
      <c r="S92" s="30"/>
      <c r="T92" s="30"/>
      <c r="AG92" s="14"/>
      <c r="DP92" s="18">
        <f>'Monthly Data'!F92</f>
        <v>8069819.4276289931</v>
      </c>
      <c r="DQ92" s="18">
        <f>'Monthly Data'!J92</f>
        <v>2678974.2367208768</v>
      </c>
      <c r="DR92" s="18">
        <f>'Monthly Data'!N92</f>
        <v>5911244.9160965905</v>
      </c>
    </row>
    <row r="93" spans="1:122">
      <c r="A93" s="9">
        <v>45139</v>
      </c>
      <c r="B93">
        <f t="shared" si="104"/>
        <v>2023</v>
      </c>
      <c r="C93">
        <f t="shared" si="105"/>
        <v>8</v>
      </c>
      <c r="D93" s="13">
        <v>17.51075268817204</v>
      </c>
      <c r="E93" s="14">
        <v>78.083333333333329</v>
      </c>
      <c r="F93" s="14">
        <v>0.9166666666666643</v>
      </c>
      <c r="G93" s="14">
        <v>30.016666666666659</v>
      </c>
      <c r="H93" s="14">
        <v>14.849999999999994</v>
      </c>
      <c r="I93" s="14">
        <v>5.4958333333333371</v>
      </c>
      <c r="J93" s="14">
        <v>52.329166666666687</v>
      </c>
      <c r="K93" s="14">
        <v>0.45000000000000284</v>
      </c>
      <c r="L93" s="14">
        <v>109.28333333333336</v>
      </c>
      <c r="M93" s="14">
        <v>0</v>
      </c>
      <c r="N93" s="14">
        <v>170.83333333333337</v>
      </c>
      <c r="O93" s="14">
        <v>0</v>
      </c>
      <c r="P93" s="14">
        <v>232.83333333333337</v>
      </c>
      <c r="Q93" s="14">
        <v>0</v>
      </c>
      <c r="R93" s="14">
        <v>294.83333333333337</v>
      </c>
      <c r="S93" s="30"/>
      <c r="T93" s="30"/>
      <c r="AG93" s="14"/>
      <c r="DP93" s="18">
        <f>'Monthly Data'!F93</f>
        <v>6590759.074761929</v>
      </c>
      <c r="DQ93" s="18">
        <f>'Monthly Data'!J93</f>
        <v>2408674.685535681</v>
      </c>
      <c r="DR93" s="18">
        <f>'Monthly Data'!N93</f>
        <v>5504128.6492257779</v>
      </c>
    </row>
    <row r="94" spans="1:122">
      <c r="A94" s="9">
        <v>45170</v>
      </c>
      <c r="B94">
        <f t="shared" si="104"/>
        <v>2023</v>
      </c>
      <c r="C94">
        <f t="shared" si="105"/>
        <v>9</v>
      </c>
      <c r="D94" s="13">
        <v>15.133472222222224</v>
      </c>
      <c r="E94" s="14">
        <v>162.20833333333331</v>
      </c>
      <c r="F94" s="14">
        <v>16.212500000000002</v>
      </c>
      <c r="G94" s="14">
        <v>112.94166666666663</v>
      </c>
      <c r="H94" s="14">
        <v>26.945833333333336</v>
      </c>
      <c r="I94" s="14">
        <v>65.812499999999986</v>
      </c>
      <c r="J94" s="14">
        <v>39.816666666666677</v>
      </c>
      <c r="K94" s="14">
        <v>29.48749999999999</v>
      </c>
      <c r="L94" s="14">
        <v>63.491666666666674</v>
      </c>
      <c r="M94" s="14">
        <v>9.3166666666666664</v>
      </c>
      <c r="N94" s="14">
        <v>103.32083333333338</v>
      </c>
      <c r="O94" s="14">
        <v>0.46250000000000213</v>
      </c>
      <c r="P94" s="14">
        <v>154.46666666666673</v>
      </c>
      <c r="Q94" s="14">
        <v>0</v>
      </c>
      <c r="R94" s="14">
        <v>214.00416666666672</v>
      </c>
      <c r="S94" s="30"/>
      <c r="T94" s="30"/>
      <c r="AG94" s="14"/>
      <c r="DP94" s="18">
        <f>'Monthly Data'!F94</f>
        <v>6146868.721894864</v>
      </c>
      <c r="DQ94" s="18">
        <f>'Monthly Data'!J94</f>
        <v>2316057.1343504852</v>
      </c>
      <c r="DR94" s="18">
        <f>'Monthly Data'!N94</f>
        <v>5342063.3823549664</v>
      </c>
    </row>
    <row r="95" spans="1:122">
      <c r="A95" s="9">
        <v>45200</v>
      </c>
      <c r="B95">
        <f t="shared" si="104"/>
        <v>2023</v>
      </c>
      <c r="C95">
        <f t="shared" si="105"/>
        <v>10</v>
      </c>
      <c r="D95" s="13">
        <v>10.033870967741938</v>
      </c>
      <c r="E95" s="14">
        <v>308.94999999999993</v>
      </c>
      <c r="F95" s="14">
        <v>0</v>
      </c>
      <c r="G95" s="14">
        <v>250.95</v>
      </c>
      <c r="H95" s="14">
        <v>3.9999999999999964</v>
      </c>
      <c r="I95" s="14">
        <v>197.34166666666664</v>
      </c>
      <c r="J95" s="14">
        <v>12.391666666666669</v>
      </c>
      <c r="K95" s="14">
        <v>151.68333333333334</v>
      </c>
      <c r="L95" s="14">
        <v>28.733333333333338</v>
      </c>
      <c r="M95" s="14">
        <v>107.68333333333332</v>
      </c>
      <c r="N95" s="14">
        <v>46.733333333333334</v>
      </c>
      <c r="O95" s="14">
        <v>68.216666666666669</v>
      </c>
      <c r="P95" s="14">
        <v>69.26666666666668</v>
      </c>
      <c r="Q95" s="14">
        <v>38.67916666666666</v>
      </c>
      <c r="R95" s="14">
        <v>101.7291666666667</v>
      </c>
      <c r="S95" s="30"/>
      <c r="T95" s="30"/>
      <c r="AG95" s="14"/>
      <c r="DP95" s="18">
        <f>'Monthly Data'!F95</f>
        <v>6311574.3690277999</v>
      </c>
      <c r="DQ95" s="18">
        <f>'Monthly Data'!J95</f>
        <v>2359883.5831652894</v>
      </c>
      <c r="DR95" s="18">
        <f>'Monthly Data'!N95</f>
        <v>5340766.1154841539</v>
      </c>
    </row>
    <row r="96" spans="1:122">
      <c r="A96" s="9">
        <v>45231</v>
      </c>
      <c r="B96">
        <f t="shared" si="104"/>
        <v>2023</v>
      </c>
      <c r="C96">
        <f t="shared" si="105"/>
        <v>11</v>
      </c>
      <c r="D96" s="13">
        <v>-0.54243055555555542</v>
      </c>
      <c r="E96" s="14">
        <v>616.27291666666667</v>
      </c>
      <c r="F96" s="14">
        <v>0</v>
      </c>
      <c r="G96" s="14">
        <v>556.27291666666667</v>
      </c>
      <c r="H96" s="14">
        <v>0</v>
      </c>
      <c r="I96" s="14">
        <v>496.27291666666662</v>
      </c>
      <c r="J96" s="14">
        <v>0</v>
      </c>
      <c r="K96" s="14">
        <v>436.27291666666662</v>
      </c>
      <c r="L96" s="14">
        <v>0</v>
      </c>
      <c r="M96" s="14">
        <v>376.27291666666662</v>
      </c>
      <c r="N96" s="14">
        <v>0</v>
      </c>
      <c r="O96" s="14">
        <v>316.27291666666673</v>
      </c>
      <c r="P96" s="14">
        <v>0</v>
      </c>
      <c r="Q96" s="14">
        <v>256.27291666666667</v>
      </c>
      <c r="R96" s="14">
        <v>0</v>
      </c>
      <c r="S96" s="30"/>
      <c r="T96" s="30"/>
      <c r="AG96" s="14"/>
      <c r="DP96" s="18">
        <f>'Monthly Data'!F96</f>
        <v>7441339.0161607359</v>
      </c>
      <c r="DQ96" s="18">
        <f>'Monthly Data'!J96</f>
        <v>2726100.0319800931</v>
      </c>
      <c r="DR96" s="18">
        <f>'Monthly Data'!N96</f>
        <v>5612278.8486133423</v>
      </c>
    </row>
    <row r="97" spans="1:122">
      <c r="A97" s="9">
        <v>45261</v>
      </c>
      <c r="B97">
        <f t="shared" si="104"/>
        <v>2023</v>
      </c>
      <c r="C97">
        <f t="shared" si="105"/>
        <v>12</v>
      </c>
      <c r="D97" s="13">
        <v>-3.0052419354838706</v>
      </c>
      <c r="E97" s="14">
        <v>713.16250000000014</v>
      </c>
      <c r="F97" s="14">
        <v>0</v>
      </c>
      <c r="G97" s="14">
        <v>651.16250000000025</v>
      </c>
      <c r="H97" s="14">
        <v>0</v>
      </c>
      <c r="I97" s="14">
        <v>589.16250000000014</v>
      </c>
      <c r="J97" s="14">
        <v>0</v>
      </c>
      <c r="K97" s="14">
        <v>527.16249999999991</v>
      </c>
      <c r="L97" s="14">
        <v>0</v>
      </c>
      <c r="M97" s="14">
        <v>465.16250000000002</v>
      </c>
      <c r="N97" s="14">
        <v>0</v>
      </c>
      <c r="O97" s="14">
        <v>403.16249999999997</v>
      </c>
      <c r="P97" s="14">
        <v>0</v>
      </c>
      <c r="Q97" s="14">
        <v>341.16250000000002</v>
      </c>
      <c r="R97" s="14">
        <v>0</v>
      </c>
      <c r="S97" s="30"/>
      <c r="T97" s="30"/>
      <c r="AG97" s="14"/>
      <c r="DP97" s="18">
        <f>'Monthly Data'!F97</f>
        <v>8512565.6632936709</v>
      </c>
      <c r="DQ97" s="18">
        <f>'Monthly Data'!J97</f>
        <v>3054970.4807948973</v>
      </c>
      <c r="DR97" s="18">
        <f>'Monthly Data'!N97</f>
        <v>6027285.5817425298</v>
      </c>
    </row>
    <row r="98" spans="1:122">
      <c r="A98" s="9">
        <v>45292</v>
      </c>
      <c r="B98">
        <f t="shared" si="104"/>
        <v>2024</v>
      </c>
      <c r="C98">
        <f t="shared" si="105"/>
        <v>1</v>
      </c>
      <c r="D98" s="13">
        <v>-6.7444892473118268</v>
      </c>
      <c r="E98" s="14">
        <v>829.07916666666677</v>
      </c>
      <c r="F98" s="14">
        <v>0</v>
      </c>
      <c r="G98" s="14">
        <v>767.07916666666677</v>
      </c>
      <c r="H98" s="14">
        <v>0</v>
      </c>
      <c r="I98" s="14">
        <v>705.07916666666677</v>
      </c>
      <c r="J98" s="14">
        <v>0</v>
      </c>
      <c r="K98" s="14">
        <v>643.07916666666665</v>
      </c>
      <c r="L98" s="14">
        <v>0</v>
      </c>
      <c r="M98" s="14">
        <v>581.07916666666665</v>
      </c>
      <c r="N98" s="14">
        <v>0</v>
      </c>
      <c r="O98" s="14">
        <v>519.07916666666665</v>
      </c>
      <c r="P98" s="14">
        <v>0</v>
      </c>
      <c r="Q98" s="14">
        <v>457.07916666666659</v>
      </c>
      <c r="R98" s="14">
        <v>0</v>
      </c>
      <c r="S98" s="30"/>
      <c r="T98" s="30"/>
      <c r="AG98" s="14"/>
      <c r="DP98" s="18">
        <f>'Monthly Data'!F98</f>
        <v>10058510.850234345</v>
      </c>
      <c r="DQ98" s="18">
        <f>'Monthly Data'!J98</f>
        <v>3455439.2672890546</v>
      </c>
      <c r="DR98" s="18">
        <f>'Monthly Data'!N98</f>
        <v>6253607.9586970024</v>
      </c>
    </row>
    <row r="99" spans="1:122">
      <c r="A99" s="9">
        <v>45323</v>
      </c>
      <c r="B99">
        <f t="shared" si="104"/>
        <v>2024</v>
      </c>
      <c r="C99">
        <f t="shared" si="105"/>
        <v>2</v>
      </c>
      <c r="D99" s="13">
        <v>-4.5475574712643674</v>
      </c>
      <c r="E99" s="14">
        <v>711.87916666666661</v>
      </c>
      <c r="F99" s="14">
        <v>0</v>
      </c>
      <c r="G99" s="14">
        <v>653.87916666666672</v>
      </c>
      <c r="H99" s="14">
        <v>0</v>
      </c>
      <c r="I99" s="14">
        <v>595.87916666666661</v>
      </c>
      <c r="J99" s="14">
        <v>0</v>
      </c>
      <c r="K99" s="14">
        <v>537.87916666666661</v>
      </c>
      <c r="L99" s="14">
        <v>0</v>
      </c>
      <c r="M99" s="14">
        <v>479.87916666666661</v>
      </c>
      <c r="N99" s="14">
        <v>0</v>
      </c>
      <c r="O99" s="14">
        <v>421.87916666666661</v>
      </c>
      <c r="P99" s="14">
        <v>0</v>
      </c>
      <c r="Q99" s="14">
        <v>363.87916666666666</v>
      </c>
      <c r="R99" s="14">
        <v>0</v>
      </c>
      <c r="S99" s="30"/>
      <c r="T99" s="30"/>
      <c r="AG99" s="14"/>
      <c r="DP99" s="18">
        <f>'Monthly Data'!F99</f>
        <v>7527358.4163905876</v>
      </c>
      <c r="DQ99" s="18">
        <f>'Monthly Data'!J99</f>
        <v>2840878.0346191321</v>
      </c>
      <c r="DR99" s="18">
        <f>'Monthly Data'!N99</f>
        <v>5644985.0132523365</v>
      </c>
    </row>
    <row r="100" spans="1:122">
      <c r="A100" s="9">
        <v>45352</v>
      </c>
      <c r="B100">
        <f t="shared" si="104"/>
        <v>2024</v>
      </c>
      <c r="C100">
        <f t="shared" si="105"/>
        <v>3</v>
      </c>
      <c r="D100" s="13">
        <v>0.75551075268817203</v>
      </c>
      <c r="E100" s="14">
        <v>596.57916666666665</v>
      </c>
      <c r="F100" s="14">
        <v>0</v>
      </c>
      <c r="G100" s="14">
        <v>534.57916666666665</v>
      </c>
      <c r="H100" s="14">
        <v>0</v>
      </c>
      <c r="I100" s="14">
        <v>472.57916666666677</v>
      </c>
      <c r="J100" s="14">
        <v>0</v>
      </c>
      <c r="K100" s="14">
        <v>410.57916666666665</v>
      </c>
      <c r="L100" s="14">
        <v>0</v>
      </c>
      <c r="M100" s="14">
        <v>348.57916666666665</v>
      </c>
      <c r="N100" s="14">
        <v>0</v>
      </c>
      <c r="O100" s="14">
        <v>286.57916666666665</v>
      </c>
      <c r="P100" s="14">
        <v>0</v>
      </c>
      <c r="Q100" s="14">
        <v>224.57916666666665</v>
      </c>
      <c r="R100" s="14">
        <v>0</v>
      </c>
      <c r="S100" s="30"/>
      <c r="T100" s="30"/>
      <c r="AG100" s="14"/>
      <c r="DP100" s="18">
        <f>'Monthly Data'!F100</f>
        <v>8124056.9825468305</v>
      </c>
      <c r="DQ100" s="18">
        <f>'Monthly Data'!J100</f>
        <v>2906094.8019492091</v>
      </c>
      <c r="DR100" s="18">
        <f>'Monthly Data'!N100</f>
        <v>5687000.0678076707</v>
      </c>
    </row>
    <row r="101" spans="1:122">
      <c r="A101" s="9">
        <v>45383</v>
      </c>
      <c r="B101">
        <f t="shared" si="104"/>
        <v>2024</v>
      </c>
      <c r="C101">
        <f t="shared" si="105"/>
        <v>4</v>
      </c>
      <c r="D101" s="13">
        <v>6.0962499999999977</v>
      </c>
      <c r="E101" s="14">
        <v>417.11249999999995</v>
      </c>
      <c r="F101" s="14">
        <v>0</v>
      </c>
      <c r="G101" s="14">
        <v>357.11249999999995</v>
      </c>
      <c r="H101" s="14">
        <v>0</v>
      </c>
      <c r="I101" s="14">
        <v>297.11250000000007</v>
      </c>
      <c r="J101" s="14">
        <v>0</v>
      </c>
      <c r="K101" s="14">
        <v>237.11250000000004</v>
      </c>
      <c r="L101" s="14">
        <v>0</v>
      </c>
      <c r="M101" s="14">
        <v>177.84583333333336</v>
      </c>
      <c r="N101" s="14">
        <v>0.7333333333333325</v>
      </c>
      <c r="O101" s="14">
        <v>124.96250000000002</v>
      </c>
      <c r="P101" s="14">
        <v>7.8500000000000032</v>
      </c>
      <c r="Q101" s="14">
        <v>75.558333333333337</v>
      </c>
      <c r="R101" s="14">
        <v>18.445833333333333</v>
      </c>
      <c r="S101" s="30"/>
      <c r="T101" s="30"/>
      <c r="AG101" s="14"/>
      <c r="DP101" s="18">
        <f>'Monthly Data'!F101</f>
        <v>5757851.5487030726</v>
      </c>
      <c r="DQ101" s="18">
        <f>'Monthly Data'!J101</f>
        <v>2316820.5692792865</v>
      </c>
      <c r="DR101" s="18">
        <f>'Monthly Data'!N101</f>
        <v>5089288.1223630048</v>
      </c>
    </row>
    <row r="102" spans="1:122">
      <c r="A102" s="9">
        <v>45413</v>
      </c>
      <c r="B102">
        <f t="shared" si="104"/>
        <v>2024</v>
      </c>
      <c r="C102">
        <f t="shared" si="105"/>
        <v>5</v>
      </c>
      <c r="D102" s="13">
        <v>14.800806451612901</v>
      </c>
      <c r="E102" s="14">
        <v>162.30416666666667</v>
      </c>
      <c r="F102" s="14">
        <v>1.1291666666666664</v>
      </c>
      <c r="G102" s="14">
        <v>107.28749999999998</v>
      </c>
      <c r="H102" s="14">
        <v>8.1125000000000007</v>
      </c>
      <c r="I102" s="14">
        <v>63.466666666666661</v>
      </c>
      <c r="J102" s="14">
        <v>26.291666666666675</v>
      </c>
      <c r="K102" s="14">
        <v>32.008333333333333</v>
      </c>
      <c r="L102" s="14">
        <v>56.833333333333329</v>
      </c>
      <c r="M102" s="14">
        <v>9.4041666666666668</v>
      </c>
      <c r="N102" s="14">
        <v>96.229166666666686</v>
      </c>
      <c r="O102" s="14">
        <v>0</v>
      </c>
      <c r="P102" s="14">
        <v>148.82500000000002</v>
      </c>
      <c r="Q102" s="14">
        <v>0</v>
      </c>
      <c r="R102" s="14">
        <v>210.82499999999999</v>
      </c>
      <c r="S102" s="30"/>
      <c r="T102" s="30"/>
      <c r="AG102" s="14"/>
      <c r="DP102" s="18">
        <f>'Monthly Data'!F102</f>
        <v>6393480.1148593156</v>
      </c>
      <c r="DQ102" s="18">
        <f>'Monthly Data'!J102</f>
        <v>2431046.3366093636</v>
      </c>
      <c r="DR102" s="18">
        <f>'Monthly Data'!N102</f>
        <v>5269158.176918339</v>
      </c>
    </row>
    <row r="103" spans="1:122">
      <c r="A103" s="9">
        <v>45444</v>
      </c>
      <c r="B103">
        <f t="shared" si="104"/>
        <v>2024</v>
      </c>
      <c r="C103">
        <f t="shared" si="105"/>
        <v>6</v>
      </c>
      <c r="D103" s="13">
        <v>18.156111111111112</v>
      </c>
      <c r="E103" s="14">
        <v>82.241666666666674</v>
      </c>
      <c r="F103" s="14">
        <v>26.924999999999997</v>
      </c>
      <c r="G103" s="14">
        <v>44.020833333333336</v>
      </c>
      <c r="H103" s="14">
        <v>48.704166666666659</v>
      </c>
      <c r="I103" s="14">
        <v>20.5</v>
      </c>
      <c r="J103" s="14">
        <v>85.183333333333337</v>
      </c>
      <c r="K103" s="14">
        <v>8.2083333333333357</v>
      </c>
      <c r="L103" s="14">
        <v>132.89166666666665</v>
      </c>
      <c r="M103" s="14">
        <v>2.6000000000000032</v>
      </c>
      <c r="N103" s="14">
        <v>187.28333333333333</v>
      </c>
      <c r="O103" s="14">
        <v>0.6000000000000032</v>
      </c>
      <c r="P103" s="14">
        <v>245.28333333333333</v>
      </c>
      <c r="Q103" s="14">
        <v>0</v>
      </c>
      <c r="R103" s="14">
        <v>304.68333333333339</v>
      </c>
      <c r="S103" s="30"/>
      <c r="T103" s="30"/>
      <c r="AG103" s="14"/>
      <c r="DP103" s="18">
        <f>'Monthly Data'!F103</f>
        <v>6950866.6810155576</v>
      </c>
      <c r="DQ103" s="18">
        <f>'Monthly Data'!J103</f>
        <v>2461796.103939441</v>
      </c>
      <c r="DR103" s="18">
        <f>'Monthly Data'!N103</f>
        <v>5374172.2314736731</v>
      </c>
    </row>
    <row r="104" spans="1:122">
      <c r="A104" s="9">
        <v>45474</v>
      </c>
      <c r="B104">
        <f t="shared" si="104"/>
        <v>2024</v>
      </c>
      <c r="C104">
        <f t="shared" si="105"/>
        <v>7</v>
      </c>
      <c r="D104" s="13">
        <v>20.843279569892474</v>
      </c>
      <c r="E104" s="14">
        <v>17.166666666666668</v>
      </c>
      <c r="F104" s="14">
        <v>43.308333333333337</v>
      </c>
      <c r="G104" s="14">
        <v>2.2499999999999964</v>
      </c>
      <c r="H104" s="14">
        <v>90.391666666666666</v>
      </c>
      <c r="I104" s="14">
        <v>0</v>
      </c>
      <c r="J104" s="14">
        <v>150.14166666666665</v>
      </c>
      <c r="K104" s="14">
        <v>0</v>
      </c>
      <c r="L104" s="14">
        <v>212.14166666666665</v>
      </c>
      <c r="M104" s="14">
        <v>0</v>
      </c>
      <c r="N104" s="14">
        <v>274.14166666666665</v>
      </c>
      <c r="O104" s="14">
        <v>0</v>
      </c>
      <c r="P104" s="14">
        <v>336.14166666666665</v>
      </c>
      <c r="Q104" s="14">
        <v>0</v>
      </c>
      <c r="R104" s="14">
        <v>398.14166666666659</v>
      </c>
      <c r="S104" s="30"/>
      <c r="T104" s="30"/>
      <c r="AG104" s="14"/>
      <c r="DP104" s="18">
        <f>'Monthly Data'!F104</f>
        <v>8232160.2471718006</v>
      </c>
      <c r="DQ104" s="18">
        <f>'Monthly Data'!J104</f>
        <v>2743681.8712695185</v>
      </c>
      <c r="DR104" s="18">
        <f>'Monthly Data'!N104</f>
        <v>5847813.2860290073</v>
      </c>
    </row>
    <row r="105" spans="1:122">
      <c r="A105" s="9">
        <v>45505</v>
      </c>
      <c r="B105">
        <f t="shared" si="104"/>
        <v>2024</v>
      </c>
      <c r="C105">
        <f t="shared" si="105"/>
        <v>8</v>
      </c>
      <c r="D105" s="13">
        <v>18.859677419354838</v>
      </c>
      <c r="E105" s="14">
        <v>63.7</v>
      </c>
      <c r="F105" s="14">
        <v>28.349999999999994</v>
      </c>
      <c r="G105" s="14">
        <v>30.883333333333333</v>
      </c>
      <c r="H105" s="14">
        <v>57.533333333333317</v>
      </c>
      <c r="I105" s="14">
        <v>9.0208333333333321</v>
      </c>
      <c r="J105" s="14">
        <v>97.670833333333292</v>
      </c>
      <c r="K105" s="14">
        <v>1.2541666666666682</v>
      </c>
      <c r="L105" s="14">
        <v>151.90416666666661</v>
      </c>
      <c r="M105" s="14">
        <v>0</v>
      </c>
      <c r="N105" s="14">
        <v>212.65</v>
      </c>
      <c r="O105" s="14">
        <v>0</v>
      </c>
      <c r="P105" s="14">
        <v>274.65000000000003</v>
      </c>
      <c r="Q105" s="14">
        <v>0</v>
      </c>
      <c r="R105" s="14">
        <v>336.65000000000003</v>
      </c>
      <c r="S105" s="30"/>
      <c r="T105" s="30"/>
      <c r="AG105" s="14"/>
      <c r="DP105" s="18">
        <f>'Monthly Data'!F105</f>
        <v>7428027.8133280436</v>
      </c>
      <c r="DQ105" s="18">
        <f>'Monthly Data'!J105</f>
        <v>2609738.6385995955</v>
      </c>
      <c r="DR105" s="18">
        <f>'Monthly Data'!N105</f>
        <v>5588978.3405843414</v>
      </c>
    </row>
    <row r="106" spans="1:122">
      <c r="A106" s="9">
        <v>45536</v>
      </c>
      <c r="B106">
        <f t="shared" si="104"/>
        <v>2024</v>
      </c>
      <c r="C106">
        <f t="shared" si="105"/>
        <v>9</v>
      </c>
      <c r="D106" s="13">
        <v>15.967222222222224</v>
      </c>
      <c r="E106" s="14">
        <v>120.98333333333333</v>
      </c>
      <c r="F106" s="14">
        <v>0</v>
      </c>
      <c r="G106" s="14">
        <v>70.695833333333326</v>
      </c>
      <c r="H106" s="14">
        <v>9.7124999999999879</v>
      </c>
      <c r="I106" s="14">
        <v>36.037500000000001</v>
      </c>
      <c r="J106" s="14">
        <v>35.054166666666646</v>
      </c>
      <c r="K106" s="14">
        <v>17.058333333333337</v>
      </c>
      <c r="L106" s="14">
        <v>76.075000000000003</v>
      </c>
      <c r="M106" s="14">
        <v>8.1791666666666654</v>
      </c>
      <c r="N106" s="14">
        <v>127.19583333333331</v>
      </c>
      <c r="O106" s="14">
        <v>2.4333333333333318</v>
      </c>
      <c r="P106" s="14">
        <v>181.45</v>
      </c>
      <c r="Q106" s="14">
        <v>2.0833333333332149E-2</v>
      </c>
      <c r="R106" s="14">
        <v>239.03749999999997</v>
      </c>
      <c r="S106" s="30"/>
      <c r="T106" s="30"/>
      <c r="DQ106" s="18">
        <f>'Monthly Data'!J106</f>
        <v>2334104.405929673</v>
      </c>
      <c r="DR106" s="18">
        <f>'Monthly Data'!N106</f>
        <v>5358949.3951396765</v>
      </c>
    </row>
    <row r="107" spans="1:122">
      <c r="A107" s="9">
        <v>45566</v>
      </c>
      <c r="B107">
        <f t="shared" si="104"/>
        <v>2024</v>
      </c>
      <c r="C107">
        <f t="shared" si="105"/>
        <v>10</v>
      </c>
      <c r="D107" s="13">
        <v>8.3852150537634422</v>
      </c>
      <c r="E107" s="14">
        <v>360.05833333333328</v>
      </c>
      <c r="F107" s="14">
        <v>0</v>
      </c>
      <c r="G107" s="14">
        <v>299.2833333333333</v>
      </c>
      <c r="H107" s="14">
        <v>1.2250000000000014</v>
      </c>
      <c r="I107" s="14">
        <v>239.28333333333327</v>
      </c>
      <c r="J107" s="14">
        <v>3.2250000000000014</v>
      </c>
      <c r="K107" s="14">
        <v>181.74583333333334</v>
      </c>
      <c r="L107" s="14">
        <v>7.6875000000000036</v>
      </c>
      <c r="M107" s="14">
        <v>132.20416666666668</v>
      </c>
      <c r="N107" s="14">
        <v>20.145833333333339</v>
      </c>
      <c r="O107" s="14">
        <v>89.8</v>
      </c>
      <c r="P107" s="14">
        <v>39.741666666666674</v>
      </c>
      <c r="Q107" s="14">
        <v>51.55416666666666</v>
      </c>
      <c r="R107" s="14">
        <v>63.495833333333337</v>
      </c>
      <c r="S107" s="30"/>
      <c r="T107" s="30"/>
      <c r="DQ107" s="18">
        <f>'Monthly Data'!J107</f>
        <v>2395002.17325975</v>
      </c>
      <c r="DR107" s="18">
        <f>'Monthly Data'!N107</f>
        <v>5365372.4496950107</v>
      </c>
    </row>
    <row r="108" spans="1:122">
      <c r="A108" s="9">
        <v>45597</v>
      </c>
      <c r="B108">
        <f t="shared" si="104"/>
        <v>2024</v>
      </c>
      <c r="C108">
        <f t="shared" si="105"/>
        <v>11</v>
      </c>
      <c r="D108" s="13">
        <v>3.1184722222222234</v>
      </c>
      <c r="E108" s="14">
        <v>506.44583333333338</v>
      </c>
      <c r="F108" s="14">
        <v>0</v>
      </c>
      <c r="G108" s="14">
        <v>446.44583333333333</v>
      </c>
      <c r="H108" s="14">
        <v>0</v>
      </c>
      <c r="I108" s="14">
        <v>386.44583333333333</v>
      </c>
      <c r="J108" s="14">
        <v>0</v>
      </c>
      <c r="K108" s="14">
        <v>327.05000000000007</v>
      </c>
      <c r="L108" s="14">
        <v>0.6041666666666643</v>
      </c>
      <c r="M108" s="14">
        <v>269.08333333333337</v>
      </c>
      <c r="N108" s="14">
        <v>2.6374999999999975</v>
      </c>
      <c r="O108" s="14">
        <v>213.08333333333331</v>
      </c>
      <c r="P108" s="14">
        <v>6.6374999999999975</v>
      </c>
      <c r="Q108" s="14">
        <v>157.08333333333331</v>
      </c>
      <c r="R108" s="14">
        <v>10.637499999999998</v>
      </c>
      <c r="S108" s="30"/>
      <c r="T108" s="30"/>
      <c r="DQ108" s="18">
        <f>'Monthly Data'!J108</f>
        <v>2598939.9405898275</v>
      </c>
      <c r="DR108" s="18">
        <f>'Monthly Data'!N108</f>
        <v>5333654.5042503448</v>
      </c>
    </row>
    <row r="109" spans="1:122">
      <c r="A109" s="9">
        <v>45627</v>
      </c>
      <c r="B109">
        <f t="shared" si="104"/>
        <v>2024</v>
      </c>
      <c r="C109">
        <f t="shared" si="105"/>
        <v>12</v>
      </c>
      <c r="D109" s="13">
        <v>-5.6983198924731173</v>
      </c>
      <c r="E109" s="14">
        <v>796.64791666666656</v>
      </c>
      <c r="F109" s="14">
        <v>0</v>
      </c>
      <c r="G109" s="14">
        <v>734.64791666666656</v>
      </c>
      <c r="H109" s="14">
        <v>0</v>
      </c>
      <c r="I109" s="14">
        <v>672.64791666666656</v>
      </c>
      <c r="J109" s="14">
        <v>0</v>
      </c>
      <c r="K109" s="14">
        <v>610.64791666666656</v>
      </c>
      <c r="L109" s="14">
        <v>0</v>
      </c>
      <c r="M109" s="14">
        <v>548.64791666666667</v>
      </c>
      <c r="N109" s="14">
        <v>0</v>
      </c>
      <c r="O109" s="14">
        <v>486.6479166666665</v>
      </c>
      <c r="P109" s="14">
        <v>0</v>
      </c>
      <c r="Q109" s="14">
        <v>424.64791666666656</v>
      </c>
      <c r="R109" s="14">
        <v>0</v>
      </c>
      <c r="S109" s="30"/>
      <c r="T109" s="30"/>
      <c r="DQ109" s="18">
        <f>'Monthly Data'!J109</f>
        <v>3229266.7079199045</v>
      </c>
      <c r="DR109" s="18">
        <f>'Monthly Data'!N109</f>
        <v>6275377.558805679</v>
      </c>
    </row>
    <row r="110" spans="1:122">
      <c r="A110" s="9">
        <v>45658</v>
      </c>
      <c r="B110">
        <f t="shared" si="104"/>
        <v>2025</v>
      </c>
      <c r="C110">
        <f t="shared" si="105"/>
        <v>1</v>
      </c>
      <c r="D110" s="13">
        <v>-10.018481182795702</v>
      </c>
      <c r="E110" s="14">
        <v>930.57291666666663</v>
      </c>
      <c r="F110" s="14">
        <v>0</v>
      </c>
      <c r="G110" s="14">
        <v>868.57291666666663</v>
      </c>
      <c r="H110" s="14">
        <v>0</v>
      </c>
      <c r="I110" s="14">
        <v>806.57291666666663</v>
      </c>
      <c r="J110" s="14">
        <v>0</v>
      </c>
      <c r="K110" s="14">
        <v>744.57291666666663</v>
      </c>
      <c r="L110" s="14">
        <v>0</v>
      </c>
      <c r="M110" s="14">
        <v>682.57291666666663</v>
      </c>
      <c r="N110" s="14">
        <v>0</v>
      </c>
      <c r="O110" s="14">
        <v>620.57291666666663</v>
      </c>
      <c r="P110" s="14">
        <v>0</v>
      </c>
      <c r="Q110" s="14">
        <v>558.57291666666663</v>
      </c>
      <c r="R110" s="14">
        <v>0</v>
      </c>
      <c r="S110" s="30"/>
      <c r="T110" s="30"/>
      <c r="DQ110" s="18">
        <f>'Monthly Data'!J110</f>
        <v>3521304.201942143</v>
      </c>
      <c r="DR110" s="18">
        <f>'Monthly Data'!N110</f>
        <v>6397150.1120626032</v>
      </c>
    </row>
    <row r="111" spans="1:122">
      <c r="A111" s="9">
        <v>45689</v>
      </c>
      <c r="B111">
        <f t="shared" si="104"/>
        <v>2025</v>
      </c>
      <c r="C111">
        <f t="shared" si="105"/>
        <v>2</v>
      </c>
      <c r="D111" s="13">
        <v>-10.394642857142859</v>
      </c>
      <c r="E111" s="14">
        <v>851.05000000000007</v>
      </c>
      <c r="F111" s="14">
        <v>0</v>
      </c>
      <c r="G111" s="14">
        <v>795.05000000000007</v>
      </c>
      <c r="H111" s="14">
        <v>0</v>
      </c>
      <c r="I111" s="14">
        <v>739.05000000000007</v>
      </c>
      <c r="J111" s="14">
        <v>0</v>
      </c>
      <c r="K111" s="14">
        <v>683.05000000000007</v>
      </c>
      <c r="L111" s="14">
        <v>0</v>
      </c>
      <c r="M111" s="14">
        <v>627.05000000000007</v>
      </c>
      <c r="N111" s="14">
        <v>0</v>
      </c>
      <c r="O111" s="14">
        <v>571.05000000000007</v>
      </c>
      <c r="P111" s="14">
        <v>0</v>
      </c>
      <c r="Q111" s="14">
        <v>515.05000000000018</v>
      </c>
      <c r="R111" s="14">
        <v>0</v>
      </c>
      <c r="S111" s="30"/>
      <c r="T111" s="30"/>
      <c r="DQ111" s="18">
        <f>'Monthly Data'!J111</f>
        <v>3248937.8305204986</v>
      </c>
      <c r="DR111" s="18">
        <f>'Monthly Data'!N111</f>
        <v>6043124.5591707714</v>
      </c>
    </row>
    <row r="112" spans="1:122">
      <c r="A112" s="9">
        <v>45717</v>
      </c>
      <c r="B112">
        <f t="shared" si="104"/>
        <v>2025</v>
      </c>
      <c r="C112">
        <f t="shared" si="105"/>
        <v>3</v>
      </c>
      <c r="D112" s="13">
        <v>-2.0059139784946241</v>
      </c>
      <c r="E112" s="14">
        <v>682.18333333333362</v>
      </c>
      <c r="F112" s="14">
        <v>0</v>
      </c>
      <c r="G112" s="14">
        <v>620.18333333333362</v>
      </c>
      <c r="H112" s="14">
        <v>0</v>
      </c>
      <c r="I112" s="14">
        <v>558.18333333333351</v>
      </c>
      <c r="J112" s="14">
        <v>0</v>
      </c>
      <c r="K112" s="14">
        <v>496.18333333333339</v>
      </c>
      <c r="L112" s="14">
        <v>0</v>
      </c>
      <c r="M112" s="14">
        <v>434.18333333333334</v>
      </c>
      <c r="N112" s="14">
        <v>0</v>
      </c>
      <c r="O112" s="14">
        <v>372.18333333333328</v>
      </c>
      <c r="P112" s="14">
        <v>0</v>
      </c>
      <c r="Q112" s="14">
        <v>310.18333333333328</v>
      </c>
      <c r="R112" s="14">
        <v>0</v>
      </c>
      <c r="DQ112" s="18">
        <f>'Monthly Data'!J112</f>
        <v>3122756.4590988536</v>
      </c>
      <c r="DR112" s="18">
        <f>'Monthly Data'!N112</f>
        <v>5823009.0062789395</v>
      </c>
    </row>
    <row r="113" spans="1:122">
      <c r="A113" s="9">
        <v>45748</v>
      </c>
      <c r="B113">
        <f t="shared" si="104"/>
        <v>2025</v>
      </c>
      <c r="C113">
        <f t="shared" si="105"/>
        <v>4</v>
      </c>
      <c r="D113" s="13">
        <v>4.0188194444444445</v>
      </c>
      <c r="E113" s="14">
        <v>479.43541666666664</v>
      </c>
      <c r="F113" s="14">
        <v>0</v>
      </c>
      <c r="G113" s="14">
        <v>419.4354166666667</v>
      </c>
      <c r="H113" s="14">
        <v>0</v>
      </c>
      <c r="I113" s="14">
        <v>359.45624999999995</v>
      </c>
      <c r="J113" s="14">
        <v>2.0833333333332149E-2</v>
      </c>
      <c r="K113" s="14">
        <v>301.45625000000001</v>
      </c>
      <c r="L113" s="14">
        <v>2.0208333333333321</v>
      </c>
      <c r="M113" s="14">
        <v>244.1229166666667</v>
      </c>
      <c r="N113" s="14">
        <v>4.6874999999999982</v>
      </c>
      <c r="O113" s="14">
        <v>188.24375000000001</v>
      </c>
      <c r="P113" s="14">
        <v>8.80833333333333</v>
      </c>
      <c r="Q113" s="14">
        <v>138.13124999999997</v>
      </c>
      <c r="R113" s="14">
        <v>18.695833333333333</v>
      </c>
      <c r="DQ113" s="18">
        <f>'Monthly Data'!J113</f>
        <v>2652049.0876772087</v>
      </c>
      <c r="DR113" s="18">
        <f>'Monthly Data'!N113</f>
        <v>5161102.4533871077</v>
      </c>
    </row>
    <row r="114" spans="1:122">
      <c r="A114" s="9">
        <v>45778</v>
      </c>
      <c r="B114">
        <f t="shared" si="104"/>
        <v>2025</v>
      </c>
      <c r="C114">
        <f t="shared" si="105"/>
        <v>5</v>
      </c>
      <c r="D114" s="13">
        <v>12.344220430107528</v>
      </c>
      <c r="E114" s="14">
        <v>237.32916666666665</v>
      </c>
      <c r="F114" s="14">
        <v>0</v>
      </c>
      <c r="G114" s="14">
        <v>177.67291666666665</v>
      </c>
      <c r="H114" s="14">
        <v>2.34375</v>
      </c>
      <c r="I114" s="14">
        <v>128.02499999999998</v>
      </c>
      <c r="J114" s="14">
        <v>14.695833333333336</v>
      </c>
      <c r="K114" s="14">
        <v>86.63333333333334</v>
      </c>
      <c r="L114" s="14">
        <v>35.304166666666674</v>
      </c>
      <c r="M114" s="14">
        <v>51.35</v>
      </c>
      <c r="N114" s="14">
        <v>62.020833333333329</v>
      </c>
      <c r="O114" s="14">
        <v>21.554166666666667</v>
      </c>
      <c r="P114" s="14">
        <v>94.225000000000009</v>
      </c>
      <c r="Q114" s="14">
        <v>5.4916666666666663</v>
      </c>
      <c r="R114" s="14">
        <v>140.16249999999997</v>
      </c>
      <c r="DQ114" s="18">
        <f>'Monthly Data'!J114</f>
        <v>2377775.7162555638</v>
      </c>
      <c r="DR114" s="18">
        <f>'Monthly Data'!N114</f>
        <v>5020546.9004952768</v>
      </c>
    </row>
    <row r="115" spans="1:122">
      <c r="A115" s="9">
        <v>45809</v>
      </c>
      <c r="B115">
        <f t="shared" ref="B115:B121" si="106">B103+1</f>
        <v>2025</v>
      </c>
      <c r="C115">
        <f t="shared" ref="C115:C121" si="107">C103</f>
        <v>6</v>
      </c>
      <c r="D115" s="13">
        <v>18.235833333333332</v>
      </c>
      <c r="E115" s="14">
        <v>85.787499999999994</v>
      </c>
      <c r="F115" s="14">
        <v>32.862500000000011</v>
      </c>
      <c r="G115" s="14">
        <v>46.833333333333336</v>
      </c>
      <c r="H115" s="14">
        <v>53.908333333333331</v>
      </c>
      <c r="I115" s="14">
        <v>22.612500000000011</v>
      </c>
      <c r="J115" s="14">
        <v>89.6875</v>
      </c>
      <c r="K115" s="14">
        <v>10.90833333333334</v>
      </c>
      <c r="L115" s="14">
        <v>137.98333333333338</v>
      </c>
      <c r="M115" s="14">
        <v>4.2625000000000011</v>
      </c>
      <c r="N115" s="14">
        <v>191.33749999999998</v>
      </c>
      <c r="O115" s="14">
        <v>1.375</v>
      </c>
      <c r="P115" s="14">
        <v>248.45</v>
      </c>
      <c r="Q115" s="14">
        <v>0</v>
      </c>
      <c r="R115" s="14">
        <v>307.07499999999999</v>
      </c>
      <c r="DQ115" s="18">
        <f>'Monthly Data'!J115</f>
        <v>2523449.3448339188</v>
      </c>
      <c r="DR115" s="18">
        <f>'Monthly Data'!N115</f>
        <v>5552991.3476034449</v>
      </c>
    </row>
    <row r="116" spans="1:122">
      <c r="A116" s="9">
        <v>45839</v>
      </c>
      <c r="B116">
        <f t="shared" si="106"/>
        <v>2025</v>
      </c>
      <c r="C116">
        <f t="shared" si="107"/>
        <v>7</v>
      </c>
      <c r="D116" s="13">
        <v>21.22076612903226</v>
      </c>
      <c r="E116" s="14">
        <v>23.716666666666676</v>
      </c>
      <c r="F116" s="14">
        <v>61.560416666666669</v>
      </c>
      <c r="G116" s="14">
        <v>8.0333333333333403</v>
      </c>
      <c r="H116" s="14">
        <v>107.87708333333333</v>
      </c>
      <c r="I116" s="14">
        <v>1.6166666666666689</v>
      </c>
      <c r="J116" s="14">
        <v>163.46041666666662</v>
      </c>
      <c r="K116" s="14">
        <v>0</v>
      </c>
      <c r="L116" s="14">
        <v>223.84375</v>
      </c>
      <c r="M116" s="14">
        <v>0</v>
      </c>
      <c r="N116" s="14">
        <v>285.84375000000006</v>
      </c>
      <c r="O116" s="14">
        <v>0</v>
      </c>
      <c r="P116" s="14">
        <v>347.84375000000006</v>
      </c>
      <c r="Q116" s="14">
        <v>0</v>
      </c>
      <c r="R116" s="14">
        <v>409.84375000000006</v>
      </c>
      <c r="DQ116" s="18">
        <f>'Monthly Data'!J116</f>
        <v>2937793.9734122739</v>
      </c>
      <c r="DR116" s="18">
        <f>'Monthly Data'!N116</f>
        <v>6041461.7947116131</v>
      </c>
    </row>
    <row r="117" spans="1:122">
      <c r="A117" s="9">
        <v>45870</v>
      </c>
      <c r="B117">
        <f t="shared" si="106"/>
        <v>2025</v>
      </c>
      <c r="C117">
        <f t="shared" si="107"/>
        <v>8</v>
      </c>
      <c r="D117" s="13">
        <v>19.0567876344086</v>
      </c>
      <c r="E117" s="14">
        <v>67.597916666666677</v>
      </c>
      <c r="F117" s="14">
        <v>38.35833333333332</v>
      </c>
      <c r="G117" s="14">
        <v>32.360416666666666</v>
      </c>
      <c r="H117" s="14">
        <v>65.120833333333309</v>
      </c>
      <c r="I117" s="14">
        <v>11.950000000000001</v>
      </c>
      <c r="J117" s="14">
        <v>106.71041666666666</v>
      </c>
      <c r="K117" s="14">
        <v>1.3208333333333346</v>
      </c>
      <c r="L117" s="14">
        <v>158.08124999999998</v>
      </c>
      <c r="M117" s="14">
        <v>0</v>
      </c>
      <c r="N117" s="14">
        <v>218.76041666666663</v>
      </c>
      <c r="O117" s="14">
        <v>0</v>
      </c>
      <c r="P117" s="14">
        <v>280.76041666666669</v>
      </c>
      <c r="Q117" s="14">
        <v>0</v>
      </c>
      <c r="R117" s="14">
        <v>342.76041666666669</v>
      </c>
      <c r="DQ117" s="18">
        <f>'Monthly Data'!J117</f>
        <v>2631549.601990629</v>
      </c>
      <c r="DR117" s="18">
        <f>'Monthly Data'!N117</f>
        <v>5593918.2418197813</v>
      </c>
    </row>
    <row r="118" spans="1:122">
      <c r="A118" s="9">
        <v>45901</v>
      </c>
      <c r="B118">
        <f t="shared" si="106"/>
        <v>2025</v>
      </c>
      <c r="C118">
        <f t="shared" si="107"/>
        <v>9</v>
      </c>
      <c r="D118" s="13">
        <v>14.043194444444445</v>
      </c>
      <c r="E118" s="14">
        <v>178.70416666666671</v>
      </c>
      <c r="F118" s="14">
        <v>0</v>
      </c>
      <c r="G118" s="14">
        <v>119.1583333333333</v>
      </c>
      <c r="H118" s="14">
        <v>0.45416666666666572</v>
      </c>
      <c r="I118" s="14">
        <v>67.6875</v>
      </c>
      <c r="J118" s="14">
        <v>8.9833333333333343</v>
      </c>
      <c r="K118" s="14">
        <v>31.791666666666671</v>
      </c>
      <c r="L118" s="14">
        <v>33.087500000000006</v>
      </c>
      <c r="M118" s="14">
        <v>11.725</v>
      </c>
      <c r="N118" s="14">
        <v>73.020833333333343</v>
      </c>
      <c r="O118" s="14">
        <v>3.8749999999999982</v>
      </c>
      <c r="P118" s="14">
        <v>125.17083333333335</v>
      </c>
      <c r="Q118" s="14">
        <v>1.2583333333333329</v>
      </c>
      <c r="R118" s="14">
        <v>182.55416666666667</v>
      </c>
      <c r="DQ118" s="18">
        <f>'Monthly Data'!J118</f>
        <v>2310858.2305689845</v>
      </c>
      <c r="DR118" s="18">
        <f>'Monthly Data'!N118</f>
        <v>5145149.6889279494</v>
      </c>
    </row>
    <row r="119" spans="1:122">
      <c r="A119" s="9">
        <v>45931</v>
      </c>
      <c r="B119">
        <f t="shared" si="106"/>
        <v>2025</v>
      </c>
      <c r="C119">
        <f t="shared" si="107"/>
        <v>10</v>
      </c>
      <c r="D119" s="13">
        <v>8.8896505376344077</v>
      </c>
      <c r="E119" s="14">
        <v>347.06666666666666</v>
      </c>
      <c r="F119" s="14">
        <v>2.6458333333333357</v>
      </c>
      <c r="G119" s="14">
        <v>289.06666666666666</v>
      </c>
      <c r="H119" s="14">
        <v>6.6458333333333357</v>
      </c>
      <c r="I119" s="14">
        <v>233.49583333333331</v>
      </c>
      <c r="J119" s="14">
        <v>13.075000000000003</v>
      </c>
      <c r="K119" s="14">
        <v>180.64166666666668</v>
      </c>
      <c r="L119" s="14">
        <v>22.220833333333335</v>
      </c>
      <c r="M119" s="14">
        <v>134.08750000000003</v>
      </c>
      <c r="N119" s="14">
        <v>37.666666666666671</v>
      </c>
      <c r="O119" s="14">
        <v>91.36666666666666</v>
      </c>
      <c r="P119" s="14">
        <v>56.94583333333334</v>
      </c>
      <c r="Q119" s="14">
        <v>54.525000000000006</v>
      </c>
      <c r="R119" s="14">
        <v>82.104166666666657</v>
      </c>
      <c r="DQ119" s="18">
        <f>'Monthly Data'!J119</f>
        <v>2422413.8591473396</v>
      </c>
      <c r="DR119" s="18">
        <f>'Monthly Data'!N119</f>
        <v>5977730.1360361176</v>
      </c>
    </row>
    <row r="120" spans="1:122">
      <c r="A120" s="9">
        <v>45962</v>
      </c>
      <c r="B120">
        <f t="shared" si="106"/>
        <v>2025</v>
      </c>
      <c r="C120">
        <f t="shared" si="107"/>
        <v>11</v>
      </c>
      <c r="D120" s="13">
        <v>-0.24097222222222214</v>
      </c>
      <c r="E120" s="14">
        <v>607.22916666666652</v>
      </c>
      <c r="F120" s="14">
        <v>0</v>
      </c>
      <c r="G120" s="14">
        <v>547.22916666666663</v>
      </c>
      <c r="H120" s="14">
        <v>0</v>
      </c>
      <c r="I120" s="14">
        <v>487.22916666666669</v>
      </c>
      <c r="J120" s="14">
        <v>0</v>
      </c>
      <c r="K120" s="14">
        <v>427.22916666666674</v>
      </c>
      <c r="L120" s="14">
        <v>0</v>
      </c>
      <c r="M120" s="14">
        <v>367.22916666666669</v>
      </c>
      <c r="N120" s="14">
        <v>0</v>
      </c>
      <c r="O120" s="14">
        <v>307.22916666666669</v>
      </c>
      <c r="P120" s="14">
        <v>0</v>
      </c>
      <c r="Q120" s="14">
        <v>247.22916666666666</v>
      </c>
      <c r="R120" s="14">
        <v>0</v>
      </c>
      <c r="DQ120" s="18">
        <f>'Monthly Data'!J120</f>
        <v>2843005.4877256947</v>
      </c>
      <c r="DR120" s="18">
        <f>'Monthly Data'!N120</f>
        <v>8021249.5831442866</v>
      </c>
    </row>
    <row r="121" spans="1:122">
      <c r="A121" s="9">
        <v>45992</v>
      </c>
      <c r="B121">
        <f t="shared" si="106"/>
        <v>2025</v>
      </c>
      <c r="C121">
        <f t="shared" si="107"/>
        <v>12</v>
      </c>
      <c r="D121" s="13">
        <v>-9.5466397849462368</v>
      </c>
      <c r="E121" s="14">
        <v>915.94583333333321</v>
      </c>
      <c r="F121" s="14">
        <v>0</v>
      </c>
      <c r="G121" s="14">
        <v>853.94583333333321</v>
      </c>
      <c r="H121" s="14">
        <v>0</v>
      </c>
      <c r="I121" s="14">
        <v>791.94583333333321</v>
      </c>
      <c r="J121" s="14">
        <v>0</v>
      </c>
      <c r="K121" s="14">
        <v>729.94583333333321</v>
      </c>
      <c r="L121" s="14">
        <v>0</v>
      </c>
      <c r="M121" s="14">
        <v>667.94583333333333</v>
      </c>
      <c r="N121" s="14">
        <v>0</v>
      </c>
      <c r="O121" s="14">
        <v>605.94583333333333</v>
      </c>
      <c r="P121" s="14">
        <v>0</v>
      </c>
      <c r="Q121" s="14">
        <v>543.94583333333344</v>
      </c>
      <c r="R121" s="14">
        <v>0</v>
      </c>
      <c r="DQ121" s="18">
        <f>'Monthly Data'!J121</f>
        <v>3449857.1163040497</v>
      </c>
      <c r="DR121" s="18">
        <f>'Monthly Data'!N121</f>
        <v>10556903.030252455</v>
      </c>
    </row>
    <row r="124" spans="1:122">
      <c r="A124" s="9"/>
    </row>
    <row r="125" spans="1:122">
      <c r="A125" s="9"/>
    </row>
    <row r="126" spans="1:122">
      <c r="A126" s="9"/>
    </row>
    <row r="127" spans="1:122">
      <c r="A127" s="9"/>
    </row>
    <row r="128" spans="1:122">
      <c r="A128" s="9"/>
    </row>
    <row r="129" spans="1:1">
      <c r="A129" s="9"/>
    </row>
    <row r="130" spans="1:1">
      <c r="A130" s="9"/>
    </row>
    <row r="131" spans="1:1">
      <c r="A131" s="9"/>
    </row>
    <row r="132" spans="1:1">
      <c r="A132" s="9"/>
    </row>
    <row r="133" spans="1:1">
      <c r="A133" s="9"/>
    </row>
    <row r="134" spans="1:1">
      <c r="A134" s="9"/>
    </row>
    <row r="135" spans="1:1">
      <c r="A135" s="9"/>
    </row>
    <row r="136" spans="1:1">
      <c r="A136" s="9"/>
    </row>
    <row r="137" spans="1:1">
      <c r="A137" s="9"/>
    </row>
    <row r="138" spans="1:1">
      <c r="A138" s="9"/>
    </row>
    <row r="139" spans="1:1">
      <c r="A139" s="9"/>
    </row>
    <row r="140" spans="1:1">
      <c r="A140" s="9"/>
    </row>
    <row r="141" spans="1:1">
      <c r="A141" s="9"/>
    </row>
    <row r="142" spans="1:1">
      <c r="A142" s="9"/>
    </row>
    <row r="143" spans="1:1">
      <c r="A143" s="9"/>
    </row>
    <row r="144" spans="1:1">
      <c r="A144" s="9"/>
    </row>
    <row r="145" spans="1:1">
      <c r="A145" s="9"/>
    </row>
    <row r="146" spans="1:1">
      <c r="A146" s="9"/>
    </row>
    <row r="147" spans="1:1">
      <c r="A147" s="9"/>
    </row>
    <row r="148" spans="1:1">
      <c r="A148" s="9"/>
    </row>
    <row r="149" spans="1:1">
      <c r="A149" s="9"/>
    </row>
    <row r="150" spans="1:1">
      <c r="A150" s="9"/>
    </row>
    <row r="151" spans="1:1">
      <c r="A151" s="9"/>
    </row>
    <row r="152" spans="1:1">
      <c r="A152" s="9"/>
    </row>
    <row r="153" spans="1:1">
      <c r="A153" s="9"/>
    </row>
    <row r="154" spans="1:1">
      <c r="A154" s="9"/>
    </row>
    <row r="155" spans="1:1">
      <c r="A155" s="9"/>
    </row>
    <row r="156" spans="1:1">
      <c r="A156" s="9"/>
    </row>
    <row r="157" spans="1:1">
      <c r="A157" s="9"/>
    </row>
    <row r="158" spans="1:1">
      <c r="A158" s="9"/>
    </row>
    <row r="159" spans="1:1">
      <c r="A159" s="9"/>
    </row>
    <row r="160" spans="1:1">
      <c r="A160" s="9"/>
    </row>
    <row r="161" spans="1:1">
      <c r="A161" s="9"/>
    </row>
    <row r="162" spans="1:1">
      <c r="A162" s="9"/>
    </row>
    <row r="163" spans="1:1">
      <c r="A163" s="9"/>
    </row>
    <row r="164" spans="1:1">
      <c r="A164" s="9"/>
    </row>
    <row r="165" spans="1:1">
      <c r="A165" s="9"/>
    </row>
    <row r="166" spans="1:1">
      <c r="A166" s="9"/>
    </row>
    <row r="167" spans="1:1">
      <c r="A167" s="9"/>
    </row>
    <row r="168" spans="1:1">
      <c r="A168" s="9"/>
    </row>
    <row r="169" spans="1:1">
      <c r="A169" s="9"/>
    </row>
    <row r="170" spans="1:1">
      <c r="A170" s="9"/>
    </row>
    <row r="171" spans="1:1">
      <c r="A171" s="9"/>
    </row>
    <row r="172" spans="1:1">
      <c r="A172" s="9"/>
    </row>
    <row r="173" spans="1:1">
      <c r="A173" s="9"/>
    </row>
    <row r="174" spans="1:1">
      <c r="A174" s="9"/>
    </row>
    <row r="175" spans="1:1">
      <c r="A175" s="9"/>
    </row>
    <row r="176" spans="1:1">
      <c r="A176" s="9"/>
    </row>
    <row r="177" spans="1:1">
      <c r="A177" s="9"/>
    </row>
    <row r="178" spans="1:1">
      <c r="A178" s="9"/>
    </row>
    <row r="179" spans="1:1">
      <c r="A179" s="9"/>
    </row>
    <row r="180" spans="1:1">
      <c r="A180" s="9"/>
    </row>
    <row r="181" spans="1:1">
      <c r="A181" s="9"/>
    </row>
    <row r="182" spans="1:1">
      <c r="A182" s="9"/>
    </row>
    <row r="183" spans="1:1">
      <c r="A183" s="9"/>
    </row>
    <row r="184" spans="1:1">
      <c r="A184" s="9"/>
    </row>
    <row r="185" spans="1:1">
      <c r="A185" s="9"/>
    </row>
    <row r="186" spans="1:1">
      <c r="A186" s="9"/>
    </row>
    <row r="187" spans="1:1">
      <c r="A187" s="9"/>
    </row>
    <row r="188" spans="1:1">
      <c r="A188" s="9"/>
    </row>
    <row r="189" spans="1:1">
      <c r="A189" s="9"/>
    </row>
    <row r="190" spans="1:1">
      <c r="A190" s="9"/>
    </row>
    <row r="191" spans="1:1">
      <c r="A191" s="9"/>
    </row>
    <row r="192" spans="1:1">
      <c r="A192" s="9"/>
    </row>
    <row r="193" spans="1:1">
      <c r="A193" s="9"/>
    </row>
    <row r="194" spans="1:1">
      <c r="A194" s="9"/>
    </row>
    <row r="195" spans="1:1">
      <c r="A195" s="9"/>
    </row>
    <row r="196" spans="1:1">
      <c r="A196" s="9"/>
    </row>
    <row r="197" spans="1:1">
      <c r="A197" s="9"/>
    </row>
    <row r="198" spans="1:1">
      <c r="A198" s="9"/>
    </row>
    <row r="199" spans="1:1">
      <c r="A199" s="9"/>
    </row>
    <row r="200" spans="1:1">
      <c r="A200" s="9"/>
    </row>
    <row r="201" spans="1:1">
      <c r="A201" s="9"/>
    </row>
    <row r="202" spans="1:1">
      <c r="A202" s="9"/>
    </row>
    <row r="203" spans="1:1">
      <c r="A203" s="9"/>
    </row>
    <row r="204" spans="1:1">
      <c r="A204" s="9"/>
    </row>
    <row r="205" spans="1:1">
      <c r="A205" s="9"/>
    </row>
    <row r="206" spans="1:1">
      <c r="A206" s="9"/>
    </row>
    <row r="207" spans="1:1">
      <c r="A207" s="9"/>
    </row>
    <row r="208" spans="1:1">
      <c r="A208" s="9"/>
    </row>
    <row r="209" spans="1:1">
      <c r="A209" s="9"/>
    </row>
    <row r="210" spans="1:1">
      <c r="A210" s="9"/>
    </row>
    <row r="211" spans="1:1">
      <c r="A211" s="9"/>
    </row>
    <row r="212" spans="1:1">
      <c r="A212" s="9"/>
    </row>
    <row r="213" spans="1:1">
      <c r="A213" s="9"/>
    </row>
    <row r="214" spans="1:1">
      <c r="A214" s="9"/>
    </row>
    <row r="215" spans="1:1">
      <c r="A215" s="9"/>
    </row>
    <row r="216" spans="1:1">
      <c r="A216" s="9"/>
    </row>
    <row r="217" spans="1:1">
      <c r="A217" s="9"/>
    </row>
    <row r="218" spans="1:1">
      <c r="A218" s="9"/>
    </row>
    <row r="219" spans="1:1">
      <c r="A219" s="9"/>
    </row>
    <row r="220" spans="1:1">
      <c r="A220" s="9"/>
    </row>
    <row r="221" spans="1:1">
      <c r="A221" s="9"/>
    </row>
    <row r="222" spans="1:1">
      <c r="A222" s="9"/>
    </row>
    <row r="223" spans="1:1">
      <c r="A223" s="9"/>
    </row>
    <row r="224" spans="1:1">
      <c r="A224" s="9"/>
    </row>
    <row r="225" spans="1:1">
      <c r="A225" s="9"/>
    </row>
    <row r="226" spans="1:1">
      <c r="A226" s="9"/>
    </row>
    <row r="227" spans="1:1">
      <c r="A227" s="9"/>
    </row>
    <row r="228" spans="1:1">
      <c r="A228" s="9"/>
    </row>
    <row r="229" spans="1:1">
      <c r="A229" s="9"/>
    </row>
    <row r="230" spans="1:1">
      <c r="A230" s="9"/>
    </row>
    <row r="231" spans="1:1">
      <c r="A231" s="9"/>
    </row>
    <row r="232" spans="1:1">
      <c r="A232" s="9"/>
    </row>
    <row r="233" spans="1:1">
      <c r="A233" s="9"/>
    </row>
    <row r="234" spans="1:1">
      <c r="A234" s="9"/>
    </row>
    <row r="235" spans="1:1">
      <c r="A235" s="9"/>
    </row>
    <row r="236" spans="1:1">
      <c r="A236" s="9"/>
    </row>
    <row r="237" spans="1:1">
      <c r="A237" s="9"/>
    </row>
    <row r="238" spans="1:1">
      <c r="A238" s="9"/>
    </row>
    <row r="239" spans="1:1">
      <c r="A239" s="9"/>
    </row>
    <row r="240" spans="1:1">
      <c r="A240" s="9"/>
    </row>
    <row r="241" spans="1:1">
      <c r="A241" s="9"/>
    </row>
    <row r="242" spans="1:1">
      <c r="A242" s="9"/>
    </row>
    <row r="243" spans="1:1">
      <c r="A243" s="9"/>
    </row>
    <row r="244" spans="1:1">
      <c r="A244" s="9"/>
    </row>
    <row r="245" spans="1:1">
      <c r="A245" s="9"/>
    </row>
    <row r="246" spans="1:1">
      <c r="A246" s="9"/>
    </row>
    <row r="247" spans="1:1">
      <c r="A247" s="9"/>
    </row>
    <row r="248" spans="1:1">
      <c r="A248" s="9"/>
    </row>
    <row r="249" spans="1:1">
      <c r="A249" s="9"/>
    </row>
    <row r="250" spans="1:1">
      <c r="A250" s="9"/>
    </row>
    <row r="251" spans="1:1">
      <c r="A251" s="9"/>
    </row>
    <row r="252" spans="1:1">
      <c r="A252" s="9"/>
    </row>
    <row r="253" spans="1:1">
      <c r="A253" s="9"/>
    </row>
    <row r="254" spans="1:1">
      <c r="A254" s="9"/>
    </row>
    <row r="255" spans="1:1">
      <c r="A255" s="9"/>
    </row>
    <row r="256" spans="1:1">
      <c r="A256" s="9"/>
    </row>
    <row r="257" spans="1:1">
      <c r="A257" s="9"/>
    </row>
    <row r="258" spans="1:1">
      <c r="A258" s="9"/>
    </row>
    <row r="259" spans="1:1">
      <c r="A259" s="9"/>
    </row>
    <row r="260" spans="1:1">
      <c r="A260" s="9"/>
    </row>
    <row r="261" spans="1:1">
      <c r="A261" s="9"/>
    </row>
    <row r="262" spans="1:1">
      <c r="A262" s="9"/>
    </row>
    <row r="263" spans="1:1">
      <c r="A263" s="9"/>
    </row>
    <row r="264" spans="1:1">
      <c r="A264" s="9"/>
    </row>
    <row r="265" spans="1:1">
      <c r="A265" s="9"/>
    </row>
    <row r="266" spans="1:1">
      <c r="A266" s="9"/>
    </row>
    <row r="267" spans="1:1">
      <c r="A267" s="9"/>
    </row>
    <row r="268" spans="1:1">
      <c r="A268" s="9"/>
    </row>
    <row r="269" spans="1:1">
      <c r="A269" s="9"/>
    </row>
    <row r="270" spans="1:1">
      <c r="A270" s="9"/>
    </row>
    <row r="271" spans="1:1">
      <c r="A271" s="9"/>
    </row>
    <row r="272" spans="1:1">
      <c r="A272" s="9"/>
    </row>
    <row r="273" spans="1:1">
      <c r="A273" s="9"/>
    </row>
    <row r="274" spans="1:1">
      <c r="A274" s="9"/>
    </row>
    <row r="275" spans="1:1">
      <c r="A275" s="9"/>
    </row>
    <row r="276" spans="1:1">
      <c r="A276" s="9"/>
    </row>
    <row r="277" spans="1:1">
      <c r="A277" s="9"/>
    </row>
    <row r="278" spans="1:1">
      <c r="A278" s="9"/>
    </row>
    <row r="279" spans="1:1">
      <c r="A279" s="9"/>
    </row>
    <row r="280" spans="1:1">
      <c r="A280" s="9"/>
    </row>
    <row r="281" spans="1:1">
      <c r="A281" s="9"/>
    </row>
    <row r="282" spans="1:1">
      <c r="A282" s="9"/>
    </row>
    <row r="283" spans="1:1">
      <c r="A283" s="9"/>
    </row>
    <row r="284" spans="1:1">
      <c r="A284" s="9"/>
    </row>
    <row r="285" spans="1:1">
      <c r="A285" s="9"/>
    </row>
    <row r="286" spans="1:1">
      <c r="A286" s="9"/>
    </row>
    <row r="287" spans="1:1">
      <c r="A287" s="9"/>
    </row>
    <row r="288" spans="1:1">
      <c r="A288" s="9"/>
    </row>
    <row r="289" spans="1:1">
      <c r="A289" s="9"/>
    </row>
    <row r="290" spans="1:1">
      <c r="A290" s="9"/>
    </row>
    <row r="291" spans="1:1">
      <c r="A291" s="9"/>
    </row>
    <row r="292" spans="1:1">
      <c r="A292" s="9"/>
    </row>
    <row r="293" spans="1:1">
      <c r="A293" s="9"/>
    </row>
    <row r="294" spans="1:1">
      <c r="A294" s="9"/>
    </row>
    <row r="295" spans="1:1">
      <c r="A295" s="9"/>
    </row>
    <row r="296" spans="1:1">
      <c r="A296" s="9"/>
    </row>
    <row r="297" spans="1:1">
      <c r="A297" s="9"/>
    </row>
    <row r="298" spans="1:1">
      <c r="A298" s="9"/>
    </row>
    <row r="299" spans="1:1">
      <c r="A299" s="9"/>
    </row>
    <row r="300" spans="1:1">
      <c r="A300" s="9"/>
    </row>
    <row r="301" spans="1:1">
      <c r="A301" s="9"/>
    </row>
    <row r="302" spans="1:1">
      <c r="A302" s="9"/>
    </row>
    <row r="303" spans="1:1">
      <c r="A303" s="9"/>
    </row>
    <row r="304" spans="1:1">
      <c r="A304" s="9"/>
    </row>
    <row r="305" spans="1:1">
      <c r="A305" s="9"/>
    </row>
    <row r="306" spans="1:1">
      <c r="A306" s="9"/>
    </row>
    <row r="307" spans="1:1">
      <c r="A307" s="9"/>
    </row>
    <row r="308" spans="1:1">
      <c r="A308" s="9"/>
    </row>
    <row r="309" spans="1:1">
      <c r="A309" s="9"/>
    </row>
    <row r="310" spans="1:1">
      <c r="A310" s="9"/>
    </row>
    <row r="311" spans="1:1">
      <c r="A311" s="9"/>
    </row>
    <row r="312" spans="1:1">
      <c r="A312" s="9"/>
    </row>
    <row r="313" spans="1:1">
      <c r="A313" s="9"/>
    </row>
    <row r="314" spans="1:1">
      <c r="A314" s="9"/>
    </row>
    <row r="315" spans="1:1">
      <c r="A315" s="9"/>
    </row>
    <row r="316" spans="1:1">
      <c r="A316" s="9"/>
    </row>
    <row r="317" spans="1:1">
      <c r="A317" s="9"/>
    </row>
    <row r="318" spans="1:1">
      <c r="A318" s="9"/>
    </row>
    <row r="319" spans="1:1">
      <c r="A319" s="9"/>
    </row>
    <row r="320" spans="1:1">
      <c r="A320" s="9"/>
    </row>
    <row r="321" spans="1:1">
      <c r="A321" s="9"/>
    </row>
    <row r="322" spans="1:1">
      <c r="A322" s="9"/>
    </row>
    <row r="323" spans="1:1">
      <c r="A323" s="9"/>
    </row>
    <row r="324" spans="1:1">
      <c r="A324" s="9"/>
    </row>
    <row r="325" spans="1:1">
      <c r="A325" s="9"/>
    </row>
    <row r="326" spans="1:1">
      <c r="A326" s="9"/>
    </row>
    <row r="327" spans="1:1">
      <c r="A327" s="9"/>
    </row>
    <row r="328" spans="1:1">
      <c r="A328" s="9"/>
    </row>
    <row r="329" spans="1:1">
      <c r="A329" s="9"/>
    </row>
    <row r="330" spans="1:1">
      <c r="A330" s="9"/>
    </row>
    <row r="331" spans="1:1">
      <c r="A331" s="9"/>
    </row>
    <row r="332" spans="1:1">
      <c r="A332" s="9"/>
    </row>
    <row r="333" spans="1:1">
      <c r="A333" s="9"/>
    </row>
    <row r="334" spans="1:1">
      <c r="A334" s="9"/>
    </row>
    <row r="335" spans="1:1">
      <c r="A335" s="9"/>
    </row>
    <row r="336" spans="1:1">
      <c r="A336" s="9"/>
    </row>
    <row r="337" spans="1:1">
      <c r="A337" s="9"/>
    </row>
    <row r="338" spans="1:1">
      <c r="A338" s="9"/>
    </row>
    <row r="339" spans="1:1">
      <c r="A339" s="9"/>
    </row>
    <row r="340" spans="1:1">
      <c r="A340" s="9"/>
    </row>
    <row r="341" spans="1:1">
      <c r="A341" s="9"/>
    </row>
    <row r="342" spans="1:1">
      <c r="A342" s="9"/>
    </row>
    <row r="343" spans="1:1">
      <c r="A343" s="9"/>
    </row>
    <row r="344" spans="1:1">
      <c r="A344" s="9"/>
    </row>
    <row r="345" spans="1:1">
      <c r="A345" s="9"/>
    </row>
    <row r="346" spans="1:1">
      <c r="A346" s="9"/>
    </row>
    <row r="347" spans="1:1">
      <c r="A347" s="9"/>
    </row>
    <row r="348" spans="1:1">
      <c r="A348" s="9"/>
    </row>
    <row r="349" spans="1:1">
      <c r="A349" s="9"/>
    </row>
    <row r="350" spans="1:1">
      <c r="A350" s="9"/>
    </row>
    <row r="351" spans="1:1">
      <c r="A351" s="9"/>
    </row>
    <row r="352" spans="1:1">
      <c r="A352" s="9"/>
    </row>
    <row r="353" spans="1:1">
      <c r="A353" s="9"/>
    </row>
    <row r="354" spans="1:1">
      <c r="A354" s="9"/>
    </row>
    <row r="355" spans="1:1">
      <c r="A355" s="9"/>
    </row>
    <row r="356" spans="1:1">
      <c r="A356" s="9"/>
    </row>
    <row r="357" spans="1:1">
      <c r="A357" s="9"/>
    </row>
    <row r="358" spans="1:1">
      <c r="A358" s="9"/>
    </row>
    <row r="359" spans="1:1">
      <c r="A359" s="9"/>
    </row>
    <row r="360" spans="1:1">
      <c r="A360" s="9"/>
    </row>
    <row r="361" spans="1:1">
      <c r="A361" s="9"/>
    </row>
    <row r="362" spans="1:1">
      <c r="A362" s="9"/>
    </row>
    <row r="363" spans="1:1">
      <c r="A363" s="9"/>
    </row>
    <row r="364" spans="1:1">
      <c r="A364" s="9"/>
    </row>
    <row r="365" spans="1:1">
      <c r="A365" s="9"/>
    </row>
    <row r="366" spans="1:1">
      <c r="A366" s="9"/>
    </row>
    <row r="367" spans="1:1">
      <c r="A367" s="9"/>
    </row>
    <row r="368" spans="1:1">
      <c r="A368" s="9"/>
    </row>
    <row r="369" spans="1:1">
      <c r="A369" s="9"/>
    </row>
    <row r="370" spans="1:1">
      <c r="A370" s="9"/>
    </row>
    <row r="371" spans="1:1">
      <c r="A371" s="9"/>
    </row>
    <row r="372" spans="1:1">
      <c r="A372" s="9"/>
    </row>
    <row r="373" spans="1:1">
      <c r="A373" s="9"/>
    </row>
    <row r="374" spans="1:1">
      <c r="A374" s="9"/>
    </row>
    <row r="375" spans="1:1">
      <c r="A375" s="9"/>
    </row>
    <row r="376" spans="1:1">
      <c r="A376" s="9"/>
    </row>
    <row r="377" spans="1:1">
      <c r="A377" s="9"/>
    </row>
    <row r="378" spans="1:1">
      <c r="A378" s="9"/>
    </row>
    <row r="379" spans="1:1">
      <c r="A379" s="9"/>
    </row>
    <row r="380" spans="1:1">
      <c r="A380" s="9"/>
    </row>
    <row r="381" spans="1:1">
      <c r="A381" s="9"/>
    </row>
    <row r="382" spans="1:1">
      <c r="A382" s="9"/>
    </row>
    <row r="383" spans="1:1">
      <c r="A383" s="9"/>
    </row>
    <row r="384" spans="1:1">
      <c r="A384" s="9"/>
    </row>
    <row r="385" spans="1:1">
      <c r="A385" s="9"/>
    </row>
    <row r="386" spans="1:1">
      <c r="A386" s="9"/>
    </row>
    <row r="387" spans="1:1">
      <c r="A387" s="9"/>
    </row>
    <row r="388" spans="1:1">
      <c r="A388" s="9"/>
    </row>
    <row r="389" spans="1:1">
      <c r="A389" s="9"/>
    </row>
    <row r="390" spans="1:1">
      <c r="A390" s="9"/>
    </row>
    <row r="391" spans="1:1">
      <c r="A391" s="9"/>
    </row>
    <row r="392" spans="1:1">
      <c r="A392" s="9"/>
    </row>
    <row r="393" spans="1:1">
      <c r="A393" s="9"/>
    </row>
    <row r="394" spans="1:1">
      <c r="A394" s="9"/>
    </row>
    <row r="395" spans="1:1">
      <c r="A395" s="9"/>
    </row>
    <row r="396" spans="1:1">
      <c r="A396" s="9"/>
    </row>
    <row r="397" spans="1:1">
      <c r="A397" s="9"/>
    </row>
    <row r="398" spans="1:1">
      <c r="A398" s="9"/>
    </row>
    <row r="399" spans="1:1">
      <c r="A399" s="9"/>
    </row>
    <row r="400" spans="1:1">
      <c r="A400" s="9"/>
    </row>
    <row r="401" spans="1:1">
      <c r="A401" s="9"/>
    </row>
    <row r="402" spans="1:1">
      <c r="A402" s="9"/>
    </row>
    <row r="403" spans="1:1">
      <c r="A403" s="9"/>
    </row>
    <row r="404" spans="1:1">
      <c r="A404" s="9"/>
    </row>
    <row r="405" spans="1:1">
      <c r="A405" s="9"/>
    </row>
    <row r="406" spans="1:1">
      <c r="A406" s="9"/>
    </row>
    <row r="407" spans="1:1">
      <c r="A407" s="9"/>
    </row>
    <row r="408" spans="1:1">
      <c r="A408" s="9"/>
    </row>
    <row r="409" spans="1:1">
      <c r="A409" s="9"/>
    </row>
    <row r="410" spans="1:1">
      <c r="A410" s="9"/>
    </row>
    <row r="411" spans="1:1">
      <c r="A411" s="9"/>
    </row>
    <row r="412" spans="1:1">
      <c r="A412" s="9"/>
    </row>
    <row r="413" spans="1:1">
      <c r="A413" s="9"/>
    </row>
    <row r="414" spans="1:1">
      <c r="A414" s="9"/>
    </row>
    <row r="415" spans="1:1">
      <c r="A415" s="9"/>
    </row>
    <row r="416" spans="1:1">
      <c r="A416" s="9"/>
    </row>
    <row r="417" spans="1:1">
      <c r="A417" s="9"/>
    </row>
    <row r="418" spans="1:1">
      <c r="A418" s="9"/>
    </row>
    <row r="419" spans="1:1">
      <c r="A419" s="9"/>
    </row>
    <row r="420" spans="1:1">
      <c r="A420" s="9"/>
    </row>
    <row r="421" spans="1:1">
      <c r="A421" s="9"/>
    </row>
    <row r="422" spans="1:1">
      <c r="A422" s="9"/>
    </row>
    <row r="423" spans="1:1">
      <c r="A423" s="9"/>
    </row>
    <row r="424" spans="1:1">
      <c r="A424" s="9"/>
    </row>
    <row r="425" spans="1:1">
      <c r="A425" s="9"/>
    </row>
    <row r="426" spans="1:1">
      <c r="A426" s="9"/>
    </row>
    <row r="427" spans="1:1">
      <c r="A427" s="9"/>
    </row>
    <row r="428" spans="1:1">
      <c r="A428" s="9"/>
    </row>
    <row r="429" spans="1:1">
      <c r="A429" s="9"/>
    </row>
    <row r="430" spans="1:1">
      <c r="A430" s="9"/>
    </row>
    <row r="431" spans="1:1">
      <c r="A431" s="9"/>
    </row>
    <row r="432" spans="1:1">
      <c r="A432" s="9"/>
    </row>
    <row r="433" spans="1:1">
      <c r="A433" s="9"/>
    </row>
    <row r="434" spans="1:1">
      <c r="A434" s="9"/>
    </row>
    <row r="435" spans="1:1">
      <c r="A435" s="9"/>
    </row>
    <row r="436" spans="1:1">
      <c r="A436" s="9"/>
    </row>
    <row r="437" spans="1:1">
      <c r="A437" s="9"/>
    </row>
    <row r="438" spans="1:1">
      <c r="A438" s="9"/>
    </row>
    <row r="439" spans="1:1">
      <c r="A439" s="9"/>
    </row>
    <row r="440" spans="1:1">
      <c r="A440" s="9"/>
    </row>
    <row r="441" spans="1:1">
      <c r="A441" s="9"/>
    </row>
    <row r="442" spans="1:1">
      <c r="A442" s="9"/>
    </row>
    <row r="443" spans="1:1">
      <c r="A443" s="9"/>
    </row>
    <row r="444" spans="1:1">
      <c r="A444" s="9"/>
    </row>
    <row r="445" spans="1:1">
      <c r="A445" s="9"/>
    </row>
    <row r="446" spans="1:1">
      <c r="A446" s="9"/>
    </row>
    <row r="447" spans="1:1">
      <c r="A447" s="9"/>
    </row>
    <row r="448" spans="1:1">
      <c r="A448" s="9"/>
    </row>
    <row r="449" spans="1:1">
      <c r="A449" s="9"/>
    </row>
    <row r="450" spans="1:1">
      <c r="A450" s="9"/>
    </row>
    <row r="451" spans="1:1">
      <c r="A451" s="9"/>
    </row>
    <row r="452" spans="1:1">
      <c r="A452" s="9"/>
    </row>
    <row r="453" spans="1:1">
      <c r="A453" s="9"/>
    </row>
    <row r="454" spans="1:1">
      <c r="A454" s="9"/>
    </row>
    <row r="455" spans="1:1">
      <c r="A455" s="9"/>
    </row>
    <row r="456" spans="1:1">
      <c r="A456" s="9"/>
    </row>
    <row r="457" spans="1:1">
      <c r="A457" s="9"/>
    </row>
    <row r="458" spans="1:1">
      <c r="A458" s="9"/>
    </row>
    <row r="459" spans="1:1">
      <c r="A459" s="9"/>
    </row>
    <row r="460" spans="1:1">
      <c r="A460" s="9"/>
    </row>
    <row r="461" spans="1:1">
      <c r="A461" s="9"/>
    </row>
    <row r="462" spans="1:1">
      <c r="A462" s="9"/>
    </row>
    <row r="463" spans="1:1">
      <c r="A463" s="9"/>
    </row>
    <row r="464" spans="1:1">
      <c r="A464" s="9"/>
    </row>
    <row r="465" spans="1:1">
      <c r="A465" s="9"/>
    </row>
    <row r="466" spans="1:1">
      <c r="A466" s="9"/>
    </row>
    <row r="467" spans="1:1">
      <c r="A467" s="9"/>
    </row>
    <row r="468" spans="1:1">
      <c r="A468" s="9"/>
    </row>
    <row r="469" spans="1:1">
      <c r="A469" s="9"/>
    </row>
    <row r="470" spans="1:1">
      <c r="A470" s="9"/>
    </row>
    <row r="471" spans="1:1">
      <c r="A471" s="9"/>
    </row>
    <row r="472" spans="1:1">
      <c r="A472" s="9"/>
    </row>
    <row r="473" spans="1:1">
      <c r="A473" s="9"/>
    </row>
    <row r="474" spans="1:1">
      <c r="A474" s="9"/>
    </row>
    <row r="475" spans="1:1">
      <c r="A475" s="9"/>
    </row>
    <row r="476" spans="1:1">
      <c r="A476" s="9"/>
    </row>
    <row r="477" spans="1:1">
      <c r="A477" s="9"/>
    </row>
    <row r="478" spans="1:1">
      <c r="A478" s="9"/>
    </row>
    <row r="479" spans="1:1">
      <c r="A479" s="9"/>
    </row>
    <row r="480" spans="1:1">
      <c r="A480" s="9"/>
    </row>
    <row r="481" spans="1:1">
      <c r="A481" s="9"/>
    </row>
    <row r="482" spans="1:1">
      <c r="A482" s="9"/>
    </row>
    <row r="483" spans="1:1">
      <c r="A483" s="9"/>
    </row>
    <row r="484" spans="1:1">
      <c r="A484" s="9"/>
    </row>
    <row r="485" spans="1:1">
      <c r="A485" s="9"/>
    </row>
    <row r="486" spans="1:1">
      <c r="A486" s="9"/>
    </row>
    <row r="487" spans="1:1">
      <c r="A487" s="9"/>
    </row>
    <row r="488" spans="1:1">
      <c r="A488" s="9"/>
    </row>
    <row r="489" spans="1:1">
      <c r="A489" s="9"/>
    </row>
    <row r="490" spans="1:1">
      <c r="A490" s="9"/>
    </row>
    <row r="491" spans="1:1">
      <c r="A491" s="9"/>
    </row>
    <row r="492" spans="1:1">
      <c r="A492" s="9"/>
    </row>
    <row r="493" spans="1:1">
      <c r="A493" s="9"/>
    </row>
    <row r="494" spans="1:1">
      <c r="A494" s="9"/>
    </row>
    <row r="495" spans="1:1">
      <c r="A495" s="9"/>
    </row>
    <row r="496" spans="1:1">
      <c r="A496" s="9"/>
    </row>
    <row r="497" spans="1:1">
      <c r="A497" s="9"/>
    </row>
    <row r="498" spans="1:1">
      <c r="A498" s="9"/>
    </row>
    <row r="499" spans="1:1">
      <c r="A499" s="9"/>
    </row>
    <row r="500" spans="1:1">
      <c r="A500" s="9"/>
    </row>
    <row r="501" spans="1:1">
      <c r="A501" s="9"/>
    </row>
    <row r="502" spans="1:1">
      <c r="A502" s="9"/>
    </row>
    <row r="503" spans="1:1">
      <c r="A503" s="9"/>
    </row>
    <row r="504" spans="1:1">
      <c r="A504" s="9"/>
    </row>
    <row r="505" spans="1:1">
      <c r="A505" s="9"/>
    </row>
    <row r="506" spans="1:1">
      <c r="A506" s="9"/>
    </row>
    <row r="507" spans="1:1">
      <c r="A507" s="9"/>
    </row>
    <row r="508" spans="1:1">
      <c r="A508" s="9"/>
    </row>
    <row r="509" spans="1:1">
      <c r="A509" s="9"/>
    </row>
    <row r="510" spans="1:1">
      <c r="A510" s="9"/>
    </row>
    <row r="511" spans="1:1">
      <c r="A511" s="9"/>
    </row>
    <row r="512" spans="1:1">
      <c r="A512" s="9"/>
    </row>
    <row r="513" spans="1:1">
      <c r="A513" s="9"/>
    </row>
    <row r="514" spans="1:1">
      <c r="A514" s="9"/>
    </row>
    <row r="515" spans="1:1">
      <c r="A515" s="9"/>
    </row>
    <row r="516" spans="1:1">
      <c r="A516" s="9"/>
    </row>
    <row r="517" spans="1:1">
      <c r="A517" s="9"/>
    </row>
    <row r="518" spans="1:1">
      <c r="A518" s="9"/>
    </row>
    <row r="519" spans="1:1">
      <c r="A519" s="9"/>
    </row>
    <row r="520" spans="1:1">
      <c r="A520" s="9"/>
    </row>
    <row r="521" spans="1:1">
      <c r="A521" s="9"/>
    </row>
    <row r="522" spans="1:1">
      <c r="A522" s="9"/>
    </row>
    <row r="523" spans="1:1">
      <c r="A523" s="9"/>
    </row>
    <row r="524" spans="1:1">
      <c r="A524" s="9"/>
    </row>
    <row r="525" spans="1:1">
      <c r="A525" s="9"/>
    </row>
    <row r="526" spans="1:1">
      <c r="A526" s="9"/>
    </row>
    <row r="527" spans="1:1">
      <c r="A527" s="9"/>
    </row>
    <row r="528" spans="1:1">
      <c r="A528" s="9"/>
    </row>
    <row r="529" spans="1:1">
      <c r="A529" s="9"/>
    </row>
    <row r="530" spans="1:1">
      <c r="A530" s="9"/>
    </row>
    <row r="531" spans="1:1">
      <c r="A531" s="9"/>
    </row>
    <row r="532" spans="1:1">
      <c r="A532" s="9"/>
    </row>
    <row r="533" spans="1:1">
      <c r="A533" s="9"/>
    </row>
    <row r="534" spans="1:1">
      <c r="A534" s="9"/>
    </row>
    <row r="535" spans="1:1">
      <c r="A535" s="9"/>
    </row>
    <row r="536" spans="1:1">
      <c r="A536" s="9"/>
    </row>
    <row r="537" spans="1:1">
      <c r="A537" s="9"/>
    </row>
    <row r="538" spans="1:1">
      <c r="A538" s="9"/>
    </row>
    <row r="539" spans="1:1">
      <c r="A539" s="9"/>
    </row>
    <row r="540" spans="1:1">
      <c r="A540" s="9"/>
    </row>
    <row r="541" spans="1:1">
      <c r="A541" s="9"/>
    </row>
    <row r="542" spans="1:1">
      <c r="A542" s="9"/>
    </row>
    <row r="543" spans="1:1">
      <c r="A543" s="9"/>
    </row>
    <row r="544" spans="1:1">
      <c r="A544" s="9"/>
    </row>
    <row r="545" spans="1:1">
      <c r="A545" s="9"/>
    </row>
    <row r="546" spans="1:1">
      <c r="A546" s="9"/>
    </row>
    <row r="547" spans="1:1">
      <c r="A547" s="9"/>
    </row>
    <row r="548" spans="1:1">
      <c r="A548" s="9"/>
    </row>
    <row r="549" spans="1:1">
      <c r="A549" s="9"/>
    </row>
    <row r="550" spans="1:1">
      <c r="A550" s="9"/>
    </row>
    <row r="551" spans="1:1">
      <c r="A551" s="9"/>
    </row>
    <row r="552" spans="1:1">
      <c r="A552" s="9"/>
    </row>
    <row r="553" spans="1:1">
      <c r="A553" s="9"/>
    </row>
    <row r="554" spans="1:1">
      <c r="A554" s="9"/>
    </row>
    <row r="555" spans="1:1">
      <c r="A555" s="9"/>
    </row>
    <row r="556" spans="1:1">
      <c r="A556" s="9"/>
    </row>
    <row r="557" spans="1:1">
      <c r="A557" s="9"/>
    </row>
    <row r="558" spans="1:1">
      <c r="A558" s="9"/>
    </row>
    <row r="559" spans="1:1">
      <c r="A559" s="9"/>
    </row>
    <row r="560" spans="1:1">
      <c r="A560" s="9"/>
    </row>
    <row r="561" spans="1:1">
      <c r="A561" s="9"/>
    </row>
    <row r="562" spans="1:1">
      <c r="A562" s="9"/>
    </row>
    <row r="563" spans="1:1">
      <c r="A563" s="9"/>
    </row>
    <row r="564" spans="1:1">
      <c r="A564" s="9"/>
    </row>
    <row r="565" spans="1:1">
      <c r="A565" s="9"/>
    </row>
    <row r="566" spans="1:1">
      <c r="A566" s="9"/>
    </row>
    <row r="567" spans="1:1">
      <c r="A567" s="9"/>
    </row>
    <row r="568" spans="1:1">
      <c r="A568" s="9"/>
    </row>
    <row r="569" spans="1:1">
      <c r="A569" s="9"/>
    </row>
    <row r="570" spans="1:1">
      <c r="A570" s="9"/>
    </row>
    <row r="571" spans="1:1">
      <c r="A571" s="9"/>
    </row>
    <row r="572" spans="1:1">
      <c r="A572" s="9"/>
    </row>
    <row r="573" spans="1:1">
      <c r="A573" s="9"/>
    </row>
    <row r="574" spans="1:1">
      <c r="A574" s="9"/>
    </row>
    <row r="575" spans="1:1">
      <c r="A575" s="9"/>
    </row>
    <row r="576" spans="1:1">
      <c r="A576" s="9"/>
    </row>
    <row r="577" spans="1:1">
      <c r="A577" s="9"/>
    </row>
    <row r="578" spans="1:1">
      <c r="A578" s="9"/>
    </row>
    <row r="579" spans="1:1">
      <c r="A579" s="9"/>
    </row>
    <row r="580" spans="1:1">
      <c r="A580" s="9"/>
    </row>
    <row r="581" spans="1:1">
      <c r="A581" s="9"/>
    </row>
    <row r="582" spans="1:1">
      <c r="A582" s="9"/>
    </row>
    <row r="583" spans="1:1">
      <c r="A583" s="9"/>
    </row>
    <row r="584" spans="1:1">
      <c r="A584" s="9"/>
    </row>
    <row r="585" spans="1:1">
      <c r="A585" s="9"/>
    </row>
    <row r="586" spans="1:1">
      <c r="A586" s="9"/>
    </row>
    <row r="587" spans="1:1">
      <c r="A587" s="9"/>
    </row>
    <row r="588" spans="1:1">
      <c r="A588" s="9"/>
    </row>
    <row r="589" spans="1:1">
      <c r="A589" s="9"/>
    </row>
    <row r="590" spans="1:1">
      <c r="A590" s="9"/>
    </row>
    <row r="591" spans="1:1">
      <c r="A591" s="9"/>
    </row>
    <row r="592" spans="1:1">
      <c r="A592" s="9"/>
    </row>
    <row r="593" spans="1:1">
      <c r="A593" s="9"/>
    </row>
    <row r="594" spans="1:1">
      <c r="A594" s="9"/>
    </row>
    <row r="595" spans="1:1">
      <c r="A595" s="9"/>
    </row>
    <row r="596" spans="1:1">
      <c r="A596" s="9"/>
    </row>
    <row r="597" spans="1:1">
      <c r="A597" s="9"/>
    </row>
    <row r="598" spans="1:1">
      <c r="A598" s="9"/>
    </row>
    <row r="599" spans="1:1">
      <c r="A599" s="9"/>
    </row>
    <row r="600" spans="1:1">
      <c r="A600" s="9"/>
    </row>
    <row r="601" spans="1:1">
      <c r="A601" s="9"/>
    </row>
    <row r="602" spans="1:1">
      <c r="A602" s="9"/>
    </row>
    <row r="603" spans="1:1">
      <c r="A603" s="9"/>
    </row>
    <row r="604" spans="1:1">
      <c r="A604" s="9"/>
    </row>
    <row r="605" spans="1:1">
      <c r="A605" s="9"/>
    </row>
    <row r="606" spans="1:1">
      <c r="A606" s="9"/>
    </row>
    <row r="607" spans="1:1">
      <c r="A607" s="9"/>
    </row>
    <row r="608" spans="1:1">
      <c r="A608" s="9"/>
    </row>
    <row r="609" spans="1:1">
      <c r="A609" s="9"/>
    </row>
    <row r="610" spans="1:1">
      <c r="A610" s="9"/>
    </row>
    <row r="611" spans="1:1">
      <c r="A611" s="9"/>
    </row>
    <row r="612" spans="1:1">
      <c r="A612" s="9"/>
    </row>
    <row r="613" spans="1:1">
      <c r="A613" s="9"/>
    </row>
    <row r="614" spans="1:1">
      <c r="A614" s="9"/>
    </row>
    <row r="615" spans="1:1">
      <c r="A615" s="9"/>
    </row>
    <row r="616" spans="1:1">
      <c r="A616" s="9"/>
    </row>
    <row r="617" spans="1:1">
      <c r="A617" s="9"/>
    </row>
    <row r="618" spans="1:1">
      <c r="A618" s="9"/>
    </row>
    <row r="619" spans="1:1">
      <c r="A619" s="9"/>
    </row>
    <row r="620" spans="1:1">
      <c r="A620" s="9"/>
    </row>
    <row r="621" spans="1:1">
      <c r="A621" s="9"/>
    </row>
    <row r="622" spans="1:1">
      <c r="A622" s="9"/>
    </row>
    <row r="623" spans="1:1">
      <c r="A623" s="9"/>
    </row>
    <row r="624" spans="1:1">
      <c r="A624" s="9"/>
    </row>
    <row r="625" spans="1:1">
      <c r="A625" s="9"/>
    </row>
    <row r="626" spans="1:1">
      <c r="A626" s="9"/>
    </row>
    <row r="627" spans="1:1">
      <c r="A627" s="9"/>
    </row>
    <row r="628" spans="1:1">
      <c r="A628" s="9"/>
    </row>
    <row r="629" spans="1:1">
      <c r="A629" s="9"/>
    </row>
    <row r="630" spans="1:1">
      <c r="A630" s="9"/>
    </row>
    <row r="631" spans="1:1">
      <c r="A631" s="9"/>
    </row>
    <row r="632" spans="1:1">
      <c r="A632" s="9"/>
    </row>
    <row r="633" spans="1:1">
      <c r="A633" s="9"/>
    </row>
    <row r="634" spans="1:1">
      <c r="A634" s="9"/>
    </row>
    <row r="635" spans="1:1">
      <c r="A635" s="9"/>
    </row>
    <row r="636" spans="1:1">
      <c r="A636" s="9"/>
    </row>
    <row r="637" spans="1:1">
      <c r="A637" s="9"/>
    </row>
    <row r="638" spans="1:1">
      <c r="A638" s="9"/>
    </row>
    <row r="639" spans="1:1">
      <c r="A639" s="9"/>
    </row>
    <row r="640" spans="1:1">
      <c r="A640" s="9"/>
    </row>
    <row r="641" spans="1:1">
      <c r="A641" s="9"/>
    </row>
    <row r="642" spans="1:1">
      <c r="A642" s="9"/>
    </row>
    <row r="643" spans="1:1">
      <c r="A643" s="9"/>
    </row>
    <row r="644" spans="1:1">
      <c r="A644" s="9"/>
    </row>
    <row r="645" spans="1:1">
      <c r="A645" s="9"/>
    </row>
    <row r="646" spans="1:1">
      <c r="A646" s="9"/>
    </row>
    <row r="647" spans="1:1">
      <c r="A647" s="9"/>
    </row>
    <row r="648" spans="1:1">
      <c r="A648" s="9"/>
    </row>
    <row r="649" spans="1:1">
      <c r="A649" s="9"/>
    </row>
    <row r="650" spans="1:1">
      <c r="A650" s="9"/>
    </row>
    <row r="651" spans="1:1">
      <c r="A651" s="9"/>
    </row>
    <row r="652" spans="1:1">
      <c r="A652" s="9"/>
    </row>
    <row r="653" spans="1:1">
      <c r="A653" s="9"/>
    </row>
    <row r="654" spans="1:1">
      <c r="A654" s="9"/>
    </row>
    <row r="655" spans="1:1">
      <c r="A655" s="9"/>
    </row>
    <row r="656" spans="1:1">
      <c r="A656" s="9"/>
    </row>
    <row r="657" spans="1:1">
      <c r="A657" s="9"/>
    </row>
    <row r="658" spans="1:1">
      <c r="A658" s="9"/>
    </row>
    <row r="659" spans="1:1">
      <c r="A659" s="9"/>
    </row>
    <row r="660" spans="1:1">
      <c r="A660" s="9"/>
    </row>
    <row r="661" spans="1:1">
      <c r="A661" s="9"/>
    </row>
    <row r="662" spans="1:1">
      <c r="A662" s="9"/>
    </row>
    <row r="663" spans="1:1">
      <c r="A663" s="9"/>
    </row>
    <row r="664" spans="1:1">
      <c r="A664" s="9"/>
    </row>
    <row r="665" spans="1:1">
      <c r="A665" s="9"/>
    </row>
    <row r="666" spans="1:1">
      <c r="A666" s="9"/>
    </row>
    <row r="667" spans="1:1">
      <c r="A667" s="9"/>
    </row>
    <row r="668" spans="1:1">
      <c r="A668" s="9"/>
    </row>
    <row r="669" spans="1:1">
      <c r="A669" s="9"/>
    </row>
    <row r="670" spans="1:1">
      <c r="A670" s="9"/>
    </row>
    <row r="671" spans="1:1">
      <c r="A671" s="9"/>
    </row>
    <row r="672" spans="1:1">
      <c r="A672" s="9"/>
    </row>
    <row r="673" spans="1:1">
      <c r="A673" s="9"/>
    </row>
    <row r="674" spans="1:1">
      <c r="A674" s="9"/>
    </row>
    <row r="675" spans="1:1">
      <c r="A675" s="9"/>
    </row>
    <row r="676" spans="1:1">
      <c r="A676" s="9"/>
    </row>
    <row r="677" spans="1:1">
      <c r="A677" s="9"/>
    </row>
    <row r="678" spans="1:1">
      <c r="A678" s="9"/>
    </row>
    <row r="679" spans="1:1">
      <c r="A679" s="9"/>
    </row>
    <row r="680" spans="1:1">
      <c r="A680" s="9"/>
    </row>
    <row r="681" spans="1:1">
      <c r="A681" s="9"/>
    </row>
    <row r="682" spans="1:1">
      <c r="A682" s="9"/>
    </row>
    <row r="683" spans="1:1">
      <c r="A683" s="9"/>
    </row>
    <row r="684" spans="1:1">
      <c r="A684" s="9"/>
    </row>
    <row r="685" spans="1:1">
      <c r="A685" s="9"/>
    </row>
    <row r="686" spans="1:1">
      <c r="A686" s="9"/>
    </row>
    <row r="687" spans="1:1">
      <c r="A687" s="9"/>
    </row>
    <row r="688" spans="1:1">
      <c r="A688" s="9"/>
    </row>
    <row r="689" spans="1:1">
      <c r="A689" s="9"/>
    </row>
    <row r="690" spans="1:1">
      <c r="A690" s="9"/>
    </row>
    <row r="691" spans="1:1">
      <c r="A691" s="9"/>
    </row>
    <row r="692" spans="1:1">
      <c r="A692" s="9"/>
    </row>
    <row r="693" spans="1:1">
      <c r="A693" s="9"/>
    </row>
    <row r="694" spans="1:1">
      <c r="A694" s="9"/>
    </row>
    <row r="695" spans="1:1">
      <c r="A695" s="9"/>
    </row>
    <row r="696" spans="1:1">
      <c r="A696" s="9"/>
    </row>
    <row r="697" spans="1:1">
      <c r="A697" s="9"/>
    </row>
    <row r="698" spans="1:1">
      <c r="A698" s="9"/>
    </row>
    <row r="699" spans="1:1">
      <c r="A699" s="9"/>
    </row>
    <row r="700" spans="1:1">
      <c r="A700" s="9"/>
    </row>
    <row r="701" spans="1:1">
      <c r="A701" s="9"/>
    </row>
    <row r="702" spans="1:1">
      <c r="A702" s="9"/>
    </row>
    <row r="703" spans="1:1">
      <c r="A703" s="9"/>
    </row>
    <row r="704" spans="1:1">
      <c r="A704" s="9"/>
    </row>
    <row r="705" spans="1:1">
      <c r="A705" s="9"/>
    </row>
    <row r="706" spans="1:1">
      <c r="A706" s="9"/>
    </row>
    <row r="707" spans="1:1">
      <c r="A707" s="9"/>
    </row>
    <row r="708" spans="1:1">
      <c r="A708" s="9"/>
    </row>
    <row r="709" spans="1:1">
      <c r="A709" s="9"/>
    </row>
    <row r="710" spans="1:1">
      <c r="A710" s="9"/>
    </row>
    <row r="711" spans="1:1">
      <c r="A711" s="9"/>
    </row>
    <row r="712" spans="1:1">
      <c r="A712" s="9"/>
    </row>
    <row r="713" spans="1:1">
      <c r="A713" s="9"/>
    </row>
    <row r="714" spans="1:1">
      <c r="A714" s="9"/>
    </row>
    <row r="715" spans="1:1">
      <c r="A715" s="9"/>
    </row>
    <row r="716" spans="1:1">
      <c r="A716" s="9"/>
    </row>
    <row r="717" spans="1:1">
      <c r="A717" s="9"/>
    </row>
    <row r="718" spans="1:1">
      <c r="A718" s="9"/>
    </row>
    <row r="719" spans="1:1">
      <c r="A719" s="9"/>
    </row>
    <row r="720" spans="1:1">
      <c r="A720" s="9"/>
    </row>
    <row r="721" spans="1:1">
      <c r="A721" s="9"/>
    </row>
    <row r="722" spans="1:1">
      <c r="A722" s="9"/>
    </row>
    <row r="723" spans="1:1">
      <c r="A723" s="9"/>
    </row>
    <row r="724" spans="1:1">
      <c r="A724" s="9"/>
    </row>
    <row r="725" spans="1:1">
      <c r="A725" s="9"/>
    </row>
    <row r="726" spans="1:1">
      <c r="A726" s="9"/>
    </row>
    <row r="727" spans="1:1">
      <c r="A727" s="9"/>
    </row>
    <row r="728" spans="1:1">
      <c r="A728" s="9"/>
    </row>
    <row r="729" spans="1:1">
      <c r="A729" s="9"/>
    </row>
    <row r="730" spans="1:1">
      <c r="A730" s="9"/>
    </row>
    <row r="731" spans="1:1">
      <c r="A731" s="9"/>
    </row>
    <row r="732" spans="1:1">
      <c r="A732" s="9"/>
    </row>
    <row r="733" spans="1:1">
      <c r="A733" s="9"/>
    </row>
    <row r="734" spans="1:1">
      <c r="A734" s="9"/>
    </row>
    <row r="735" spans="1:1">
      <c r="A735" s="9"/>
    </row>
    <row r="736" spans="1:1">
      <c r="A736" s="9"/>
    </row>
    <row r="737" spans="1:1">
      <c r="A737" s="9"/>
    </row>
    <row r="738" spans="1:1">
      <c r="A738" s="9"/>
    </row>
    <row r="739" spans="1:1">
      <c r="A739" s="9"/>
    </row>
    <row r="740" spans="1:1">
      <c r="A740" s="9"/>
    </row>
    <row r="741" spans="1:1">
      <c r="A741" s="9"/>
    </row>
    <row r="742" spans="1:1">
      <c r="A742" s="9"/>
    </row>
    <row r="743" spans="1:1">
      <c r="A743" s="9"/>
    </row>
    <row r="744" spans="1:1">
      <c r="A744" s="9"/>
    </row>
    <row r="745" spans="1:1">
      <c r="A745" s="9"/>
    </row>
    <row r="746" spans="1:1">
      <c r="A746" s="9"/>
    </row>
    <row r="747" spans="1:1">
      <c r="A747" s="9"/>
    </row>
    <row r="748" spans="1:1">
      <c r="A748" s="9"/>
    </row>
    <row r="749" spans="1:1">
      <c r="A749" s="9"/>
    </row>
    <row r="750" spans="1:1">
      <c r="A750" s="9"/>
    </row>
    <row r="751" spans="1:1">
      <c r="A751" s="9"/>
    </row>
    <row r="752" spans="1:1">
      <c r="A752" s="9"/>
    </row>
    <row r="753" spans="1:1">
      <c r="A753" s="9"/>
    </row>
    <row r="754" spans="1:1">
      <c r="A754" s="9"/>
    </row>
    <row r="755" spans="1:1">
      <c r="A755" s="9"/>
    </row>
    <row r="756" spans="1:1">
      <c r="A756" s="9"/>
    </row>
    <row r="757" spans="1:1">
      <c r="A757" s="9"/>
    </row>
    <row r="758" spans="1:1">
      <c r="A758" s="9"/>
    </row>
    <row r="759" spans="1:1">
      <c r="A759" s="9"/>
    </row>
    <row r="760" spans="1:1">
      <c r="A760" s="9"/>
    </row>
    <row r="761" spans="1:1">
      <c r="A761" s="9"/>
    </row>
    <row r="762" spans="1:1">
      <c r="A762" s="9"/>
    </row>
    <row r="763" spans="1:1">
      <c r="A763" s="9"/>
    </row>
    <row r="764" spans="1:1">
      <c r="A764" s="9"/>
    </row>
    <row r="765" spans="1:1">
      <c r="A765" s="9"/>
    </row>
    <row r="766" spans="1:1">
      <c r="A766" s="9"/>
    </row>
    <row r="767" spans="1:1">
      <c r="A767" s="9"/>
    </row>
    <row r="768" spans="1:1">
      <c r="A768" s="9"/>
    </row>
    <row r="769" spans="1:1">
      <c r="A769" s="9"/>
    </row>
    <row r="770" spans="1:1">
      <c r="A770" s="9"/>
    </row>
    <row r="771" spans="1:1">
      <c r="A771" s="9"/>
    </row>
    <row r="772" spans="1:1">
      <c r="A772" s="9"/>
    </row>
    <row r="773" spans="1:1">
      <c r="A773" s="9"/>
    </row>
    <row r="774" spans="1:1">
      <c r="A774" s="9"/>
    </row>
    <row r="775" spans="1:1">
      <c r="A775" s="9"/>
    </row>
    <row r="776" spans="1:1">
      <c r="A776" s="9"/>
    </row>
    <row r="777" spans="1:1">
      <c r="A777" s="9"/>
    </row>
    <row r="778" spans="1:1">
      <c r="A778" s="9"/>
    </row>
    <row r="779" spans="1:1">
      <c r="A779" s="9"/>
    </row>
    <row r="780" spans="1:1">
      <c r="A780" s="9"/>
    </row>
    <row r="781" spans="1:1">
      <c r="A781" s="9"/>
    </row>
    <row r="782" spans="1:1">
      <c r="A782" s="9"/>
    </row>
    <row r="783" spans="1:1">
      <c r="A783" s="9"/>
    </row>
    <row r="784" spans="1:1">
      <c r="A784" s="9"/>
    </row>
    <row r="785" spans="1:1">
      <c r="A785" s="9"/>
    </row>
    <row r="786" spans="1:1">
      <c r="A786" s="9"/>
    </row>
    <row r="787" spans="1:1">
      <c r="A787" s="9"/>
    </row>
    <row r="788" spans="1:1">
      <c r="A788" s="9"/>
    </row>
    <row r="789" spans="1:1">
      <c r="A789" s="9"/>
    </row>
    <row r="790" spans="1:1">
      <c r="A790" s="9"/>
    </row>
    <row r="791" spans="1:1">
      <c r="A791" s="9"/>
    </row>
    <row r="792" spans="1:1">
      <c r="A792" s="9"/>
    </row>
    <row r="793" spans="1:1">
      <c r="A793" s="9"/>
    </row>
    <row r="794" spans="1:1">
      <c r="A794" s="9"/>
    </row>
    <row r="795" spans="1:1">
      <c r="A795" s="9"/>
    </row>
    <row r="796" spans="1:1">
      <c r="A796" s="9"/>
    </row>
    <row r="797" spans="1:1">
      <c r="A797" s="9"/>
    </row>
    <row r="798" spans="1:1">
      <c r="A798" s="9"/>
    </row>
    <row r="799" spans="1:1">
      <c r="A799" s="9"/>
    </row>
    <row r="800" spans="1:1">
      <c r="A800" s="9"/>
    </row>
    <row r="801" spans="1:1">
      <c r="A801" s="9"/>
    </row>
    <row r="802" spans="1:1">
      <c r="A802" s="9"/>
    </row>
    <row r="803" spans="1:1">
      <c r="A803" s="9"/>
    </row>
    <row r="804" spans="1:1">
      <c r="A804" s="9"/>
    </row>
    <row r="805" spans="1:1">
      <c r="A805" s="9"/>
    </row>
    <row r="806" spans="1:1">
      <c r="A806" s="9"/>
    </row>
    <row r="807" spans="1:1">
      <c r="A807" s="9"/>
    </row>
    <row r="808" spans="1:1">
      <c r="A808" s="9"/>
    </row>
    <row r="809" spans="1:1">
      <c r="A809" s="9"/>
    </row>
    <row r="810" spans="1:1">
      <c r="A810" s="9"/>
    </row>
    <row r="811" spans="1:1">
      <c r="A811" s="9"/>
    </row>
    <row r="812" spans="1:1">
      <c r="A812" s="9"/>
    </row>
    <row r="813" spans="1:1">
      <c r="A813" s="9"/>
    </row>
    <row r="814" spans="1:1">
      <c r="A814" s="9"/>
    </row>
    <row r="815" spans="1:1">
      <c r="A815" s="9"/>
    </row>
    <row r="816" spans="1:1">
      <c r="A816" s="9"/>
    </row>
    <row r="817" spans="1:1">
      <c r="A817" s="9"/>
    </row>
    <row r="818" spans="1:1">
      <c r="A818" s="9"/>
    </row>
    <row r="819" spans="1:1">
      <c r="A819" s="9"/>
    </row>
    <row r="820" spans="1:1">
      <c r="A820" s="9"/>
    </row>
    <row r="821" spans="1:1">
      <c r="A821" s="9"/>
    </row>
    <row r="822" spans="1:1">
      <c r="A822" s="9"/>
    </row>
    <row r="823" spans="1:1">
      <c r="A823" s="9"/>
    </row>
    <row r="824" spans="1:1">
      <c r="A824" s="9"/>
    </row>
    <row r="825" spans="1:1">
      <c r="A825" s="9"/>
    </row>
    <row r="826" spans="1:1">
      <c r="A826" s="9"/>
    </row>
    <row r="827" spans="1:1">
      <c r="A827" s="9"/>
    </row>
    <row r="828" spans="1:1">
      <c r="A828" s="9"/>
    </row>
    <row r="829" spans="1:1">
      <c r="A829" s="9"/>
    </row>
    <row r="830" spans="1:1">
      <c r="A830" s="9"/>
    </row>
    <row r="831" spans="1:1">
      <c r="A831" s="9"/>
    </row>
    <row r="832" spans="1:1">
      <c r="A832" s="9"/>
    </row>
    <row r="833" spans="1:1">
      <c r="A833" s="9"/>
    </row>
    <row r="834" spans="1:1">
      <c r="A834" s="9"/>
    </row>
    <row r="835" spans="1:1">
      <c r="A835" s="9"/>
    </row>
    <row r="836" spans="1:1">
      <c r="A836" s="9"/>
    </row>
    <row r="837" spans="1:1">
      <c r="A837" s="9"/>
    </row>
    <row r="838" spans="1:1">
      <c r="A838" s="9"/>
    </row>
    <row r="839" spans="1:1">
      <c r="A839" s="9"/>
    </row>
    <row r="840" spans="1:1">
      <c r="A840" s="9"/>
    </row>
    <row r="841" spans="1:1">
      <c r="A841" s="9"/>
    </row>
    <row r="842" spans="1:1">
      <c r="A842" s="9"/>
    </row>
    <row r="843" spans="1:1">
      <c r="A843" s="9"/>
    </row>
    <row r="844" spans="1:1">
      <c r="A844" s="9"/>
    </row>
    <row r="845" spans="1:1">
      <c r="A845" s="9"/>
    </row>
    <row r="846" spans="1:1">
      <c r="A846" s="9"/>
    </row>
    <row r="847" spans="1:1">
      <c r="A847" s="9"/>
    </row>
    <row r="848" spans="1:1">
      <c r="A848" s="9"/>
    </row>
    <row r="849" spans="1:1">
      <c r="A849" s="9"/>
    </row>
    <row r="850" spans="1:1">
      <c r="A850" s="9"/>
    </row>
    <row r="851" spans="1:1">
      <c r="A851" s="9"/>
    </row>
    <row r="852" spans="1:1">
      <c r="A852" s="9"/>
    </row>
    <row r="853" spans="1:1">
      <c r="A853" s="9"/>
    </row>
    <row r="854" spans="1:1">
      <c r="A854" s="9"/>
    </row>
    <row r="855" spans="1:1">
      <c r="A855" s="9"/>
    </row>
    <row r="856" spans="1:1">
      <c r="A856" s="9"/>
    </row>
    <row r="857" spans="1:1">
      <c r="A857" s="9"/>
    </row>
    <row r="858" spans="1:1">
      <c r="A858" s="9"/>
    </row>
    <row r="859" spans="1:1">
      <c r="A859" s="9"/>
    </row>
    <row r="860" spans="1:1">
      <c r="A860" s="9"/>
    </row>
    <row r="861" spans="1:1">
      <c r="A861" s="9"/>
    </row>
    <row r="862" spans="1:1">
      <c r="A862" s="9"/>
    </row>
    <row r="863" spans="1:1">
      <c r="A863" s="9"/>
    </row>
    <row r="864" spans="1:1">
      <c r="A864" s="9"/>
    </row>
    <row r="865" spans="1:1">
      <c r="A865" s="9"/>
    </row>
    <row r="866" spans="1:1">
      <c r="A866" s="9"/>
    </row>
    <row r="867" spans="1:1">
      <c r="A867" s="9"/>
    </row>
    <row r="868" spans="1:1">
      <c r="A868" s="9"/>
    </row>
    <row r="869" spans="1:1">
      <c r="A869" s="9"/>
    </row>
    <row r="870" spans="1:1">
      <c r="A870" s="9"/>
    </row>
    <row r="871" spans="1:1">
      <c r="A871" s="9"/>
    </row>
    <row r="872" spans="1:1">
      <c r="A872" s="9"/>
    </row>
    <row r="873" spans="1:1">
      <c r="A873" s="9"/>
    </row>
    <row r="874" spans="1:1">
      <c r="A874" s="9"/>
    </row>
    <row r="875" spans="1:1">
      <c r="A875" s="9"/>
    </row>
    <row r="876" spans="1:1">
      <c r="A876" s="9"/>
    </row>
    <row r="877" spans="1:1">
      <c r="A877" s="9"/>
    </row>
    <row r="878" spans="1:1">
      <c r="A878" s="9"/>
    </row>
    <row r="879" spans="1:1">
      <c r="A879" s="9"/>
    </row>
    <row r="880" spans="1:1">
      <c r="A880" s="9"/>
    </row>
    <row r="881" spans="1:1">
      <c r="A881" s="9"/>
    </row>
    <row r="882" spans="1:1">
      <c r="A882" s="9"/>
    </row>
    <row r="883" spans="1:1">
      <c r="A883" s="9"/>
    </row>
    <row r="884" spans="1:1">
      <c r="A884" s="9"/>
    </row>
    <row r="885" spans="1:1">
      <c r="A885" s="9"/>
    </row>
    <row r="886" spans="1:1">
      <c r="A886" s="9"/>
    </row>
    <row r="887" spans="1:1">
      <c r="A887" s="9"/>
    </row>
    <row r="888" spans="1:1">
      <c r="A888" s="9"/>
    </row>
    <row r="889" spans="1:1">
      <c r="A889" s="9"/>
    </row>
    <row r="890" spans="1:1">
      <c r="A890" s="9"/>
    </row>
    <row r="891" spans="1:1">
      <c r="A891" s="9"/>
    </row>
    <row r="892" spans="1:1">
      <c r="A892" s="9"/>
    </row>
    <row r="893" spans="1:1">
      <c r="A893" s="9"/>
    </row>
    <row r="894" spans="1:1">
      <c r="A894" s="9"/>
    </row>
    <row r="895" spans="1:1">
      <c r="A895" s="9"/>
    </row>
    <row r="896" spans="1:1">
      <c r="A896" s="9"/>
    </row>
    <row r="897" spans="1:1">
      <c r="A897" s="9"/>
    </row>
    <row r="898" spans="1:1">
      <c r="A898" s="9"/>
    </row>
    <row r="899" spans="1:1">
      <c r="A899" s="9"/>
    </row>
    <row r="900" spans="1:1">
      <c r="A900" s="9"/>
    </row>
    <row r="901" spans="1:1">
      <c r="A901" s="9"/>
    </row>
    <row r="902" spans="1:1">
      <c r="A902" s="9"/>
    </row>
    <row r="903" spans="1:1">
      <c r="A903" s="9"/>
    </row>
    <row r="904" spans="1:1">
      <c r="A904" s="9"/>
    </row>
    <row r="905" spans="1:1">
      <c r="A905" s="9"/>
    </row>
    <row r="906" spans="1:1">
      <c r="A906" s="9"/>
    </row>
    <row r="907" spans="1:1">
      <c r="A907" s="9"/>
    </row>
    <row r="908" spans="1:1">
      <c r="A908" s="9"/>
    </row>
    <row r="909" spans="1:1">
      <c r="A909" s="9"/>
    </row>
    <row r="910" spans="1:1">
      <c r="A910" s="9"/>
    </row>
    <row r="911" spans="1:1">
      <c r="A911" s="9"/>
    </row>
    <row r="912" spans="1:1">
      <c r="A912" s="9"/>
    </row>
    <row r="913" spans="1:1">
      <c r="A913" s="9"/>
    </row>
    <row r="914" spans="1:1">
      <c r="A914" s="9"/>
    </row>
    <row r="915" spans="1:1">
      <c r="A915" s="9"/>
    </row>
    <row r="916" spans="1:1">
      <c r="A916" s="9"/>
    </row>
    <row r="917" spans="1:1">
      <c r="A917" s="9"/>
    </row>
    <row r="918" spans="1:1">
      <c r="A918" s="9"/>
    </row>
    <row r="919" spans="1:1">
      <c r="A919" s="9"/>
    </row>
    <row r="920" spans="1:1">
      <c r="A920" s="9"/>
    </row>
    <row r="921" spans="1:1">
      <c r="A921" s="9"/>
    </row>
    <row r="922" spans="1:1">
      <c r="A922" s="9"/>
    </row>
    <row r="923" spans="1:1">
      <c r="A923" s="9"/>
    </row>
    <row r="924" spans="1:1">
      <c r="A924" s="9"/>
    </row>
    <row r="925" spans="1:1">
      <c r="A925" s="9"/>
    </row>
    <row r="926" spans="1:1">
      <c r="A926" s="9"/>
    </row>
    <row r="927" spans="1:1">
      <c r="A927" s="9"/>
    </row>
    <row r="928" spans="1:1">
      <c r="A928" s="9"/>
    </row>
    <row r="929" spans="1:1">
      <c r="A929" s="9"/>
    </row>
    <row r="930" spans="1:1">
      <c r="A930" s="9"/>
    </row>
    <row r="931" spans="1:1">
      <c r="A931" s="9"/>
    </row>
    <row r="932" spans="1:1">
      <c r="A932" s="9"/>
    </row>
    <row r="933" spans="1:1">
      <c r="A933" s="9"/>
    </row>
    <row r="934" spans="1:1">
      <c r="A934" s="9"/>
    </row>
    <row r="935" spans="1:1">
      <c r="A935" s="9"/>
    </row>
    <row r="936" spans="1:1">
      <c r="A936" s="9"/>
    </row>
    <row r="937" spans="1:1">
      <c r="A937" s="9"/>
    </row>
    <row r="938" spans="1:1">
      <c r="A938" s="9"/>
    </row>
    <row r="939" spans="1:1">
      <c r="A939" s="9"/>
    </row>
    <row r="940" spans="1:1">
      <c r="A940" s="9"/>
    </row>
    <row r="941" spans="1:1">
      <c r="A941" s="9"/>
    </row>
    <row r="942" spans="1:1">
      <c r="A942" s="9"/>
    </row>
    <row r="943" spans="1:1">
      <c r="A943" s="9"/>
    </row>
    <row r="944" spans="1:1">
      <c r="A944" s="9"/>
    </row>
    <row r="945" spans="1:1">
      <c r="A945" s="9"/>
    </row>
    <row r="946" spans="1:1">
      <c r="A946" s="9"/>
    </row>
    <row r="947" spans="1:1">
      <c r="A947" s="9"/>
    </row>
    <row r="948" spans="1:1">
      <c r="A948" s="9"/>
    </row>
    <row r="949" spans="1:1">
      <c r="A949" s="9"/>
    </row>
    <row r="950" spans="1:1">
      <c r="A950" s="9"/>
    </row>
    <row r="951" spans="1:1">
      <c r="A951" s="9"/>
    </row>
    <row r="952" spans="1:1">
      <c r="A952" s="9"/>
    </row>
    <row r="953" spans="1:1">
      <c r="A953" s="9"/>
    </row>
    <row r="954" spans="1:1">
      <c r="A954" s="9"/>
    </row>
    <row r="955" spans="1:1">
      <c r="A955" s="9"/>
    </row>
    <row r="956" spans="1:1">
      <c r="A956" s="9"/>
    </row>
    <row r="957" spans="1:1">
      <c r="A957" s="9"/>
    </row>
    <row r="958" spans="1:1">
      <c r="A958" s="9"/>
    </row>
    <row r="959" spans="1:1">
      <c r="A959" s="9"/>
    </row>
    <row r="960" spans="1:1">
      <c r="A960" s="9"/>
    </row>
    <row r="961" spans="1:1">
      <c r="A961" s="9"/>
    </row>
    <row r="962" spans="1:1">
      <c r="A962" s="9"/>
    </row>
    <row r="963" spans="1:1">
      <c r="A963" s="9"/>
    </row>
    <row r="964" spans="1:1">
      <c r="A964" s="9"/>
    </row>
    <row r="965" spans="1:1">
      <c r="A965" s="9"/>
    </row>
    <row r="966" spans="1:1">
      <c r="A966" s="9"/>
    </row>
    <row r="967" spans="1:1">
      <c r="A967" s="9"/>
    </row>
    <row r="968" spans="1:1">
      <c r="A968" s="9"/>
    </row>
    <row r="969" spans="1:1">
      <c r="A969" s="9"/>
    </row>
    <row r="970" spans="1:1">
      <c r="A970" s="9"/>
    </row>
    <row r="971" spans="1:1">
      <c r="A971" s="9"/>
    </row>
    <row r="972" spans="1:1">
      <c r="A972" s="9"/>
    </row>
    <row r="973" spans="1:1">
      <c r="A973" s="9"/>
    </row>
    <row r="974" spans="1:1">
      <c r="A974" s="9"/>
    </row>
    <row r="975" spans="1:1">
      <c r="A975" s="9"/>
    </row>
    <row r="976" spans="1:1">
      <c r="A976" s="9"/>
    </row>
    <row r="977" spans="1:1">
      <c r="A977" s="9"/>
    </row>
    <row r="978" spans="1:1">
      <c r="A978" s="9"/>
    </row>
    <row r="979" spans="1:1">
      <c r="A979" s="9"/>
    </row>
    <row r="980" spans="1:1">
      <c r="A980" s="9"/>
    </row>
    <row r="981" spans="1:1">
      <c r="A981" s="9"/>
    </row>
    <row r="982" spans="1:1">
      <c r="A982" s="9"/>
    </row>
    <row r="983" spans="1:1">
      <c r="A983" s="9"/>
    </row>
    <row r="984" spans="1:1">
      <c r="A984" s="9"/>
    </row>
    <row r="985" spans="1:1">
      <c r="A985" s="9"/>
    </row>
    <row r="986" spans="1:1">
      <c r="A986" s="9"/>
    </row>
    <row r="987" spans="1:1">
      <c r="A987" s="9"/>
    </row>
    <row r="988" spans="1:1">
      <c r="A988" s="9"/>
    </row>
    <row r="989" spans="1:1">
      <c r="A989" s="9"/>
    </row>
    <row r="990" spans="1:1">
      <c r="A990" s="9"/>
    </row>
    <row r="991" spans="1:1">
      <c r="A991" s="9"/>
    </row>
    <row r="992" spans="1:1">
      <c r="A992" s="9"/>
    </row>
    <row r="993" spans="1:1">
      <c r="A993" s="9"/>
    </row>
    <row r="994" spans="1:1">
      <c r="A994" s="9"/>
    </row>
    <row r="995" spans="1:1">
      <c r="A995" s="9"/>
    </row>
    <row r="996" spans="1:1">
      <c r="A996" s="9"/>
    </row>
    <row r="997" spans="1:1">
      <c r="A997" s="9"/>
    </row>
    <row r="998" spans="1:1">
      <c r="A998" s="9"/>
    </row>
    <row r="999" spans="1:1">
      <c r="A999" s="9"/>
    </row>
    <row r="1000" spans="1:1">
      <c r="A1000" s="9"/>
    </row>
    <row r="1001" spans="1:1">
      <c r="A1001" s="9"/>
    </row>
    <row r="1002" spans="1:1">
      <c r="A1002" s="9"/>
    </row>
    <row r="1003" spans="1:1">
      <c r="A1003" s="9"/>
    </row>
    <row r="1004" spans="1:1">
      <c r="A1004" s="9"/>
    </row>
    <row r="1005" spans="1:1">
      <c r="A1005" s="9"/>
    </row>
    <row r="1006" spans="1:1">
      <c r="A1006" s="9"/>
    </row>
    <row r="1007" spans="1:1">
      <c r="A1007" s="9"/>
    </row>
    <row r="1008" spans="1:1">
      <c r="A1008" s="9"/>
    </row>
    <row r="1009" spans="1:1">
      <c r="A1009" s="9"/>
    </row>
    <row r="1010" spans="1:1">
      <c r="A1010" s="9"/>
    </row>
    <row r="1011" spans="1:1">
      <c r="A1011" s="9"/>
    </row>
    <row r="1012" spans="1:1">
      <c r="A1012" s="9"/>
    </row>
    <row r="1013" spans="1:1">
      <c r="A1013" s="9"/>
    </row>
    <row r="1014" spans="1:1">
      <c r="A1014" s="9"/>
    </row>
    <row r="1015" spans="1:1">
      <c r="A1015" s="9"/>
    </row>
    <row r="1016" spans="1:1">
      <c r="A1016" s="9"/>
    </row>
    <row r="1017" spans="1:1">
      <c r="A1017" s="9"/>
    </row>
    <row r="1018" spans="1:1">
      <c r="A1018" s="9"/>
    </row>
    <row r="1019" spans="1:1">
      <c r="A1019" s="9"/>
    </row>
    <row r="1020" spans="1:1">
      <c r="A1020" s="9"/>
    </row>
    <row r="1021" spans="1:1">
      <c r="A1021" s="9"/>
    </row>
    <row r="1022" spans="1:1">
      <c r="A1022" s="9"/>
    </row>
    <row r="1023" spans="1:1">
      <c r="A1023" s="9"/>
    </row>
    <row r="1024" spans="1:1">
      <c r="A1024" s="9"/>
    </row>
    <row r="1025" spans="1:1">
      <c r="A1025" s="9"/>
    </row>
    <row r="1026" spans="1:1">
      <c r="A1026" s="9"/>
    </row>
    <row r="1027" spans="1:1">
      <c r="A1027" s="9"/>
    </row>
    <row r="1028" spans="1:1">
      <c r="A1028" s="9"/>
    </row>
    <row r="1029" spans="1:1">
      <c r="A1029" s="9"/>
    </row>
    <row r="1030" spans="1:1">
      <c r="A1030" s="9"/>
    </row>
    <row r="1031" spans="1:1">
      <c r="A1031" s="9"/>
    </row>
    <row r="1032" spans="1:1">
      <c r="A1032" s="9"/>
    </row>
    <row r="1033" spans="1:1">
      <c r="A1033" s="9"/>
    </row>
    <row r="1034" spans="1:1">
      <c r="A1034" s="9"/>
    </row>
    <row r="1035" spans="1:1">
      <c r="A1035" s="9"/>
    </row>
    <row r="1036" spans="1:1">
      <c r="A1036" s="9"/>
    </row>
    <row r="1037" spans="1:1">
      <c r="A1037" s="9"/>
    </row>
    <row r="1038" spans="1:1">
      <c r="A1038" s="9"/>
    </row>
    <row r="1039" spans="1:1">
      <c r="A1039" s="9"/>
    </row>
    <row r="1040" spans="1:1">
      <c r="A1040" s="9"/>
    </row>
    <row r="1041" spans="1:1">
      <c r="A1041" s="9"/>
    </row>
    <row r="1042" spans="1:1">
      <c r="A1042" s="9"/>
    </row>
    <row r="1043" spans="1:1">
      <c r="A1043" s="9"/>
    </row>
    <row r="1044" spans="1:1">
      <c r="A1044" s="9"/>
    </row>
    <row r="1045" spans="1:1">
      <c r="A1045" s="9"/>
    </row>
    <row r="1046" spans="1:1">
      <c r="A1046" s="9"/>
    </row>
    <row r="1047" spans="1:1">
      <c r="A1047" s="9"/>
    </row>
    <row r="1048" spans="1:1">
      <c r="A1048" s="9"/>
    </row>
    <row r="1049" spans="1:1">
      <c r="A1049" s="9"/>
    </row>
    <row r="1050" spans="1:1">
      <c r="A1050" s="9"/>
    </row>
    <row r="1051" spans="1:1">
      <c r="A1051" s="9"/>
    </row>
    <row r="1052" spans="1:1">
      <c r="A1052" s="9"/>
    </row>
    <row r="1053" spans="1:1">
      <c r="A1053" s="9"/>
    </row>
    <row r="1054" spans="1:1">
      <c r="A1054" s="9"/>
    </row>
    <row r="1055" spans="1:1">
      <c r="A1055" s="9"/>
    </row>
    <row r="1056" spans="1:1">
      <c r="A1056" s="9"/>
    </row>
    <row r="1057" spans="1:1">
      <c r="A1057" s="9"/>
    </row>
    <row r="1058" spans="1:1">
      <c r="A1058" s="9"/>
    </row>
    <row r="1059" spans="1:1">
      <c r="A1059" s="9"/>
    </row>
    <row r="1060" spans="1:1">
      <c r="A1060" s="9"/>
    </row>
    <row r="1061" spans="1:1">
      <c r="A1061" s="9"/>
    </row>
    <row r="1062" spans="1:1">
      <c r="A1062" s="9"/>
    </row>
    <row r="1063" spans="1:1">
      <c r="A1063" s="9"/>
    </row>
    <row r="1064" spans="1:1">
      <c r="A1064" s="9"/>
    </row>
    <row r="1065" spans="1:1">
      <c r="A1065" s="9"/>
    </row>
    <row r="1066" spans="1:1">
      <c r="A1066" s="9"/>
    </row>
    <row r="1067" spans="1:1">
      <c r="A1067" s="9"/>
    </row>
    <row r="1068" spans="1:1">
      <c r="A1068" s="9"/>
    </row>
    <row r="1069" spans="1:1">
      <c r="A1069" s="9"/>
    </row>
    <row r="1070" spans="1:1">
      <c r="A1070" s="9"/>
    </row>
    <row r="1071" spans="1:1">
      <c r="A1071" s="9"/>
    </row>
    <row r="1072" spans="1:1">
      <c r="A1072" s="9"/>
    </row>
    <row r="1073" spans="1:1">
      <c r="A1073" s="9"/>
    </row>
    <row r="1074" spans="1:1">
      <c r="A1074" s="9"/>
    </row>
    <row r="1075" spans="1:1">
      <c r="A1075" s="9"/>
    </row>
    <row r="1076" spans="1:1">
      <c r="A1076" s="9"/>
    </row>
    <row r="1077" spans="1:1">
      <c r="A1077" s="9"/>
    </row>
    <row r="1078" spans="1:1">
      <c r="A1078" s="9"/>
    </row>
    <row r="1079" spans="1:1">
      <c r="A1079" s="9"/>
    </row>
    <row r="1080" spans="1:1">
      <c r="A1080" s="9"/>
    </row>
    <row r="1081" spans="1:1">
      <c r="A1081" s="9"/>
    </row>
    <row r="1082" spans="1:1">
      <c r="A1082" s="9"/>
    </row>
    <row r="1083" spans="1:1">
      <c r="A1083" s="9"/>
    </row>
    <row r="1084" spans="1:1">
      <c r="A1084" s="9"/>
    </row>
    <row r="1085" spans="1:1">
      <c r="A1085" s="9"/>
    </row>
    <row r="1086" spans="1:1">
      <c r="A1086" s="9"/>
    </row>
    <row r="1087" spans="1:1">
      <c r="A1087" s="9"/>
    </row>
    <row r="1088" spans="1:1">
      <c r="A1088" s="9"/>
    </row>
    <row r="1089" spans="1:1">
      <c r="A1089" s="9"/>
    </row>
    <row r="1090" spans="1:1">
      <c r="A1090" s="9"/>
    </row>
    <row r="1091" spans="1:1">
      <c r="A1091" s="9"/>
    </row>
    <row r="1092" spans="1:1">
      <c r="A1092" s="9"/>
    </row>
    <row r="1093" spans="1:1">
      <c r="A1093" s="9"/>
    </row>
    <row r="1094" spans="1:1">
      <c r="A1094" s="9"/>
    </row>
    <row r="1095" spans="1:1">
      <c r="A1095" s="9"/>
    </row>
    <row r="1096" spans="1:1">
      <c r="A1096" s="9"/>
    </row>
    <row r="1097" spans="1:1">
      <c r="A1097" s="9"/>
    </row>
    <row r="1098" spans="1:1">
      <c r="A1098" s="9"/>
    </row>
    <row r="1099" spans="1:1">
      <c r="A1099" s="9"/>
    </row>
    <row r="1100" spans="1:1">
      <c r="A1100" s="9"/>
    </row>
    <row r="1101" spans="1:1">
      <c r="A1101" s="9"/>
    </row>
    <row r="1102" spans="1:1">
      <c r="A1102" s="9"/>
    </row>
    <row r="1103" spans="1:1">
      <c r="A1103" s="9"/>
    </row>
    <row r="1104" spans="1:1">
      <c r="A1104" s="9"/>
    </row>
    <row r="1105" spans="1:1">
      <c r="A1105" s="9"/>
    </row>
    <row r="1106" spans="1:1">
      <c r="A1106" s="9"/>
    </row>
    <row r="1107" spans="1:1">
      <c r="A1107" s="9"/>
    </row>
    <row r="1108" spans="1:1">
      <c r="A1108" s="9"/>
    </row>
    <row r="1109" spans="1:1">
      <c r="A1109" s="9"/>
    </row>
    <row r="1110" spans="1:1">
      <c r="A1110" s="9"/>
    </row>
    <row r="1111" spans="1:1">
      <c r="A1111" s="9"/>
    </row>
    <row r="1112" spans="1:1">
      <c r="A1112" s="9"/>
    </row>
    <row r="1113" spans="1:1">
      <c r="A1113" s="9"/>
    </row>
    <row r="1114" spans="1:1">
      <c r="A1114" s="9"/>
    </row>
    <row r="1115" spans="1:1">
      <c r="A1115" s="9"/>
    </row>
    <row r="1116" spans="1:1">
      <c r="A1116" s="9"/>
    </row>
    <row r="1117" spans="1:1">
      <c r="A1117" s="9"/>
    </row>
    <row r="1118" spans="1:1">
      <c r="A1118" s="9"/>
    </row>
    <row r="1119" spans="1:1">
      <c r="A1119" s="9"/>
    </row>
    <row r="1120" spans="1:1">
      <c r="A1120" s="9"/>
    </row>
    <row r="1121" spans="1:1">
      <c r="A1121" s="9"/>
    </row>
    <row r="1122" spans="1:1">
      <c r="A1122" s="9"/>
    </row>
    <row r="1123" spans="1:1">
      <c r="A1123" s="9"/>
    </row>
    <row r="1124" spans="1:1">
      <c r="A1124" s="9"/>
    </row>
    <row r="1125" spans="1:1">
      <c r="A1125" s="9"/>
    </row>
    <row r="1126" spans="1:1">
      <c r="A1126" s="9"/>
    </row>
    <row r="1127" spans="1:1">
      <c r="A1127" s="9"/>
    </row>
    <row r="1128" spans="1:1">
      <c r="A1128" s="9"/>
    </row>
    <row r="1129" spans="1:1">
      <c r="A1129" s="9"/>
    </row>
    <row r="1130" spans="1:1">
      <c r="A1130" s="9"/>
    </row>
    <row r="1131" spans="1:1">
      <c r="A1131" s="9"/>
    </row>
    <row r="1132" spans="1:1">
      <c r="A1132" s="9"/>
    </row>
    <row r="1133" spans="1:1">
      <c r="A1133" s="9"/>
    </row>
    <row r="1134" spans="1:1">
      <c r="A1134" s="9"/>
    </row>
    <row r="1135" spans="1:1">
      <c r="A1135" s="9"/>
    </row>
    <row r="1136" spans="1:1">
      <c r="A1136" s="9"/>
    </row>
    <row r="1137" spans="1:1">
      <c r="A1137" s="9"/>
    </row>
    <row r="1138" spans="1:1">
      <c r="A1138" s="9"/>
    </row>
    <row r="1139" spans="1:1">
      <c r="A1139" s="9"/>
    </row>
    <row r="1140" spans="1:1">
      <c r="A1140" s="9"/>
    </row>
    <row r="1141" spans="1:1">
      <c r="A1141" s="9"/>
    </row>
    <row r="1142" spans="1:1">
      <c r="A1142" s="9"/>
    </row>
    <row r="1143" spans="1:1">
      <c r="A1143" s="9"/>
    </row>
    <row r="1144" spans="1:1">
      <c r="A1144" s="9"/>
    </row>
    <row r="1145" spans="1:1">
      <c r="A1145" s="9"/>
    </row>
    <row r="1146" spans="1:1">
      <c r="A1146" s="9"/>
    </row>
    <row r="1147" spans="1:1">
      <c r="A1147" s="9"/>
    </row>
    <row r="1148" spans="1:1">
      <c r="A1148" s="9"/>
    </row>
    <row r="1149" spans="1:1">
      <c r="A1149" s="9"/>
    </row>
    <row r="1150" spans="1:1">
      <c r="A1150" s="9"/>
    </row>
    <row r="1151" spans="1:1">
      <c r="A1151" s="9"/>
    </row>
    <row r="1152" spans="1:1">
      <c r="A1152" s="9"/>
    </row>
    <row r="1153" spans="1:1">
      <c r="A1153" s="9"/>
    </row>
    <row r="1154" spans="1:1">
      <c r="A1154" s="9"/>
    </row>
    <row r="1155" spans="1:1">
      <c r="A1155" s="9"/>
    </row>
    <row r="1156" spans="1:1">
      <c r="A1156" s="9"/>
    </row>
    <row r="1157" spans="1:1">
      <c r="A1157" s="9"/>
    </row>
    <row r="1158" spans="1:1">
      <c r="A1158" s="9"/>
    </row>
    <row r="1159" spans="1:1">
      <c r="A1159" s="9"/>
    </row>
    <row r="1160" spans="1:1">
      <c r="A1160" s="9"/>
    </row>
    <row r="1161" spans="1:1">
      <c r="A1161" s="9"/>
    </row>
    <row r="1162" spans="1:1">
      <c r="A1162" s="9"/>
    </row>
    <row r="1163" spans="1:1">
      <c r="A1163" s="9"/>
    </row>
    <row r="1164" spans="1:1">
      <c r="A1164" s="9"/>
    </row>
    <row r="1165" spans="1:1">
      <c r="A1165" s="9"/>
    </row>
    <row r="1166" spans="1:1">
      <c r="A1166" s="9"/>
    </row>
    <row r="1167" spans="1:1">
      <c r="A1167" s="9"/>
    </row>
    <row r="1168" spans="1:1">
      <c r="A1168" s="9"/>
    </row>
    <row r="1169" spans="1:1">
      <c r="A1169" s="9"/>
    </row>
    <row r="1170" spans="1:1">
      <c r="A1170" s="9"/>
    </row>
    <row r="1171" spans="1:1">
      <c r="A1171" s="9"/>
    </row>
    <row r="1172" spans="1:1">
      <c r="A1172" s="9"/>
    </row>
    <row r="1173" spans="1:1">
      <c r="A1173" s="9"/>
    </row>
    <row r="1174" spans="1:1">
      <c r="A1174" s="9"/>
    </row>
    <row r="1175" spans="1:1">
      <c r="A1175" s="9"/>
    </row>
    <row r="1176" spans="1:1">
      <c r="A1176" s="9"/>
    </row>
    <row r="1177" spans="1:1">
      <c r="A1177" s="9"/>
    </row>
    <row r="1178" spans="1:1">
      <c r="A1178" s="9"/>
    </row>
    <row r="1179" spans="1:1">
      <c r="A1179" s="9"/>
    </row>
    <row r="1180" spans="1:1">
      <c r="A1180" s="9"/>
    </row>
    <row r="1181" spans="1:1">
      <c r="A1181" s="9"/>
    </row>
    <row r="1182" spans="1:1">
      <c r="A1182" s="9"/>
    </row>
    <row r="1183" spans="1:1">
      <c r="A1183" s="9"/>
    </row>
    <row r="1184" spans="1:1">
      <c r="A1184" s="9"/>
    </row>
    <row r="1185" spans="1:1">
      <c r="A1185" s="9"/>
    </row>
    <row r="1186" spans="1:1">
      <c r="A1186" s="9"/>
    </row>
    <row r="1187" spans="1:1">
      <c r="A1187" s="9"/>
    </row>
    <row r="1188" spans="1:1">
      <c r="A1188" s="9"/>
    </row>
    <row r="1189" spans="1:1">
      <c r="A1189" s="9"/>
    </row>
    <row r="1190" spans="1:1">
      <c r="A1190" s="9"/>
    </row>
    <row r="1191" spans="1:1">
      <c r="A1191" s="9"/>
    </row>
    <row r="1192" spans="1:1">
      <c r="A1192" s="9"/>
    </row>
    <row r="1193" spans="1:1">
      <c r="A1193" s="9"/>
    </row>
    <row r="1194" spans="1:1">
      <c r="A1194" s="9"/>
    </row>
    <row r="1195" spans="1:1">
      <c r="A1195" s="9"/>
    </row>
    <row r="1196" spans="1:1">
      <c r="A1196" s="9"/>
    </row>
    <row r="1197" spans="1:1">
      <c r="A1197" s="9"/>
    </row>
    <row r="1198" spans="1:1">
      <c r="A1198" s="9"/>
    </row>
    <row r="1199" spans="1:1">
      <c r="A1199" s="9"/>
    </row>
    <row r="1200" spans="1:1">
      <c r="A1200" s="9"/>
    </row>
    <row r="1201" spans="1:1">
      <c r="A1201" s="9"/>
    </row>
    <row r="1202" spans="1:1">
      <c r="A1202" s="9"/>
    </row>
    <row r="1203" spans="1:1">
      <c r="A1203" s="9"/>
    </row>
    <row r="1204" spans="1:1">
      <c r="A1204" s="9"/>
    </row>
    <row r="1205" spans="1:1">
      <c r="A1205" s="9"/>
    </row>
    <row r="1206" spans="1:1">
      <c r="A1206" s="9"/>
    </row>
    <row r="1207" spans="1:1">
      <c r="A1207" s="9"/>
    </row>
    <row r="1208" spans="1:1">
      <c r="A1208" s="9"/>
    </row>
    <row r="1209" spans="1:1">
      <c r="A1209" s="9"/>
    </row>
    <row r="1210" spans="1:1">
      <c r="A1210" s="9"/>
    </row>
    <row r="1211" spans="1:1">
      <c r="A1211" s="9"/>
    </row>
    <row r="1212" spans="1:1">
      <c r="A1212" s="9"/>
    </row>
    <row r="1213" spans="1:1">
      <c r="A1213" s="9"/>
    </row>
    <row r="1214" spans="1:1">
      <c r="A1214" s="9"/>
    </row>
    <row r="1215" spans="1:1">
      <c r="A1215" s="9"/>
    </row>
    <row r="1216" spans="1:1">
      <c r="A1216" s="9"/>
    </row>
    <row r="1217" spans="1:1">
      <c r="A1217" s="9"/>
    </row>
    <row r="1218" spans="1:1">
      <c r="A1218" s="9"/>
    </row>
    <row r="1219" spans="1:1">
      <c r="A1219" s="9"/>
    </row>
    <row r="1220" spans="1:1">
      <c r="A1220" s="9"/>
    </row>
    <row r="1221" spans="1:1">
      <c r="A1221" s="9"/>
    </row>
    <row r="1222" spans="1:1">
      <c r="A1222" s="9"/>
    </row>
    <row r="1223" spans="1:1">
      <c r="A1223" s="9"/>
    </row>
    <row r="1224" spans="1:1">
      <c r="A1224" s="9"/>
    </row>
    <row r="1225" spans="1:1">
      <c r="A1225" s="9"/>
    </row>
    <row r="1226" spans="1:1">
      <c r="A1226" s="9"/>
    </row>
    <row r="1227" spans="1:1">
      <c r="A1227" s="9"/>
    </row>
    <row r="1228" spans="1:1">
      <c r="A1228" s="9"/>
    </row>
    <row r="1229" spans="1:1">
      <c r="A1229" s="9"/>
    </row>
    <row r="1230" spans="1:1">
      <c r="A1230" s="9"/>
    </row>
    <row r="1231" spans="1:1">
      <c r="A1231" s="9"/>
    </row>
    <row r="1232" spans="1:1">
      <c r="A1232" s="9"/>
    </row>
    <row r="1233" spans="1:1">
      <c r="A1233" s="9"/>
    </row>
    <row r="1234" spans="1:1">
      <c r="A1234" s="9"/>
    </row>
    <row r="1235" spans="1:1">
      <c r="A1235" s="9"/>
    </row>
    <row r="1236" spans="1:1">
      <c r="A1236" s="9"/>
    </row>
    <row r="1237" spans="1:1">
      <c r="A1237" s="9"/>
    </row>
    <row r="1238" spans="1:1">
      <c r="A1238" s="9"/>
    </row>
    <row r="1239" spans="1:1">
      <c r="A1239" s="9"/>
    </row>
    <row r="1240" spans="1:1">
      <c r="A1240" s="9"/>
    </row>
    <row r="1241" spans="1:1">
      <c r="A1241" s="9"/>
    </row>
    <row r="1242" spans="1:1">
      <c r="A1242" s="9"/>
    </row>
    <row r="1243" spans="1:1">
      <c r="A1243" s="9"/>
    </row>
    <row r="1244" spans="1:1">
      <c r="A1244" s="9"/>
    </row>
    <row r="1245" spans="1:1">
      <c r="A1245" s="9"/>
    </row>
    <row r="1246" spans="1:1">
      <c r="A1246" s="9"/>
    </row>
    <row r="1247" spans="1:1">
      <c r="A1247" s="9"/>
    </row>
    <row r="1248" spans="1:1">
      <c r="A1248" s="9"/>
    </row>
    <row r="1249" spans="1:1">
      <c r="A1249" s="9"/>
    </row>
    <row r="1250" spans="1:1">
      <c r="A1250" s="9"/>
    </row>
    <row r="1251" spans="1:1">
      <c r="A1251" s="9"/>
    </row>
    <row r="1252" spans="1:1">
      <c r="A1252" s="9"/>
    </row>
    <row r="1253" spans="1:1">
      <c r="A1253" s="9"/>
    </row>
    <row r="1254" spans="1:1">
      <c r="A1254" s="9"/>
    </row>
    <row r="1255" spans="1:1">
      <c r="A1255" s="9"/>
    </row>
    <row r="1256" spans="1:1">
      <c r="A1256" s="9"/>
    </row>
    <row r="1257" spans="1:1">
      <c r="A1257" s="9"/>
    </row>
    <row r="1258" spans="1:1">
      <c r="A1258" s="9"/>
    </row>
    <row r="1259" spans="1:1">
      <c r="A1259" s="9"/>
    </row>
    <row r="1260" spans="1:1">
      <c r="A1260" s="9"/>
    </row>
    <row r="1261" spans="1:1">
      <c r="A1261" s="9"/>
    </row>
    <row r="1262" spans="1:1">
      <c r="A1262" s="9"/>
    </row>
    <row r="1263" spans="1:1">
      <c r="A1263" s="9"/>
    </row>
    <row r="1264" spans="1:1">
      <c r="A1264" s="9"/>
    </row>
    <row r="1265" spans="1:1">
      <c r="A1265" s="9"/>
    </row>
    <row r="1266" spans="1:1">
      <c r="A1266" s="9"/>
    </row>
    <row r="1267" spans="1:1">
      <c r="A1267" s="9"/>
    </row>
    <row r="1268" spans="1:1">
      <c r="A1268" s="9"/>
    </row>
    <row r="1269" spans="1:1">
      <c r="A1269" s="9"/>
    </row>
    <row r="1270" spans="1:1">
      <c r="A1270" s="9"/>
    </row>
    <row r="1271" spans="1:1">
      <c r="A1271" s="9"/>
    </row>
    <row r="1272" spans="1:1">
      <c r="A1272" s="9"/>
    </row>
    <row r="1273" spans="1:1">
      <c r="A1273" s="9"/>
    </row>
    <row r="1274" spans="1:1">
      <c r="A1274" s="9"/>
    </row>
    <row r="1275" spans="1:1">
      <c r="A1275" s="9"/>
    </row>
    <row r="1276" spans="1:1">
      <c r="A1276" s="9"/>
    </row>
    <row r="1277" spans="1:1">
      <c r="A1277" s="9"/>
    </row>
    <row r="1278" spans="1:1">
      <c r="A1278" s="9"/>
    </row>
    <row r="1279" spans="1:1">
      <c r="A1279" s="9"/>
    </row>
    <row r="1280" spans="1:1">
      <c r="A1280" s="9"/>
    </row>
    <row r="1281" spans="1:1">
      <c r="A1281" s="9"/>
    </row>
    <row r="1282" spans="1:1">
      <c r="A1282" s="9"/>
    </row>
    <row r="1283" spans="1:1">
      <c r="A1283" s="9"/>
    </row>
    <row r="1284" spans="1:1">
      <c r="A1284" s="9"/>
    </row>
    <row r="1285" spans="1:1">
      <c r="A1285" s="9"/>
    </row>
    <row r="1286" spans="1:1">
      <c r="A1286" s="9"/>
    </row>
    <row r="1287" spans="1:1">
      <c r="A1287" s="9"/>
    </row>
    <row r="1288" spans="1:1">
      <c r="A1288" s="9"/>
    </row>
    <row r="1289" spans="1:1">
      <c r="A1289" s="9"/>
    </row>
    <row r="1290" spans="1:1">
      <c r="A1290" s="9"/>
    </row>
    <row r="1291" spans="1:1">
      <c r="A1291" s="9"/>
    </row>
    <row r="1292" spans="1:1">
      <c r="A1292" s="9"/>
    </row>
    <row r="1293" spans="1:1">
      <c r="A1293" s="9"/>
    </row>
    <row r="1294" spans="1:1">
      <c r="A1294" s="9"/>
    </row>
    <row r="1295" spans="1:1">
      <c r="A1295" s="9"/>
    </row>
    <row r="1296" spans="1:1">
      <c r="A1296" s="9"/>
    </row>
    <row r="1297" spans="1:1">
      <c r="A1297" s="9"/>
    </row>
    <row r="1298" spans="1:1">
      <c r="A1298" s="9"/>
    </row>
    <row r="1299" spans="1:1">
      <c r="A1299" s="9"/>
    </row>
    <row r="1300" spans="1:1">
      <c r="A1300" s="9"/>
    </row>
    <row r="1301" spans="1:1">
      <c r="A1301" s="9"/>
    </row>
    <row r="1302" spans="1:1">
      <c r="A1302" s="9"/>
    </row>
    <row r="1303" spans="1:1">
      <c r="A1303" s="9"/>
    </row>
    <row r="1304" spans="1:1">
      <c r="A1304" s="9"/>
    </row>
    <row r="1305" spans="1:1">
      <c r="A1305" s="9"/>
    </row>
    <row r="1306" spans="1:1">
      <c r="A1306" s="9"/>
    </row>
    <row r="1307" spans="1:1">
      <c r="A1307" s="9"/>
    </row>
    <row r="1308" spans="1:1">
      <c r="A1308" s="9"/>
    </row>
    <row r="1309" spans="1:1">
      <c r="A1309" s="9"/>
    </row>
    <row r="1310" spans="1:1">
      <c r="A1310" s="9"/>
    </row>
    <row r="1311" spans="1:1">
      <c r="A1311" s="9"/>
    </row>
    <row r="1312" spans="1:1">
      <c r="A1312" s="9"/>
    </row>
    <row r="1313" spans="1:1">
      <c r="A1313" s="9"/>
    </row>
    <row r="1314" spans="1:1">
      <c r="A1314" s="9"/>
    </row>
    <row r="1315" spans="1:1">
      <c r="A1315" s="9"/>
    </row>
    <row r="1316" spans="1:1">
      <c r="A1316" s="9"/>
    </row>
    <row r="1317" spans="1:1">
      <c r="A1317" s="9"/>
    </row>
    <row r="1318" spans="1:1">
      <c r="A1318" s="9"/>
    </row>
    <row r="1319" spans="1:1">
      <c r="A1319" s="9"/>
    </row>
    <row r="1320" spans="1:1">
      <c r="A1320" s="9"/>
    </row>
    <row r="1321" spans="1:1">
      <c r="A1321" s="9"/>
    </row>
    <row r="1322" spans="1:1">
      <c r="A1322" s="9"/>
    </row>
    <row r="1323" spans="1:1">
      <c r="A1323" s="9"/>
    </row>
    <row r="1324" spans="1:1">
      <c r="A1324" s="9"/>
    </row>
    <row r="1325" spans="1:1">
      <c r="A1325" s="9"/>
    </row>
    <row r="1326" spans="1:1">
      <c r="A1326" s="9"/>
    </row>
    <row r="1327" spans="1:1">
      <c r="A1327" s="9"/>
    </row>
    <row r="1328" spans="1:1">
      <c r="A1328" s="9"/>
    </row>
    <row r="1329" spans="1:1">
      <c r="A1329" s="9"/>
    </row>
    <row r="1330" spans="1:1">
      <c r="A1330" s="9"/>
    </row>
    <row r="1331" spans="1:1">
      <c r="A1331" s="9"/>
    </row>
    <row r="1332" spans="1:1">
      <c r="A1332" s="9"/>
    </row>
    <row r="1333" spans="1:1">
      <c r="A1333" s="9"/>
    </row>
    <row r="1334" spans="1:1">
      <c r="A1334" s="9"/>
    </row>
    <row r="1335" spans="1:1">
      <c r="A1335" s="9"/>
    </row>
    <row r="1336" spans="1:1">
      <c r="A1336" s="9"/>
    </row>
    <row r="1337" spans="1:1">
      <c r="A1337" s="9"/>
    </row>
    <row r="1338" spans="1:1">
      <c r="A1338" s="9"/>
    </row>
    <row r="1339" spans="1:1">
      <c r="A1339" s="9"/>
    </row>
    <row r="1340" spans="1:1">
      <c r="A1340" s="9"/>
    </row>
    <row r="1341" spans="1:1">
      <c r="A1341" s="9"/>
    </row>
    <row r="1342" spans="1:1">
      <c r="A1342" s="9"/>
    </row>
    <row r="1343" spans="1:1">
      <c r="A1343" s="9"/>
    </row>
    <row r="1344" spans="1:1">
      <c r="A1344" s="9"/>
    </row>
    <row r="1345" spans="1:1">
      <c r="A1345" s="9"/>
    </row>
    <row r="1346" spans="1:1">
      <c r="A1346" s="9"/>
    </row>
    <row r="1347" spans="1:1">
      <c r="A1347" s="9"/>
    </row>
    <row r="1348" spans="1:1">
      <c r="A1348" s="9"/>
    </row>
    <row r="1349" spans="1:1">
      <c r="A1349" s="9"/>
    </row>
    <row r="1350" spans="1:1">
      <c r="A1350" s="9"/>
    </row>
    <row r="1351" spans="1:1">
      <c r="A1351" s="9"/>
    </row>
    <row r="1352" spans="1:1">
      <c r="A1352" s="9"/>
    </row>
    <row r="1353" spans="1:1">
      <c r="A1353" s="9"/>
    </row>
    <row r="1354" spans="1:1">
      <c r="A1354" s="9"/>
    </row>
    <row r="1355" spans="1:1">
      <c r="A1355" s="9"/>
    </row>
    <row r="1356" spans="1:1">
      <c r="A1356" s="9"/>
    </row>
    <row r="1357" spans="1:1">
      <c r="A1357" s="9"/>
    </row>
    <row r="1358" spans="1:1">
      <c r="A1358" s="9"/>
    </row>
    <row r="1359" spans="1:1">
      <c r="A1359" s="9"/>
    </row>
    <row r="1360" spans="1:1">
      <c r="A1360" s="9"/>
    </row>
    <row r="1361" spans="1:1">
      <c r="A1361" s="9"/>
    </row>
    <row r="1362" spans="1:1">
      <c r="A1362" s="9"/>
    </row>
    <row r="1363" spans="1:1">
      <c r="A1363" s="9"/>
    </row>
    <row r="1364" spans="1:1">
      <c r="A1364" s="9"/>
    </row>
    <row r="1365" spans="1:1">
      <c r="A1365" s="9"/>
    </row>
    <row r="1366" spans="1:1">
      <c r="A1366" s="9"/>
    </row>
    <row r="1367" spans="1:1">
      <c r="A1367" s="9"/>
    </row>
    <row r="1368" spans="1:1">
      <c r="A1368" s="9"/>
    </row>
    <row r="1369" spans="1:1">
      <c r="A1369" s="9"/>
    </row>
    <row r="1370" spans="1:1">
      <c r="A1370" s="9"/>
    </row>
    <row r="1371" spans="1:1">
      <c r="A1371" s="9"/>
    </row>
    <row r="1372" spans="1:1">
      <c r="A1372" s="9"/>
    </row>
    <row r="1373" spans="1:1">
      <c r="A1373" s="9"/>
    </row>
    <row r="1374" spans="1:1">
      <c r="A1374" s="9"/>
    </row>
    <row r="1375" spans="1:1">
      <c r="A1375" s="9"/>
    </row>
    <row r="1376" spans="1:1">
      <c r="A1376" s="9"/>
    </row>
    <row r="1377" spans="1:1">
      <c r="A1377" s="9"/>
    </row>
    <row r="1378" spans="1:1">
      <c r="A1378" s="9"/>
    </row>
    <row r="1379" spans="1:1">
      <c r="A1379" s="9"/>
    </row>
    <row r="1380" spans="1:1">
      <c r="A1380" s="9"/>
    </row>
    <row r="1381" spans="1:1">
      <c r="A1381" s="9"/>
    </row>
    <row r="1382" spans="1:1">
      <c r="A1382" s="9"/>
    </row>
    <row r="1383" spans="1:1">
      <c r="A1383" s="9"/>
    </row>
    <row r="1384" spans="1:1">
      <c r="A1384" s="9"/>
    </row>
    <row r="1385" spans="1:1">
      <c r="A1385" s="9"/>
    </row>
    <row r="1386" spans="1:1">
      <c r="A1386" s="9"/>
    </row>
    <row r="1387" spans="1:1">
      <c r="A1387" s="9"/>
    </row>
    <row r="1388" spans="1:1">
      <c r="A1388" s="9"/>
    </row>
    <row r="1389" spans="1:1">
      <c r="A1389" s="9"/>
    </row>
    <row r="1390" spans="1:1">
      <c r="A1390" s="9"/>
    </row>
    <row r="1391" spans="1:1">
      <c r="A1391" s="9"/>
    </row>
    <row r="1392" spans="1:1">
      <c r="A1392" s="9"/>
    </row>
    <row r="1393" spans="1:1">
      <c r="A1393" s="9"/>
    </row>
    <row r="1394" spans="1:1">
      <c r="A1394" s="9"/>
    </row>
    <row r="1395" spans="1:1">
      <c r="A1395" s="9"/>
    </row>
    <row r="1396" spans="1:1">
      <c r="A1396" s="9"/>
    </row>
    <row r="1397" spans="1:1">
      <c r="A1397" s="9"/>
    </row>
    <row r="1398" spans="1:1">
      <c r="A1398" s="9"/>
    </row>
    <row r="1399" spans="1:1">
      <c r="A1399" s="9"/>
    </row>
    <row r="1400" spans="1:1">
      <c r="A1400" s="9"/>
    </row>
    <row r="1401" spans="1:1">
      <c r="A1401" s="9"/>
    </row>
    <row r="1402" spans="1:1">
      <c r="A1402" s="9"/>
    </row>
    <row r="1403" spans="1:1">
      <c r="A1403" s="9"/>
    </row>
    <row r="1404" spans="1:1">
      <c r="A1404" s="9"/>
    </row>
    <row r="1405" spans="1:1">
      <c r="A1405" s="9"/>
    </row>
    <row r="1406" spans="1:1">
      <c r="A1406" s="9"/>
    </row>
    <row r="1407" spans="1:1">
      <c r="A1407" s="9"/>
    </row>
    <row r="1408" spans="1:1">
      <c r="A1408" s="9"/>
    </row>
    <row r="1409" spans="1:1">
      <c r="A1409" s="9"/>
    </row>
    <row r="1410" spans="1:1">
      <c r="A1410" s="9"/>
    </row>
    <row r="1411" spans="1:1">
      <c r="A1411" s="9"/>
    </row>
    <row r="1412" spans="1:1">
      <c r="A1412" s="9"/>
    </row>
    <row r="1413" spans="1:1">
      <c r="A1413" s="9"/>
    </row>
    <row r="1414" spans="1:1">
      <c r="A1414" s="9"/>
    </row>
    <row r="1415" spans="1:1">
      <c r="A1415" s="9"/>
    </row>
    <row r="1416" spans="1:1">
      <c r="A1416" s="9"/>
    </row>
    <row r="1417" spans="1:1">
      <c r="A1417" s="9"/>
    </row>
    <row r="1418" spans="1:1">
      <c r="A1418" s="9"/>
    </row>
    <row r="1419" spans="1:1">
      <c r="A1419" s="9"/>
    </row>
    <row r="1420" spans="1:1">
      <c r="A1420" s="9"/>
    </row>
    <row r="1421" spans="1:1">
      <c r="A1421" s="9"/>
    </row>
    <row r="1422" spans="1:1">
      <c r="A1422" s="9"/>
    </row>
    <row r="1423" spans="1:1">
      <c r="A1423" s="9"/>
    </row>
    <row r="1424" spans="1:1">
      <c r="A1424" s="9"/>
    </row>
    <row r="1425" spans="1:1">
      <c r="A1425" s="9"/>
    </row>
    <row r="1426" spans="1:1">
      <c r="A1426" s="9"/>
    </row>
    <row r="1427" spans="1:1">
      <c r="A1427" s="9"/>
    </row>
    <row r="1428" spans="1:1">
      <c r="A1428" s="9"/>
    </row>
    <row r="1429" spans="1:1">
      <c r="A1429" s="9"/>
    </row>
    <row r="1430" spans="1:1">
      <c r="A1430" s="9"/>
    </row>
    <row r="1431" spans="1:1">
      <c r="A1431" s="9"/>
    </row>
    <row r="1432" spans="1:1">
      <c r="A1432" s="9"/>
    </row>
    <row r="1433" spans="1:1">
      <c r="A1433" s="9"/>
    </row>
    <row r="1434" spans="1:1">
      <c r="A1434" s="9"/>
    </row>
    <row r="1435" spans="1:1">
      <c r="A1435" s="9"/>
    </row>
    <row r="1436" spans="1:1">
      <c r="A1436" s="9"/>
    </row>
    <row r="1437" spans="1:1">
      <c r="A1437" s="9"/>
    </row>
    <row r="1438" spans="1:1">
      <c r="A1438" s="9"/>
    </row>
    <row r="1439" spans="1:1">
      <c r="A1439" s="9"/>
    </row>
    <row r="1440" spans="1:1">
      <c r="A1440" s="9"/>
    </row>
    <row r="1441" spans="1:1">
      <c r="A1441" s="9"/>
    </row>
    <row r="1442" spans="1:1">
      <c r="A1442" s="9"/>
    </row>
    <row r="1443" spans="1:1">
      <c r="A1443" s="9"/>
    </row>
    <row r="1444" spans="1:1">
      <c r="A1444" s="9"/>
    </row>
    <row r="1445" spans="1:1">
      <c r="A1445" s="9"/>
    </row>
    <row r="1446" spans="1:1">
      <c r="A1446" s="9"/>
    </row>
    <row r="1447" spans="1:1">
      <c r="A1447" s="9"/>
    </row>
    <row r="1448" spans="1:1">
      <c r="A1448" s="9"/>
    </row>
    <row r="1449" spans="1:1">
      <c r="A1449" s="9"/>
    </row>
    <row r="1450" spans="1:1">
      <c r="A1450" s="9"/>
    </row>
    <row r="1451" spans="1:1">
      <c r="A1451" s="9"/>
    </row>
    <row r="1452" spans="1:1">
      <c r="A1452" s="9"/>
    </row>
    <row r="1453" spans="1:1">
      <c r="A1453" s="9"/>
    </row>
    <row r="1454" spans="1:1">
      <c r="A1454" s="9"/>
    </row>
    <row r="1455" spans="1:1">
      <c r="A1455" s="9"/>
    </row>
    <row r="1456" spans="1:1">
      <c r="A1456" s="9"/>
    </row>
    <row r="1457" spans="1:1">
      <c r="A1457" s="9"/>
    </row>
    <row r="1458" spans="1:1">
      <c r="A1458" s="9"/>
    </row>
    <row r="1459" spans="1:1">
      <c r="A1459" s="9"/>
    </row>
    <row r="1460" spans="1:1">
      <c r="A1460" s="9"/>
    </row>
    <row r="1461" spans="1:1">
      <c r="A1461" s="9"/>
    </row>
    <row r="1462" spans="1:1">
      <c r="A1462" s="9"/>
    </row>
    <row r="1463" spans="1:1">
      <c r="A1463" s="9"/>
    </row>
    <row r="1464" spans="1:1">
      <c r="A1464" s="9"/>
    </row>
    <row r="1465" spans="1:1">
      <c r="A1465" s="9"/>
    </row>
    <row r="1466" spans="1:1">
      <c r="A1466" s="9"/>
    </row>
    <row r="1467" spans="1:1">
      <c r="A1467" s="9"/>
    </row>
    <row r="1468" spans="1:1">
      <c r="A1468" s="9"/>
    </row>
    <row r="1469" spans="1:1">
      <c r="A1469" s="9"/>
    </row>
    <row r="1470" spans="1:1">
      <c r="A1470" s="9"/>
    </row>
    <row r="1471" spans="1:1">
      <c r="A1471" s="9"/>
    </row>
    <row r="1472" spans="1:1">
      <c r="A1472" s="9"/>
    </row>
    <row r="1473" spans="1:1">
      <c r="A1473" s="9"/>
    </row>
    <row r="1474" spans="1:1">
      <c r="A1474" s="9"/>
    </row>
    <row r="1475" spans="1:1">
      <c r="A1475" s="9"/>
    </row>
    <row r="1476" spans="1:1">
      <c r="A1476" s="9"/>
    </row>
    <row r="1477" spans="1:1">
      <c r="A1477" s="9"/>
    </row>
    <row r="1478" spans="1:1">
      <c r="A1478" s="9"/>
    </row>
    <row r="1479" spans="1:1">
      <c r="A1479" s="9"/>
    </row>
    <row r="1480" spans="1:1">
      <c r="A1480" s="9"/>
    </row>
    <row r="1481" spans="1:1">
      <c r="A1481" s="9"/>
    </row>
    <row r="1482" spans="1:1">
      <c r="A1482" s="9"/>
    </row>
    <row r="1483" spans="1:1">
      <c r="A1483" s="9"/>
    </row>
    <row r="1484" spans="1:1">
      <c r="A1484" s="9"/>
    </row>
    <row r="1485" spans="1:1">
      <c r="A1485" s="9"/>
    </row>
    <row r="1486" spans="1:1">
      <c r="A1486" s="9"/>
    </row>
    <row r="1487" spans="1:1">
      <c r="A1487" s="9"/>
    </row>
    <row r="1488" spans="1:1">
      <c r="A1488" s="9"/>
    </row>
    <row r="1489" spans="1:1">
      <c r="A1489" s="9"/>
    </row>
    <row r="1490" spans="1:1">
      <c r="A1490" s="9"/>
    </row>
    <row r="1491" spans="1:1">
      <c r="A1491" s="9"/>
    </row>
    <row r="1492" spans="1:1">
      <c r="A1492" s="9"/>
    </row>
    <row r="1493" spans="1:1">
      <c r="A1493" s="9"/>
    </row>
    <row r="1494" spans="1:1">
      <c r="A1494" s="9"/>
    </row>
    <row r="1495" spans="1:1">
      <c r="A1495" s="9"/>
    </row>
    <row r="1496" spans="1:1">
      <c r="A1496" s="9"/>
    </row>
    <row r="1497" spans="1:1">
      <c r="A1497" s="9"/>
    </row>
    <row r="1498" spans="1:1">
      <c r="A1498" s="9"/>
    </row>
    <row r="1499" spans="1:1">
      <c r="A1499" s="9"/>
    </row>
    <row r="1500" spans="1:1">
      <c r="A1500" s="9"/>
    </row>
    <row r="1501" spans="1:1">
      <c r="A1501" s="9"/>
    </row>
    <row r="1502" spans="1:1">
      <c r="A1502" s="9"/>
    </row>
    <row r="1503" spans="1:1">
      <c r="A1503" s="9"/>
    </row>
    <row r="1504" spans="1:1">
      <c r="A1504" s="9"/>
    </row>
    <row r="1505" spans="1:1">
      <c r="A1505" s="9"/>
    </row>
    <row r="1506" spans="1:1">
      <c r="A1506" s="9"/>
    </row>
    <row r="1507" spans="1:1">
      <c r="A1507" s="9"/>
    </row>
    <row r="1508" spans="1:1">
      <c r="A1508" s="9"/>
    </row>
    <row r="1509" spans="1:1">
      <c r="A1509" s="9"/>
    </row>
    <row r="1510" spans="1:1">
      <c r="A1510" s="9"/>
    </row>
    <row r="1511" spans="1:1">
      <c r="A1511" s="9"/>
    </row>
    <row r="1512" spans="1:1">
      <c r="A1512" s="9"/>
    </row>
    <row r="1513" spans="1:1">
      <c r="A1513" s="9"/>
    </row>
    <row r="1514" spans="1:1">
      <c r="A1514" s="9"/>
    </row>
    <row r="1515" spans="1:1">
      <c r="A1515" s="9"/>
    </row>
    <row r="1516" spans="1:1">
      <c r="A1516" s="9"/>
    </row>
    <row r="1517" spans="1:1">
      <c r="A1517" s="9"/>
    </row>
    <row r="1518" spans="1:1">
      <c r="A1518" s="9"/>
    </row>
    <row r="1519" spans="1:1">
      <c r="A1519" s="9"/>
    </row>
    <row r="1520" spans="1:1">
      <c r="A1520" s="9"/>
    </row>
    <row r="1521" spans="1:1">
      <c r="A1521" s="9"/>
    </row>
    <row r="1522" spans="1:1">
      <c r="A1522" s="9"/>
    </row>
    <row r="1523" spans="1:1">
      <c r="A1523" s="9"/>
    </row>
    <row r="1524" spans="1:1">
      <c r="A1524" s="9"/>
    </row>
    <row r="1525" spans="1:1">
      <c r="A1525" s="9"/>
    </row>
    <row r="1526" spans="1:1">
      <c r="A1526" s="9"/>
    </row>
    <row r="1527" spans="1:1">
      <c r="A1527" s="9"/>
    </row>
    <row r="1528" spans="1:1">
      <c r="A1528" s="9"/>
    </row>
    <row r="1529" spans="1:1">
      <c r="A1529" s="9"/>
    </row>
    <row r="1530" spans="1:1">
      <c r="A1530" s="9"/>
    </row>
    <row r="1531" spans="1:1">
      <c r="A1531" s="9"/>
    </row>
    <row r="1532" spans="1:1">
      <c r="A1532" s="9"/>
    </row>
    <row r="1533" spans="1:1">
      <c r="A1533" s="9"/>
    </row>
    <row r="1534" spans="1:1">
      <c r="A1534" s="9"/>
    </row>
    <row r="1535" spans="1:1">
      <c r="A1535" s="9"/>
    </row>
    <row r="1536" spans="1:1">
      <c r="A1536" s="9"/>
    </row>
    <row r="1537" spans="1:1">
      <c r="A1537" s="9"/>
    </row>
    <row r="1538" spans="1:1">
      <c r="A1538" s="9"/>
    </row>
    <row r="1539" spans="1:1">
      <c r="A1539" s="9"/>
    </row>
    <row r="1540" spans="1:1">
      <c r="A1540" s="9"/>
    </row>
    <row r="1541" spans="1:1">
      <c r="A1541" s="9"/>
    </row>
    <row r="1542" spans="1:1">
      <c r="A1542" s="9"/>
    </row>
    <row r="1543" spans="1:1">
      <c r="A1543" s="9"/>
    </row>
    <row r="1544" spans="1:1">
      <c r="A1544" s="9"/>
    </row>
    <row r="1545" spans="1:1">
      <c r="A1545" s="9"/>
    </row>
    <row r="1546" spans="1:1">
      <c r="A1546" s="9"/>
    </row>
    <row r="1547" spans="1:1">
      <c r="A1547" s="9"/>
    </row>
    <row r="1548" spans="1:1">
      <c r="A1548" s="9"/>
    </row>
    <row r="1549" spans="1:1">
      <c r="A1549" s="9"/>
    </row>
    <row r="1550" spans="1:1">
      <c r="A1550" s="9"/>
    </row>
    <row r="1551" spans="1:1">
      <c r="A1551" s="9"/>
    </row>
    <row r="1552" spans="1:1">
      <c r="A1552" s="9"/>
    </row>
    <row r="1553" spans="1:1">
      <c r="A1553" s="9"/>
    </row>
    <row r="1554" spans="1:1">
      <c r="A1554" s="9"/>
    </row>
    <row r="1555" spans="1:1">
      <c r="A1555" s="9"/>
    </row>
    <row r="1556" spans="1:1">
      <c r="A1556" s="9"/>
    </row>
    <row r="1557" spans="1:1">
      <c r="A1557" s="9"/>
    </row>
    <row r="1558" spans="1:1">
      <c r="A1558" s="9"/>
    </row>
    <row r="1559" spans="1:1">
      <c r="A1559" s="9"/>
    </row>
    <row r="1560" spans="1:1">
      <c r="A1560" s="9"/>
    </row>
    <row r="1561" spans="1:1">
      <c r="A1561" s="9"/>
    </row>
    <row r="1562" spans="1:1">
      <c r="A1562" s="9"/>
    </row>
    <row r="1563" spans="1:1">
      <c r="A1563" s="9"/>
    </row>
    <row r="1564" spans="1:1">
      <c r="A1564" s="9"/>
    </row>
    <row r="1565" spans="1:1">
      <c r="A1565" s="9"/>
    </row>
    <row r="1566" spans="1:1">
      <c r="A1566" s="9"/>
    </row>
    <row r="1567" spans="1:1">
      <c r="A1567" s="9"/>
    </row>
    <row r="1568" spans="1:1">
      <c r="A1568" s="9"/>
    </row>
    <row r="1569" spans="1:1">
      <c r="A1569" s="9"/>
    </row>
    <row r="1570" spans="1:1">
      <c r="A1570" s="9"/>
    </row>
    <row r="1571" spans="1:1">
      <c r="A1571" s="9"/>
    </row>
    <row r="1572" spans="1:1">
      <c r="A1572" s="9"/>
    </row>
    <row r="1573" spans="1:1">
      <c r="A1573" s="9"/>
    </row>
    <row r="1574" spans="1:1">
      <c r="A1574" s="9"/>
    </row>
    <row r="1575" spans="1:1">
      <c r="A1575" s="9"/>
    </row>
    <row r="1576" spans="1:1">
      <c r="A1576" s="9"/>
    </row>
    <row r="1577" spans="1:1">
      <c r="A1577" s="9"/>
    </row>
    <row r="1578" spans="1:1">
      <c r="A1578" s="9"/>
    </row>
    <row r="1579" spans="1:1">
      <c r="A1579" s="9"/>
    </row>
    <row r="1580" spans="1:1">
      <c r="A1580" s="9"/>
    </row>
    <row r="1581" spans="1:1">
      <c r="A1581" s="9"/>
    </row>
    <row r="1582" spans="1:1">
      <c r="A1582" s="9"/>
    </row>
    <row r="1583" spans="1:1">
      <c r="A1583" s="9"/>
    </row>
    <row r="1584" spans="1:1">
      <c r="A1584" s="9"/>
    </row>
    <row r="1585" spans="1:1">
      <c r="A1585" s="9"/>
    </row>
    <row r="1586" spans="1:1">
      <c r="A1586" s="9"/>
    </row>
    <row r="1587" spans="1:1">
      <c r="A1587" s="9"/>
    </row>
    <row r="1588" spans="1:1">
      <c r="A1588" s="9"/>
    </row>
    <row r="1589" spans="1:1">
      <c r="A1589" s="9"/>
    </row>
    <row r="1590" spans="1:1">
      <c r="A1590" s="9"/>
    </row>
    <row r="1591" spans="1:1">
      <c r="A1591" s="9"/>
    </row>
    <row r="1592" spans="1:1">
      <c r="A1592" s="9"/>
    </row>
    <row r="1593" spans="1:1">
      <c r="A1593" s="9"/>
    </row>
    <row r="1594" spans="1:1">
      <c r="A1594" s="9"/>
    </row>
    <row r="1595" spans="1:1">
      <c r="A1595" s="9"/>
    </row>
    <row r="1596" spans="1:1">
      <c r="A1596" s="9"/>
    </row>
    <row r="1597" spans="1:1">
      <c r="A1597" s="9"/>
    </row>
    <row r="1598" spans="1:1">
      <c r="A1598" s="9"/>
    </row>
    <row r="1599" spans="1:1">
      <c r="A1599" s="9"/>
    </row>
    <row r="1600" spans="1:1">
      <c r="A1600" s="9"/>
    </row>
    <row r="1601" spans="1:1">
      <c r="A1601" s="9"/>
    </row>
    <row r="1602" spans="1:1">
      <c r="A1602" s="9"/>
    </row>
    <row r="1603" spans="1:1">
      <c r="A1603" s="9"/>
    </row>
    <row r="1604" spans="1:1">
      <c r="A1604" s="9"/>
    </row>
    <row r="1605" spans="1:1">
      <c r="A1605" s="9"/>
    </row>
    <row r="1606" spans="1:1">
      <c r="A1606" s="9"/>
    </row>
    <row r="1607" spans="1:1">
      <c r="A1607" s="9"/>
    </row>
    <row r="1608" spans="1:1">
      <c r="A1608" s="9"/>
    </row>
    <row r="1609" spans="1:1">
      <c r="A1609" s="9"/>
    </row>
    <row r="1610" spans="1:1">
      <c r="A1610" s="9"/>
    </row>
    <row r="1611" spans="1:1">
      <c r="A1611" s="9"/>
    </row>
    <row r="1612" spans="1:1">
      <c r="A1612" s="9"/>
    </row>
    <row r="1613" spans="1:1">
      <c r="A1613" s="9"/>
    </row>
    <row r="1614" spans="1:1">
      <c r="A1614" s="9"/>
    </row>
    <row r="1615" spans="1:1">
      <c r="A1615" s="9"/>
    </row>
    <row r="1616" spans="1:1">
      <c r="A1616" s="9"/>
    </row>
    <row r="1617" spans="1:1">
      <c r="A1617" s="9"/>
    </row>
    <row r="1618" spans="1:1">
      <c r="A1618" s="9"/>
    </row>
    <row r="1619" spans="1:1">
      <c r="A1619" s="9"/>
    </row>
    <row r="1620" spans="1:1">
      <c r="A1620" s="9"/>
    </row>
    <row r="1621" spans="1:1">
      <c r="A1621" s="9"/>
    </row>
    <row r="1622" spans="1:1">
      <c r="A1622" s="9"/>
    </row>
    <row r="1623" spans="1:1">
      <c r="A1623" s="9"/>
    </row>
    <row r="1624" spans="1:1">
      <c r="A1624" s="9"/>
    </row>
    <row r="1625" spans="1:1">
      <c r="A1625" s="9"/>
    </row>
    <row r="1626" spans="1:1">
      <c r="A1626" s="9"/>
    </row>
    <row r="1627" spans="1:1">
      <c r="A1627" s="9"/>
    </row>
    <row r="1628" spans="1:1">
      <c r="A1628" s="9"/>
    </row>
    <row r="1629" spans="1:1">
      <c r="A1629" s="9"/>
    </row>
    <row r="1630" spans="1:1">
      <c r="A1630" s="9"/>
    </row>
    <row r="1631" spans="1:1">
      <c r="A1631" s="9"/>
    </row>
    <row r="1632" spans="1:1">
      <c r="A1632" s="9"/>
    </row>
    <row r="1633" spans="1:1">
      <c r="A1633" s="9"/>
    </row>
    <row r="1634" spans="1:1">
      <c r="A1634" s="9"/>
    </row>
    <row r="1635" spans="1:1">
      <c r="A1635" s="9"/>
    </row>
    <row r="1636" spans="1:1">
      <c r="A1636" s="9"/>
    </row>
    <row r="1637" spans="1:1">
      <c r="A1637" s="9"/>
    </row>
    <row r="1638" spans="1:1">
      <c r="A1638" s="9"/>
    </row>
    <row r="1639" spans="1:1">
      <c r="A1639" s="9"/>
    </row>
    <row r="1640" spans="1:1">
      <c r="A1640" s="9"/>
    </row>
    <row r="1641" spans="1:1">
      <c r="A1641" s="9"/>
    </row>
    <row r="1642" spans="1:1">
      <c r="A1642" s="9"/>
    </row>
    <row r="1643" spans="1:1">
      <c r="A1643" s="9"/>
    </row>
    <row r="1644" spans="1:1">
      <c r="A1644" s="9"/>
    </row>
    <row r="1645" spans="1:1">
      <c r="A1645" s="9"/>
    </row>
    <row r="1646" spans="1:1">
      <c r="A1646" s="9"/>
    </row>
    <row r="1647" spans="1:1">
      <c r="A1647" s="9"/>
    </row>
    <row r="1648" spans="1:1">
      <c r="A1648" s="9"/>
    </row>
    <row r="1649" spans="1:1">
      <c r="A1649" s="9"/>
    </row>
    <row r="1650" spans="1:1">
      <c r="A1650" s="9"/>
    </row>
    <row r="1651" spans="1:1">
      <c r="A1651" s="9"/>
    </row>
    <row r="1652" spans="1:1">
      <c r="A1652" s="9"/>
    </row>
    <row r="1653" spans="1:1">
      <c r="A1653" s="9"/>
    </row>
    <row r="1654" spans="1:1">
      <c r="A1654" s="9"/>
    </row>
    <row r="1655" spans="1:1">
      <c r="A1655" s="9"/>
    </row>
    <row r="1656" spans="1:1">
      <c r="A1656" s="9"/>
    </row>
    <row r="1657" spans="1:1">
      <c r="A1657" s="9"/>
    </row>
    <row r="1658" spans="1:1">
      <c r="A1658" s="9"/>
    </row>
    <row r="1659" spans="1:1">
      <c r="A1659" s="9"/>
    </row>
    <row r="1660" spans="1:1">
      <c r="A1660" s="9"/>
    </row>
    <row r="1661" spans="1:1">
      <c r="A1661" s="9"/>
    </row>
    <row r="1662" spans="1:1">
      <c r="A1662" s="9"/>
    </row>
    <row r="1663" spans="1:1">
      <c r="A1663" s="9"/>
    </row>
    <row r="1664" spans="1:1">
      <c r="A1664" s="9"/>
    </row>
    <row r="1665" spans="1:1">
      <c r="A1665" s="9"/>
    </row>
    <row r="1666" spans="1:1">
      <c r="A1666" s="9"/>
    </row>
    <row r="1667" spans="1:1">
      <c r="A1667" s="9"/>
    </row>
    <row r="1668" spans="1:1">
      <c r="A1668" s="9"/>
    </row>
    <row r="1669" spans="1:1">
      <c r="A1669" s="9"/>
    </row>
    <row r="1670" spans="1:1">
      <c r="A1670" s="9"/>
    </row>
    <row r="1671" spans="1:1">
      <c r="A1671" s="9"/>
    </row>
    <row r="1672" spans="1:1">
      <c r="A1672" s="9"/>
    </row>
    <row r="1673" spans="1:1">
      <c r="A1673" s="9"/>
    </row>
    <row r="1674" spans="1:1">
      <c r="A1674" s="9"/>
    </row>
    <row r="1675" spans="1:1">
      <c r="A1675" s="9"/>
    </row>
    <row r="1676" spans="1:1">
      <c r="A1676" s="9"/>
    </row>
    <row r="1677" spans="1:1">
      <c r="A1677" s="9"/>
    </row>
    <row r="1678" spans="1:1">
      <c r="A1678" s="9"/>
    </row>
    <row r="1679" spans="1:1">
      <c r="A1679" s="9"/>
    </row>
    <row r="1680" spans="1:1">
      <c r="A1680" s="9"/>
    </row>
    <row r="1681" spans="1:1">
      <c r="A1681" s="9"/>
    </row>
    <row r="1682" spans="1:1">
      <c r="A1682" s="9"/>
    </row>
    <row r="1683" spans="1:1">
      <c r="A1683" s="9"/>
    </row>
    <row r="1684" spans="1:1">
      <c r="A1684" s="9"/>
    </row>
    <row r="1685" spans="1:1">
      <c r="A1685" s="9"/>
    </row>
    <row r="1686" spans="1:1">
      <c r="A1686" s="9"/>
    </row>
    <row r="1687" spans="1:1">
      <c r="A1687" s="9"/>
    </row>
    <row r="1688" spans="1:1">
      <c r="A1688" s="9"/>
    </row>
    <row r="1689" spans="1:1">
      <c r="A1689" s="9"/>
    </row>
    <row r="1690" spans="1:1">
      <c r="A1690" s="9"/>
    </row>
    <row r="1691" spans="1:1">
      <c r="A1691" s="9"/>
    </row>
    <row r="1692" spans="1:1">
      <c r="A1692" s="9"/>
    </row>
    <row r="1693" spans="1:1">
      <c r="A1693" s="9"/>
    </row>
    <row r="1694" spans="1:1">
      <c r="A1694" s="9"/>
    </row>
    <row r="1695" spans="1:1">
      <c r="A1695" s="9"/>
    </row>
    <row r="1696" spans="1:1">
      <c r="A1696" s="9"/>
    </row>
    <row r="1697" spans="1:1">
      <c r="A1697" s="9"/>
    </row>
    <row r="1698" spans="1:1">
      <c r="A1698" s="9"/>
    </row>
    <row r="1699" spans="1:1">
      <c r="A1699" s="9"/>
    </row>
    <row r="1700" spans="1:1">
      <c r="A1700" s="9"/>
    </row>
    <row r="1701" spans="1:1">
      <c r="A1701" s="9"/>
    </row>
    <row r="1702" spans="1:1">
      <c r="A1702" s="9"/>
    </row>
    <row r="1703" spans="1:1">
      <c r="A1703" s="9"/>
    </row>
    <row r="1704" spans="1:1">
      <c r="A1704" s="9"/>
    </row>
    <row r="1705" spans="1:1">
      <c r="A1705" s="9"/>
    </row>
    <row r="1706" spans="1:1">
      <c r="A1706" s="9"/>
    </row>
    <row r="1707" spans="1:1">
      <c r="A1707" s="9"/>
    </row>
    <row r="1708" spans="1:1">
      <c r="A1708" s="9"/>
    </row>
    <row r="1709" spans="1:1">
      <c r="A1709" s="9"/>
    </row>
    <row r="1710" spans="1:1">
      <c r="A1710" s="9"/>
    </row>
    <row r="1711" spans="1:1">
      <c r="A1711" s="9"/>
    </row>
    <row r="1712" spans="1:1">
      <c r="A1712" s="9"/>
    </row>
    <row r="1713" spans="1:1">
      <c r="A1713" s="9"/>
    </row>
    <row r="1714" spans="1:1">
      <c r="A1714" s="9"/>
    </row>
    <row r="1715" spans="1:1">
      <c r="A1715" s="9"/>
    </row>
    <row r="1716" spans="1:1">
      <c r="A1716" s="9"/>
    </row>
    <row r="1717" spans="1:1">
      <c r="A1717" s="9"/>
    </row>
    <row r="1718" spans="1:1">
      <c r="A1718" s="9"/>
    </row>
    <row r="1719" spans="1:1">
      <c r="A1719" s="9"/>
    </row>
    <row r="1720" spans="1:1">
      <c r="A1720" s="9"/>
    </row>
    <row r="1721" spans="1:1">
      <c r="A1721" s="9"/>
    </row>
    <row r="1722" spans="1:1">
      <c r="A1722" s="9"/>
    </row>
    <row r="1723" spans="1:1">
      <c r="A1723" s="9"/>
    </row>
    <row r="1724" spans="1:1">
      <c r="A1724" s="9"/>
    </row>
    <row r="1725" spans="1:1">
      <c r="A1725" s="9"/>
    </row>
    <row r="1726" spans="1:1">
      <c r="A1726" s="9"/>
    </row>
    <row r="1727" spans="1:1">
      <c r="A1727" s="9"/>
    </row>
    <row r="1728" spans="1:1">
      <c r="A1728" s="9"/>
    </row>
    <row r="1729" spans="1:1">
      <c r="A1729" s="9"/>
    </row>
    <row r="1730" spans="1:1">
      <c r="A1730" s="9"/>
    </row>
    <row r="1731" spans="1:1">
      <c r="A1731" s="9"/>
    </row>
    <row r="1732" spans="1:1">
      <c r="A1732" s="9"/>
    </row>
    <row r="1733" spans="1:1">
      <c r="A1733" s="9"/>
    </row>
    <row r="1734" spans="1:1">
      <c r="A1734" s="9"/>
    </row>
    <row r="1735" spans="1:1">
      <c r="A1735" s="9"/>
    </row>
    <row r="1736" spans="1:1">
      <c r="A1736" s="9"/>
    </row>
    <row r="1737" spans="1:1">
      <c r="A1737" s="9"/>
    </row>
    <row r="1738" spans="1:1">
      <c r="A1738" s="9"/>
    </row>
    <row r="1739" spans="1:1">
      <c r="A1739" s="9"/>
    </row>
    <row r="1740" spans="1:1">
      <c r="A1740" s="9"/>
    </row>
    <row r="1741" spans="1:1">
      <c r="A1741" s="9"/>
    </row>
    <row r="1742" spans="1:1">
      <c r="A1742" s="9"/>
    </row>
    <row r="1743" spans="1:1">
      <c r="A1743" s="9"/>
    </row>
    <row r="1744" spans="1:1">
      <c r="A1744" s="9"/>
    </row>
    <row r="1745" spans="1:1">
      <c r="A1745" s="9"/>
    </row>
    <row r="1746" spans="1:1">
      <c r="A1746" s="9"/>
    </row>
    <row r="1747" spans="1:1">
      <c r="A1747" s="9"/>
    </row>
    <row r="1748" spans="1:1">
      <c r="A1748" s="9"/>
    </row>
    <row r="1749" spans="1:1">
      <c r="A1749" s="9"/>
    </row>
    <row r="1750" spans="1:1">
      <c r="A1750" s="9"/>
    </row>
    <row r="1751" spans="1:1">
      <c r="A1751" s="9"/>
    </row>
    <row r="1752" spans="1:1">
      <c r="A1752" s="9"/>
    </row>
    <row r="1753" spans="1:1">
      <c r="A1753" s="9"/>
    </row>
    <row r="1754" spans="1:1">
      <c r="A1754" s="9"/>
    </row>
    <row r="1755" spans="1:1">
      <c r="A1755" s="9"/>
    </row>
    <row r="1756" spans="1:1">
      <c r="A1756" s="9"/>
    </row>
    <row r="1757" spans="1:1">
      <c r="A1757" s="9"/>
    </row>
    <row r="1758" spans="1:1">
      <c r="A1758" s="9"/>
    </row>
    <row r="1759" spans="1:1">
      <c r="A1759" s="9"/>
    </row>
    <row r="1760" spans="1:1">
      <c r="A1760" s="9"/>
    </row>
    <row r="1761" spans="1:1">
      <c r="A1761" s="9"/>
    </row>
    <row r="1762" spans="1:1">
      <c r="A1762" s="9"/>
    </row>
    <row r="1763" spans="1:1">
      <c r="A1763" s="9"/>
    </row>
    <row r="1764" spans="1:1">
      <c r="A1764" s="9"/>
    </row>
    <row r="1765" spans="1:1">
      <c r="A1765" s="9"/>
    </row>
    <row r="1766" spans="1:1">
      <c r="A1766" s="9"/>
    </row>
    <row r="1767" spans="1:1">
      <c r="A1767" s="9"/>
    </row>
    <row r="1768" spans="1:1">
      <c r="A1768" s="9"/>
    </row>
    <row r="1769" spans="1:1">
      <c r="A1769" s="9"/>
    </row>
    <row r="1770" spans="1:1">
      <c r="A1770" s="9"/>
    </row>
    <row r="1771" spans="1:1">
      <c r="A1771" s="9"/>
    </row>
    <row r="1772" spans="1:1">
      <c r="A1772" s="9"/>
    </row>
    <row r="1773" spans="1:1">
      <c r="A1773" s="9"/>
    </row>
    <row r="1774" spans="1:1">
      <c r="A1774" s="9"/>
    </row>
    <row r="1775" spans="1:1">
      <c r="A1775" s="9"/>
    </row>
    <row r="1776" spans="1:1">
      <c r="A1776" s="9"/>
    </row>
    <row r="1777" spans="1:1">
      <c r="A1777" s="9"/>
    </row>
    <row r="1778" spans="1:1">
      <c r="A1778" s="9"/>
    </row>
    <row r="1779" spans="1:1">
      <c r="A1779" s="9"/>
    </row>
    <row r="1780" spans="1:1">
      <c r="A1780" s="9"/>
    </row>
    <row r="1781" spans="1:1">
      <c r="A1781" s="9"/>
    </row>
    <row r="1782" spans="1:1">
      <c r="A1782" s="9"/>
    </row>
    <row r="1783" spans="1:1">
      <c r="A1783" s="9"/>
    </row>
    <row r="1784" spans="1:1">
      <c r="A1784" s="9"/>
    </row>
    <row r="1785" spans="1:1">
      <c r="A1785" s="9"/>
    </row>
    <row r="1786" spans="1:1">
      <c r="A1786" s="9"/>
    </row>
    <row r="1787" spans="1:1">
      <c r="A1787" s="9"/>
    </row>
    <row r="1788" spans="1:1">
      <c r="A1788" s="9"/>
    </row>
    <row r="1789" spans="1:1">
      <c r="A1789" s="9"/>
    </row>
    <row r="1790" spans="1:1">
      <c r="A1790" s="9"/>
    </row>
    <row r="1791" spans="1:1">
      <c r="A1791" s="9"/>
    </row>
    <row r="1792" spans="1:1">
      <c r="A1792" s="9"/>
    </row>
    <row r="1793" spans="1:1">
      <c r="A1793" s="9"/>
    </row>
    <row r="1794" spans="1:1">
      <c r="A1794" s="9"/>
    </row>
    <row r="1795" spans="1:1">
      <c r="A1795" s="9"/>
    </row>
    <row r="1796" spans="1:1">
      <c r="A1796" s="9"/>
    </row>
    <row r="1797" spans="1:1">
      <c r="A1797" s="9"/>
    </row>
    <row r="1798" spans="1:1">
      <c r="A1798" s="9"/>
    </row>
    <row r="1799" spans="1:1">
      <c r="A1799" s="9"/>
    </row>
    <row r="1800" spans="1:1">
      <c r="A1800" s="9"/>
    </row>
    <row r="1801" spans="1:1">
      <c r="A1801" s="9"/>
    </row>
    <row r="1802" spans="1:1">
      <c r="A1802" s="9"/>
    </row>
    <row r="1803" spans="1:1">
      <c r="A1803" s="9"/>
    </row>
    <row r="1804" spans="1:1">
      <c r="A1804" s="9"/>
    </row>
    <row r="1805" spans="1:1">
      <c r="A1805" s="9"/>
    </row>
    <row r="1806" spans="1:1">
      <c r="A1806" s="9"/>
    </row>
    <row r="1807" spans="1:1">
      <c r="A1807" s="9"/>
    </row>
    <row r="1808" spans="1:1">
      <c r="A1808" s="9"/>
    </row>
    <row r="1809" spans="1:1">
      <c r="A1809" s="9"/>
    </row>
    <row r="1810" spans="1:1">
      <c r="A1810" s="9"/>
    </row>
    <row r="1811" spans="1:1">
      <c r="A1811" s="9"/>
    </row>
    <row r="1812" spans="1:1">
      <c r="A1812" s="9"/>
    </row>
    <row r="1813" spans="1:1">
      <c r="A1813" s="9"/>
    </row>
    <row r="1814" spans="1:1">
      <c r="A1814" s="9"/>
    </row>
    <row r="1815" spans="1:1">
      <c r="A1815" s="9"/>
    </row>
    <row r="1816" spans="1:1">
      <c r="A1816" s="9"/>
    </row>
    <row r="1817" spans="1:1">
      <c r="A1817" s="9"/>
    </row>
    <row r="1818" spans="1:1">
      <c r="A1818" s="9"/>
    </row>
    <row r="1819" spans="1:1">
      <c r="A1819" s="9"/>
    </row>
    <row r="1820" spans="1:1">
      <c r="A1820" s="9"/>
    </row>
    <row r="1821" spans="1:1">
      <c r="A1821" s="9"/>
    </row>
    <row r="1822" spans="1:1">
      <c r="A1822" s="9"/>
    </row>
    <row r="1823" spans="1:1">
      <c r="A1823" s="9"/>
    </row>
    <row r="1824" spans="1:1">
      <c r="A1824" s="9"/>
    </row>
    <row r="1825" spans="1:1">
      <c r="A1825" s="9"/>
    </row>
    <row r="1826" spans="1:1">
      <c r="A1826" s="9"/>
    </row>
    <row r="1827" spans="1:1">
      <c r="A1827" s="9"/>
    </row>
    <row r="1828" spans="1:1">
      <c r="A1828" s="9"/>
    </row>
    <row r="1829" spans="1:1">
      <c r="A1829" s="9"/>
    </row>
    <row r="1830" spans="1:1">
      <c r="A1830" s="9"/>
    </row>
    <row r="1831" spans="1:1">
      <c r="A1831" s="9"/>
    </row>
    <row r="1832" spans="1:1">
      <c r="A1832" s="9"/>
    </row>
    <row r="1833" spans="1:1">
      <c r="A1833" s="9"/>
    </row>
    <row r="1834" spans="1:1">
      <c r="A1834" s="9"/>
    </row>
    <row r="1835" spans="1:1">
      <c r="A1835" s="9"/>
    </row>
    <row r="1836" spans="1:1">
      <c r="A1836" s="9"/>
    </row>
    <row r="1837" spans="1:1">
      <c r="A1837" s="9"/>
    </row>
    <row r="1838" spans="1:1">
      <c r="A1838" s="9"/>
    </row>
    <row r="1839" spans="1:1">
      <c r="A1839" s="9"/>
    </row>
    <row r="1840" spans="1:1">
      <c r="A1840" s="9"/>
    </row>
    <row r="1841" spans="1:1">
      <c r="A1841" s="9"/>
    </row>
    <row r="1842" spans="1:1">
      <c r="A1842" s="9"/>
    </row>
    <row r="1843" spans="1:1">
      <c r="A1843" s="9"/>
    </row>
    <row r="1844" spans="1:1">
      <c r="A1844" s="9"/>
    </row>
    <row r="1845" spans="1:1">
      <c r="A1845" s="9"/>
    </row>
    <row r="1846" spans="1:1">
      <c r="A1846" s="9"/>
    </row>
    <row r="1847" spans="1:1">
      <c r="A1847" s="9"/>
    </row>
    <row r="1848" spans="1:1">
      <c r="A1848" s="9"/>
    </row>
    <row r="1849" spans="1:1">
      <c r="A1849" s="9"/>
    </row>
    <row r="1850" spans="1:1">
      <c r="A1850" s="9"/>
    </row>
    <row r="1851" spans="1:1">
      <c r="A1851" s="9"/>
    </row>
    <row r="1852" spans="1:1">
      <c r="A1852" s="9"/>
    </row>
    <row r="1853" spans="1:1">
      <c r="A1853" s="9"/>
    </row>
    <row r="1854" spans="1:1">
      <c r="A1854" s="9"/>
    </row>
    <row r="1855" spans="1:1">
      <c r="A1855" s="9"/>
    </row>
    <row r="1856" spans="1:1">
      <c r="A1856" s="9"/>
    </row>
    <row r="1857" spans="1:1">
      <c r="A1857" s="9"/>
    </row>
    <row r="1858" spans="1:1">
      <c r="A1858" s="9"/>
    </row>
    <row r="1859" spans="1:1">
      <c r="A1859" s="9"/>
    </row>
    <row r="1860" spans="1:1">
      <c r="A1860" s="9"/>
    </row>
    <row r="1861" spans="1:1">
      <c r="A1861" s="9"/>
    </row>
    <row r="1862" spans="1:1">
      <c r="A1862" s="9"/>
    </row>
    <row r="1863" spans="1:1">
      <c r="A1863" s="9"/>
    </row>
    <row r="1864" spans="1:1">
      <c r="A1864" s="9"/>
    </row>
    <row r="1865" spans="1:1">
      <c r="A1865" s="9"/>
    </row>
    <row r="1866" spans="1:1">
      <c r="A1866" s="9"/>
    </row>
    <row r="1867" spans="1:1">
      <c r="A1867" s="9"/>
    </row>
    <row r="1868" spans="1:1">
      <c r="A1868" s="9"/>
    </row>
    <row r="1869" spans="1:1">
      <c r="A1869" s="9"/>
    </row>
    <row r="1870" spans="1:1">
      <c r="A1870" s="9"/>
    </row>
    <row r="1871" spans="1:1">
      <c r="A1871" s="9"/>
    </row>
    <row r="1872" spans="1:1">
      <c r="A1872" s="9"/>
    </row>
    <row r="1873" spans="1:1">
      <c r="A1873" s="9"/>
    </row>
    <row r="1874" spans="1:1">
      <c r="A1874" s="9"/>
    </row>
    <row r="1875" spans="1:1">
      <c r="A1875" s="9"/>
    </row>
    <row r="1876" spans="1:1">
      <c r="A1876" s="9"/>
    </row>
    <row r="1877" spans="1:1">
      <c r="A1877" s="9"/>
    </row>
    <row r="1878" spans="1:1">
      <c r="A1878" s="9"/>
    </row>
    <row r="1879" spans="1:1">
      <c r="A1879" s="9"/>
    </row>
    <row r="1880" spans="1:1">
      <c r="A1880" s="9"/>
    </row>
    <row r="1881" spans="1:1">
      <c r="A1881" s="9"/>
    </row>
    <row r="1882" spans="1:1">
      <c r="A1882" s="9"/>
    </row>
    <row r="1883" spans="1:1">
      <c r="A1883" s="9"/>
    </row>
    <row r="1884" spans="1:1">
      <c r="A1884" s="9"/>
    </row>
    <row r="1885" spans="1:1">
      <c r="A1885" s="9"/>
    </row>
    <row r="1886" spans="1:1">
      <c r="A1886" s="9"/>
    </row>
    <row r="1887" spans="1:1">
      <c r="A1887" s="9"/>
    </row>
    <row r="1888" spans="1:1">
      <c r="A1888" s="9"/>
    </row>
    <row r="1889" spans="1:1">
      <c r="A1889" s="9"/>
    </row>
    <row r="1890" spans="1:1">
      <c r="A1890" s="9"/>
    </row>
    <row r="1891" spans="1:1">
      <c r="A1891" s="9"/>
    </row>
    <row r="1892" spans="1:1">
      <c r="A1892" s="9"/>
    </row>
    <row r="1893" spans="1:1">
      <c r="A1893" s="9"/>
    </row>
    <row r="1894" spans="1:1">
      <c r="A1894" s="9"/>
    </row>
    <row r="1895" spans="1:1">
      <c r="A1895" s="9"/>
    </row>
    <row r="1896" spans="1:1">
      <c r="A1896" s="9"/>
    </row>
    <row r="1897" spans="1:1">
      <c r="A1897" s="9"/>
    </row>
    <row r="1898" spans="1:1">
      <c r="A1898" s="9"/>
    </row>
    <row r="1899" spans="1:1">
      <c r="A1899" s="9"/>
    </row>
    <row r="1900" spans="1:1">
      <c r="A1900" s="9"/>
    </row>
    <row r="1901" spans="1:1">
      <c r="A1901" s="9"/>
    </row>
    <row r="1902" spans="1:1">
      <c r="A1902" s="9"/>
    </row>
    <row r="1903" spans="1:1">
      <c r="A1903" s="9"/>
    </row>
    <row r="1904" spans="1:1">
      <c r="A1904" s="9"/>
    </row>
    <row r="1905" spans="1:1">
      <c r="A1905" s="9"/>
    </row>
    <row r="1906" spans="1:1">
      <c r="A1906" s="9"/>
    </row>
    <row r="1907" spans="1:1">
      <c r="A1907" s="9"/>
    </row>
    <row r="1908" spans="1:1">
      <c r="A1908" s="9"/>
    </row>
    <row r="1909" spans="1:1">
      <c r="A1909" s="9"/>
    </row>
    <row r="1910" spans="1:1">
      <c r="A1910" s="9"/>
    </row>
    <row r="1911" spans="1:1">
      <c r="A1911" s="9"/>
    </row>
    <row r="1912" spans="1:1">
      <c r="A1912" s="9"/>
    </row>
    <row r="1913" spans="1:1">
      <c r="A1913" s="9"/>
    </row>
    <row r="1914" spans="1:1">
      <c r="A1914" s="9"/>
    </row>
    <row r="1915" spans="1:1">
      <c r="A1915" s="9"/>
    </row>
    <row r="1916" spans="1:1">
      <c r="A1916" s="9"/>
    </row>
    <row r="1917" spans="1:1">
      <c r="A1917" s="9"/>
    </row>
    <row r="1918" spans="1:1">
      <c r="A1918" s="9"/>
    </row>
    <row r="1919" spans="1:1">
      <c r="A1919" s="9"/>
    </row>
    <row r="1920" spans="1:1">
      <c r="A1920" s="9"/>
    </row>
    <row r="1921" spans="1:1">
      <c r="A1921" s="9"/>
    </row>
    <row r="1922" spans="1:1">
      <c r="A1922" s="9"/>
    </row>
    <row r="1923" spans="1:1">
      <c r="A1923" s="9"/>
    </row>
    <row r="1924" spans="1:1">
      <c r="A1924" s="9"/>
    </row>
    <row r="1925" spans="1:1">
      <c r="A1925" s="9"/>
    </row>
    <row r="1926" spans="1:1">
      <c r="A1926" s="9"/>
    </row>
    <row r="1927" spans="1:1">
      <c r="A1927" s="9"/>
    </row>
    <row r="1928" spans="1:1">
      <c r="A1928" s="9"/>
    </row>
    <row r="1929" spans="1:1">
      <c r="A1929" s="9"/>
    </row>
    <row r="1930" spans="1:1">
      <c r="A1930" s="9"/>
    </row>
    <row r="1931" spans="1:1">
      <c r="A1931" s="9"/>
    </row>
    <row r="1932" spans="1:1">
      <c r="A1932" s="9"/>
    </row>
    <row r="1933" spans="1:1">
      <c r="A1933" s="9"/>
    </row>
    <row r="1934" spans="1:1">
      <c r="A1934" s="9"/>
    </row>
    <row r="1935" spans="1:1">
      <c r="A1935" s="9"/>
    </row>
    <row r="1936" spans="1:1">
      <c r="A1936" s="9"/>
    </row>
    <row r="1937" spans="1:1">
      <c r="A1937" s="9"/>
    </row>
    <row r="1938" spans="1:1">
      <c r="A1938" s="9"/>
    </row>
    <row r="1939" spans="1:1">
      <c r="A1939" s="9"/>
    </row>
    <row r="1940" spans="1:1">
      <c r="A1940" s="9"/>
    </row>
    <row r="1941" spans="1:1">
      <c r="A1941" s="9"/>
    </row>
    <row r="1942" spans="1:1">
      <c r="A1942" s="9"/>
    </row>
    <row r="1943" spans="1:1">
      <c r="A1943" s="9"/>
    </row>
    <row r="1944" spans="1:1">
      <c r="A1944" s="9"/>
    </row>
    <row r="1945" spans="1:1">
      <c r="A1945" s="9"/>
    </row>
    <row r="1946" spans="1:1">
      <c r="A1946" s="9"/>
    </row>
    <row r="1947" spans="1:1">
      <c r="A1947" s="9"/>
    </row>
    <row r="1948" spans="1:1">
      <c r="A1948" s="9"/>
    </row>
    <row r="1949" spans="1:1">
      <c r="A1949" s="9"/>
    </row>
    <row r="1950" spans="1:1">
      <c r="A1950" s="9"/>
    </row>
    <row r="1951" spans="1:1">
      <c r="A1951" s="9"/>
    </row>
    <row r="1952" spans="1:1">
      <c r="A1952" s="9"/>
    </row>
    <row r="1953" spans="1:1">
      <c r="A1953" s="9"/>
    </row>
    <row r="1954" spans="1:1">
      <c r="A1954" s="9"/>
    </row>
    <row r="1955" spans="1:1">
      <c r="A1955" s="9"/>
    </row>
    <row r="1956" spans="1:1">
      <c r="A1956" s="9"/>
    </row>
    <row r="1957" spans="1:1">
      <c r="A1957" s="9"/>
    </row>
    <row r="1958" spans="1:1">
      <c r="A1958" s="9"/>
    </row>
    <row r="1959" spans="1:1">
      <c r="A1959" s="9"/>
    </row>
    <row r="1960" spans="1:1">
      <c r="A1960" s="9"/>
    </row>
    <row r="1961" spans="1:1">
      <c r="A1961" s="9"/>
    </row>
    <row r="1962" spans="1:1">
      <c r="A1962" s="9"/>
    </row>
    <row r="1963" spans="1:1">
      <c r="A1963" s="9"/>
    </row>
    <row r="1964" spans="1:1">
      <c r="A1964" s="9"/>
    </row>
    <row r="1965" spans="1:1">
      <c r="A1965" s="9"/>
    </row>
    <row r="1966" spans="1:1">
      <c r="A1966" s="9"/>
    </row>
    <row r="1967" spans="1:1">
      <c r="A1967" s="9"/>
    </row>
    <row r="1968" spans="1:1">
      <c r="A1968" s="9"/>
    </row>
    <row r="1969" spans="1:1">
      <c r="A1969" s="9"/>
    </row>
    <row r="1970" spans="1:1">
      <c r="A1970" s="9"/>
    </row>
    <row r="1971" spans="1:1">
      <c r="A1971" s="9"/>
    </row>
    <row r="1972" spans="1:1">
      <c r="A1972" s="9"/>
    </row>
    <row r="1973" spans="1:1">
      <c r="A1973" s="9"/>
    </row>
    <row r="1974" spans="1:1">
      <c r="A1974" s="9"/>
    </row>
    <row r="1975" spans="1:1">
      <c r="A1975" s="9"/>
    </row>
    <row r="1976" spans="1:1">
      <c r="A1976" s="9"/>
    </row>
    <row r="1977" spans="1:1">
      <c r="A1977" s="9"/>
    </row>
    <row r="1978" spans="1:1">
      <c r="A1978" s="9"/>
    </row>
    <row r="1979" spans="1:1">
      <c r="A1979" s="9"/>
    </row>
    <row r="1980" spans="1:1">
      <c r="A1980" s="9"/>
    </row>
    <row r="1981" spans="1:1">
      <c r="A1981" s="9"/>
    </row>
    <row r="1982" spans="1:1">
      <c r="A1982" s="9"/>
    </row>
    <row r="1983" spans="1:1">
      <c r="A1983" s="9"/>
    </row>
    <row r="1984" spans="1:1">
      <c r="A1984" s="9"/>
    </row>
    <row r="1985" spans="1:1">
      <c r="A1985" s="9"/>
    </row>
    <row r="1986" spans="1:1">
      <c r="A1986" s="9"/>
    </row>
    <row r="1987" spans="1:1">
      <c r="A1987" s="9"/>
    </row>
    <row r="1988" spans="1:1">
      <c r="A1988" s="9"/>
    </row>
    <row r="1989" spans="1:1">
      <c r="A1989" s="9"/>
    </row>
    <row r="1990" spans="1:1">
      <c r="A1990" s="9"/>
    </row>
    <row r="1991" spans="1:1">
      <c r="A1991" s="9"/>
    </row>
    <row r="1992" spans="1:1">
      <c r="A1992" s="9"/>
    </row>
    <row r="1993" spans="1:1">
      <c r="A1993" s="9"/>
    </row>
    <row r="1994" spans="1:1">
      <c r="A1994" s="9"/>
    </row>
    <row r="1995" spans="1:1">
      <c r="A1995" s="9"/>
    </row>
    <row r="1996" spans="1:1">
      <c r="A1996" s="9"/>
    </row>
    <row r="1997" spans="1:1">
      <c r="A1997" s="9"/>
    </row>
    <row r="1998" spans="1:1">
      <c r="A1998" s="9"/>
    </row>
    <row r="1999" spans="1:1">
      <c r="A1999" s="9"/>
    </row>
    <row r="2000" spans="1:1">
      <c r="A2000" s="9"/>
    </row>
    <row r="2001" spans="1:1">
      <c r="A2001" s="9"/>
    </row>
    <row r="2002" spans="1:1">
      <c r="A2002" s="9"/>
    </row>
    <row r="2003" spans="1:1">
      <c r="A2003" s="9"/>
    </row>
    <row r="2004" spans="1:1">
      <c r="A2004" s="9"/>
    </row>
    <row r="2005" spans="1:1">
      <c r="A2005" s="9"/>
    </row>
    <row r="2006" spans="1:1">
      <c r="A2006" s="9"/>
    </row>
    <row r="2007" spans="1:1">
      <c r="A2007" s="9"/>
    </row>
    <row r="2008" spans="1:1">
      <c r="A2008" s="9"/>
    </row>
    <row r="2009" spans="1:1">
      <c r="A2009" s="9"/>
    </row>
    <row r="2010" spans="1:1">
      <c r="A2010" s="9"/>
    </row>
    <row r="2011" spans="1:1">
      <c r="A2011" s="9"/>
    </row>
    <row r="2012" spans="1:1">
      <c r="A2012" s="9"/>
    </row>
    <row r="2013" spans="1:1">
      <c r="A2013" s="9"/>
    </row>
    <row r="2014" spans="1:1">
      <c r="A2014" s="9"/>
    </row>
    <row r="2015" spans="1:1">
      <c r="A2015" s="9"/>
    </row>
    <row r="2016" spans="1:1">
      <c r="A2016" s="9"/>
    </row>
    <row r="2017" spans="1:1">
      <c r="A2017" s="9"/>
    </row>
    <row r="2018" spans="1:1">
      <c r="A2018" s="9"/>
    </row>
    <row r="2019" spans="1:1">
      <c r="A2019" s="9"/>
    </row>
    <row r="2020" spans="1:1">
      <c r="A2020" s="9"/>
    </row>
    <row r="2021" spans="1:1">
      <c r="A2021" s="9"/>
    </row>
    <row r="2022" spans="1:1">
      <c r="A2022" s="9"/>
    </row>
    <row r="2023" spans="1:1">
      <c r="A2023" s="9"/>
    </row>
    <row r="2024" spans="1:1">
      <c r="A2024" s="9"/>
    </row>
    <row r="2025" spans="1:1">
      <c r="A2025" s="9"/>
    </row>
    <row r="2026" spans="1:1">
      <c r="A2026" s="9"/>
    </row>
    <row r="2027" spans="1:1">
      <c r="A2027" s="9"/>
    </row>
    <row r="2028" spans="1:1">
      <c r="A2028" s="9"/>
    </row>
    <row r="2029" spans="1:1">
      <c r="A2029" s="9"/>
    </row>
    <row r="2030" spans="1:1">
      <c r="A2030" s="9"/>
    </row>
    <row r="2031" spans="1:1">
      <c r="A2031" s="9"/>
    </row>
    <row r="2032" spans="1:1">
      <c r="A2032" s="9"/>
    </row>
    <row r="2033" spans="1:1">
      <c r="A2033" s="9"/>
    </row>
    <row r="2034" spans="1:1">
      <c r="A2034" s="9"/>
    </row>
    <row r="2035" spans="1:1">
      <c r="A2035" s="9"/>
    </row>
    <row r="2036" spans="1:1">
      <c r="A2036" s="9"/>
    </row>
    <row r="2037" spans="1:1">
      <c r="A2037" s="9"/>
    </row>
    <row r="2038" spans="1:1">
      <c r="A2038" s="9"/>
    </row>
    <row r="2039" spans="1:1">
      <c r="A2039" s="9"/>
    </row>
    <row r="2040" spans="1:1">
      <c r="A2040" s="9"/>
    </row>
    <row r="2041" spans="1:1">
      <c r="A2041" s="9"/>
    </row>
    <row r="2042" spans="1:1">
      <c r="A2042" s="9"/>
    </row>
    <row r="2043" spans="1:1">
      <c r="A2043" s="9"/>
    </row>
    <row r="2044" spans="1:1">
      <c r="A2044" s="9"/>
    </row>
    <row r="2045" spans="1:1">
      <c r="A2045" s="9"/>
    </row>
    <row r="2046" spans="1:1">
      <c r="A2046" s="9"/>
    </row>
    <row r="2047" spans="1:1">
      <c r="A2047" s="9"/>
    </row>
    <row r="2048" spans="1:1">
      <c r="A2048" s="9"/>
    </row>
    <row r="2049" spans="1:1">
      <c r="A2049" s="9"/>
    </row>
    <row r="2050" spans="1:1">
      <c r="A2050" s="9"/>
    </row>
    <row r="2051" spans="1:1">
      <c r="A2051" s="9"/>
    </row>
    <row r="2052" spans="1:1">
      <c r="A2052" s="9"/>
    </row>
    <row r="2053" spans="1:1">
      <c r="A2053" s="9"/>
    </row>
    <row r="2054" spans="1:1">
      <c r="A2054" s="9"/>
    </row>
    <row r="2055" spans="1:1">
      <c r="A2055" s="9"/>
    </row>
    <row r="2056" spans="1:1">
      <c r="A2056" s="9"/>
    </row>
    <row r="2057" spans="1:1">
      <c r="A2057" s="9"/>
    </row>
    <row r="2058" spans="1:1">
      <c r="A2058" s="9"/>
    </row>
    <row r="2059" spans="1:1">
      <c r="A2059" s="9"/>
    </row>
    <row r="2060" spans="1:1">
      <c r="A2060" s="9"/>
    </row>
    <row r="2061" spans="1:1">
      <c r="A2061" s="9"/>
    </row>
    <row r="2062" spans="1:1">
      <c r="A2062" s="9"/>
    </row>
    <row r="2063" spans="1:1">
      <c r="A2063" s="9"/>
    </row>
    <row r="2064" spans="1:1">
      <c r="A2064" s="9"/>
    </row>
    <row r="2065" spans="1:1">
      <c r="A2065" s="9"/>
    </row>
    <row r="2066" spans="1:1">
      <c r="A2066" s="9"/>
    </row>
    <row r="2067" spans="1:1">
      <c r="A2067" s="9"/>
    </row>
    <row r="2068" spans="1:1">
      <c r="A2068" s="9"/>
    </row>
    <row r="2069" spans="1:1">
      <c r="A2069" s="9"/>
    </row>
    <row r="2070" spans="1:1">
      <c r="A2070" s="9"/>
    </row>
    <row r="2071" spans="1:1">
      <c r="A2071" s="9"/>
    </row>
    <row r="2072" spans="1:1">
      <c r="A2072" s="9"/>
    </row>
    <row r="2073" spans="1:1">
      <c r="A2073" s="9"/>
    </row>
    <row r="2074" spans="1:1">
      <c r="A2074" s="9"/>
    </row>
    <row r="2075" spans="1:1">
      <c r="A2075" s="9"/>
    </row>
    <row r="2076" spans="1:1">
      <c r="A2076" s="9"/>
    </row>
    <row r="2077" spans="1:1">
      <c r="A2077" s="9"/>
    </row>
    <row r="2078" spans="1:1">
      <c r="A2078" s="9"/>
    </row>
    <row r="2079" spans="1:1">
      <c r="A2079" s="9"/>
    </row>
    <row r="2080" spans="1:1">
      <c r="A2080" s="9"/>
    </row>
    <row r="2081" spans="1:1">
      <c r="A2081" s="9"/>
    </row>
    <row r="2082" spans="1:1">
      <c r="A2082" s="9"/>
    </row>
    <row r="2083" spans="1:1">
      <c r="A2083" s="9"/>
    </row>
    <row r="2084" spans="1:1">
      <c r="A2084" s="9"/>
    </row>
    <row r="2085" spans="1:1">
      <c r="A2085" s="9"/>
    </row>
    <row r="2086" spans="1:1">
      <c r="A2086" s="9"/>
    </row>
    <row r="2087" spans="1:1">
      <c r="A2087" s="9"/>
    </row>
    <row r="2088" spans="1:1">
      <c r="A2088" s="9"/>
    </row>
    <row r="2089" spans="1:1">
      <c r="A2089" s="9"/>
    </row>
    <row r="2090" spans="1:1">
      <c r="A2090" s="9"/>
    </row>
    <row r="2091" spans="1:1">
      <c r="A2091" s="9"/>
    </row>
    <row r="2092" spans="1:1">
      <c r="A2092" s="9"/>
    </row>
    <row r="2093" spans="1:1">
      <c r="A2093" s="9"/>
    </row>
    <row r="2094" spans="1:1">
      <c r="A2094" s="9"/>
    </row>
    <row r="2095" spans="1:1">
      <c r="A2095" s="9"/>
    </row>
    <row r="2096" spans="1:1">
      <c r="A2096" s="9"/>
    </row>
    <row r="2097" spans="1:1">
      <c r="A2097" s="9"/>
    </row>
    <row r="2098" spans="1:1">
      <c r="A2098" s="9"/>
    </row>
    <row r="2099" spans="1:1">
      <c r="A2099" s="9"/>
    </row>
    <row r="2100" spans="1:1">
      <c r="A2100" s="9"/>
    </row>
    <row r="2101" spans="1:1">
      <c r="A2101" s="9"/>
    </row>
    <row r="2102" spans="1:1">
      <c r="A2102" s="9"/>
    </row>
    <row r="2103" spans="1:1">
      <c r="A2103" s="9"/>
    </row>
    <row r="2104" spans="1:1">
      <c r="A2104" s="9"/>
    </row>
    <row r="2105" spans="1:1">
      <c r="A2105" s="9"/>
    </row>
    <row r="2106" spans="1:1">
      <c r="A2106" s="9"/>
    </row>
    <row r="2107" spans="1:1">
      <c r="A2107" s="9"/>
    </row>
    <row r="2108" spans="1:1">
      <c r="A2108" s="9"/>
    </row>
    <row r="2109" spans="1:1">
      <c r="A2109" s="9"/>
    </row>
    <row r="2110" spans="1:1">
      <c r="A2110" s="9"/>
    </row>
    <row r="2111" spans="1:1">
      <c r="A2111" s="9"/>
    </row>
    <row r="2112" spans="1:1">
      <c r="A2112" s="9"/>
    </row>
    <row r="2113" spans="1:1">
      <c r="A2113" s="9"/>
    </row>
    <row r="2114" spans="1:1">
      <c r="A2114" s="9"/>
    </row>
    <row r="2115" spans="1:1">
      <c r="A2115" s="9"/>
    </row>
    <row r="2116" spans="1:1">
      <c r="A2116" s="9"/>
    </row>
    <row r="2117" spans="1:1">
      <c r="A2117" s="9"/>
    </row>
    <row r="2118" spans="1:1">
      <c r="A2118" s="9"/>
    </row>
    <row r="2119" spans="1:1">
      <c r="A2119" s="9"/>
    </row>
    <row r="2120" spans="1:1">
      <c r="A2120" s="9"/>
    </row>
    <row r="2121" spans="1:1">
      <c r="A2121" s="9"/>
    </row>
    <row r="2122" spans="1:1">
      <c r="A2122" s="9"/>
    </row>
    <row r="2123" spans="1:1">
      <c r="A2123" s="9"/>
    </row>
    <row r="2124" spans="1:1">
      <c r="A2124" s="9"/>
    </row>
    <row r="2125" spans="1:1">
      <c r="A2125" s="9"/>
    </row>
    <row r="2126" spans="1:1">
      <c r="A2126" s="9"/>
    </row>
    <row r="2127" spans="1:1">
      <c r="A2127" s="9"/>
    </row>
    <row r="2128" spans="1:1">
      <c r="A2128" s="9"/>
    </row>
    <row r="2129" spans="1:1">
      <c r="A2129" s="9"/>
    </row>
    <row r="2130" spans="1:1">
      <c r="A2130" s="9"/>
    </row>
    <row r="2131" spans="1:1">
      <c r="A2131" s="9"/>
    </row>
    <row r="2132" spans="1:1">
      <c r="A2132" s="9"/>
    </row>
    <row r="2133" spans="1:1">
      <c r="A2133" s="9"/>
    </row>
    <row r="2134" spans="1:1">
      <c r="A2134" s="9"/>
    </row>
    <row r="2135" spans="1:1">
      <c r="A2135" s="9"/>
    </row>
    <row r="2136" spans="1:1">
      <c r="A2136" s="9"/>
    </row>
    <row r="2137" spans="1:1">
      <c r="A2137" s="9"/>
    </row>
    <row r="2138" spans="1:1">
      <c r="A2138" s="9"/>
    </row>
    <row r="2139" spans="1:1">
      <c r="A2139" s="9"/>
    </row>
    <row r="2140" spans="1:1">
      <c r="A2140" s="9"/>
    </row>
    <row r="2141" spans="1:1">
      <c r="A2141" s="9"/>
    </row>
    <row r="2142" spans="1:1">
      <c r="A2142" s="9"/>
    </row>
    <row r="2143" spans="1:1">
      <c r="A2143" s="9"/>
    </row>
    <row r="2144" spans="1:1">
      <c r="A2144" s="9"/>
    </row>
    <row r="2145" spans="1:1">
      <c r="A2145" s="9"/>
    </row>
    <row r="2146" spans="1:1">
      <c r="A2146" s="9"/>
    </row>
    <row r="2147" spans="1:1">
      <c r="A2147" s="9"/>
    </row>
    <row r="2148" spans="1:1">
      <c r="A2148" s="9"/>
    </row>
    <row r="2149" spans="1:1">
      <c r="A2149" s="9"/>
    </row>
    <row r="2150" spans="1:1">
      <c r="A2150" s="9"/>
    </row>
    <row r="2151" spans="1:1">
      <c r="A2151" s="9"/>
    </row>
    <row r="2152" spans="1:1">
      <c r="A2152" s="9"/>
    </row>
    <row r="2153" spans="1:1">
      <c r="A2153" s="9"/>
    </row>
    <row r="2154" spans="1:1">
      <c r="A2154" s="9"/>
    </row>
    <row r="2155" spans="1:1">
      <c r="A2155" s="9"/>
    </row>
    <row r="2156" spans="1:1">
      <c r="A2156" s="9"/>
    </row>
    <row r="2157" spans="1:1">
      <c r="A2157" s="9"/>
    </row>
    <row r="2158" spans="1:1">
      <c r="A2158" s="9"/>
    </row>
    <row r="2159" spans="1:1">
      <c r="A2159" s="9"/>
    </row>
    <row r="2160" spans="1:1">
      <c r="A2160" s="9"/>
    </row>
    <row r="2161" spans="1:1">
      <c r="A2161" s="9"/>
    </row>
    <row r="2162" spans="1:1">
      <c r="A2162" s="9"/>
    </row>
    <row r="2163" spans="1:1">
      <c r="A2163" s="9"/>
    </row>
    <row r="2164" spans="1:1">
      <c r="A2164" s="9"/>
    </row>
    <row r="2165" spans="1:1">
      <c r="A2165" s="9"/>
    </row>
    <row r="2166" spans="1:1">
      <c r="A2166" s="9"/>
    </row>
    <row r="2167" spans="1:1">
      <c r="A2167" s="9"/>
    </row>
    <row r="2168" spans="1:1">
      <c r="A2168" s="9"/>
    </row>
    <row r="2169" spans="1:1">
      <c r="A2169" s="9"/>
    </row>
    <row r="2170" spans="1:1">
      <c r="A2170" s="9"/>
    </row>
    <row r="2171" spans="1:1">
      <c r="A2171" s="9"/>
    </row>
    <row r="2172" spans="1:1">
      <c r="A2172" s="9"/>
    </row>
    <row r="2173" spans="1:1">
      <c r="A2173" s="9"/>
    </row>
    <row r="2174" spans="1:1">
      <c r="A2174" s="9"/>
    </row>
    <row r="2175" spans="1:1">
      <c r="A2175" s="9"/>
    </row>
    <row r="2176" spans="1:1">
      <c r="A2176" s="9"/>
    </row>
    <row r="2177" spans="1:1">
      <c r="A2177" s="9"/>
    </row>
    <row r="2178" spans="1:1">
      <c r="A2178" s="9"/>
    </row>
    <row r="2179" spans="1:1">
      <c r="A2179" s="9"/>
    </row>
    <row r="2180" spans="1:1">
      <c r="A2180" s="9"/>
    </row>
    <row r="2181" spans="1:1">
      <c r="A2181" s="9"/>
    </row>
    <row r="2182" spans="1:1">
      <c r="A2182" s="9"/>
    </row>
    <row r="2183" spans="1:1">
      <c r="A2183" s="9"/>
    </row>
    <row r="2184" spans="1:1">
      <c r="A2184" s="9"/>
    </row>
    <row r="2185" spans="1:1">
      <c r="A2185" s="9"/>
    </row>
    <row r="2186" spans="1:1">
      <c r="A2186" s="9"/>
    </row>
    <row r="2187" spans="1:1">
      <c r="A2187" s="9"/>
    </row>
    <row r="2188" spans="1:1">
      <c r="A2188" s="9"/>
    </row>
    <row r="2189" spans="1:1">
      <c r="A2189" s="9"/>
    </row>
    <row r="2190" spans="1:1">
      <c r="A2190" s="9"/>
    </row>
    <row r="2191" spans="1:1">
      <c r="A2191" s="9"/>
    </row>
    <row r="2192" spans="1:1">
      <c r="A2192" s="9"/>
    </row>
    <row r="2193" spans="1:1">
      <c r="A2193" s="9"/>
    </row>
    <row r="2194" spans="1:1">
      <c r="A2194" s="9"/>
    </row>
    <row r="2195" spans="1:1">
      <c r="A2195" s="9"/>
    </row>
    <row r="2196" spans="1:1">
      <c r="A2196" s="9"/>
    </row>
    <row r="2197" spans="1:1">
      <c r="A2197" s="9"/>
    </row>
    <row r="2198" spans="1:1">
      <c r="A2198" s="9"/>
    </row>
    <row r="2199" spans="1:1">
      <c r="A2199" s="9"/>
    </row>
    <row r="2200" spans="1:1">
      <c r="A2200" s="9"/>
    </row>
    <row r="2201" spans="1:1">
      <c r="A2201" s="9"/>
    </row>
    <row r="2202" spans="1:1">
      <c r="A2202" s="9"/>
    </row>
    <row r="2203" spans="1:1">
      <c r="A2203" s="9"/>
    </row>
    <row r="2204" spans="1:1">
      <c r="A2204" s="9"/>
    </row>
    <row r="2205" spans="1:1">
      <c r="A2205" s="9"/>
    </row>
    <row r="2206" spans="1:1">
      <c r="A2206" s="9"/>
    </row>
    <row r="2207" spans="1:1">
      <c r="A2207" s="9"/>
    </row>
    <row r="2208" spans="1:1">
      <c r="A2208" s="9"/>
    </row>
    <row r="2209" spans="1:1">
      <c r="A2209" s="9"/>
    </row>
    <row r="2210" spans="1:1">
      <c r="A2210" s="9"/>
    </row>
    <row r="2211" spans="1:1">
      <c r="A2211" s="9"/>
    </row>
    <row r="2212" spans="1:1">
      <c r="A2212" s="9"/>
    </row>
    <row r="2213" spans="1:1">
      <c r="A2213" s="9"/>
    </row>
    <row r="2214" spans="1:1">
      <c r="A2214" s="9"/>
    </row>
    <row r="2215" spans="1:1">
      <c r="A2215" s="9"/>
    </row>
    <row r="2216" spans="1:1">
      <c r="A2216" s="9"/>
    </row>
    <row r="2217" spans="1:1">
      <c r="A2217" s="9"/>
    </row>
    <row r="2218" spans="1:1">
      <c r="A2218" s="9"/>
    </row>
    <row r="2219" spans="1:1">
      <c r="A2219" s="9"/>
    </row>
    <row r="2220" spans="1:1">
      <c r="A2220" s="9"/>
    </row>
    <row r="2221" spans="1:1">
      <c r="A2221" s="9"/>
    </row>
    <row r="2222" spans="1:1">
      <c r="A2222" s="9"/>
    </row>
    <row r="2223" spans="1:1">
      <c r="A2223" s="9"/>
    </row>
    <row r="2224" spans="1:1">
      <c r="A2224" s="9"/>
    </row>
    <row r="2225" spans="1:1">
      <c r="A2225" s="9"/>
    </row>
    <row r="2226" spans="1:1">
      <c r="A2226" s="9"/>
    </row>
    <row r="2227" spans="1:1">
      <c r="A2227" s="9"/>
    </row>
    <row r="2228" spans="1:1">
      <c r="A2228" s="9"/>
    </row>
    <row r="2229" spans="1:1">
      <c r="A2229" s="9"/>
    </row>
    <row r="2230" spans="1:1">
      <c r="A2230" s="9"/>
    </row>
    <row r="2231" spans="1:1">
      <c r="A2231" s="9"/>
    </row>
    <row r="2232" spans="1:1">
      <c r="A2232" s="9"/>
    </row>
    <row r="2233" spans="1:1">
      <c r="A2233" s="9"/>
    </row>
    <row r="2234" spans="1:1">
      <c r="A2234" s="9"/>
    </row>
    <row r="2235" spans="1:1">
      <c r="A2235" s="9"/>
    </row>
    <row r="2236" spans="1:1">
      <c r="A2236" s="9"/>
    </row>
    <row r="2237" spans="1:1">
      <c r="A2237" s="9"/>
    </row>
    <row r="2238" spans="1:1">
      <c r="A2238" s="9"/>
    </row>
    <row r="2239" spans="1:1">
      <c r="A2239" s="9"/>
    </row>
    <row r="2240" spans="1:1">
      <c r="A2240" s="9"/>
    </row>
    <row r="2241" spans="1:1">
      <c r="A2241" s="9"/>
    </row>
    <row r="2242" spans="1:1">
      <c r="A2242" s="9"/>
    </row>
    <row r="2243" spans="1:1">
      <c r="A2243" s="9"/>
    </row>
    <row r="2244" spans="1:1">
      <c r="A2244" s="9"/>
    </row>
    <row r="2245" spans="1:1">
      <c r="A2245" s="9"/>
    </row>
    <row r="2246" spans="1:1">
      <c r="A2246" s="9"/>
    </row>
    <row r="2247" spans="1:1">
      <c r="A2247" s="9"/>
    </row>
    <row r="2248" spans="1:1">
      <c r="A2248" s="9"/>
    </row>
    <row r="2249" spans="1:1">
      <c r="A2249" s="9"/>
    </row>
    <row r="2250" spans="1:1">
      <c r="A2250" s="9"/>
    </row>
    <row r="2251" spans="1:1">
      <c r="A2251" s="9"/>
    </row>
    <row r="2252" spans="1:1">
      <c r="A2252" s="9"/>
    </row>
    <row r="2253" spans="1:1">
      <c r="A2253" s="9"/>
    </row>
    <row r="2254" spans="1:1">
      <c r="A2254" s="9"/>
    </row>
    <row r="2255" spans="1:1">
      <c r="A2255" s="9"/>
    </row>
    <row r="2256" spans="1:1">
      <c r="A2256" s="9"/>
    </row>
    <row r="2257" spans="1:1">
      <c r="A2257" s="9"/>
    </row>
    <row r="2258" spans="1:1">
      <c r="A2258" s="9"/>
    </row>
    <row r="2259" spans="1:1">
      <c r="A2259" s="9"/>
    </row>
    <row r="2260" spans="1:1">
      <c r="A2260" s="9"/>
    </row>
    <row r="2261" spans="1:1">
      <c r="A2261" s="9"/>
    </row>
    <row r="2262" spans="1:1">
      <c r="A2262" s="9"/>
    </row>
    <row r="2263" spans="1:1">
      <c r="A2263" s="9"/>
    </row>
    <row r="2264" spans="1:1">
      <c r="A2264" s="9"/>
    </row>
    <row r="2265" spans="1:1">
      <c r="A2265" s="9"/>
    </row>
    <row r="2266" spans="1:1">
      <c r="A2266" s="9"/>
    </row>
    <row r="2267" spans="1:1">
      <c r="A2267" s="9"/>
    </row>
    <row r="2268" spans="1:1">
      <c r="A2268" s="9"/>
    </row>
    <row r="2269" spans="1:1">
      <c r="A2269" s="9"/>
    </row>
    <row r="2270" spans="1:1">
      <c r="A2270" s="9"/>
    </row>
    <row r="2271" spans="1:1">
      <c r="A2271" s="9"/>
    </row>
    <row r="2272" spans="1:1">
      <c r="A2272" s="9"/>
    </row>
    <row r="2273" spans="1:1">
      <c r="A2273" s="9"/>
    </row>
    <row r="2274" spans="1:1">
      <c r="A2274" s="9"/>
    </row>
    <row r="2275" spans="1:1">
      <c r="A2275" s="9"/>
    </row>
    <row r="2276" spans="1:1">
      <c r="A2276" s="9"/>
    </row>
    <row r="2277" spans="1:1">
      <c r="A2277" s="9"/>
    </row>
    <row r="2278" spans="1:1">
      <c r="A2278" s="9"/>
    </row>
    <row r="2279" spans="1:1">
      <c r="A2279" s="9"/>
    </row>
    <row r="2280" spans="1:1">
      <c r="A2280" s="9"/>
    </row>
    <row r="2281" spans="1:1">
      <c r="A2281" s="9"/>
    </row>
    <row r="2282" spans="1:1">
      <c r="A2282" s="9"/>
    </row>
    <row r="2283" spans="1:1">
      <c r="A2283" s="9"/>
    </row>
    <row r="2284" spans="1:1">
      <c r="A2284" s="9"/>
    </row>
    <row r="2285" spans="1:1">
      <c r="A2285" s="9"/>
    </row>
    <row r="2286" spans="1:1">
      <c r="A2286" s="9"/>
    </row>
    <row r="2287" spans="1:1">
      <c r="A2287" s="9"/>
    </row>
    <row r="2288" spans="1:1">
      <c r="A2288" s="9"/>
    </row>
    <row r="2289" spans="1:1">
      <c r="A2289" s="9"/>
    </row>
    <row r="2290" spans="1:1">
      <c r="A2290" s="9"/>
    </row>
    <row r="2291" spans="1:1">
      <c r="A2291" s="9"/>
    </row>
    <row r="2292" spans="1:1">
      <c r="A2292" s="9"/>
    </row>
    <row r="2293" spans="1:1">
      <c r="A2293" s="9"/>
    </row>
    <row r="2294" spans="1:1">
      <c r="A2294" s="9"/>
    </row>
    <row r="2295" spans="1:1">
      <c r="A2295" s="9"/>
    </row>
    <row r="2296" spans="1:1">
      <c r="A2296" s="9"/>
    </row>
    <row r="2297" spans="1:1">
      <c r="A2297" s="9"/>
    </row>
    <row r="2298" spans="1:1">
      <c r="A2298" s="9"/>
    </row>
    <row r="2299" spans="1:1">
      <c r="A2299" s="9"/>
    </row>
    <row r="2300" spans="1:1">
      <c r="A2300" s="9"/>
    </row>
    <row r="2301" spans="1:1">
      <c r="A2301" s="9"/>
    </row>
    <row r="2302" spans="1:1">
      <c r="A2302" s="9"/>
    </row>
    <row r="2303" spans="1:1">
      <c r="A2303" s="9"/>
    </row>
    <row r="2304" spans="1:1">
      <c r="A2304" s="9"/>
    </row>
    <row r="2305" spans="1:1">
      <c r="A2305" s="9"/>
    </row>
    <row r="2306" spans="1:1">
      <c r="A2306" s="9"/>
    </row>
    <row r="2307" spans="1:1">
      <c r="A2307" s="9"/>
    </row>
    <row r="2308" spans="1:1">
      <c r="A2308" s="9"/>
    </row>
    <row r="2309" spans="1:1">
      <c r="A2309" s="9"/>
    </row>
    <row r="2310" spans="1:1">
      <c r="A2310" s="9"/>
    </row>
    <row r="2311" spans="1:1">
      <c r="A2311" s="9"/>
    </row>
    <row r="2312" spans="1:1">
      <c r="A2312" s="9"/>
    </row>
    <row r="2313" spans="1:1">
      <c r="A2313" s="9"/>
    </row>
    <row r="2314" spans="1:1">
      <c r="A2314" s="9"/>
    </row>
    <row r="2315" spans="1:1">
      <c r="A2315" s="9"/>
    </row>
    <row r="2316" spans="1:1">
      <c r="A2316" s="9"/>
    </row>
    <row r="2317" spans="1:1">
      <c r="A2317" s="9"/>
    </row>
    <row r="2318" spans="1:1">
      <c r="A2318" s="9"/>
    </row>
    <row r="2319" spans="1:1">
      <c r="A2319" s="9"/>
    </row>
    <row r="2320" spans="1:1">
      <c r="A2320" s="9"/>
    </row>
    <row r="2321" spans="1:1">
      <c r="A2321" s="9"/>
    </row>
    <row r="2322" spans="1:1">
      <c r="A2322" s="9"/>
    </row>
    <row r="2323" spans="1:1">
      <c r="A2323" s="9"/>
    </row>
    <row r="2324" spans="1:1">
      <c r="A2324" s="9"/>
    </row>
    <row r="2325" spans="1:1">
      <c r="A2325" s="9"/>
    </row>
    <row r="2326" spans="1:1">
      <c r="A2326" s="9"/>
    </row>
    <row r="2327" spans="1:1">
      <c r="A2327" s="9"/>
    </row>
    <row r="2328" spans="1:1">
      <c r="A2328" s="9"/>
    </row>
    <row r="2329" spans="1:1">
      <c r="A2329" s="9"/>
    </row>
    <row r="2330" spans="1:1">
      <c r="A2330" s="9"/>
    </row>
    <row r="2331" spans="1:1">
      <c r="A2331" s="9"/>
    </row>
    <row r="2332" spans="1:1">
      <c r="A2332" s="9"/>
    </row>
    <row r="2333" spans="1:1">
      <c r="A2333" s="9"/>
    </row>
    <row r="2334" spans="1:1">
      <c r="A2334" s="9"/>
    </row>
    <row r="2335" spans="1:1">
      <c r="A2335" s="9"/>
    </row>
    <row r="2336" spans="1:1">
      <c r="A2336" s="9"/>
    </row>
    <row r="2337" spans="1:1">
      <c r="A2337" s="9"/>
    </row>
    <row r="2338" spans="1:1">
      <c r="A2338" s="9"/>
    </row>
    <row r="2339" spans="1:1">
      <c r="A2339" s="9"/>
    </row>
    <row r="2340" spans="1:1">
      <c r="A2340" s="9"/>
    </row>
    <row r="2341" spans="1:1">
      <c r="A2341" s="9"/>
    </row>
    <row r="2342" spans="1:1">
      <c r="A2342" s="9"/>
    </row>
    <row r="2343" spans="1:1">
      <c r="A2343" s="9"/>
    </row>
    <row r="2344" spans="1:1">
      <c r="A2344" s="9"/>
    </row>
    <row r="2345" spans="1:1">
      <c r="A2345" s="9"/>
    </row>
    <row r="2346" spans="1:1">
      <c r="A2346" s="9"/>
    </row>
    <row r="2347" spans="1:1">
      <c r="A2347" s="9"/>
    </row>
    <row r="2348" spans="1:1">
      <c r="A2348" s="9"/>
    </row>
    <row r="2349" spans="1:1">
      <c r="A2349" s="9"/>
    </row>
    <row r="2350" spans="1:1">
      <c r="A2350" s="9"/>
    </row>
    <row r="2351" spans="1:1">
      <c r="A2351" s="9"/>
    </row>
    <row r="2352" spans="1:1">
      <c r="A2352" s="9"/>
    </row>
    <row r="2353" spans="1:1">
      <c r="A2353" s="9"/>
    </row>
    <row r="2354" spans="1:1">
      <c r="A2354" s="9"/>
    </row>
    <row r="2355" spans="1:1">
      <c r="A2355" s="9"/>
    </row>
    <row r="2356" spans="1:1">
      <c r="A2356" s="9"/>
    </row>
    <row r="2357" spans="1:1">
      <c r="A2357" s="9"/>
    </row>
    <row r="2358" spans="1:1">
      <c r="A2358" s="9"/>
    </row>
    <row r="2359" spans="1:1">
      <c r="A2359" s="9"/>
    </row>
    <row r="2360" spans="1:1">
      <c r="A2360" s="9"/>
    </row>
    <row r="2361" spans="1:1">
      <c r="A2361" s="9"/>
    </row>
    <row r="2362" spans="1:1">
      <c r="A2362" s="9"/>
    </row>
    <row r="2363" spans="1:1">
      <c r="A2363" s="9"/>
    </row>
    <row r="2364" spans="1:1">
      <c r="A2364" s="9"/>
    </row>
    <row r="2365" spans="1:1">
      <c r="A2365" s="9"/>
    </row>
    <row r="2366" spans="1:1">
      <c r="A2366" s="9"/>
    </row>
    <row r="2367" spans="1:1">
      <c r="A2367" s="9"/>
    </row>
    <row r="2368" spans="1:1">
      <c r="A2368" s="9"/>
    </row>
    <row r="2369" spans="1:1">
      <c r="A2369" s="9"/>
    </row>
    <row r="2370" spans="1:1">
      <c r="A2370" s="9"/>
    </row>
    <row r="2371" spans="1:1">
      <c r="A2371" s="9"/>
    </row>
    <row r="2372" spans="1:1">
      <c r="A2372" s="9"/>
    </row>
    <row r="2373" spans="1:1">
      <c r="A2373" s="9"/>
    </row>
    <row r="2374" spans="1:1">
      <c r="A2374" s="9"/>
    </row>
    <row r="2375" spans="1:1">
      <c r="A2375" s="9"/>
    </row>
    <row r="2376" spans="1:1">
      <c r="A2376" s="9"/>
    </row>
    <row r="2377" spans="1:1">
      <c r="A2377" s="9"/>
    </row>
    <row r="2378" spans="1:1">
      <c r="A2378" s="9"/>
    </row>
    <row r="2379" spans="1:1">
      <c r="A2379" s="9"/>
    </row>
    <row r="2380" spans="1:1">
      <c r="A2380" s="9"/>
    </row>
    <row r="2381" spans="1:1">
      <c r="A2381" s="9"/>
    </row>
    <row r="2382" spans="1:1">
      <c r="A2382" s="9"/>
    </row>
    <row r="2383" spans="1:1">
      <c r="A2383" s="9"/>
    </row>
    <row r="2384" spans="1:1">
      <c r="A2384" s="9"/>
    </row>
    <row r="2385" spans="1:1">
      <c r="A2385" s="9"/>
    </row>
    <row r="2386" spans="1:1">
      <c r="A2386" s="9"/>
    </row>
    <row r="2387" spans="1:1">
      <c r="A2387" s="9"/>
    </row>
    <row r="2388" spans="1:1">
      <c r="A2388" s="9"/>
    </row>
    <row r="2389" spans="1:1">
      <c r="A2389" s="9"/>
    </row>
    <row r="2390" spans="1:1">
      <c r="A2390" s="9"/>
    </row>
    <row r="2391" spans="1:1">
      <c r="A2391" s="9"/>
    </row>
    <row r="2392" spans="1:1">
      <c r="A2392" s="9"/>
    </row>
    <row r="2393" spans="1:1">
      <c r="A2393" s="9"/>
    </row>
    <row r="2394" spans="1:1">
      <c r="A2394" s="9"/>
    </row>
    <row r="2395" spans="1:1">
      <c r="A2395" s="9"/>
    </row>
    <row r="2396" spans="1:1">
      <c r="A2396" s="9"/>
    </row>
    <row r="2397" spans="1:1">
      <c r="A2397" s="9"/>
    </row>
    <row r="2398" spans="1:1">
      <c r="A2398" s="9"/>
    </row>
    <row r="2399" spans="1:1">
      <c r="A2399" s="9"/>
    </row>
    <row r="2400" spans="1:1">
      <c r="A2400" s="9"/>
    </row>
    <row r="2401" spans="1:1">
      <c r="A2401" s="9"/>
    </row>
    <row r="2402" spans="1:1">
      <c r="A2402" s="9"/>
    </row>
    <row r="2403" spans="1:1">
      <c r="A2403" s="9"/>
    </row>
    <row r="2404" spans="1:1">
      <c r="A2404" s="9"/>
    </row>
    <row r="2405" spans="1:1">
      <c r="A2405" s="9"/>
    </row>
    <row r="2406" spans="1:1">
      <c r="A2406" s="9"/>
    </row>
    <row r="2407" spans="1:1">
      <c r="A2407" s="9"/>
    </row>
    <row r="2408" spans="1:1">
      <c r="A2408" s="9"/>
    </row>
    <row r="2409" spans="1:1">
      <c r="A2409" s="9"/>
    </row>
    <row r="2410" spans="1:1">
      <c r="A2410" s="9"/>
    </row>
    <row r="2411" spans="1:1">
      <c r="A2411" s="9"/>
    </row>
    <row r="2412" spans="1:1">
      <c r="A2412" s="9"/>
    </row>
    <row r="2413" spans="1:1">
      <c r="A2413" s="9"/>
    </row>
    <row r="2414" spans="1:1">
      <c r="A2414" s="9"/>
    </row>
    <row r="2415" spans="1:1">
      <c r="A2415" s="9"/>
    </row>
    <row r="2416" spans="1:1">
      <c r="A2416" s="9"/>
    </row>
    <row r="2417" spans="1:1">
      <c r="A2417" s="9"/>
    </row>
    <row r="2418" spans="1:1">
      <c r="A2418" s="9"/>
    </row>
    <row r="2419" spans="1:1">
      <c r="A2419" s="9"/>
    </row>
    <row r="2420" spans="1:1">
      <c r="A2420" s="9"/>
    </row>
    <row r="2421" spans="1:1">
      <c r="A2421" s="9"/>
    </row>
    <row r="2422" spans="1:1">
      <c r="A2422" s="9"/>
    </row>
    <row r="2423" spans="1:1">
      <c r="A2423" s="9"/>
    </row>
    <row r="2424" spans="1:1">
      <c r="A2424" s="9"/>
    </row>
    <row r="2425" spans="1:1">
      <c r="A2425" s="9"/>
    </row>
    <row r="2426" spans="1:1">
      <c r="A2426" s="9"/>
    </row>
    <row r="2427" spans="1:1">
      <c r="A2427" s="9"/>
    </row>
    <row r="2428" spans="1:1">
      <c r="A2428" s="9"/>
    </row>
    <row r="2429" spans="1:1">
      <c r="A2429" s="9"/>
    </row>
    <row r="2430" spans="1:1">
      <c r="A2430" s="9"/>
    </row>
    <row r="2431" spans="1:1">
      <c r="A2431" s="9"/>
    </row>
    <row r="2432" spans="1:1">
      <c r="A2432" s="9"/>
    </row>
    <row r="2433" spans="1:1">
      <c r="A2433" s="9"/>
    </row>
    <row r="2434" spans="1:1">
      <c r="A2434" s="9"/>
    </row>
    <row r="2435" spans="1:1">
      <c r="A2435" s="9"/>
    </row>
    <row r="2436" spans="1:1">
      <c r="A2436" s="9"/>
    </row>
    <row r="2437" spans="1:1">
      <c r="A2437" s="9"/>
    </row>
    <row r="2438" spans="1:1">
      <c r="A2438" s="9"/>
    </row>
    <row r="2439" spans="1:1">
      <c r="A2439" s="9"/>
    </row>
    <row r="2440" spans="1:1">
      <c r="A2440" s="9"/>
    </row>
    <row r="2441" spans="1:1">
      <c r="A2441" s="9"/>
    </row>
    <row r="2442" spans="1:1">
      <c r="A2442" s="9"/>
    </row>
    <row r="2443" spans="1:1">
      <c r="A2443" s="9"/>
    </row>
    <row r="2444" spans="1:1">
      <c r="A2444" s="9"/>
    </row>
    <row r="2445" spans="1:1">
      <c r="A2445" s="9"/>
    </row>
    <row r="2446" spans="1:1">
      <c r="A2446" s="9"/>
    </row>
    <row r="2447" spans="1:1">
      <c r="A2447" s="9"/>
    </row>
    <row r="2448" spans="1:1">
      <c r="A2448" s="9"/>
    </row>
    <row r="2449" spans="1:1">
      <c r="A2449" s="9"/>
    </row>
    <row r="2450" spans="1:1">
      <c r="A2450" s="9"/>
    </row>
    <row r="2451" spans="1:1">
      <c r="A2451" s="9"/>
    </row>
    <row r="2452" spans="1:1">
      <c r="A2452" s="9"/>
    </row>
    <row r="2453" spans="1:1">
      <c r="A2453" s="9"/>
    </row>
    <row r="2454" spans="1:1">
      <c r="A2454" s="9"/>
    </row>
    <row r="2455" spans="1:1">
      <c r="A2455" s="9"/>
    </row>
    <row r="2456" spans="1:1">
      <c r="A2456" s="9"/>
    </row>
    <row r="2457" spans="1:1">
      <c r="A2457" s="9"/>
    </row>
    <row r="2458" spans="1:1">
      <c r="A2458" s="9"/>
    </row>
    <row r="2459" spans="1:1">
      <c r="A2459" s="9"/>
    </row>
    <row r="2460" spans="1:1">
      <c r="A2460" s="9"/>
    </row>
    <row r="2461" spans="1:1">
      <c r="A2461" s="9"/>
    </row>
    <row r="2462" spans="1:1">
      <c r="A2462" s="9"/>
    </row>
    <row r="2463" spans="1:1">
      <c r="A2463" s="9"/>
    </row>
    <row r="2464" spans="1:1">
      <c r="A2464" s="9"/>
    </row>
    <row r="2465" spans="1:1">
      <c r="A2465" s="9"/>
    </row>
    <row r="2466" spans="1:1">
      <c r="A2466" s="9"/>
    </row>
    <row r="2467" spans="1:1">
      <c r="A2467" s="9"/>
    </row>
    <row r="2468" spans="1:1">
      <c r="A2468" s="9"/>
    </row>
    <row r="2469" spans="1:1">
      <c r="A2469" s="9"/>
    </row>
    <row r="2470" spans="1:1">
      <c r="A2470" s="9"/>
    </row>
    <row r="2471" spans="1:1">
      <c r="A2471" s="9"/>
    </row>
    <row r="2472" spans="1:1">
      <c r="A2472" s="9"/>
    </row>
    <row r="2473" spans="1:1">
      <c r="A2473" s="9"/>
    </row>
    <row r="2474" spans="1:1">
      <c r="A2474" s="9"/>
    </row>
    <row r="2475" spans="1:1">
      <c r="A2475" s="9"/>
    </row>
    <row r="2476" spans="1:1">
      <c r="A2476" s="9"/>
    </row>
    <row r="2477" spans="1:1">
      <c r="A2477" s="9"/>
    </row>
    <row r="2478" spans="1:1">
      <c r="A2478" s="9"/>
    </row>
    <row r="2479" spans="1:1">
      <c r="A2479" s="9"/>
    </row>
    <row r="2480" spans="1:1">
      <c r="A2480" s="9"/>
    </row>
    <row r="2481" spans="1:1">
      <c r="A2481" s="9"/>
    </row>
    <row r="2482" spans="1:1">
      <c r="A2482" s="9"/>
    </row>
    <row r="2483" spans="1:1">
      <c r="A2483" s="9"/>
    </row>
    <row r="2484" spans="1:1">
      <c r="A2484" s="9"/>
    </row>
    <row r="2485" spans="1:1">
      <c r="A2485" s="9"/>
    </row>
    <row r="2486" spans="1:1">
      <c r="A2486" s="9"/>
    </row>
    <row r="2487" spans="1:1">
      <c r="A2487" s="9"/>
    </row>
    <row r="2488" spans="1:1">
      <c r="A2488" s="9"/>
    </row>
    <row r="2489" spans="1:1">
      <c r="A2489" s="9"/>
    </row>
    <row r="2490" spans="1:1">
      <c r="A2490" s="9"/>
    </row>
    <row r="2491" spans="1:1">
      <c r="A2491" s="9"/>
    </row>
    <row r="2492" spans="1:1">
      <c r="A2492" s="9"/>
    </row>
    <row r="2493" spans="1:1">
      <c r="A2493" s="9"/>
    </row>
    <row r="2494" spans="1:1">
      <c r="A2494" s="9"/>
    </row>
    <row r="2495" spans="1:1">
      <c r="A2495" s="9"/>
    </row>
    <row r="2496" spans="1:1">
      <c r="A2496" s="9"/>
    </row>
    <row r="2497" spans="1:1">
      <c r="A2497" s="9"/>
    </row>
    <row r="2498" spans="1:1">
      <c r="A2498" s="9"/>
    </row>
    <row r="2499" spans="1:1">
      <c r="A2499" s="9"/>
    </row>
    <row r="2500" spans="1:1">
      <c r="A2500" s="9"/>
    </row>
    <row r="2501" spans="1:1">
      <c r="A2501" s="9"/>
    </row>
    <row r="2502" spans="1:1">
      <c r="A2502" s="9"/>
    </row>
    <row r="2503" spans="1:1">
      <c r="A2503" s="9"/>
    </row>
    <row r="2504" spans="1:1">
      <c r="A2504" s="9"/>
    </row>
    <row r="2505" spans="1:1">
      <c r="A2505" s="9"/>
    </row>
    <row r="2506" spans="1:1">
      <c r="A2506" s="9"/>
    </row>
    <row r="2507" spans="1:1">
      <c r="A2507" s="9"/>
    </row>
    <row r="2508" spans="1:1">
      <c r="A2508" s="9"/>
    </row>
    <row r="2509" spans="1:1">
      <c r="A2509" s="9"/>
    </row>
    <row r="2510" spans="1:1">
      <c r="A2510" s="9"/>
    </row>
    <row r="2511" spans="1:1">
      <c r="A2511" s="9"/>
    </row>
    <row r="2512" spans="1:1">
      <c r="A2512" s="9"/>
    </row>
    <row r="2513" spans="1:1">
      <c r="A2513" s="9"/>
    </row>
    <row r="2514" spans="1:1">
      <c r="A2514" s="9"/>
    </row>
    <row r="2515" spans="1:1">
      <c r="A2515" s="9"/>
    </row>
    <row r="2516" spans="1:1">
      <c r="A2516" s="9"/>
    </row>
    <row r="2517" spans="1:1">
      <c r="A2517" s="9"/>
    </row>
    <row r="2518" spans="1:1">
      <c r="A2518" s="9"/>
    </row>
    <row r="2519" spans="1:1">
      <c r="A2519" s="9"/>
    </row>
    <row r="2520" spans="1:1">
      <c r="A2520" s="9"/>
    </row>
    <row r="2521" spans="1:1">
      <c r="A2521" s="9"/>
    </row>
    <row r="2522" spans="1:1">
      <c r="A2522" s="9"/>
    </row>
    <row r="2523" spans="1:1">
      <c r="A2523" s="9"/>
    </row>
    <row r="2524" spans="1:1">
      <c r="A2524" s="9"/>
    </row>
    <row r="2525" spans="1:1">
      <c r="A2525" s="9"/>
    </row>
    <row r="2526" spans="1:1">
      <c r="A2526" s="9"/>
    </row>
    <row r="2527" spans="1:1">
      <c r="A2527" s="9"/>
    </row>
    <row r="2528" spans="1:1">
      <c r="A2528" s="9"/>
    </row>
    <row r="2529" spans="1:1">
      <c r="A2529" s="9"/>
    </row>
    <row r="2530" spans="1:1">
      <c r="A2530" s="9"/>
    </row>
    <row r="2531" spans="1:1">
      <c r="A2531" s="9"/>
    </row>
    <row r="2532" spans="1:1">
      <c r="A2532" s="9"/>
    </row>
    <row r="2533" spans="1:1">
      <c r="A2533" s="9"/>
    </row>
    <row r="2534" spans="1:1">
      <c r="A2534" s="9"/>
    </row>
    <row r="2535" spans="1:1">
      <c r="A2535" s="9"/>
    </row>
    <row r="2536" spans="1:1">
      <c r="A2536" s="9"/>
    </row>
    <row r="2537" spans="1:1">
      <c r="A2537" s="9"/>
    </row>
    <row r="2538" spans="1:1">
      <c r="A2538" s="9"/>
    </row>
    <row r="2539" spans="1:1">
      <c r="A2539" s="9"/>
    </row>
    <row r="2540" spans="1:1">
      <c r="A2540" s="9"/>
    </row>
    <row r="2541" spans="1:1">
      <c r="A2541" s="9"/>
    </row>
    <row r="2542" spans="1:1">
      <c r="A2542" s="9"/>
    </row>
    <row r="2543" spans="1:1">
      <c r="A2543" s="9"/>
    </row>
    <row r="2544" spans="1:1">
      <c r="A2544" s="9"/>
    </row>
    <row r="2545" spans="1:1">
      <c r="A2545" s="9"/>
    </row>
    <row r="2546" spans="1:1">
      <c r="A2546" s="9"/>
    </row>
    <row r="2547" spans="1:1">
      <c r="A2547" s="9"/>
    </row>
    <row r="2548" spans="1:1">
      <c r="A2548" s="9"/>
    </row>
    <row r="2549" spans="1:1">
      <c r="A2549" s="9"/>
    </row>
    <row r="2550" spans="1:1">
      <c r="A2550" s="9"/>
    </row>
    <row r="2551" spans="1:1">
      <c r="A2551" s="9"/>
    </row>
    <row r="2552" spans="1:1">
      <c r="A2552" s="9"/>
    </row>
    <row r="2553" spans="1:1">
      <c r="A2553" s="9"/>
    </row>
    <row r="2554" spans="1:1">
      <c r="A2554" s="9"/>
    </row>
    <row r="2555" spans="1:1">
      <c r="A2555" s="9"/>
    </row>
    <row r="2556" spans="1:1">
      <c r="A2556" s="9"/>
    </row>
    <row r="2557" spans="1:1">
      <c r="A2557" s="9"/>
    </row>
    <row r="2558" spans="1:1">
      <c r="A2558" s="9"/>
    </row>
    <row r="2559" spans="1:1">
      <c r="A2559" s="9"/>
    </row>
    <row r="2560" spans="1:1">
      <c r="A2560" s="9"/>
    </row>
    <row r="2561" spans="1:1">
      <c r="A2561" s="9"/>
    </row>
    <row r="2562" spans="1:1">
      <c r="A2562" s="9"/>
    </row>
    <row r="2563" spans="1:1">
      <c r="A2563" s="9"/>
    </row>
    <row r="2564" spans="1:1">
      <c r="A2564" s="9"/>
    </row>
    <row r="2565" spans="1:1">
      <c r="A2565" s="9"/>
    </row>
    <row r="2566" spans="1:1">
      <c r="A2566" s="9"/>
    </row>
    <row r="2567" spans="1:1">
      <c r="A2567" s="9"/>
    </row>
    <row r="2568" spans="1:1">
      <c r="A2568" s="9"/>
    </row>
    <row r="2569" spans="1:1">
      <c r="A2569" s="9"/>
    </row>
    <row r="2570" spans="1:1">
      <c r="A2570" s="9"/>
    </row>
    <row r="2571" spans="1:1">
      <c r="A2571" s="9"/>
    </row>
    <row r="2572" spans="1:1">
      <c r="A2572" s="9"/>
    </row>
    <row r="2573" spans="1:1">
      <c r="A2573" s="9"/>
    </row>
    <row r="2574" spans="1:1">
      <c r="A2574" s="9"/>
    </row>
    <row r="2575" spans="1:1">
      <c r="A2575" s="9"/>
    </row>
    <row r="2576" spans="1:1">
      <c r="A2576" s="9"/>
    </row>
    <row r="2577" spans="1:1">
      <c r="A2577" s="9"/>
    </row>
    <row r="2578" spans="1:1">
      <c r="A2578" s="9"/>
    </row>
    <row r="2579" spans="1:1">
      <c r="A2579" s="9"/>
    </row>
    <row r="2580" spans="1:1">
      <c r="A2580" s="9"/>
    </row>
    <row r="2581" spans="1:1">
      <c r="A2581" s="9"/>
    </row>
    <row r="2582" spans="1:1">
      <c r="A2582" s="9"/>
    </row>
    <row r="2583" spans="1:1">
      <c r="A2583" s="9"/>
    </row>
    <row r="2584" spans="1:1">
      <c r="A2584" s="9"/>
    </row>
    <row r="2585" spans="1:1">
      <c r="A2585" s="9"/>
    </row>
    <row r="2586" spans="1:1">
      <c r="A2586" s="9"/>
    </row>
    <row r="2587" spans="1:1">
      <c r="A2587" s="9"/>
    </row>
    <row r="2588" spans="1:1">
      <c r="A2588" s="9"/>
    </row>
    <row r="2589" spans="1:1">
      <c r="A2589" s="9"/>
    </row>
    <row r="2590" spans="1:1">
      <c r="A2590" s="9"/>
    </row>
    <row r="2591" spans="1:1">
      <c r="A2591" s="9"/>
    </row>
    <row r="2592" spans="1:1">
      <c r="A2592" s="9"/>
    </row>
    <row r="2593" spans="1:1">
      <c r="A2593" s="9"/>
    </row>
    <row r="2594" spans="1:1">
      <c r="A2594" s="9"/>
    </row>
    <row r="2595" spans="1:1">
      <c r="A2595" s="9"/>
    </row>
    <row r="2596" spans="1:1">
      <c r="A2596" s="9"/>
    </row>
    <row r="2597" spans="1:1">
      <c r="A2597" s="9"/>
    </row>
    <row r="2598" spans="1:1">
      <c r="A2598" s="9"/>
    </row>
    <row r="2599" spans="1:1">
      <c r="A2599" s="9"/>
    </row>
    <row r="2600" spans="1:1">
      <c r="A2600" s="9"/>
    </row>
    <row r="2601" spans="1:1">
      <c r="A2601" s="9"/>
    </row>
    <row r="2602" spans="1:1">
      <c r="A2602" s="9"/>
    </row>
    <row r="2603" spans="1:1">
      <c r="A2603" s="9"/>
    </row>
    <row r="2604" spans="1:1">
      <c r="A2604" s="9"/>
    </row>
    <row r="2605" spans="1:1">
      <c r="A2605" s="9"/>
    </row>
    <row r="2606" spans="1:1">
      <c r="A2606" s="9"/>
    </row>
    <row r="2607" spans="1:1">
      <c r="A2607" s="9"/>
    </row>
    <row r="2608" spans="1:1">
      <c r="A2608" s="9"/>
    </row>
    <row r="2609" spans="1:1">
      <c r="A2609" s="9"/>
    </row>
    <row r="2610" spans="1:1">
      <c r="A2610" s="9"/>
    </row>
    <row r="2611" spans="1:1">
      <c r="A2611" s="9"/>
    </row>
    <row r="2612" spans="1:1">
      <c r="A2612" s="9"/>
    </row>
    <row r="2613" spans="1:1">
      <c r="A2613" s="9"/>
    </row>
    <row r="2614" spans="1:1">
      <c r="A2614" s="9"/>
    </row>
    <row r="2615" spans="1:1">
      <c r="A2615" s="9"/>
    </row>
    <row r="2616" spans="1:1">
      <c r="A2616" s="9"/>
    </row>
    <row r="2617" spans="1:1">
      <c r="A2617" s="9"/>
    </row>
    <row r="2618" spans="1:1">
      <c r="A2618" s="9"/>
    </row>
    <row r="2619" spans="1:1">
      <c r="A2619" s="9"/>
    </row>
    <row r="2620" spans="1:1">
      <c r="A2620" s="9"/>
    </row>
    <row r="2621" spans="1:1">
      <c r="A2621" s="9"/>
    </row>
    <row r="2622" spans="1:1">
      <c r="A2622" s="9"/>
    </row>
    <row r="2623" spans="1:1">
      <c r="A2623" s="9"/>
    </row>
    <row r="2624" spans="1:1">
      <c r="A2624" s="9"/>
    </row>
    <row r="2625" spans="1:1">
      <c r="A2625" s="9"/>
    </row>
    <row r="2626" spans="1:1">
      <c r="A2626" s="9"/>
    </row>
    <row r="2627" spans="1:1">
      <c r="A2627" s="9"/>
    </row>
    <row r="2628" spans="1:1">
      <c r="A2628" s="9"/>
    </row>
    <row r="2629" spans="1:1">
      <c r="A2629" s="9"/>
    </row>
    <row r="2630" spans="1:1">
      <c r="A2630" s="9"/>
    </row>
    <row r="2631" spans="1:1">
      <c r="A2631" s="9"/>
    </row>
    <row r="2632" spans="1:1">
      <c r="A2632" s="9"/>
    </row>
    <row r="2633" spans="1:1">
      <c r="A2633" s="9"/>
    </row>
    <row r="2634" spans="1:1">
      <c r="A2634" s="9"/>
    </row>
    <row r="2635" spans="1:1">
      <c r="A2635" s="9"/>
    </row>
    <row r="2636" spans="1:1">
      <c r="A2636" s="9"/>
    </row>
    <row r="2637" spans="1:1">
      <c r="A2637" s="9"/>
    </row>
    <row r="2638" spans="1:1">
      <c r="A2638" s="9"/>
    </row>
    <row r="2639" spans="1:1">
      <c r="A2639" s="9"/>
    </row>
    <row r="2640" spans="1:1">
      <c r="A2640" s="9"/>
    </row>
    <row r="2641" spans="1:1">
      <c r="A2641" s="9"/>
    </row>
    <row r="2642" spans="1:1">
      <c r="A2642" s="9"/>
    </row>
    <row r="2643" spans="1:1">
      <c r="A2643" s="9"/>
    </row>
    <row r="2644" spans="1:1">
      <c r="A2644" s="9"/>
    </row>
    <row r="2645" spans="1:1">
      <c r="A2645" s="9"/>
    </row>
    <row r="2646" spans="1:1">
      <c r="A2646" s="9"/>
    </row>
    <row r="2647" spans="1:1">
      <c r="A2647" s="9"/>
    </row>
    <row r="2648" spans="1:1">
      <c r="A2648" s="9"/>
    </row>
    <row r="2649" spans="1:1">
      <c r="A2649" s="9"/>
    </row>
    <row r="2650" spans="1:1">
      <c r="A2650" s="9"/>
    </row>
    <row r="2651" spans="1:1">
      <c r="A2651" s="9"/>
    </row>
    <row r="2652" spans="1:1">
      <c r="A2652" s="9"/>
    </row>
    <row r="2653" spans="1:1">
      <c r="A2653" s="9"/>
    </row>
    <row r="2654" spans="1:1">
      <c r="A2654" s="9"/>
    </row>
    <row r="2655" spans="1:1">
      <c r="A2655" s="9"/>
    </row>
    <row r="2656" spans="1:1">
      <c r="A2656" s="9"/>
    </row>
    <row r="2657" spans="1:1">
      <c r="A2657" s="9"/>
    </row>
    <row r="2658" spans="1:1">
      <c r="A2658" s="9"/>
    </row>
    <row r="2659" spans="1:1">
      <c r="A2659" s="9"/>
    </row>
    <row r="2660" spans="1:1">
      <c r="A2660" s="9"/>
    </row>
    <row r="2661" spans="1:1">
      <c r="A2661" s="9"/>
    </row>
    <row r="2662" spans="1:1">
      <c r="A2662" s="9"/>
    </row>
    <row r="2663" spans="1:1">
      <c r="A2663" s="9"/>
    </row>
    <row r="2664" spans="1:1">
      <c r="A2664" s="9"/>
    </row>
    <row r="2665" spans="1:1">
      <c r="A2665" s="9"/>
    </row>
    <row r="2666" spans="1:1">
      <c r="A2666" s="9"/>
    </row>
    <row r="2667" spans="1:1">
      <c r="A2667" s="9"/>
    </row>
    <row r="2668" spans="1:1">
      <c r="A2668" s="9"/>
    </row>
    <row r="2669" spans="1:1">
      <c r="A2669" s="9"/>
    </row>
    <row r="2670" spans="1:1">
      <c r="A2670" s="9"/>
    </row>
    <row r="2671" spans="1:1">
      <c r="A2671" s="9"/>
    </row>
    <row r="2672" spans="1:1">
      <c r="A2672" s="9"/>
    </row>
    <row r="2673" spans="1:1">
      <c r="A2673" s="9"/>
    </row>
    <row r="2674" spans="1:1">
      <c r="A2674" s="9"/>
    </row>
    <row r="2675" spans="1:1">
      <c r="A2675" s="9"/>
    </row>
    <row r="2676" spans="1:1">
      <c r="A2676" s="9"/>
    </row>
    <row r="2677" spans="1:1">
      <c r="A2677" s="9"/>
    </row>
    <row r="2678" spans="1:1">
      <c r="A2678" s="9"/>
    </row>
    <row r="2679" spans="1:1">
      <c r="A2679" s="9"/>
    </row>
    <row r="2680" spans="1:1">
      <c r="A2680" s="9"/>
    </row>
    <row r="2681" spans="1:1">
      <c r="A2681" s="9"/>
    </row>
    <row r="2682" spans="1:1">
      <c r="A2682" s="9"/>
    </row>
    <row r="2683" spans="1:1">
      <c r="A2683" s="9"/>
    </row>
    <row r="2684" spans="1:1">
      <c r="A2684" s="9"/>
    </row>
    <row r="2685" spans="1:1">
      <c r="A2685" s="9"/>
    </row>
    <row r="2686" spans="1:1">
      <c r="A2686" s="9"/>
    </row>
    <row r="2687" spans="1:1">
      <c r="A2687" s="9"/>
    </row>
    <row r="2688" spans="1:1">
      <c r="A2688" s="9"/>
    </row>
    <row r="2689" spans="1:1">
      <c r="A2689" s="9"/>
    </row>
    <row r="2690" spans="1:1">
      <c r="A2690" s="9"/>
    </row>
    <row r="2691" spans="1:1">
      <c r="A2691" s="9"/>
    </row>
    <row r="2692" spans="1:1">
      <c r="A2692" s="9"/>
    </row>
    <row r="2693" spans="1:1">
      <c r="A2693" s="9"/>
    </row>
    <row r="2694" spans="1:1">
      <c r="A2694" s="9"/>
    </row>
    <row r="2695" spans="1:1">
      <c r="A2695" s="9"/>
    </row>
    <row r="2696" spans="1:1">
      <c r="A2696" s="9"/>
    </row>
    <row r="2697" spans="1:1">
      <c r="A2697" s="9"/>
    </row>
    <row r="2698" spans="1:1">
      <c r="A2698" s="9"/>
    </row>
    <row r="2699" spans="1:1">
      <c r="A2699" s="9"/>
    </row>
    <row r="2700" spans="1:1">
      <c r="A2700" s="9"/>
    </row>
    <row r="2701" spans="1:1">
      <c r="A2701" s="9"/>
    </row>
    <row r="2702" spans="1:1">
      <c r="A2702" s="9"/>
    </row>
    <row r="2703" spans="1:1">
      <c r="A2703" s="9"/>
    </row>
    <row r="2704" spans="1:1">
      <c r="A2704" s="9"/>
    </row>
    <row r="2705" spans="1:1">
      <c r="A2705" s="9"/>
    </row>
    <row r="2706" spans="1:1">
      <c r="A2706" s="9"/>
    </row>
    <row r="2707" spans="1:1">
      <c r="A2707" s="9"/>
    </row>
    <row r="2708" spans="1:1">
      <c r="A2708" s="9"/>
    </row>
    <row r="2709" spans="1:1">
      <c r="A2709" s="9"/>
    </row>
    <row r="2710" spans="1:1">
      <c r="A2710" s="9"/>
    </row>
    <row r="2711" spans="1:1">
      <c r="A2711" s="9"/>
    </row>
    <row r="2712" spans="1:1">
      <c r="A2712" s="9"/>
    </row>
    <row r="2713" spans="1:1">
      <c r="A2713" s="9"/>
    </row>
    <row r="2714" spans="1:1">
      <c r="A2714" s="9"/>
    </row>
    <row r="2715" spans="1:1">
      <c r="A2715" s="9"/>
    </row>
    <row r="2716" spans="1:1">
      <c r="A2716" s="9"/>
    </row>
    <row r="2717" spans="1:1">
      <c r="A2717" s="9"/>
    </row>
    <row r="2718" spans="1:1">
      <c r="A2718" s="9"/>
    </row>
    <row r="2719" spans="1:1">
      <c r="A2719" s="9"/>
    </row>
    <row r="2720" spans="1:1">
      <c r="A2720" s="9"/>
    </row>
    <row r="2721" spans="1:1">
      <c r="A2721" s="9"/>
    </row>
    <row r="2722" spans="1:1">
      <c r="A2722" s="9"/>
    </row>
    <row r="2723" spans="1:1">
      <c r="A2723" s="9"/>
    </row>
    <row r="2724" spans="1:1">
      <c r="A2724" s="9"/>
    </row>
    <row r="2725" spans="1:1">
      <c r="A2725" s="9"/>
    </row>
    <row r="2726" spans="1:1">
      <c r="A2726" s="9"/>
    </row>
    <row r="2727" spans="1:1">
      <c r="A2727" s="9"/>
    </row>
    <row r="2728" spans="1:1">
      <c r="A2728" s="9"/>
    </row>
    <row r="2729" spans="1:1">
      <c r="A2729" s="9"/>
    </row>
    <row r="2730" spans="1:1">
      <c r="A2730" s="9"/>
    </row>
    <row r="2731" spans="1:1">
      <c r="A2731" s="9"/>
    </row>
    <row r="2732" spans="1:1">
      <c r="A2732" s="9"/>
    </row>
    <row r="2733" spans="1:1">
      <c r="A2733" s="9"/>
    </row>
    <row r="2734" spans="1:1">
      <c r="A2734" s="9"/>
    </row>
    <row r="2735" spans="1:1">
      <c r="A2735" s="9"/>
    </row>
    <row r="2736" spans="1:1">
      <c r="A2736" s="9"/>
    </row>
    <row r="2737" spans="1:1">
      <c r="A2737" s="9"/>
    </row>
    <row r="2738" spans="1:1">
      <c r="A2738" s="9"/>
    </row>
    <row r="2739" spans="1:1">
      <c r="A2739" s="9"/>
    </row>
    <row r="2740" spans="1:1">
      <c r="A2740" s="9"/>
    </row>
    <row r="2741" spans="1:1">
      <c r="A2741" s="9"/>
    </row>
    <row r="2742" spans="1:1">
      <c r="A2742" s="9"/>
    </row>
    <row r="2743" spans="1:1">
      <c r="A2743" s="9"/>
    </row>
    <row r="2744" spans="1:1">
      <c r="A2744" s="9"/>
    </row>
    <row r="2745" spans="1:1">
      <c r="A2745" s="9"/>
    </row>
    <row r="2746" spans="1:1">
      <c r="A2746" s="9"/>
    </row>
    <row r="2747" spans="1:1">
      <c r="A2747" s="9"/>
    </row>
    <row r="2748" spans="1:1">
      <c r="A2748" s="9"/>
    </row>
    <row r="2749" spans="1:1">
      <c r="A2749" s="9"/>
    </row>
    <row r="2750" spans="1:1">
      <c r="A2750" s="9"/>
    </row>
    <row r="2751" spans="1:1">
      <c r="A2751" s="9"/>
    </row>
    <row r="2752" spans="1:1">
      <c r="A2752" s="9"/>
    </row>
    <row r="2753" spans="1:1">
      <c r="A2753" s="9"/>
    </row>
    <row r="2754" spans="1:1">
      <c r="A2754" s="9"/>
    </row>
    <row r="2755" spans="1:1">
      <c r="A2755" s="9"/>
    </row>
    <row r="2756" spans="1:1">
      <c r="A2756" s="9"/>
    </row>
    <row r="2757" spans="1:1">
      <c r="A2757" s="9"/>
    </row>
    <row r="2758" spans="1:1">
      <c r="A2758" s="9"/>
    </row>
    <row r="2759" spans="1:1">
      <c r="A2759" s="9"/>
    </row>
    <row r="2760" spans="1:1">
      <c r="A2760" s="9"/>
    </row>
    <row r="2761" spans="1:1">
      <c r="A2761" s="9"/>
    </row>
    <row r="2762" spans="1:1">
      <c r="A2762" s="9"/>
    </row>
    <row r="2763" spans="1:1">
      <c r="A2763" s="9"/>
    </row>
    <row r="2764" spans="1:1">
      <c r="A2764" s="9"/>
    </row>
    <row r="2765" spans="1:1">
      <c r="A2765" s="9"/>
    </row>
    <row r="2766" spans="1:1">
      <c r="A2766" s="9"/>
    </row>
    <row r="2767" spans="1:1">
      <c r="A2767" s="9"/>
    </row>
    <row r="2768" spans="1:1">
      <c r="A2768" s="9"/>
    </row>
    <row r="2769" spans="1:1">
      <c r="A2769" s="9"/>
    </row>
    <row r="2770" spans="1:1">
      <c r="A2770" s="9"/>
    </row>
    <row r="2771" spans="1:1">
      <c r="A2771" s="9"/>
    </row>
    <row r="2772" spans="1:1">
      <c r="A2772" s="9"/>
    </row>
    <row r="2773" spans="1:1">
      <c r="A2773" s="9"/>
    </row>
    <row r="2774" spans="1:1">
      <c r="A2774" s="9"/>
    </row>
    <row r="2775" spans="1:1">
      <c r="A2775" s="9"/>
    </row>
    <row r="2776" spans="1:1">
      <c r="A2776" s="9"/>
    </row>
    <row r="2777" spans="1:1">
      <c r="A2777" s="9"/>
    </row>
    <row r="2778" spans="1:1">
      <c r="A2778" s="9"/>
    </row>
    <row r="2779" spans="1:1">
      <c r="A2779" s="9"/>
    </row>
    <row r="2780" spans="1:1">
      <c r="A2780" s="9"/>
    </row>
    <row r="2781" spans="1:1">
      <c r="A2781" s="9"/>
    </row>
    <row r="2782" spans="1:1">
      <c r="A2782" s="9"/>
    </row>
    <row r="2783" spans="1:1">
      <c r="A2783" s="9"/>
    </row>
    <row r="2784" spans="1:1">
      <c r="A2784" s="9"/>
    </row>
    <row r="2785" spans="1:1">
      <c r="A2785" s="9"/>
    </row>
    <row r="2786" spans="1:1">
      <c r="A2786" s="9"/>
    </row>
    <row r="2787" spans="1:1">
      <c r="A2787" s="9"/>
    </row>
    <row r="2788" spans="1:1">
      <c r="A2788" s="9"/>
    </row>
    <row r="2789" spans="1:1">
      <c r="A2789" s="9"/>
    </row>
    <row r="2790" spans="1:1">
      <c r="A2790" s="9"/>
    </row>
    <row r="2791" spans="1:1">
      <c r="A2791" s="9"/>
    </row>
    <row r="2792" spans="1:1">
      <c r="A2792" s="9"/>
    </row>
    <row r="2793" spans="1:1">
      <c r="A2793" s="9"/>
    </row>
    <row r="2794" spans="1:1">
      <c r="A2794" s="9"/>
    </row>
    <row r="2795" spans="1:1">
      <c r="A2795" s="9"/>
    </row>
    <row r="2796" spans="1:1">
      <c r="A2796" s="9"/>
    </row>
    <row r="2797" spans="1:1">
      <c r="A2797" s="9"/>
    </row>
    <row r="2798" spans="1:1">
      <c r="A2798" s="9"/>
    </row>
    <row r="2799" spans="1:1">
      <c r="A2799" s="9"/>
    </row>
    <row r="2800" spans="1:1">
      <c r="A2800" s="9"/>
    </row>
    <row r="2801" spans="1:1">
      <c r="A2801" s="9"/>
    </row>
    <row r="2802" spans="1:1">
      <c r="A2802" s="9"/>
    </row>
    <row r="2803" spans="1:1">
      <c r="A2803" s="9"/>
    </row>
    <row r="2804" spans="1:1">
      <c r="A2804" s="9"/>
    </row>
    <row r="2805" spans="1:1">
      <c r="A2805" s="9"/>
    </row>
    <row r="2806" spans="1:1">
      <c r="A2806" s="9"/>
    </row>
    <row r="2807" spans="1:1">
      <c r="A2807" s="9"/>
    </row>
    <row r="2808" spans="1:1">
      <c r="A2808" s="9"/>
    </row>
    <row r="2809" spans="1:1">
      <c r="A2809" s="9"/>
    </row>
    <row r="2810" spans="1:1">
      <c r="A2810" s="9"/>
    </row>
    <row r="2811" spans="1:1">
      <c r="A2811" s="9"/>
    </row>
    <row r="2812" spans="1:1">
      <c r="A2812" s="9"/>
    </row>
    <row r="2813" spans="1:1">
      <c r="A2813" s="9"/>
    </row>
    <row r="2814" spans="1:1">
      <c r="A2814" s="9"/>
    </row>
    <row r="2815" spans="1:1">
      <c r="A2815" s="9"/>
    </row>
    <row r="2816" spans="1:1">
      <c r="A2816" s="9"/>
    </row>
    <row r="2817" spans="1:1">
      <c r="A2817" s="9"/>
    </row>
    <row r="2818" spans="1:1">
      <c r="A2818" s="9"/>
    </row>
    <row r="2819" spans="1:1">
      <c r="A2819" s="9"/>
    </row>
    <row r="2820" spans="1:1">
      <c r="A2820" s="9"/>
    </row>
    <row r="2821" spans="1:1">
      <c r="A2821" s="9"/>
    </row>
    <row r="2822" spans="1:1">
      <c r="A2822" s="9"/>
    </row>
    <row r="2823" spans="1:1">
      <c r="A2823" s="9"/>
    </row>
    <row r="2824" spans="1:1">
      <c r="A2824" s="9"/>
    </row>
    <row r="2825" spans="1:1">
      <c r="A2825" s="9"/>
    </row>
    <row r="2826" spans="1:1">
      <c r="A2826" s="9"/>
    </row>
    <row r="2827" spans="1:1">
      <c r="A2827" s="9"/>
    </row>
    <row r="2828" spans="1:1">
      <c r="A2828" s="9"/>
    </row>
    <row r="2829" spans="1:1">
      <c r="A2829" s="9"/>
    </row>
    <row r="2830" spans="1:1">
      <c r="A2830" s="9"/>
    </row>
    <row r="2831" spans="1:1">
      <c r="A2831" s="9"/>
    </row>
    <row r="2832" spans="1:1">
      <c r="A2832" s="9"/>
    </row>
    <row r="2833" spans="1:1">
      <c r="A2833" s="9"/>
    </row>
    <row r="2834" spans="1:1">
      <c r="A2834" s="9"/>
    </row>
    <row r="2835" spans="1:1">
      <c r="A2835" s="9"/>
    </row>
    <row r="2836" spans="1:1">
      <c r="A2836" s="9"/>
    </row>
    <row r="2837" spans="1:1">
      <c r="A2837" s="9"/>
    </row>
    <row r="2838" spans="1:1">
      <c r="A2838" s="9"/>
    </row>
    <row r="2839" spans="1:1">
      <c r="A2839" s="9"/>
    </row>
    <row r="2840" spans="1:1">
      <c r="A2840" s="9"/>
    </row>
    <row r="2841" spans="1:1">
      <c r="A2841" s="9"/>
    </row>
    <row r="2842" spans="1:1">
      <c r="A2842" s="9"/>
    </row>
    <row r="2843" spans="1:1">
      <c r="A2843" s="9"/>
    </row>
    <row r="2844" spans="1:1">
      <c r="A2844" s="9"/>
    </row>
    <row r="2845" spans="1:1">
      <c r="A2845" s="9"/>
    </row>
    <row r="2846" spans="1:1">
      <c r="A2846" s="9"/>
    </row>
    <row r="2847" spans="1:1">
      <c r="A2847" s="9"/>
    </row>
    <row r="2848" spans="1:1">
      <c r="A2848" s="9"/>
    </row>
    <row r="2849" spans="1:1">
      <c r="A2849" s="9"/>
    </row>
    <row r="2850" spans="1:1">
      <c r="A2850" s="9"/>
    </row>
    <row r="2851" spans="1:1">
      <c r="A2851" s="9"/>
    </row>
    <row r="2852" spans="1:1">
      <c r="A2852" s="9"/>
    </row>
    <row r="2853" spans="1:1">
      <c r="A2853" s="9"/>
    </row>
    <row r="2854" spans="1:1">
      <c r="A2854" s="9"/>
    </row>
    <row r="2855" spans="1:1">
      <c r="A2855" s="9"/>
    </row>
    <row r="2856" spans="1:1">
      <c r="A2856" s="9"/>
    </row>
    <row r="2857" spans="1:1">
      <c r="A2857" s="9"/>
    </row>
    <row r="2858" spans="1:1">
      <c r="A2858" s="9"/>
    </row>
    <row r="2859" spans="1:1">
      <c r="A2859" s="9"/>
    </row>
    <row r="2860" spans="1:1">
      <c r="A2860" s="9"/>
    </row>
    <row r="2861" spans="1:1">
      <c r="A2861" s="9"/>
    </row>
    <row r="2862" spans="1:1">
      <c r="A2862" s="9"/>
    </row>
    <row r="2863" spans="1:1">
      <c r="A2863" s="9"/>
    </row>
    <row r="2864" spans="1:1">
      <c r="A2864" s="9"/>
    </row>
    <row r="2865" spans="1:1">
      <c r="A2865" s="9"/>
    </row>
    <row r="2866" spans="1:1">
      <c r="A2866" s="9"/>
    </row>
    <row r="2867" spans="1:1">
      <c r="A2867" s="9"/>
    </row>
    <row r="2868" spans="1:1">
      <c r="A2868" s="9"/>
    </row>
    <row r="2869" spans="1:1">
      <c r="A2869" s="9"/>
    </row>
    <row r="2870" spans="1:1">
      <c r="A2870" s="9"/>
    </row>
    <row r="2871" spans="1:1">
      <c r="A2871" s="9"/>
    </row>
    <row r="2872" spans="1:1">
      <c r="A2872" s="9"/>
    </row>
    <row r="2873" spans="1:1">
      <c r="A2873" s="9"/>
    </row>
    <row r="2874" spans="1:1">
      <c r="A2874" s="9"/>
    </row>
    <row r="2875" spans="1:1">
      <c r="A2875" s="9"/>
    </row>
    <row r="2876" spans="1:1">
      <c r="A2876" s="9"/>
    </row>
    <row r="2877" spans="1:1">
      <c r="A2877" s="9"/>
    </row>
    <row r="2878" spans="1:1">
      <c r="A2878" s="9"/>
    </row>
    <row r="2879" spans="1:1">
      <c r="A2879" s="9"/>
    </row>
    <row r="2880" spans="1:1">
      <c r="A2880" s="9"/>
    </row>
    <row r="2881" spans="1:1">
      <c r="A2881" s="9"/>
    </row>
    <row r="2882" spans="1:1">
      <c r="A2882" s="9"/>
    </row>
    <row r="2883" spans="1:1">
      <c r="A2883" s="9"/>
    </row>
    <row r="2884" spans="1:1">
      <c r="A2884" s="9"/>
    </row>
    <row r="2885" spans="1:1">
      <c r="A2885" s="9"/>
    </row>
    <row r="2886" spans="1:1">
      <c r="A2886" s="9"/>
    </row>
    <row r="2887" spans="1:1">
      <c r="A2887" s="9"/>
    </row>
    <row r="2888" spans="1:1">
      <c r="A2888" s="9"/>
    </row>
    <row r="2889" spans="1:1">
      <c r="A2889" s="9"/>
    </row>
    <row r="2890" spans="1:1">
      <c r="A2890" s="9"/>
    </row>
    <row r="2891" spans="1:1">
      <c r="A2891" s="9"/>
    </row>
    <row r="2892" spans="1:1">
      <c r="A2892" s="9"/>
    </row>
    <row r="2893" spans="1:1">
      <c r="A2893" s="9"/>
    </row>
    <row r="2894" spans="1:1">
      <c r="A2894" s="9"/>
    </row>
    <row r="2895" spans="1:1">
      <c r="A2895" s="9"/>
    </row>
    <row r="2896" spans="1:1">
      <c r="A2896" s="9"/>
    </row>
    <row r="2897" spans="1:1">
      <c r="A2897" s="9"/>
    </row>
    <row r="2898" spans="1:1">
      <c r="A2898" s="9"/>
    </row>
    <row r="2899" spans="1:1">
      <c r="A2899" s="9"/>
    </row>
    <row r="2900" spans="1:1">
      <c r="A2900" s="9"/>
    </row>
    <row r="2901" spans="1:1">
      <c r="A2901" s="9"/>
    </row>
    <row r="2902" spans="1:1">
      <c r="A2902" s="9"/>
    </row>
    <row r="2903" spans="1:1">
      <c r="A2903" s="9"/>
    </row>
    <row r="2904" spans="1:1">
      <c r="A2904" s="9"/>
    </row>
    <row r="2905" spans="1:1">
      <c r="A2905" s="9"/>
    </row>
    <row r="2906" spans="1:1">
      <c r="A2906" s="9"/>
    </row>
    <row r="2907" spans="1:1">
      <c r="A2907" s="9"/>
    </row>
    <row r="2908" spans="1:1">
      <c r="A2908" s="9"/>
    </row>
    <row r="2909" spans="1:1">
      <c r="A2909" s="9"/>
    </row>
    <row r="2910" spans="1:1">
      <c r="A2910" s="9"/>
    </row>
    <row r="2911" spans="1:1">
      <c r="A2911" s="9"/>
    </row>
    <row r="2912" spans="1:1">
      <c r="A2912" s="9"/>
    </row>
    <row r="2913" spans="1:1">
      <c r="A2913" s="9"/>
    </row>
    <row r="2914" spans="1:1">
      <c r="A2914" s="9"/>
    </row>
    <row r="2915" spans="1:1">
      <c r="A2915" s="9"/>
    </row>
    <row r="2916" spans="1:1">
      <c r="A2916" s="9"/>
    </row>
    <row r="2917" spans="1:1">
      <c r="A2917" s="9"/>
    </row>
    <row r="2918" spans="1:1">
      <c r="A2918" s="9"/>
    </row>
    <row r="2919" spans="1:1">
      <c r="A2919" s="9"/>
    </row>
    <row r="2920" spans="1:1">
      <c r="A2920" s="9"/>
    </row>
    <row r="2921" spans="1:1">
      <c r="A2921" s="9"/>
    </row>
    <row r="2922" spans="1:1">
      <c r="A2922" s="9"/>
    </row>
    <row r="2923" spans="1:1">
      <c r="A2923" s="9"/>
    </row>
    <row r="2924" spans="1:1">
      <c r="A2924" s="9"/>
    </row>
    <row r="2925" spans="1:1">
      <c r="A2925" s="9"/>
    </row>
    <row r="2926" spans="1:1">
      <c r="A2926" s="9"/>
    </row>
    <row r="2927" spans="1:1">
      <c r="A2927" s="9"/>
    </row>
    <row r="2928" spans="1:1">
      <c r="A2928" s="9"/>
    </row>
    <row r="2929" spans="1:1">
      <c r="A2929" s="9"/>
    </row>
    <row r="2930" spans="1:1">
      <c r="A2930" s="9"/>
    </row>
    <row r="2931" spans="1:1">
      <c r="A2931" s="9"/>
    </row>
    <row r="2932" spans="1:1">
      <c r="A2932" s="9"/>
    </row>
    <row r="2933" spans="1:1">
      <c r="A2933" s="9"/>
    </row>
    <row r="2934" spans="1:1">
      <c r="A2934" s="9"/>
    </row>
    <row r="2935" spans="1:1">
      <c r="A2935" s="9"/>
    </row>
    <row r="2936" spans="1:1">
      <c r="A2936" s="9"/>
    </row>
    <row r="2937" spans="1:1">
      <c r="A2937" s="9"/>
    </row>
    <row r="2938" spans="1:1">
      <c r="A2938" s="9"/>
    </row>
    <row r="2939" spans="1:1">
      <c r="A2939" s="9"/>
    </row>
    <row r="2940" spans="1:1">
      <c r="A2940" s="9"/>
    </row>
    <row r="2941" spans="1:1">
      <c r="A2941" s="9"/>
    </row>
    <row r="2942" spans="1:1">
      <c r="A2942" s="9"/>
    </row>
    <row r="2943" spans="1:1">
      <c r="A2943" s="9"/>
    </row>
    <row r="2944" spans="1:1">
      <c r="A2944" s="9"/>
    </row>
    <row r="2945" spans="1:1">
      <c r="A2945" s="9"/>
    </row>
    <row r="2946" spans="1:1">
      <c r="A2946" s="9"/>
    </row>
    <row r="2947" spans="1:1">
      <c r="A2947" s="9"/>
    </row>
    <row r="2948" spans="1:1">
      <c r="A2948" s="9"/>
    </row>
    <row r="2949" spans="1:1">
      <c r="A2949" s="9"/>
    </row>
    <row r="2950" spans="1:1">
      <c r="A2950" s="9"/>
    </row>
    <row r="2951" spans="1:1">
      <c r="A2951" s="9"/>
    </row>
    <row r="2952" spans="1:1">
      <c r="A2952" s="9"/>
    </row>
    <row r="2953" spans="1:1">
      <c r="A2953" s="9"/>
    </row>
    <row r="2954" spans="1:1">
      <c r="A2954" s="9"/>
    </row>
    <row r="2955" spans="1:1">
      <c r="A2955" s="9"/>
    </row>
    <row r="2956" spans="1:1">
      <c r="A2956" s="9"/>
    </row>
    <row r="2957" spans="1:1">
      <c r="A2957" s="9"/>
    </row>
    <row r="2958" spans="1:1">
      <c r="A2958" s="9"/>
    </row>
    <row r="2959" spans="1:1">
      <c r="A2959" s="9"/>
    </row>
    <row r="2960" spans="1:1">
      <c r="A2960" s="9"/>
    </row>
    <row r="2961" spans="1:1">
      <c r="A2961" s="9"/>
    </row>
    <row r="2962" spans="1:1">
      <c r="A2962" s="9"/>
    </row>
    <row r="2963" spans="1:1">
      <c r="A2963" s="9"/>
    </row>
    <row r="2964" spans="1:1">
      <c r="A2964" s="9"/>
    </row>
    <row r="2965" spans="1:1">
      <c r="A2965" s="9"/>
    </row>
    <row r="2966" spans="1:1">
      <c r="A2966" s="9"/>
    </row>
    <row r="2967" spans="1:1">
      <c r="A2967" s="9"/>
    </row>
    <row r="2968" spans="1:1">
      <c r="A2968" s="9"/>
    </row>
    <row r="2969" spans="1:1">
      <c r="A2969" s="9"/>
    </row>
    <row r="2970" spans="1:1">
      <c r="A2970" s="9"/>
    </row>
    <row r="2971" spans="1:1">
      <c r="A2971" s="9"/>
    </row>
    <row r="2972" spans="1:1">
      <c r="A2972" s="9"/>
    </row>
    <row r="2973" spans="1:1">
      <c r="A2973" s="9"/>
    </row>
    <row r="2974" spans="1:1">
      <c r="A2974" s="9"/>
    </row>
    <row r="2975" spans="1:1">
      <c r="A2975" s="9"/>
    </row>
    <row r="2976" spans="1:1">
      <c r="A2976" s="9"/>
    </row>
    <row r="2977" spans="1:1">
      <c r="A2977" s="9"/>
    </row>
    <row r="2978" spans="1:1">
      <c r="A2978" s="9"/>
    </row>
    <row r="2979" spans="1:1">
      <c r="A2979" s="9"/>
    </row>
    <row r="2980" spans="1:1">
      <c r="A2980" s="9"/>
    </row>
    <row r="2981" spans="1:1">
      <c r="A2981" s="9"/>
    </row>
    <row r="2982" spans="1:1">
      <c r="A2982" s="9"/>
    </row>
    <row r="2983" spans="1:1">
      <c r="A2983" s="9"/>
    </row>
    <row r="2984" spans="1:1">
      <c r="A2984" s="9"/>
    </row>
    <row r="2985" spans="1:1">
      <c r="A2985" s="9"/>
    </row>
    <row r="2986" spans="1:1">
      <c r="A2986" s="9"/>
    </row>
    <row r="2987" spans="1:1">
      <c r="A2987" s="9"/>
    </row>
    <row r="2988" spans="1:1">
      <c r="A2988" s="9"/>
    </row>
    <row r="2989" spans="1:1">
      <c r="A2989" s="9"/>
    </row>
    <row r="2990" spans="1:1">
      <c r="A2990" s="9"/>
    </row>
    <row r="2991" spans="1:1">
      <c r="A2991" s="9"/>
    </row>
    <row r="2992" spans="1:1">
      <c r="A2992" s="9"/>
    </row>
    <row r="2993" spans="1:1">
      <c r="A2993" s="9"/>
    </row>
    <row r="2994" spans="1:1">
      <c r="A2994" s="9"/>
    </row>
    <row r="2995" spans="1:1">
      <c r="A2995" s="9"/>
    </row>
    <row r="2996" spans="1:1">
      <c r="A2996" s="9"/>
    </row>
    <row r="2997" spans="1:1">
      <c r="A2997" s="9"/>
    </row>
    <row r="2998" spans="1:1">
      <c r="A2998" s="9"/>
    </row>
    <row r="2999" spans="1:1">
      <c r="A2999" s="9"/>
    </row>
    <row r="3000" spans="1:1">
      <c r="A3000" s="9"/>
    </row>
    <row r="3001" spans="1:1">
      <c r="A3001" s="9"/>
    </row>
    <row r="3002" spans="1:1">
      <c r="A3002" s="9"/>
    </row>
    <row r="3003" spans="1:1">
      <c r="A3003" s="9"/>
    </row>
    <row r="3004" spans="1:1">
      <c r="A3004" s="9"/>
    </row>
    <row r="3005" spans="1:1">
      <c r="A3005" s="9"/>
    </row>
    <row r="3006" spans="1:1">
      <c r="A3006" s="9"/>
    </row>
    <row r="3007" spans="1:1">
      <c r="A3007" s="9"/>
    </row>
    <row r="3008" spans="1:1">
      <c r="A3008" s="9"/>
    </row>
    <row r="3009" spans="1:1">
      <c r="A3009" s="9"/>
    </row>
    <row r="3010" spans="1:1">
      <c r="A3010" s="9"/>
    </row>
    <row r="3011" spans="1:1">
      <c r="A3011" s="9"/>
    </row>
    <row r="3012" spans="1:1">
      <c r="A3012" s="9"/>
    </row>
    <row r="3013" spans="1:1">
      <c r="A3013" s="9"/>
    </row>
    <row r="3014" spans="1:1">
      <c r="A3014" s="9"/>
    </row>
    <row r="3015" spans="1:1">
      <c r="A3015" s="9"/>
    </row>
    <row r="3016" spans="1:1">
      <c r="A3016" s="9"/>
    </row>
    <row r="3017" spans="1:1">
      <c r="A3017" s="9"/>
    </row>
    <row r="3018" spans="1:1">
      <c r="A3018" s="9"/>
    </row>
    <row r="3019" spans="1:1">
      <c r="A3019" s="9"/>
    </row>
    <row r="3020" spans="1:1">
      <c r="A3020" s="9"/>
    </row>
    <row r="3021" spans="1:1">
      <c r="A3021" s="9"/>
    </row>
    <row r="3022" spans="1:1">
      <c r="A3022" s="9"/>
    </row>
    <row r="3023" spans="1:1">
      <c r="A3023" s="9"/>
    </row>
    <row r="3024" spans="1:1">
      <c r="A3024" s="9"/>
    </row>
    <row r="3025" spans="1:1">
      <c r="A3025" s="9"/>
    </row>
    <row r="3026" spans="1:1">
      <c r="A3026" s="9"/>
    </row>
    <row r="3027" spans="1:1">
      <c r="A3027" s="9"/>
    </row>
    <row r="3028" spans="1:1">
      <c r="A3028" s="9"/>
    </row>
    <row r="3029" spans="1:1">
      <c r="A3029" s="9"/>
    </row>
    <row r="3030" spans="1:1">
      <c r="A3030" s="9"/>
    </row>
    <row r="3031" spans="1:1">
      <c r="A3031" s="9"/>
    </row>
    <row r="3032" spans="1:1">
      <c r="A3032" s="9"/>
    </row>
    <row r="3033" spans="1:1">
      <c r="A3033" s="9"/>
    </row>
    <row r="3034" spans="1:1">
      <c r="A3034" s="9"/>
    </row>
    <row r="3035" spans="1:1">
      <c r="A3035" s="9"/>
    </row>
    <row r="3036" spans="1:1">
      <c r="A3036" s="9"/>
    </row>
    <row r="3037" spans="1:1">
      <c r="A3037" s="9"/>
    </row>
    <row r="3038" spans="1:1">
      <c r="A3038" s="9"/>
    </row>
    <row r="3039" spans="1:1">
      <c r="A3039" s="9"/>
    </row>
    <row r="3040" spans="1:1">
      <c r="A3040" s="9"/>
    </row>
    <row r="3041" spans="1:1">
      <c r="A3041" s="9"/>
    </row>
    <row r="3042" spans="1:1">
      <c r="A3042" s="9"/>
    </row>
    <row r="3043" spans="1:1">
      <c r="A3043" s="9"/>
    </row>
    <row r="3044" spans="1:1">
      <c r="A3044" s="9"/>
    </row>
    <row r="3045" spans="1:1">
      <c r="A3045" s="9"/>
    </row>
    <row r="3046" spans="1:1">
      <c r="A3046" s="9"/>
    </row>
    <row r="3047" spans="1:1">
      <c r="A3047" s="9"/>
    </row>
    <row r="3048" spans="1:1">
      <c r="A3048" s="9"/>
    </row>
    <row r="3049" spans="1:1">
      <c r="A3049" s="9"/>
    </row>
    <row r="3050" spans="1:1">
      <c r="A3050" s="9"/>
    </row>
    <row r="3051" spans="1:1">
      <c r="A3051" s="9"/>
    </row>
    <row r="3052" spans="1:1">
      <c r="A3052" s="9"/>
    </row>
    <row r="3053" spans="1:1">
      <c r="A3053" s="9"/>
    </row>
    <row r="3054" spans="1:1">
      <c r="A3054" s="9"/>
    </row>
    <row r="3055" spans="1:1">
      <c r="A3055" s="9"/>
    </row>
    <row r="3056" spans="1:1">
      <c r="A3056" s="9"/>
    </row>
    <row r="3057" spans="1:1">
      <c r="A3057" s="9"/>
    </row>
    <row r="3058" spans="1:1">
      <c r="A3058" s="9"/>
    </row>
    <row r="3059" spans="1:1">
      <c r="A3059" s="9"/>
    </row>
    <row r="3060" spans="1:1">
      <c r="A3060" s="9"/>
    </row>
    <row r="3061" spans="1:1">
      <c r="A3061" s="9"/>
    </row>
    <row r="3062" spans="1:1">
      <c r="A3062" s="9"/>
    </row>
    <row r="3063" spans="1:1">
      <c r="A3063" s="9"/>
    </row>
    <row r="3064" spans="1:1">
      <c r="A3064" s="9"/>
    </row>
    <row r="3065" spans="1:1">
      <c r="A3065" s="9"/>
    </row>
    <row r="3066" spans="1:1">
      <c r="A3066" s="9"/>
    </row>
    <row r="3067" spans="1:1">
      <c r="A3067" s="9"/>
    </row>
    <row r="3068" spans="1:1">
      <c r="A3068" s="9"/>
    </row>
    <row r="3069" spans="1:1">
      <c r="A3069" s="9"/>
    </row>
    <row r="3070" spans="1:1">
      <c r="A3070" s="9"/>
    </row>
    <row r="3071" spans="1:1">
      <c r="A3071" s="9"/>
    </row>
    <row r="3072" spans="1:1">
      <c r="A3072" s="9"/>
    </row>
    <row r="3073" spans="1:1">
      <c r="A3073" s="9"/>
    </row>
    <row r="3074" spans="1:1">
      <c r="A3074" s="9"/>
    </row>
    <row r="3075" spans="1:1">
      <c r="A3075" s="9"/>
    </row>
    <row r="3076" spans="1:1">
      <c r="A3076" s="9"/>
    </row>
    <row r="3077" spans="1:1">
      <c r="A3077" s="9"/>
    </row>
    <row r="3078" spans="1:1">
      <c r="A3078" s="9"/>
    </row>
    <row r="3079" spans="1:1">
      <c r="A3079" s="9"/>
    </row>
    <row r="3080" spans="1:1">
      <c r="A3080" s="9"/>
    </row>
    <row r="3081" spans="1:1">
      <c r="A3081" s="9"/>
    </row>
    <row r="3082" spans="1:1">
      <c r="A3082" s="9"/>
    </row>
    <row r="3083" spans="1:1">
      <c r="A3083" s="9"/>
    </row>
    <row r="3084" spans="1:1">
      <c r="A3084" s="9"/>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6210D-B47B-4A54-B926-22F18E0A1326}">
  <sheetPr codeName="Sheet1">
    <tabColor theme="7" tint="0.79998168889431442"/>
  </sheetPr>
  <dimension ref="A3:U94"/>
  <sheetViews>
    <sheetView topLeftCell="G1" workbookViewId="0">
      <selection activeCell="S17" sqref="S17"/>
    </sheetView>
  </sheetViews>
  <sheetFormatPr defaultColWidth="9.33203125" defaultRowHeight="13.9"/>
  <cols>
    <col min="1" max="1" width="22.33203125" style="21" bestFit="1" customWidth="1"/>
    <col min="2" max="2" width="14.5" style="22" bestFit="1" customWidth="1"/>
    <col min="3" max="8" width="15.5" style="21" customWidth="1"/>
    <col min="9" max="10" width="13.33203125" style="21" bestFit="1" customWidth="1"/>
    <col min="11" max="11" width="16.5" style="21" customWidth="1"/>
    <col min="12" max="13" width="14.6640625" style="21" customWidth="1"/>
    <col min="14" max="14" width="9.1640625" style="21" bestFit="1" customWidth="1"/>
    <col min="15" max="15" width="16.1640625" style="21" customWidth="1"/>
    <col min="16" max="16" width="5" style="21" bestFit="1" customWidth="1"/>
    <col min="17" max="17" width="14.33203125" style="21" customWidth="1"/>
    <col min="18" max="18" width="12.83203125" style="21" bestFit="1" customWidth="1"/>
    <col min="19" max="19" width="13.1640625" style="21" customWidth="1"/>
    <col min="20" max="20" width="13.1640625" style="21" bestFit="1" customWidth="1"/>
    <col min="21" max="16384" width="9.33203125" style="21"/>
  </cols>
  <sheetData>
    <row r="3" spans="1:21">
      <c r="A3" s="21" t="s">
        <v>180</v>
      </c>
      <c r="B3" s="22" t="s">
        <v>181</v>
      </c>
      <c r="C3" s="21" t="s">
        <v>18</v>
      </c>
      <c r="D3" s="21" t="s">
        <v>182</v>
      </c>
      <c r="E3" s="21" t="s">
        <v>183</v>
      </c>
      <c r="F3" s="21" t="s">
        <v>184</v>
      </c>
      <c r="G3" s="21" t="s">
        <v>185</v>
      </c>
      <c r="H3" s="21" t="s">
        <v>23</v>
      </c>
    </row>
    <row r="4" spans="1:21">
      <c r="C4" s="23"/>
      <c r="D4" s="23"/>
      <c r="E4" s="23"/>
      <c r="F4" s="23"/>
      <c r="G4" s="23"/>
      <c r="H4" s="23"/>
      <c r="I4" s="78"/>
      <c r="K4" s="21" t="str">
        <f t="shared" ref="K4:P4" si="0">C3</f>
        <v>Residential</v>
      </c>
      <c r="L4" s="21" t="str">
        <f t="shared" si="0"/>
        <v>GS&lt;50</v>
      </c>
      <c r="M4" s="21" t="str">
        <f t="shared" si="0"/>
        <v>GS&gt;50</v>
      </c>
      <c r="N4" s="21" t="str">
        <f t="shared" si="0"/>
        <v>Streetlight</v>
      </c>
      <c r="O4" s="21" t="str">
        <f t="shared" si="0"/>
        <v>Sentinel Lights</v>
      </c>
      <c r="P4" s="21" t="str">
        <f t="shared" si="0"/>
        <v>USL</v>
      </c>
    </row>
    <row r="5" spans="1:21">
      <c r="C5" s="23"/>
      <c r="D5" s="23"/>
      <c r="E5" s="23"/>
      <c r="F5" s="23"/>
      <c r="G5" s="23"/>
      <c r="H5" s="23"/>
      <c r="I5" s="78"/>
    </row>
    <row r="6" spans="1:21">
      <c r="A6" s="21">
        <v>2016</v>
      </c>
      <c r="B6" s="24">
        <v>2016</v>
      </c>
      <c r="C6" s="23">
        <v>779183</v>
      </c>
      <c r="D6" s="23">
        <v>726623</v>
      </c>
      <c r="E6" s="23">
        <v>663857</v>
      </c>
      <c r="F6" s="23"/>
      <c r="G6" s="23"/>
      <c r="H6" s="23"/>
      <c r="I6" s="78">
        <f t="shared" ref="I6:I17" si="1">SUM(C6:H6)</f>
        <v>2169663</v>
      </c>
      <c r="J6" s="21">
        <v>2016</v>
      </c>
      <c r="K6" s="23">
        <f t="shared" ref="K6:K17" si="2">SUMIFS(C:C,$B:$B,$J6)-SUMIFS(C:C,$A:$A,$J6)/2</f>
        <v>389591.5</v>
      </c>
      <c r="L6" s="23">
        <f t="shared" ref="L6:L17" si="3">SUMIFS(D:D,$B:$B,$J6)-SUMIFS(D:D,$A:$A,$J6)/2</f>
        <v>363311.5</v>
      </c>
      <c r="M6" s="23">
        <f t="shared" ref="M6:M17" si="4">SUMIFS(E:E,$B:$B,$J6)-SUMIFS(E:E,$A:$A,$J6)/2</f>
        <v>331928.5</v>
      </c>
      <c r="N6" s="23"/>
      <c r="O6" s="23">
        <f t="shared" ref="O6:O17" si="5">SUMIFS(F:F,$B:$B,$J6)-SUMIFS(F:F,$A:$A,$J6)/2</f>
        <v>0</v>
      </c>
      <c r="P6" s="23">
        <f t="shared" ref="P6:P17" si="6">SUMIFS(H:H,$B:$B,$J6)-SUMIFS(H:H,$A:$A,$J6)/2</f>
        <v>0</v>
      </c>
      <c r="Q6" s="78">
        <f t="shared" ref="Q6:Q17" si="7">SUM(K6:P6)</f>
        <v>1084831.5</v>
      </c>
      <c r="S6" s="23"/>
      <c r="T6" s="23"/>
      <c r="U6" s="514"/>
    </row>
    <row r="7" spans="1:21">
      <c r="A7" s="25"/>
      <c r="B7" s="22">
        <v>2017</v>
      </c>
      <c r="C7" s="23">
        <v>779183</v>
      </c>
      <c r="D7" s="23">
        <v>726623</v>
      </c>
      <c r="E7" s="23">
        <v>663857</v>
      </c>
      <c r="F7" s="23"/>
      <c r="G7" s="23"/>
      <c r="H7" s="23"/>
      <c r="I7" s="78">
        <f t="shared" si="1"/>
        <v>2169663</v>
      </c>
      <c r="J7" s="21">
        <f>J6+1</f>
        <v>2017</v>
      </c>
      <c r="K7" s="23">
        <f t="shared" si="2"/>
        <v>1379949.5</v>
      </c>
      <c r="L7" s="23">
        <f t="shared" si="3"/>
        <v>1048114.25</v>
      </c>
      <c r="M7" s="23">
        <f t="shared" si="4"/>
        <v>917682.75</v>
      </c>
      <c r="N7" s="23"/>
      <c r="O7" s="23">
        <f t="shared" si="5"/>
        <v>0</v>
      </c>
      <c r="P7" s="23">
        <f t="shared" si="6"/>
        <v>0</v>
      </c>
      <c r="Q7" s="78">
        <f t="shared" si="7"/>
        <v>3345746.5</v>
      </c>
      <c r="S7" s="23"/>
      <c r="T7" s="23"/>
      <c r="U7" s="514"/>
    </row>
    <row r="8" spans="1:21">
      <c r="A8" s="25"/>
      <c r="B8" s="24">
        <v>2018</v>
      </c>
      <c r="C8" s="23">
        <v>779183</v>
      </c>
      <c r="D8" s="23">
        <v>726623</v>
      </c>
      <c r="E8" s="23">
        <v>663857</v>
      </c>
      <c r="F8" s="23"/>
      <c r="G8" s="23"/>
      <c r="H8" s="23"/>
      <c r="I8" s="78">
        <f t="shared" si="1"/>
        <v>2169663</v>
      </c>
      <c r="J8" s="21">
        <f t="shared" ref="J8:J16" si="8">J7+1</f>
        <v>2018</v>
      </c>
      <c r="K8" s="23">
        <f t="shared" si="2"/>
        <v>1862266.4016356955</v>
      </c>
      <c r="L8" s="23">
        <f t="shared" si="3"/>
        <v>1654568.4312637697</v>
      </c>
      <c r="M8" s="23">
        <f t="shared" si="4"/>
        <v>1409655.3538016949</v>
      </c>
      <c r="N8" s="23"/>
      <c r="O8" s="23">
        <f t="shared" si="5"/>
        <v>0</v>
      </c>
      <c r="P8" s="23">
        <f t="shared" si="6"/>
        <v>0</v>
      </c>
      <c r="Q8" s="78">
        <f t="shared" si="7"/>
        <v>4926490.1867011599</v>
      </c>
      <c r="S8" s="23"/>
      <c r="T8" s="23"/>
      <c r="U8" s="514"/>
    </row>
    <row r="9" spans="1:21">
      <c r="A9" s="25"/>
      <c r="B9" s="24">
        <v>2019</v>
      </c>
      <c r="C9" s="23">
        <v>779183</v>
      </c>
      <c r="D9" s="23">
        <v>726623</v>
      </c>
      <c r="E9" s="23">
        <v>663857</v>
      </c>
      <c r="F9" s="23"/>
      <c r="G9" s="23"/>
      <c r="H9" s="23"/>
      <c r="I9" s="78">
        <f t="shared" si="1"/>
        <v>2169663</v>
      </c>
      <c r="J9" s="21">
        <f t="shared" si="8"/>
        <v>2019</v>
      </c>
      <c r="K9" s="23">
        <f t="shared" si="2"/>
        <v>1941972.3051129689</v>
      </c>
      <c r="L9" s="23">
        <f t="shared" si="3"/>
        <v>1935875.3829046208</v>
      </c>
      <c r="M9" s="23">
        <f t="shared" si="4"/>
        <v>1646577.9779804717</v>
      </c>
      <c r="N9" s="23"/>
      <c r="O9" s="23">
        <f t="shared" si="5"/>
        <v>0</v>
      </c>
      <c r="P9" s="23">
        <f t="shared" si="6"/>
        <v>0</v>
      </c>
      <c r="Q9" s="78">
        <f t="shared" si="7"/>
        <v>5524425.6659980621</v>
      </c>
      <c r="S9" s="23"/>
      <c r="T9" s="23"/>
      <c r="U9" s="514"/>
    </row>
    <row r="10" spans="1:21">
      <c r="A10" s="25"/>
      <c r="B10" s="22">
        <v>2020</v>
      </c>
      <c r="C10" s="23">
        <v>779183</v>
      </c>
      <c r="D10" s="23">
        <v>701801</v>
      </c>
      <c r="E10" s="23">
        <v>655583</v>
      </c>
      <c r="F10" s="23"/>
      <c r="G10" s="23"/>
      <c r="H10" s="23"/>
      <c r="I10" s="78">
        <f t="shared" si="1"/>
        <v>2136567</v>
      </c>
      <c r="J10" s="21">
        <f t="shared" si="8"/>
        <v>2020</v>
      </c>
      <c r="K10" s="70">
        <f t="shared" si="2"/>
        <v>1942287.3051129689</v>
      </c>
      <c r="L10" s="70">
        <f t="shared" si="3"/>
        <v>1875915.4084355347</v>
      </c>
      <c r="M10" s="70">
        <f t="shared" si="4"/>
        <v>1626238.307788746</v>
      </c>
      <c r="N10" s="70"/>
      <c r="O10" s="70">
        <f t="shared" si="5"/>
        <v>0</v>
      </c>
      <c r="P10" s="70">
        <f t="shared" si="6"/>
        <v>0</v>
      </c>
      <c r="Q10" s="78">
        <f t="shared" si="7"/>
        <v>5444441.0213372502</v>
      </c>
      <c r="S10" s="23"/>
      <c r="T10" s="23"/>
      <c r="U10" s="514"/>
    </row>
    <row r="11" spans="1:21">
      <c r="B11" s="22">
        <v>2021</v>
      </c>
      <c r="C11" s="23">
        <v>779037</v>
      </c>
      <c r="D11" s="23">
        <v>670645.25</v>
      </c>
      <c r="E11" s="23">
        <v>636863.75</v>
      </c>
      <c r="F11" s="23"/>
      <c r="G11" s="23"/>
      <c r="H11" s="23"/>
      <c r="I11" s="78">
        <f t="shared" si="1"/>
        <v>2086546</v>
      </c>
      <c r="J11" s="21">
        <f t="shared" si="8"/>
        <v>2021</v>
      </c>
      <c r="K11" s="23">
        <f t="shared" si="2"/>
        <v>1951882.7739361154</v>
      </c>
      <c r="L11" s="23">
        <f t="shared" si="3"/>
        <v>2006317.6821795288</v>
      </c>
      <c r="M11" s="23">
        <f t="shared" si="4"/>
        <v>1782955.7442286722</v>
      </c>
      <c r="N11" s="23"/>
      <c r="O11" s="23">
        <f t="shared" si="5"/>
        <v>0</v>
      </c>
      <c r="P11" s="23">
        <f t="shared" si="6"/>
        <v>0</v>
      </c>
      <c r="Q11" s="78">
        <f t="shared" si="7"/>
        <v>5741156.2003443167</v>
      </c>
      <c r="S11" s="23"/>
      <c r="T11" s="23"/>
      <c r="U11" s="514"/>
    </row>
    <row r="12" spans="1:21">
      <c r="B12" s="24">
        <v>2022</v>
      </c>
      <c r="C12" s="23">
        <v>779037</v>
      </c>
      <c r="D12" s="23">
        <v>652475</v>
      </c>
      <c r="E12" s="23">
        <v>630807</v>
      </c>
      <c r="F12" s="23"/>
      <c r="G12" s="23"/>
      <c r="H12" s="23"/>
      <c r="I12" s="78">
        <f t="shared" si="1"/>
        <v>2062319</v>
      </c>
      <c r="J12" s="21">
        <f t="shared" si="8"/>
        <v>2022</v>
      </c>
      <c r="K12" s="23">
        <f t="shared" si="2"/>
        <v>1969118.2960123431</v>
      </c>
      <c r="L12" s="23">
        <f t="shared" si="3"/>
        <v>2414462.1326522678</v>
      </c>
      <c r="M12" s="23">
        <f t="shared" si="4"/>
        <v>2218278.2262306586</v>
      </c>
      <c r="N12" s="23"/>
      <c r="O12" s="23">
        <f t="shared" si="5"/>
        <v>0</v>
      </c>
      <c r="P12" s="23">
        <f t="shared" si="6"/>
        <v>0</v>
      </c>
      <c r="Q12" s="78">
        <f t="shared" si="7"/>
        <v>6601858.6548952693</v>
      </c>
      <c r="S12" s="23"/>
      <c r="T12" s="23"/>
      <c r="U12" s="514"/>
    </row>
    <row r="13" spans="1:21">
      <c r="B13" s="22">
        <v>2023</v>
      </c>
      <c r="C13" s="23">
        <v>778945</v>
      </c>
      <c r="D13" s="23">
        <v>634055</v>
      </c>
      <c r="E13" s="23">
        <v>624667</v>
      </c>
      <c r="F13" s="23"/>
      <c r="G13" s="23"/>
      <c r="H13" s="23"/>
      <c r="I13" s="78">
        <f t="shared" si="1"/>
        <v>2037667</v>
      </c>
      <c r="J13" s="21">
        <f t="shared" si="8"/>
        <v>2023</v>
      </c>
      <c r="K13" s="70">
        <f t="shared" si="2"/>
        <v>1988095.2487503034</v>
      </c>
      <c r="L13" s="70">
        <f t="shared" si="3"/>
        <v>2665068.1477616997</v>
      </c>
      <c r="M13" s="70">
        <f t="shared" si="4"/>
        <v>2525244.5943839592</v>
      </c>
      <c r="N13" s="70"/>
      <c r="O13" s="70">
        <f t="shared" si="5"/>
        <v>0</v>
      </c>
      <c r="P13" s="70">
        <f t="shared" si="6"/>
        <v>0</v>
      </c>
      <c r="Q13" s="78">
        <f t="shared" si="7"/>
        <v>7178407.9908959623</v>
      </c>
      <c r="S13" s="23"/>
      <c r="T13" s="23"/>
      <c r="U13" s="514"/>
    </row>
    <row r="14" spans="1:21">
      <c r="B14" s="22">
        <v>2024</v>
      </c>
      <c r="C14" s="23">
        <v>778945</v>
      </c>
      <c r="D14" s="23">
        <v>629901.25</v>
      </c>
      <c r="E14" s="23">
        <v>622031.75</v>
      </c>
      <c r="F14" s="23"/>
      <c r="G14" s="23"/>
      <c r="H14" s="23"/>
      <c r="I14" s="78">
        <f t="shared" si="1"/>
        <v>2030878</v>
      </c>
      <c r="J14" s="21">
        <f t="shared" si="8"/>
        <v>2024</v>
      </c>
      <c r="K14" s="23">
        <f t="shared" si="2"/>
        <v>2055887.569124152</v>
      </c>
      <c r="L14" s="23">
        <f t="shared" si="3"/>
        <v>2966111.8512537554</v>
      </c>
      <c r="M14" s="23">
        <f t="shared" si="4"/>
        <v>2872665.1050160881</v>
      </c>
      <c r="N14" s="23"/>
      <c r="O14" s="23">
        <f t="shared" si="5"/>
        <v>0</v>
      </c>
      <c r="P14" s="23">
        <f t="shared" si="6"/>
        <v>0</v>
      </c>
      <c r="Q14" s="78">
        <f t="shared" si="7"/>
        <v>7894664.5253939955</v>
      </c>
      <c r="S14" s="23"/>
      <c r="T14" s="23"/>
      <c r="U14" s="514"/>
    </row>
    <row r="15" spans="1:21">
      <c r="B15" s="24">
        <v>2025</v>
      </c>
      <c r="C15" s="23">
        <v>774805</v>
      </c>
      <c r="D15" s="23">
        <v>623069.5</v>
      </c>
      <c r="E15" s="23">
        <v>619754.5</v>
      </c>
      <c r="F15" s="23"/>
      <c r="G15" s="23"/>
      <c r="H15" s="23"/>
      <c r="I15" s="78">
        <f t="shared" si="1"/>
        <v>2017629</v>
      </c>
      <c r="J15" s="21">
        <f t="shared" si="8"/>
        <v>2025</v>
      </c>
      <c r="K15" s="23">
        <f>SUMIFS(C:C,$B:$B,$J15)-SUMIFS(C:C,$A:$A,$J15)/2</f>
        <v>2184225.8549258215</v>
      </c>
      <c r="L15" s="23">
        <f t="shared" si="3"/>
        <v>3291781.909477158</v>
      </c>
      <c r="M15" s="23">
        <f t="shared" si="4"/>
        <v>3232158.8538903459</v>
      </c>
      <c r="N15" s="23"/>
      <c r="O15" s="23">
        <f t="shared" si="5"/>
        <v>0</v>
      </c>
      <c r="P15" s="23">
        <f t="shared" si="6"/>
        <v>0</v>
      </c>
      <c r="Q15" s="78">
        <f t="shared" si="7"/>
        <v>8708166.6182933263</v>
      </c>
      <c r="S15" s="23"/>
      <c r="T15" s="23"/>
      <c r="U15" s="514"/>
    </row>
    <row r="16" spans="1:21">
      <c r="B16" s="22">
        <v>2026</v>
      </c>
      <c r="C16" s="23">
        <v>774746.8</v>
      </c>
      <c r="D16" s="23">
        <v>613553.16666666605</v>
      </c>
      <c r="E16" s="23">
        <v>613553.16666666605</v>
      </c>
      <c r="F16" s="23"/>
      <c r="G16" s="23"/>
      <c r="H16" s="23"/>
      <c r="I16" s="78">
        <f t="shared" si="1"/>
        <v>2001853.1333333321</v>
      </c>
      <c r="J16" s="21">
        <f t="shared" si="8"/>
        <v>2026</v>
      </c>
      <c r="K16" s="70">
        <f t="shared" si="2"/>
        <v>2345581.9641625257</v>
      </c>
      <c r="L16" s="70">
        <f t="shared" si="3"/>
        <v>3533245.9650814175</v>
      </c>
      <c r="M16" s="70">
        <f t="shared" si="4"/>
        <v>3499618.6930092922</v>
      </c>
      <c r="N16" s="70"/>
      <c r="O16" s="70">
        <f t="shared" si="5"/>
        <v>0</v>
      </c>
      <c r="P16" s="70">
        <f t="shared" si="6"/>
        <v>0</v>
      </c>
      <c r="Q16" s="78">
        <f t="shared" si="7"/>
        <v>9378446.6222532354</v>
      </c>
      <c r="S16" s="23"/>
      <c r="T16" s="23"/>
    </row>
    <row r="17" spans="1:20">
      <c r="B17" s="22">
        <v>2027</v>
      </c>
      <c r="C17" s="23">
        <v>774681.18181818188</v>
      </c>
      <c r="D17" s="23">
        <v>611237.95151515119</v>
      </c>
      <c r="E17" s="23">
        <v>611237.95151515119</v>
      </c>
      <c r="F17" s="23"/>
      <c r="G17" s="23"/>
      <c r="H17" s="23"/>
      <c r="I17" s="78">
        <f t="shared" si="1"/>
        <v>1997157.0848484843</v>
      </c>
      <c r="J17" s="21">
        <f>J16+1</f>
        <v>2027</v>
      </c>
      <c r="K17" s="23">
        <f t="shared" si="2"/>
        <v>2492146.0844166558</v>
      </c>
      <c r="L17" s="23">
        <f t="shared" si="3"/>
        <v>3890290.5362590412</v>
      </c>
      <c r="M17" s="23">
        <f t="shared" si="4"/>
        <v>3885709.7955762651</v>
      </c>
      <c r="N17" s="23"/>
      <c r="O17" s="23">
        <f t="shared" si="5"/>
        <v>0</v>
      </c>
      <c r="P17" s="23">
        <f t="shared" si="6"/>
        <v>0</v>
      </c>
      <c r="Q17" s="78">
        <f t="shared" si="7"/>
        <v>10268146.416251961</v>
      </c>
      <c r="S17" s="23"/>
      <c r="T17" s="23"/>
    </row>
    <row r="18" spans="1:20">
      <c r="C18" s="90"/>
      <c r="D18" s="90"/>
      <c r="E18" s="90"/>
      <c r="F18" s="90"/>
      <c r="G18" s="90"/>
      <c r="H18" s="90"/>
      <c r="I18" s="78"/>
      <c r="S18" s="23"/>
    </row>
    <row r="19" spans="1:20">
      <c r="A19" s="21">
        <v>2017</v>
      </c>
      <c r="B19" s="22">
        <v>2017</v>
      </c>
      <c r="C19" s="90">
        <v>1201533</v>
      </c>
      <c r="D19" s="90">
        <v>642982.5</v>
      </c>
      <c r="E19" s="90">
        <v>507651.5</v>
      </c>
      <c r="F19" s="90"/>
      <c r="G19" s="90"/>
      <c r="H19" s="90"/>
      <c r="I19" s="78">
        <f t="shared" ref="I19:I29" si="9">SUM(C19:H19)</f>
        <v>2352167</v>
      </c>
      <c r="K19" s="23"/>
      <c r="L19" s="23"/>
      <c r="M19" s="23"/>
      <c r="N19" s="23"/>
      <c r="O19" s="23"/>
      <c r="P19" s="23"/>
      <c r="Q19" s="78"/>
    </row>
    <row r="20" spans="1:20">
      <c r="B20" s="24">
        <v>2018</v>
      </c>
      <c r="C20" s="90">
        <v>939558</v>
      </c>
      <c r="D20" s="90">
        <v>643104.5</v>
      </c>
      <c r="E20" s="90">
        <v>507773.5</v>
      </c>
      <c r="F20" s="90"/>
      <c r="G20" s="90"/>
      <c r="H20" s="90"/>
      <c r="I20" s="78">
        <f t="shared" si="9"/>
        <v>2090436</v>
      </c>
    </row>
    <row r="21" spans="1:20">
      <c r="B21" s="24">
        <v>2019</v>
      </c>
      <c r="C21" s="90">
        <v>939558</v>
      </c>
      <c r="D21" s="90">
        <v>637557.5</v>
      </c>
      <c r="E21" s="90">
        <v>505924.5</v>
      </c>
      <c r="F21" s="90"/>
      <c r="G21" s="90"/>
      <c r="H21" s="90"/>
      <c r="I21" s="78">
        <f t="shared" si="9"/>
        <v>2083040</v>
      </c>
      <c r="K21" s="70"/>
      <c r="L21" s="70"/>
      <c r="M21" s="70"/>
      <c r="N21" s="70"/>
      <c r="O21" s="70"/>
      <c r="P21" s="70"/>
      <c r="Q21" s="78"/>
    </row>
    <row r="22" spans="1:20">
      <c r="B22" s="22">
        <v>2020</v>
      </c>
      <c r="C22" s="90">
        <v>939558</v>
      </c>
      <c r="D22" s="90">
        <v>604887.5</v>
      </c>
      <c r="E22" s="90">
        <v>495034.5</v>
      </c>
      <c r="F22" s="90"/>
      <c r="G22" s="90"/>
      <c r="H22" s="90"/>
      <c r="I22" s="78">
        <f t="shared" si="9"/>
        <v>2039480</v>
      </c>
      <c r="K22" s="23"/>
      <c r="L22" s="23"/>
      <c r="M22" s="23"/>
      <c r="N22" s="23"/>
      <c r="O22" s="23"/>
      <c r="P22" s="23"/>
      <c r="Q22" s="78"/>
    </row>
    <row r="23" spans="1:20">
      <c r="B23" s="22">
        <v>2021</v>
      </c>
      <c r="C23" s="90">
        <v>939558</v>
      </c>
      <c r="D23" s="90">
        <v>604793.75</v>
      </c>
      <c r="E23" s="90">
        <v>495003.25</v>
      </c>
      <c r="F23" s="90"/>
      <c r="G23" s="90"/>
      <c r="H23" s="90"/>
      <c r="I23" s="78">
        <f t="shared" si="9"/>
        <v>2039355</v>
      </c>
      <c r="K23" s="23"/>
      <c r="L23" s="23"/>
      <c r="M23" s="23"/>
      <c r="N23" s="23"/>
      <c r="O23" s="23"/>
      <c r="P23" s="23"/>
      <c r="Q23" s="78"/>
    </row>
    <row r="24" spans="1:20">
      <c r="B24" s="24">
        <v>2022</v>
      </c>
      <c r="C24" s="90">
        <v>939558</v>
      </c>
      <c r="D24" s="90">
        <v>572062.25</v>
      </c>
      <c r="E24" s="90">
        <v>474071.75</v>
      </c>
      <c r="F24" s="90"/>
      <c r="G24" s="90"/>
      <c r="H24" s="90"/>
      <c r="I24" s="78">
        <f t="shared" si="9"/>
        <v>1985692</v>
      </c>
    </row>
    <row r="25" spans="1:20">
      <c r="B25" s="22">
        <v>2023</v>
      </c>
      <c r="C25" s="90">
        <v>939558</v>
      </c>
      <c r="D25" s="90">
        <v>523754</v>
      </c>
      <c r="E25" s="90">
        <v>457969</v>
      </c>
      <c r="F25" s="90"/>
      <c r="G25" s="90"/>
      <c r="H25" s="90"/>
      <c r="I25" s="78">
        <f t="shared" si="9"/>
        <v>1921281</v>
      </c>
      <c r="K25" s="23"/>
    </row>
    <row r="26" spans="1:20">
      <c r="B26" s="22">
        <v>2024</v>
      </c>
      <c r="C26" s="90">
        <v>939545</v>
      </c>
      <c r="D26" s="90">
        <v>502434.5</v>
      </c>
      <c r="E26" s="90">
        <v>450862.5</v>
      </c>
      <c r="F26" s="90"/>
      <c r="G26" s="90"/>
      <c r="H26" s="90"/>
      <c r="I26" s="78">
        <f t="shared" si="9"/>
        <v>1892842</v>
      </c>
      <c r="K26" s="23"/>
    </row>
    <row r="27" spans="1:20">
      <c r="B27" s="24">
        <v>2025</v>
      </c>
      <c r="C27" s="90">
        <v>939545</v>
      </c>
      <c r="D27" s="90">
        <v>464594</v>
      </c>
      <c r="E27" s="90">
        <v>424278</v>
      </c>
      <c r="F27" s="90"/>
      <c r="G27" s="90"/>
      <c r="H27" s="90"/>
      <c r="I27" s="78">
        <f t="shared" si="9"/>
        <v>1828417</v>
      </c>
      <c r="K27" s="21" t="str">
        <f t="shared" ref="K27:P27" si="10">K4</f>
        <v>Residential</v>
      </c>
      <c r="L27" s="21" t="str">
        <f t="shared" si="10"/>
        <v>GS&lt;50</v>
      </c>
      <c r="M27" s="21" t="str">
        <f t="shared" si="10"/>
        <v>GS&gt;50</v>
      </c>
      <c r="N27" s="21" t="str">
        <f t="shared" si="10"/>
        <v>Streetlight</v>
      </c>
      <c r="O27" s="21" t="str">
        <f t="shared" si="10"/>
        <v>Sentinel Lights</v>
      </c>
      <c r="P27" s="21" t="str">
        <f t="shared" si="10"/>
        <v>USL</v>
      </c>
    </row>
    <row r="28" spans="1:20">
      <c r="B28" s="22">
        <v>2026</v>
      </c>
      <c r="C28" s="90">
        <v>938359</v>
      </c>
      <c r="D28" s="90">
        <v>441267.5</v>
      </c>
      <c r="E28" s="90">
        <v>416502.5</v>
      </c>
      <c r="F28" s="90"/>
      <c r="G28" s="90"/>
      <c r="H28" s="90"/>
      <c r="I28" s="78">
        <f t="shared" si="9"/>
        <v>1796129</v>
      </c>
      <c r="J28" s="21">
        <v>2025</v>
      </c>
      <c r="K28" s="69">
        <f t="shared" ref="K28:M30" si="11">SUMIFS(C$4:C$89,$B$4:$B$89,$J28)-C87/2</f>
        <v>2184225.8549258215</v>
      </c>
      <c r="L28" s="69">
        <f t="shared" si="11"/>
        <v>3291781.909477158</v>
      </c>
      <c r="M28" s="69">
        <f t="shared" si="11"/>
        <v>3232158.8538903459</v>
      </c>
      <c r="N28" s="69"/>
      <c r="O28" s="69">
        <f>SUMIFS(F$4:F$89,$B$4:$B$89,$J28)-F87/2</f>
        <v>0</v>
      </c>
      <c r="P28" s="69">
        <f>SUMIFS(H$4:H$89,$B$4:$B$89,$J28)-H87/2</f>
        <v>0</v>
      </c>
      <c r="Q28" s="78">
        <f>SUM(K28:P28)</f>
        <v>8708166.6182933263</v>
      </c>
    </row>
    <row r="29" spans="1:20">
      <c r="B29" s="22">
        <v>2027</v>
      </c>
      <c r="C29" s="90">
        <v>901006.61818181723</v>
      </c>
      <c r="D29" s="90">
        <v>436672.55000000447</v>
      </c>
      <c r="E29" s="90">
        <v>414970.85000000149</v>
      </c>
      <c r="F29" s="90"/>
      <c r="G29" s="90"/>
      <c r="H29" s="90"/>
      <c r="I29" s="78">
        <f t="shared" si="9"/>
        <v>1752650.0181818232</v>
      </c>
      <c r="J29" s="21">
        <v>2026</v>
      </c>
      <c r="K29" s="69">
        <f t="shared" si="11"/>
        <v>2170023.3351844172</v>
      </c>
      <c r="L29" s="69">
        <f t="shared" si="11"/>
        <v>3193265.9287199136</v>
      </c>
      <c r="M29" s="69">
        <f t="shared" si="11"/>
        <v>3173492.9991229787</v>
      </c>
      <c r="N29" s="69"/>
      <c r="O29" s="69">
        <f>SUMIFS(F$4:F$89,$B$4:$B$89,$J29)-F88/2</f>
        <v>0</v>
      </c>
      <c r="P29" s="69">
        <f>SUMIFS(H$4:H$89,$B$4:$B$89,$J29)-H88/2</f>
        <v>0</v>
      </c>
      <c r="Q29" s="78">
        <f>SUM(K29:P29)</f>
        <v>8536782.2630273104</v>
      </c>
      <c r="S29" s="92"/>
    </row>
    <row r="30" spans="1:20">
      <c r="B30" s="21"/>
      <c r="J30" s="21">
        <v>2027</v>
      </c>
      <c r="K30" s="69">
        <f>SUMIFS(C$4:C$89,$B$4:$B$89,$J30)-C89/2</f>
        <v>2132604.0099626933</v>
      </c>
      <c r="L30" s="69">
        <f t="shared" si="11"/>
        <v>3100567.3543275874</v>
      </c>
      <c r="M30" s="69">
        <f t="shared" si="11"/>
        <v>3124320.1182158221</v>
      </c>
      <c r="N30" s="69"/>
      <c r="O30" s="69">
        <f>SUMIFS(F$4:F$89,$B$4:$B$89,$J30)-F89/2</f>
        <v>0</v>
      </c>
      <c r="P30" s="69">
        <f>SUMIFS(H$4:H$89,$B$4:$B$89,$J30)-H89/2</f>
        <v>0</v>
      </c>
      <c r="Q30" s="78">
        <f>SUM(K30:P30)</f>
        <v>8357491.482506102</v>
      </c>
    </row>
    <row r="31" spans="1:20">
      <c r="A31" s="21">
        <v>2018</v>
      </c>
      <c r="B31" s="24">
        <v>2018</v>
      </c>
      <c r="C31" s="90">
        <v>287050.80327139102</v>
      </c>
      <c r="D31" s="90">
        <v>569681.86252753937</v>
      </c>
      <c r="E31" s="90">
        <v>476049.70760339015</v>
      </c>
      <c r="F31" s="90"/>
      <c r="G31" s="90"/>
      <c r="H31" s="90"/>
      <c r="I31" s="78">
        <f t="shared" ref="I31:I40" si="12">SUM(C31:H31)</f>
        <v>1332782.3734023205</v>
      </c>
    </row>
    <row r="32" spans="1:20">
      <c r="B32" s="24">
        <v>2019</v>
      </c>
      <c r="C32" s="90">
        <v>222916.30511296893</v>
      </c>
      <c r="D32" s="90">
        <v>569795.50790462072</v>
      </c>
      <c r="E32" s="90">
        <v>476163.35298047162</v>
      </c>
      <c r="F32" s="90"/>
      <c r="G32" s="90"/>
      <c r="H32" s="90"/>
      <c r="I32" s="78">
        <f t="shared" si="12"/>
        <v>1268875.1659980612</v>
      </c>
      <c r="K32" s="23"/>
    </row>
    <row r="33" spans="1:18">
      <c r="B33" s="22">
        <v>2020</v>
      </c>
      <c r="C33" s="90">
        <v>222916.30511296893</v>
      </c>
      <c r="D33" s="90">
        <v>565428.15843553457</v>
      </c>
      <c r="E33" s="90">
        <v>474354.55778874602</v>
      </c>
      <c r="F33" s="90"/>
      <c r="G33" s="90"/>
      <c r="H33" s="90"/>
      <c r="I33" s="78">
        <f t="shared" si="12"/>
        <v>1262699.0213372495</v>
      </c>
      <c r="K33" s="23"/>
    </row>
    <row r="34" spans="1:18">
      <c r="B34" s="22">
        <v>2021</v>
      </c>
      <c r="C34" s="90">
        <v>222916.30511296893</v>
      </c>
      <c r="D34" s="90">
        <v>539705.9108863998</v>
      </c>
      <c r="E34" s="90">
        <v>463701.35084559198</v>
      </c>
      <c r="F34" s="90"/>
      <c r="G34" s="90"/>
      <c r="H34" s="90"/>
      <c r="I34" s="78">
        <f t="shared" si="12"/>
        <v>1226323.5668449607</v>
      </c>
      <c r="J34"/>
      <c r="K34" s="116"/>
      <c r="L34" s="116"/>
      <c r="M34" s="116"/>
      <c r="N34" s="116"/>
    </row>
    <row r="35" spans="1:18">
      <c r="B35" s="24">
        <v>2022</v>
      </c>
      <c r="C35" s="90">
        <v>222916.30511296893</v>
      </c>
      <c r="D35" s="90">
        <v>539632.09819256049</v>
      </c>
      <c r="E35" s="90">
        <v>463670.78034816554</v>
      </c>
      <c r="F35" s="90"/>
      <c r="G35" s="90"/>
      <c r="H35" s="90"/>
      <c r="I35" s="78">
        <f t="shared" si="12"/>
        <v>1226219.183653695</v>
      </c>
      <c r="J35"/>
      <c r="K35" s="116"/>
      <c r="L35" s="116"/>
      <c r="M35" s="116"/>
      <c r="N35" s="116"/>
    </row>
    <row r="36" spans="1:18">
      <c r="B36" s="22">
        <v>2023</v>
      </c>
      <c r="C36" s="90">
        <v>222916.30511296893</v>
      </c>
      <c r="D36" s="90">
        <v>511694.12646782066</v>
      </c>
      <c r="E36" s="90">
        <v>443896.93530618853</v>
      </c>
      <c r="F36" s="90"/>
      <c r="G36" s="90"/>
      <c r="H36" s="90"/>
      <c r="I36" s="78">
        <f t="shared" si="12"/>
        <v>1178507.366886978</v>
      </c>
      <c r="J36"/>
      <c r="K36" s="116"/>
      <c r="L36" s="116"/>
      <c r="M36" s="116"/>
      <c r="N36" s="116"/>
    </row>
    <row r="37" spans="1:18">
      <c r="B37" s="22">
        <v>2024</v>
      </c>
      <c r="C37" s="90">
        <v>222916.30511296893</v>
      </c>
      <c r="D37" s="90">
        <v>473659.33108473255</v>
      </c>
      <c r="E37" s="90">
        <v>428144.32482833043</v>
      </c>
      <c r="F37" s="90"/>
      <c r="G37" s="90"/>
      <c r="H37" s="90"/>
      <c r="I37" s="78">
        <f t="shared" si="12"/>
        <v>1124719.961026032</v>
      </c>
      <c r="J37">
        <f>J6</f>
        <v>2016</v>
      </c>
      <c r="K37" s="116">
        <f>K6</f>
        <v>389591.5</v>
      </c>
      <c r="L37" s="116">
        <f>L6</f>
        <v>363311.5</v>
      </c>
      <c r="M37" s="116">
        <f>M6</f>
        <v>331928.5</v>
      </c>
      <c r="N37" s="116"/>
      <c r="O37" s="23"/>
      <c r="P37" s="23"/>
      <c r="Q37" s="23"/>
      <c r="R37" s="23"/>
    </row>
    <row r="38" spans="1:18">
      <c r="B38" s="24">
        <v>2025</v>
      </c>
      <c r="C38" s="90">
        <v>222912.87617120374</v>
      </c>
      <c r="D38" s="90">
        <v>456873.73400411493</v>
      </c>
      <c r="E38" s="90">
        <v>421192.34914958623</v>
      </c>
      <c r="F38" s="90"/>
      <c r="G38" s="90"/>
      <c r="H38" s="90"/>
      <c r="I38" s="78">
        <f t="shared" si="12"/>
        <v>1100978.959324905</v>
      </c>
      <c r="J38">
        <f t="shared" ref="J38:J48" si="13">J7</f>
        <v>2017</v>
      </c>
      <c r="K38" s="116">
        <f t="shared" ref="K38:M48" si="14">K7-K6</f>
        <v>990358</v>
      </c>
      <c r="L38" s="116">
        <f t="shared" si="14"/>
        <v>684802.75</v>
      </c>
      <c r="M38" s="116">
        <f t="shared" si="14"/>
        <v>585754.25</v>
      </c>
      <c r="N38" s="116"/>
      <c r="O38" s="23"/>
      <c r="P38" s="23"/>
      <c r="Q38" s="23"/>
      <c r="R38" s="23"/>
    </row>
    <row r="39" spans="1:18">
      <c r="B39" s="22">
        <v>2026</v>
      </c>
      <c r="C39" s="90">
        <v>222912.87617120374</v>
      </c>
      <c r="D39" s="90">
        <v>424058.97502222669</v>
      </c>
      <c r="E39" s="90">
        <v>396165.3367728825</v>
      </c>
      <c r="F39" s="90"/>
      <c r="G39" s="90"/>
      <c r="H39" s="90"/>
      <c r="I39" s="78">
        <f t="shared" si="12"/>
        <v>1043137.1879663129</v>
      </c>
      <c r="J39">
        <f t="shared" si="13"/>
        <v>2018</v>
      </c>
      <c r="K39" s="116">
        <f t="shared" si="14"/>
        <v>482316.90163569548</v>
      </c>
      <c r="L39" s="116">
        <f t="shared" si="14"/>
        <v>606454.18126376974</v>
      </c>
      <c r="M39" s="116">
        <f t="shared" si="14"/>
        <v>491972.60380169493</v>
      </c>
      <c r="N39" s="116"/>
      <c r="O39" s="23" t="s">
        <v>186</v>
      </c>
      <c r="P39" s="23"/>
      <c r="Q39" s="23"/>
      <c r="R39" s="23"/>
    </row>
    <row r="40" spans="1:18">
      <c r="B40" s="22">
        <v>2027</v>
      </c>
      <c r="C40" s="90">
        <v>222912.87617120374</v>
      </c>
      <c r="D40" s="90">
        <v>405693.19579189637</v>
      </c>
      <c r="E40" s="90">
        <v>388558.90788523376</v>
      </c>
      <c r="F40" s="90"/>
      <c r="G40" s="90"/>
      <c r="H40" s="90"/>
      <c r="I40" s="78">
        <f t="shared" si="12"/>
        <v>1017164.9798483339</v>
      </c>
      <c r="J40">
        <f t="shared" si="13"/>
        <v>2019</v>
      </c>
      <c r="K40" s="116">
        <f t="shared" si="14"/>
        <v>79705.903477273416</v>
      </c>
      <c r="L40" s="116">
        <f t="shared" si="14"/>
        <v>281306.9516408511</v>
      </c>
      <c r="M40" s="116">
        <f t="shared" si="14"/>
        <v>236922.62417877675</v>
      </c>
      <c r="N40" s="116"/>
      <c r="P40" s="23"/>
      <c r="Q40" s="23"/>
      <c r="R40" s="23"/>
    </row>
    <row r="41" spans="1:18">
      <c r="B41" s="21"/>
      <c r="J41">
        <f t="shared" si="13"/>
        <v>2020</v>
      </c>
      <c r="K41" s="116">
        <f t="shared" si="14"/>
        <v>315</v>
      </c>
      <c r="L41" s="116">
        <f t="shared" si="14"/>
        <v>-59959.974469086155</v>
      </c>
      <c r="M41" s="116">
        <f t="shared" si="14"/>
        <v>-20339.670191725716</v>
      </c>
      <c r="N41" s="116"/>
      <c r="Q41" s="23"/>
      <c r="R41" s="23"/>
    </row>
    <row r="42" spans="1:18">
      <c r="A42" s="21">
        <v>2019</v>
      </c>
      <c r="B42" s="22">
        <v>2019</v>
      </c>
      <c r="C42" s="90">
        <v>630</v>
      </c>
      <c r="D42" s="90">
        <v>3798.75</v>
      </c>
      <c r="E42" s="90">
        <v>1266.25</v>
      </c>
      <c r="F42" s="90"/>
      <c r="G42" s="90"/>
      <c r="I42" s="78">
        <f t="shared" ref="I42:I50" si="15">SUM(C42:H42)</f>
        <v>5695</v>
      </c>
      <c r="J42">
        <f t="shared" si="13"/>
        <v>2021</v>
      </c>
      <c r="K42" s="116">
        <f t="shared" si="14"/>
        <v>9595.4688231465407</v>
      </c>
      <c r="L42" s="116">
        <f t="shared" si="14"/>
        <v>130402.27374399407</v>
      </c>
      <c r="M42" s="116">
        <f t="shared" si="14"/>
        <v>156717.43643992627</v>
      </c>
      <c r="N42" s="116"/>
      <c r="R42" s="23"/>
    </row>
    <row r="43" spans="1:18">
      <c r="B43" s="22">
        <v>2020</v>
      </c>
      <c r="C43" s="90">
        <v>630</v>
      </c>
      <c r="D43" s="90">
        <v>3798.75</v>
      </c>
      <c r="E43" s="90">
        <v>1266.25</v>
      </c>
      <c r="F43" s="90"/>
      <c r="G43" s="90"/>
      <c r="I43" s="78">
        <f t="shared" si="15"/>
        <v>5695</v>
      </c>
      <c r="J43">
        <f t="shared" si="13"/>
        <v>2022</v>
      </c>
      <c r="K43" s="116">
        <f t="shared" si="14"/>
        <v>17235.522076227702</v>
      </c>
      <c r="L43" s="116">
        <f t="shared" si="14"/>
        <v>408144.45047273906</v>
      </c>
      <c r="M43" s="116">
        <f t="shared" si="14"/>
        <v>435322.48200198635</v>
      </c>
      <c r="N43" s="116"/>
    </row>
    <row r="44" spans="1:18">
      <c r="B44" s="22">
        <v>2021</v>
      </c>
      <c r="C44" s="90">
        <v>630</v>
      </c>
      <c r="D44" s="90">
        <v>3694.9468987150026</v>
      </c>
      <c r="E44" s="90">
        <v>1231.6489662383342</v>
      </c>
      <c r="F44" s="90"/>
      <c r="G44" s="90"/>
      <c r="I44" s="78">
        <f t="shared" si="15"/>
        <v>5556.5958649533368</v>
      </c>
      <c r="J44">
        <f t="shared" si="13"/>
        <v>2023</v>
      </c>
      <c r="K44" s="116">
        <f t="shared" si="14"/>
        <v>18976.952737960266</v>
      </c>
      <c r="L44" s="116">
        <f t="shared" si="14"/>
        <v>250606.01510943193</v>
      </c>
      <c r="M44" s="116">
        <f t="shared" si="14"/>
        <v>306966.3681533006</v>
      </c>
      <c r="N44" s="116"/>
    </row>
    <row r="45" spans="1:18">
      <c r="B45" s="24">
        <v>2022</v>
      </c>
      <c r="C45" s="90">
        <v>630</v>
      </c>
      <c r="D45" s="90">
        <v>3083.5808776259692</v>
      </c>
      <c r="E45" s="90">
        <v>1027.8602925419898</v>
      </c>
      <c r="F45" s="90"/>
      <c r="G45" s="90"/>
      <c r="I45" s="78">
        <f t="shared" si="15"/>
        <v>4741.4411701679592</v>
      </c>
      <c r="J45">
        <f t="shared" si="13"/>
        <v>2024</v>
      </c>
      <c r="K45" s="116">
        <f t="shared" si="14"/>
        <v>67792.320373848546</v>
      </c>
      <c r="L45" s="116">
        <f t="shared" si="14"/>
        <v>301043.70349205565</v>
      </c>
      <c r="M45" s="116">
        <f t="shared" si="14"/>
        <v>347420.51063212892</v>
      </c>
      <c r="N45" s="116"/>
    </row>
    <row r="46" spans="1:18">
      <c r="B46" s="22">
        <v>2023</v>
      </c>
      <c r="C46" s="90">
        <v>630</v>
      </c>
      <c r="D46" s="90">
        <v>3081.826498548005</v>
      </c>
      <c r="E46" s="90">
        <v>1027.2754995160017</v>
      </c>
      <c r="F46" s="90"/>
      <c r="G46" s="90"/>
      <c r="I46" s="78">
        <f t="shared" si="15"/>
        <v>4739.1019980640067</v>
      </c>
      <c r="J46">
        <f t="shared" si="13"/>
        <v>2025</v>
      </c>
      <c r="K46" s="116">
        <f t="shared" si="14"/>
        <v>128338.28580166958</v>
      </c>
      <c r="L46" s="116">
        <f t="shared" si="14"/>
        <v>325670.05822340259</v>
      </c>
      <c r="M46" s="116">
        <f t="shared" si="14"/>
        <v>359493.74887425778</v>
      </c>
      <c r="N46" s="116"/>
    </row>
    <row r="47" spans="1:18">
      <c r="B47" s="22">
        <v>2024</v>
      </c>
      <c r="C47" s="90">
        <v>630</v>
      </c>
      <c r="D47" s="90">
        <v>2750.5997286283264</v>
      </c>
      <c r="E47" s="90">
        <v>916.86657620944209</v>
      </c>
      <c r="F47" s="90"/>
      <c r="G47" s="90"/>
      <c r="I47" s="78">
        <f t="shared" si="15"/>
        <v>4297.4663048377688</v>
      </c>
      <c r="J47">
        <f t="shared" si="13"/>
        <v>2026</v>
      </c>
      <c r="K47" s="116">
        <f t="shared" si="14"/>
        <v>161356.10923670419</v>
      </c>
      <c r="L47" s="116">
        <f t="shared" si="14"/>
        <v>241464.05560425948</v>
      </c>
      <c r="M47" s="116">
        <f t="shared" si="14"/>
        <v>267459.83911894634</v>
      </c>
      <c r="N47" s="116"/>
    </row>
    <row r="48" spans="1:18">
      <c r="B48" s="24">
        <v>2025</v>
      </c>
      <c r="C48" s="90">
        <v>630</v>
      </c>
      <c r="D48" s="90">
        <v>1846.5892423022074</v>
      </c>
      <c r="E48" s="90">
        <v>615.52974743406912</v>
      </c>
      <c r="F48" s="90"/>
      <c r="G48" s="90"/>
      <c r="I48" s="78">
        <f t="shared" si="15"/>
        <v>3092.1189897362765</v>
      </c>
      <c r="J48">
        <f t="shared" si="13"/>
        <v>2027</v>
      </c>
      <c r="K48" s="116">
        <f t="shared" si="14"/>
        <v>146564.1202541301</v>
      </c>
      <c r="L48" s="116">
        <f t="shared" si="14"/>
        <v>357044.5711776237</v>
      </c>
      <c r="M48" s="116">
        <f t="shared" si="14"/>
        <v>386091.10256697284</v>
      </c>
      <c r="N48" s="116"/>
    </row>
    <row r="49" spans="1:18">
      <c r="B49" s="22">
        <v>2026</v>
      </c>
      <c r="C49" s="90">
        <v>630</v>
      </c>
      <c r="D49" s="90">
        <v>1447.6294049404794</v>
      </c>
      <c r="E49" s="90">
        <v>482.54313498015978</v>
      </c>
      <c r="F49" s="90"/>
      <c r="G49" s="90"/>
      <c r="I49" s="78">
        <f t="shared" si="15"/>
        <v>2560.1725399206393</v>
      </c>
    </row>
    <row r="50" spans="1:18">
      <c r="B50" s="22">
        <v>2027</v>
      </c>
      <c r="C50" s="90">
        <v>630</v>
      </c>
      <c r="D50" s="90">
        <v>1131.6727505154029</v>
      </c>
      <c r="E50" s="90">
        <v>377.22425017180097</v>
      </c>
      <c r="F50" s="90"/>
      <c r="G50" s="90"/>
      <c r="H50" s="90"/>
      <c r="I50" s="78">
        <f t="shared" si="15"/>
        <v>2138.8970006872037</v>
      </c>
    </row>
    <row r="51" spans="1:18">
      <c r="B51" s="21"/>
    </row>
    <row r="52" spans="1:18">
      <c r="A52" s="21">
        <v>2020</v>
      </c>
      <c r="B52" s="22">
        <v>2020</v>
      </c>
      <c r="C52" s="70">
        <v>0</v>
      </c>
      <c r="D52" s="70">
        <v>0</v>
      </c>
      <c r="E52" s="70">
        <v>0</v>
      </c>
      <c r="F52" s="23"/>
      <c r="G52" s="70"/>
      <c r="H52" s="23"/>
      <c r="I52" s="78">
        <f t="shared" ref="I52:I59" si="16">SUM(C52:H52)</f>
        <v>0</v>
      </c>
    </row>
    <row r="53" spans="1:18">
      <c r="B53" s="22">
        <v>2021</v>
      </c>
      <c r="C53" s="70">
        <f t="shared" ref="C53:E59" si="17">C$52*(SUM(C43,C32,C20,C7)/SUM(C$42,C$31,C$19,C$6))</f>
        <v>0</v>
      </c>
      <c r="D53" s="70">
        <f t="shared" si="17"/>
        <v>0</v>
      </c>
      <c r="E53" s="70">
        <f t="shared" si="17"/>
        <v>0</v>
      </c>
      <c r="F53" s="23"/>
      <c r="G53" s="70"/>
      <c r="H53" s="23"/>
      <c r="I53" s="78">
        <f t="shared" si="16"/>
        <v>0</v>
      </c>
    </row>
    <row r="54" spans="1:18">
      <c r="B54" s="24">
        <v>2022</v>
      </c>
      <c r="C54" s="70">
        <f t="shared" si="17"/>
        <v>0</v>
      </c>
      <c r="D54" s="70">
        <f t="shared" si="17"/>
        <v>0</v>
      </c>
      <c r="E54" s="70">
        <f t="shared" si="17"/>
        <v>0</v>
      </c>
      <c r="F54" s="23"/>
      <c r="G54" s="70"/>
      <c r="H54" s="23"/>
      <c r="I54" s="78">
        <f t="shared" si="16"/>
        <v>0</v>
      </c>
    </row>
    <row r="55" spans="1:18">
      <c r="B55" s="22">
        <v>2023</v>
      </c>
      <c r="C55" s="70">
        <f t="shared" si="17"/>
        <v>0</v>
      </c>
      <c r="D55" s="70">
        <f t="shared" si="17"/>
        <v>0</v>
      </c>
      <c r="E55" s="70">
        <f t="shared" si="17"/>
        <v>0</v>
      </c>
      <c r="F55" s="23"/>
      <c r="G55" s="70"/>
      <c r="H55" s="23"/>
      <c r="I55" s="78">
        <f t="shared" si="16"/>
        <v>0</v>
      </c>
    </row>
    <row r="56" spans="1:18">
      <c r="B56" s="22">
        <v>2024</v>
      </c>
      <c r="C56" s="70">
        <f t="shared" si="17"/>
        <v>0</v>
      </c>
      <c r="D56" s="70">
        <f t="shared" si="17"/>
        <v>0</v>
      </c>
      <c r="E56" s="70">
        <f t="shared" si="17"/>
        <v>0</v>
      </c>
      <c r="F56" s="23"/>
      <c r="G56" s="70"/>
      <c r="H56" s="23"/>
      <c r="I56" s="78">
        <f t="shared" si="16"/>
        <v>0</v>
      </c>
      <c r="O56" s="92"/>
      <c r="P56" s="92"/>
      <c r="Q56" s="92"/>
      <c r="R56" s="92"/>
    </row>
    <row r="57" spans="1:18">
      <c r="B57" s="24">
        <v>2025</v>
      </c>
      <c r="C57" s="70">
        <f t="shared" si="17"/>
        <v>0</v>
      </c>
      <c r="D57" s="70">
        <f t="shared" si="17"/>
        <v>0</v>
      </c>
      <c r="E57" s="70">
        <f t="shared" si="17"/>
        <v>0</v>
      </c>
      <c r="F57" s="23"/>
      <c r="G57" s="70"/>
      <c r="H57" s="23"/>
      <c r="I57" s="78">
        <f t="shared" si="16"/>
        <v>0</v>
      </c>
    </row>
    <row r="58" spans="1:18">
      <c r="B58" s="22">
        <v>2026</v>
      </c>
      <c r="C58" s="70">
        <f t="shared" si="17"/>
        <v>0</v>
      </c>
      <c r="D58" s="70">
        <f t="shared" si="17"/>
        <v>0</v>
      </c>
      <c r="E58" s="70">
        <f t="shared" si="17"/>
        <v>0</v>
      </c>
      <c r="F58" s="23"/>
      <c r="G58" s="70"/>
      <c r="H58" s="23"/>
      <c r="I58" s="78">
        <f t="shared" si="16"/>
        <v>0</v>
      </c>
    </row>
    <row r="59" spans="1:18">
      <c r="B59" s="22">
        <v>2027</v>
      </c>
      <c r="C59" s="70">
        <f t="shared" si="17"/>
        <v>0</v>
      </c>
      <c r="D59" s="70">
        <f t="shared" si="17"/>
        <v>0</v>
      </c>
      <c r="E59" s="70">
        <f t="shared" si="17"/>
        <v>0</v>
      </c>
      <c r="F59" s="23"/>
      <c r="G59" s="70"/>
      <c r="H59" s="23"/>
      <c r="I59" s="78">
        <f t="shared" si="16"/>
        <v>0</v>
      </c>
    </row>
    <row r="60" spans="1:18">
      <c r="B60" s="21"/>
    </row>
    <row r="61" spans="1:18">
      <c r="A61" s="21">
        <v>2021</v>
      </c>
      <c r="B61" s="22">
        <v>2021</v>
      </c>
      <c r="C61" s="70">
        <f>'CDM Framework'!P44</f>
        <v>19482.937646292747</v>
      </c>
      <c r="D61" s="70">
        <f>'CDM Framework'!P45</f>
        <v>374955.64878882736</v>
      </c>
      <c r="E61" s="70">
        <f>'CDM Framework'!P46</f>
        <v>372311.48883368378</v>
      </c>
      <c r="F61" s="23"/>
      <c r="G61" s="70"/>
      <c r="H61" s="23"/>
      <c r="I61" s="78">
        <f t="shared" ref="I61:I67" si="18">SUM(C61:H61)</f>
        <v>766750.07526880386</v>
      </c>
    </row>
    <row r="62" spans="1:18">
      <c r="B62" s="24">
        <v>2022</v>
      </c>
      <c r="C62" s="70">
        <f t="shared" ref="C62:E67" si="19">C$61*(SUM(C43,C32,C20,C7)/SUM(C$42,C$31,C$19,C$6))</f>
        <v>16682.02952945821</v>
      </c>
      <c r="D62" s="70">
        <f t="shared" si="19"/>
        <v>375001.1210737034</v>
      </c>
      <c r="E62" s="70">
        <f t="shared" si="19"/>
        <v>372364.6985497172</v>
      </c>
      <c r="G62" s="70"/>
      <c r="I62" s="78">
        <f t="shared" si="18"/>
        <v>764047.84915287886</v>
      </c>
    </row>
    <row r="63" spans="1:18">
      <c r="B63" s="22">
        <v>2023</v>
      </c>
      <c r="C63" s="70">
        <f t="shared" si="19"/>
        <v>16682.02952945821</v>
      </c>
      <c r="D63" s="70">
        <f t="shared" si="19"/>
        <v>373067.92682540388</v>
      </c>
      <c r="E63" s="70">
        <f t="shared" si="19"/>
        <v>371530.93997115188</v>
      </c>
      <c r="G63" s="70"/>
      <c r="I63" s="78">
        <f t="shared" si="18"/>
        <v>761280.89632601396</v>
      </c>
    </row>
    <row r="64" spans="1:18">
      <c r="B64" s="22">
        <v>2024</v>
      </c>
      <c r="C64" s="70">
        <f t="shared" si="19"/>
        <v>16682.02952945821</v>
      </c>
      <c r="D64" s="70">
        <f t="shared" si="19"/>
        <v>361682.0504792803</v>
      </c>
      <c r="E64" s="70">
        <f t="shared" si="19"/>
        <v>366620.37700707634</v>
      </c>
      <c r="G64" s="70"/>
      <c r="I64" s="78">
        <f t="shared" si="18"/>
        <v>744984.45701581484</v>
      </c>
    </row>
    <row r="65" spans="1:14">
      <c r="B65" s="24">
        <v>2025</v>
      </c>
      <c r="C65" s="70">
        <f t="shared" si="19"/>
        <v>16682.02952945821</v>
      </c>
      <c r="D65" s="70">
        <f t="shared" si="19"/>
        <v>356859.49761003366</v>
      </c>
      <c r="E65" s="70">
        <f t="shared" si="19"/>
        <v>364737.9816732998</v>
      </c>
      <c r="G65" s="70"/>
      <c r="I65" s="78">
        <f t="shared" si="18"/>
        <v>738279.50881279167</v>
      </c>
    </row>
    <row r="66" spans="1:14">
      <c r="B66" s="22">
        <v>2026</v>
      </c>
      <c r="C66" s="70">
        <f t="shared" si="19"/>
        <v>16680.775556214969</v>
      </c>
      <c r="D66" s="70">
        <f t="shared" si="19"/>
        <v>339076.14734438789</v>
      </c>
      <c r="E66" s="70">
        <f t="shared" si="19"/>
        <v>351294.72768600006</v>
      </c>
      <c r="G66" s="70"/>
      <c r="I66" s="78">
        <f t="shared" si="18"/>
        <v>707051.65058660298</v>
      </c>
    </row>
    <row r="67" spans="1:14">
      <c r="B67" s="22">
        <v>2027</v>
      </c>
      <c r="C67" s="70">
        <f t="shared" si="19"/>
        <v>16680.775556214969</v>
      </c>
      <c r="D67" s="70">
        <f t="shared" si="19"/>
        <v>318733.86088523525</v>
      </c>
      <c r="E67" s="70">
        <f t="shared" si="19"/>
        <v>342665.9707588497</v>
      </c>
      <c r="G67" s="70"/>
      <c r="I67" s="78">
        <f t="shared" si="18"/>
        <v>678080.60720029986</v>
      </c>
    </row>
    <row r="68" spans="1:14">
      <c r="B68" s="21"/>
      <c r="J68" s="23"/>
      <c r="K68" s="23"/>
    </row>
    <row r="69" spans="1:14">
      <c r="A69" s="21">
        <v>2022</v>
      </c>
      <c r="B69" s="24">
        <v>2022</v>
      </c>
      <c r="C69" s="23">
        <f>'CDM Framework'!Q44</f>
        <v>20589.922739832105</v>
      </c>
      <c r="D69" s="23">
        <f>'CDM Framework'!Q45</f>
        <v>544416.16501675558</v>
      </c>
      <c r="E69" s="23">
        <f>'CDM Framework'!Q46</f>
        <v>552672.27408046753</v>
      </c>
      <c r="G69" s="23"/>
      <c r="I69" s="78">
        <f t="shared" ref="I69:I74" si="20">SUM(C69:H69)</f>
        <v>1117678.3618370551</v>
      </c>
    </row>
    <row r="70" spans="1:14">
      <c r="B70" s="22">
        <v>2023</v>
      </c>
      <c r="C70" s="70">
        <f t="shared" ref="C70:E74" si="21">C$69*(SUM(C43,C32,C20,C7)/SUM(C$42,C$31,C$19,C$6))</f>
        <v>17629.872116359242</v>
      </c>
      <c r="D70" s="70">
        <f t="shared" si="21"/>
        <v>544482.18841719441</v>
      </c>
      <c r="E70" s="70">
        <f t="shared" si="21"/>
        <v>552751.26045517088</v>
      </c>
      <c r="G70" s="70"/>
      <c r="I70" s="78">
        <f t="shared" si="20"/>
        <v>1114863.3209887245</v>
      </c>
    </row>
    <row r="71" spans="1:14">
      <c r="B71" s="22">
        <v>2024</v>
      </c>
      <c r="C71" s="70">
        <f t="shared" si="21"/>
        <v>17629.872116359242</v>
      </c>
      <c r="D71" s="70">
        <f t="shared" si="21"/>
        <v>541675.29058196687</v>
      </c>
      <c r="E71" s="70">
        <f t="shared" si="21"/>
        <v>551513.59988473484</v>
      </c>
      <c r="G71" s="70"/>
      <c r="I71" s="78">
        <f t="shared" si="20"/>
        <v>1110818.7625830611</v>
      </c>
    </row>
    <row r="72" spans="1:14">
      <c r="B72" s="24">
        <v>2025</v>
      </c>
      <c r="C72" s="70">
        <f t="shared" si="21"/>
        <v>17629.872116359242</v>
      </c>
      <c r="D72" s="70">
        <f t="shared" si="21"/>
        <v>525143.58835069137</v>
      </c>
      <c r="E72" s="70">
        <f t="shared" si="21"/>
        <v>544224.18743906275</v>
      </c>
      <c r="G72" s="70"/>
      <c r="I72" s="78">
        <f t="shared" si="20"/>
        <v>1086997.6479061134</v>
      </c>
    </row>
    <row r="73" spans="1:14">
      <c r="B73" s="22">
        <v>2026</v>
      </c>
      <c r="C73" s="70">
        <f t="shared" si="21"/>
        <v>17629.872116359242</v>
      </c>
      <c r="D73" s="70">
        <f t="shared" si="21"/>
        <v>518141.49157698883</v>
      </c>
      <c r="E73" s="70">
        <f t="shared" si="21"/>
        <v>541429.89357212954</v>
      </c>
      <c r="G73" s="70"/>
      <c r="I73" s="78">
        <f t="shared" si="20"/>
        <v>1077201.2572654777</v>
      </c>
    </row>
    <row r="74" spans="1:14">
      <c r="B74" s="22">
        <v>2027</v>
      </c>
      <c r="C74" s="70">
        <f t="shared" si="21"/>
        <v>17628.546894636271</v>
      </c>
      <c r="D74" s="70">
        <f t="shared" si="21"/>
        <v>492320.98884807772</v>
      </c>
      <c r="E74" s="70">
        <f t="shared" si="21"/>
        <v>521474.2543425241</v>
      </c>
      <c r="G74" s="70"/>
      <c r="I74" s="78">
        <f t="shared" si="20"/>
        <v>1031423.7900852382</v>
      </c>
    </row>
    <row r="75" spans="1:14">
      <c r="B75" s="21"/>
    </row>
    <row r="76" spans="1:14">
      <c r="A76" s="21">
        <v>2023</v>
      </c>
      <c r="B76" s="22">
        <v>2023</v>
      </c>
      <c r="C76" s="70">
        <f>'CDM Framework'!R44</f>
        <v>23468.083983034438</v>
      </c>
      <c r="D76" s="70">
        <f>'CDM Framework'!R45</f>
        <v>149866.15910546531</v>
      </c>
      <c r="E76" s="70">
        <f>'CDM Framework'!R46</f>
        <v>146804.36630386411</v>
      </c>
      <c r="G76" s="70"/>
      <c r="I76" s="78">
        <f>SUM(C76:H76)</f>
        <v>320138.60939236387</v>
      </c>
    </row>
    <row r="77" spans="1:14">
      <c r="B77" s="22">
        <v>2024</v>
      </c>
      <c r="C77" s="70">
        <f t="shared" ref="C77:E80" si="22">C$76*(SUM(C43,C32,C20,C7)/SUM(C$42,C$31,C$19,C$6))</f>
        <v>20094.262842301927</v>
      </c>
      <c r="D77" s="70">
        <f t="shared" si="22"/>
        <v>149884.33393948138</v>
      </c>
      <c r="E77" s="70">
        <f t="shared" si="22"/>
        <v>146825.34717304967</v>
      </c>
      <c r="G77" s="70"/>
      <c r="I77" s="78">
        <f>SUM(C77:H77)</f>
        <v>316803.94395483297</v>
      </c>
      <c r="J77" s="80"/>
      <c r="K77" s="80"/>
    </row>
    <row r="78" spans="1:14">
      <c r="B78" s="24">
        <v>2025</v>
      </c>
      <c r="C78" s="70">
        <f t="shared" si="22"/>
        <v>20094.262842301927</v>
      </c>
      <c r="D78" s="70">
        <f t="shared" si="22"/>
        <v>149111.65483000997</v>
      </c>
      <c r="E78" s="70">
        <f t="shared" si="22"/>
        <v>146496.59180705188</v>
      </c>
      <c r="G78" s="70"/>
      <c r="I78" s="78">
        <f>SUM(C78:H78)</f>
        <v>315702.5094793638</v>
      </c>
      <c r="L78" s="78"/>
      <c r="M78" s="79"/>
      <c r="N78" s="79"/>
    </row>
    <row r="79" spans="1:14">
      <c r="B79" s="22">
        <v>2026</v>
      </c>
      <c r="C79" s="70">
        <f t="shared" si="22"/>
        <v>20094.262842301927</v>
      </c>
      <c r="D79" s="70">
        <f t="shared" si="22"/>
        <v>144560.82978828796</v>
      </c>
      <c r="E79" s="70">
        <f t="shared" si="22"/>
        <v>144560.33116036965</v>
      </c>
      <c r="G79" s="70"/>
      <c r="I79" s="78">
        <f>SUM(C79:H79)</f>
        <v>309215.42379095952</v>
      </c>
      <c r="J79" s="78"/>
      <c r="K79" s="23"/>
    </row>
    <row r="80" spans="1:14">
      <c r="B80" s="22">
        <v>2027</v>
      </c>
      <c r="C80" s="70">
        <f t="shared" si="22"/>
        <v>20094.262842301927</v>
      </c>
      <c r="D80" s="70">
        <f t="shared" si="22"/>
        <v>142633.30188483698</v>
      </c>
      <c r="E80" s="70">
        <f t="shared" si="22"/>
        <v>143818.09284004787</v>
      </c>
      <c r="G80" s="70"/>
      <c r="I80" s="78">
        <f>SUM(C80:H80)</f>
        <v>306545.65756718675</v>
      </c>
      <c r="J80" s="79"/>
      <c r="K80" s="23"/>
    </row>
    <row r="81" spans="1:9">
      <c r="B81" s="21"/>
    </row>
    <row r="82" spans="1:9">
      <c r="A82" s="21">
        <v>2024</v>
      </c>
      <c r="B82" s="22">
        <v>2024</v>
      </c>
      <c r="C82" s="70">
        <f>'CDM Framework'!S44</f>
        <v>118890.19904612732</v>
      </c>
      <c r="D82" s="70">
        <f>'CDM Framework'!S45</f>
        <v>608248.99087933113</v>
      </c>
      <c r="E82" s="70">
        <f>'CDM Framework'!S46</f>
        <v>611500.67909337417</v>
      </c>
      <c r="G82" s="70"/>
      <c r="I82" s="78">
        <f>SUM(C82:H82)</f>
        <v>1338639.8690188327</v>
      </c>
    </row>
    <row r="83" spans="1:9">
      <c r="B83" s="24">
        <v>2025</v>
      </c>
      <c r="C83" s="70">
        <f t="shared" ref="C83:E85" si="23">C$82*(SUM(C43,C32,C20,C7)/SUM(C$42,C$31,C$19,C$6))</f>
        <v>101798.2938331711</v>
      </c>
      <c r="D83" s="70">
        <f t="shared" si="23"/>
        <v>608322.755527172</v>
      </c>
      <c r="E83" s="70">
        <f t="shared" si="23"/>
        <v>611588.07305908483</v>
      </c>
      <c r="G83" s="70"/>
      <c r="I83" s="78">
        <f>SUM(C83:H83)</f>
        <v>1321709.1224194281</v>
      </c>
    </row>
    <row r="84" spans="1:9">
      <c r="B84" s="22">
        <v>2026</v>
      </c>
      <c r="C84" s="70">
        <f t="shared" si="23"/>
        <v>101798.2938331711</v>
      </c>
      <c r="D84" s="70">
        <f t="shared" si="23"/>
        <v>605186.7487634382</v>
      </c>
      <c r="E84" s="70">
        <f t="shared" si="23"/>
        <v>610218.6714900122</v>
      </c>
      <c r="G84" s="70"/>
      <c r="I84" s="78">
        <f>SUM(C84:H84)</f>
        <v>1317203.7140866215</v>
      </c>
    </row>
    <row r="85" spans="1:9">
      <c r="B85" s="22">
        <v>2027</v>
      </c>
      <c r="C85" s="70">
        <f t="shared" si="23"/>
        <v>101798.2938331711</v>
      </c>
      <c r="D85" s="70">
        <f t="shared" si="23"/>
        <v>586716.70351894887</v>
      </c>
      <c r="E85" s="70">
        <f t="shared" si="23"/>
        <v>602153.34802478773</v>
      </c>
      <c r="G85" s="70"/>
      <c r="I85" s="78">
        <f>SUM(C85:H85)</f>
        <v>1290668.3453769078</v>
      </c>
    </row>
    <row r="86" spans="1:9">
      <c r="B86" s="21"/>
    </row>
    <row r="87" spans="1:9">
      <c r="A87" s="21">
        <v>2025</v>
      </c>
      <c r="B87" s="24">
        <v>2025</v>
      </c>
      <c r="C87" s="70">
        <f>'CDM Framework'!T44</f>
        <v>180257.04086665454</v>
      </c>
      <c r="D87" s="70">
        <f>'CDM Framework'!T45</f>
        <v>211921.17982566811</v>
      </c>
      <c r="E87" s="70">
        <f>'CDM Framework'!T46</f>
        <v>198543.28202965227</v>
      </c>
      <c r="G87" s="70"/>
      <c r="I87" s="78">
        <f>SUM(C87:H87)</f>
        <v>590721.50272197486</v>
      </c>
    </row>
    <row r="88" spans="1:9">
      <c r="B88" s="22">
        <v>2026</v>
      </c>
      <c r="C88" s="70">
        <f t="shared" ref="C88:E89" si="24">C$87*(SUM(C43,C32,C20,C7)/SUM(C$42,C$31,C$19,C$6))</f>
        <v>154342.90933033265</v>
      </c>
      <c r="D88" s="70">
        <f t="shared" si="24"/>
        <v>211946.88030595539</v>
      </c>
      <c r="E88" s="70">
        <f t="shared" si="24"/>
        <v>198571.65727987685</v>
      </c>
      <c r="G88" s="70"/>
      <c r="I88" s="78">
        <f>SUM(C88:H88)</f>
        <v>564861.44691616495</v>
      </c>
    </row>
    <row r="89" spans="1:9">
      <c r="B89" s="22">
        <v>2027</v>
      </c>
      <c r="C89" s="70">
        <f t="shared" si="24"/>
        <v>154342.90933033265</v>
      </c>
      <c r="D89" s="70">
        <f t="shared" si="24"/>
        <v>210854.25826584161</v>
      </c>
      <c r="E89" s="70">
        <f t="shared" si="24"/>
        <v>198127.03719810795</v>
      </c>
      <c r="G89" s="70"/>
      <c r="I89" s="78">
        <f>SUM(C89:H89)</f>
        <v>563324.20479428221</v>
      </c>
    </row>
    <row r="90" spans="1:9">
      <c r="B90" s="21"/>
    </row>
    <row r="91" spans="1:9">
      <c r="A91" s="21">
        <v>2026</v>
      </c>
      <c r="B91" s="22">
        <v>2026</v>
      </c>
      <c r="C91" s="23">
        <f>'CDM Framework'!U44</f>
        <v>196774.34862588492</v>
      </c>
      <c r="D91" s="23">
        <f>'CDM Framework'!U45</f>
        <v>468013.19241705234</v>
      </c>
      <c r="E91" s="23">
        <f>'CDM Framework'!U46</f>
        <v>453679.73049274966</v>
      </c>
      <c r="G91" s="23"/>
      <c r="I91" s="78">
        <f>SUM(C91:H91)</f>
        <v>1118467.2715356869</v>
      </c>
    </row>
    <row r="92" spans="1:9">
      <c r="B92" s="22">
        <v>2027</v>
      </c>
      <c r="C92" s="70">
        <f>C$91*(SUM(C43,C32,C20,C7)/SUM(C$42,C$31,C$19,C$6))</f>
        <v>168485.65416630256</v>
      </c>
      <c r="D92" s="70">
        <f>D$91*(SUM(D43,D32,D20,D7)/SUM(D$42,D$31,D$19,D$6))</f>
        <v>468069.95014101273</v>
      </c>
      <c r="E92" s="70">
        <f>E$91*(SUM(E43,E32,E20,E7)/SUM(E$42,E$31,E$19,E$6))</f>
        <v>453744.56913016393</v>
      </c>
      <c r="G92" s="70"/>
      <c r="I92" s="78">
        <f>SUM(C92:H92)</f>
        <v>1090300.1734374792</v>
      </c>
    </row>
    <row r="94" spans="1:9">
      <c r="A94" s="21">
        <v>2027</v>
      </c>
      <c r="B94" s="22">
        <v>2027</v>
      </c>
      <c r="C94" s="23">
        <f>'CDM Framework'!V44</f>
        <v>227769.931244987</v>
      </c>
      <c r="D94" s="70">
        <f>'CDM Framework'!V45</f>
        <v>432452.20531503996</v>
      </c>
      <c r="E94" s="70">
        <f>'CDM Framework'!V46</f>
        <v>417163.17926245043</v>
      </c>
      <c r="G94" s="70"/>
      <c r="I94" s="78">
        <f>SUM(C94:H94)</f>
        <v>1077385.3158224775</v>
      </c>
    </row>
  </sheetData>
  <phoneticPr fontId="40"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AC140"/>
  <sheetViews>
    <sheetView topLeftCell="R16" zoomScaleNormal="100" workbookViewId="0">
      <selection activeCell="A2" sqref="A2:A121"/>
    </sheetView>
  </sheetViews>
  <sheetFormatPr defaultColWidth="9.33203125" defaultRowHeight="13.15"/>
  <cols>
    <col min="1" max="1" width="10.5" bestFit="1" customWidth="1"/>
    <col min="4" max="4" width="14.6640625" bestFit="1" customWidth="1"/>
    <col min="7" max="7" width="11.6640625" customWidth="1"/>
    <col min="8" max="8" width="9.6640625" customWidth="1"/>
    <col min="9" max="9" width="12.5" bestFit="1" customWidth="1"/>
    <col min="10" max="10" width="12.5" customWidth="1"/>
    <col min="12" max="12" width="14.6640625" bestFit="1" customWidth="1"/>
    <col min="13" max="13" width="12.83203125" bestFit="1" customWidth="1"/>
    <col min="14" max="14" width="13.83203125" bestFit="1" customWidth="1"/>
    <col min="15" max="16" width="12.5" customWidth="1"/>
    <col min="17" max="18" width="13.5" customWidth="1"/>
    <col min="19" max="19" width="14.33203125" bestFit="1" customWidth="1"/>
    <col min="20" max="20" width="14.6640625" bestFit="1" customWidth="1"/>
    <col min="22" max="22" width="15.1640625" bestFit="1" customWidth="1"/>
    <col min="23" max="23" width="15.33203125" customWidth="1"/>
    <col min="24" max="24" width="17.6640625" customWidth="1"/>
    <col min="25" max="25" width="14.1640625" customWidth="1"/>
    <col min="26" max="26" width="12.1640625" customWidth="1"/>
    <col min="27" max="27" width="12.5" bestFit="1" customWidth="1"/>
    <col min="28" max="28" width="15.6640625" customWidth="1"/>
    <col min="29" max="29" width="13.33203125" bestFit="1" customWidth="1"/>
  </cols>
  <sheetData>
    <row r="1" spans="1:27">
      <c r="A1" s="266" t="str">
        <f>'Monthly Data'!A1</f>
        <v>Date</v>
      </c>
      <c r="B1" s="258" t="s">
        <v>27</v>
      </c>
      <c r="C1" s="258" t="s">
        <v>28</v>
      </c>
      <c r="D1" s="267" t="str">
        <f>'Monthly Data'!F1</f>
        <v>Res_NoCDM</v>
      </c>
      <c r="E1" s="268" t="str">
        <f>'Monthly Data'!AS1</f>
        <v>HDD18</v>
      </c>
      <c r="F1" s="268" t="str">
        <f>'Monthly Data'!AZ1</f>
        <v>CDD12</v>
      </c>
      <c r="G1" s="269" t="str">
        <f>'Monthly Data'!G1</f>
        <v>Residential_Customers</v>
      </c>
      <c r="H1" s="258" t="str">
        <f>'Monthly Data'!BU1</f>
        <v>Month Days</v>
      </c>
      <c r="I1" s="268" t="str">
        <f>'Monthly Data'!CQ1</f>
        <v>CWFHHDD18</v>
      </c>
      <c r="J1" s="268" t="str">
        <f>'Monthly Data'!CX1</f>
        <v>CWFHCDD12</v>
      </c>
      <c r="L1" s="258" t="s">
        <v>187</v>
      </c>
      <c r="M1" s="268" t="str">
        <f t="shared" ref="M1:R1" si="0">E1</f>
        <v>HDD18</v>
      </c>
      <c r="N1" s="268" t="str">
        <f t="shared" si="0"/>
        <v>CDD12</v>
      </c>
      <c r="O1" s="268" t="str">
        <f t="shared" si="0"/>
        <v>Residential_Customers</v>
      </c>
      <c r="P1" s="268" t="str">
        <f t="shared" si="0"/>
        <v>Month Days</v>
      </c>
      <c r="Q1" s="268" t="str">
        <f t="shared" si="0"/>
        <v>CWFHHDD18</v>
      </c>
      <c r="R1" s="268" t="str">
        <f t="shared" si="0"/>
        <v>CWFHCDD12</v>
      </c>
      <c r="S1" s="258" t="s">
        <v>188</v>
      </c>
      <c r="T1" s="258" t="s">
        <v>189</v>
      </c>
    </row>
    <row r="2" spans="1:27">
      <c r="A2" s="541">
        <f>'Monthly Data'!A2</f>
        <v>42370</v>
      </c>
      <c r="B2">
        <f>YEAR(A2)</f>
        <v>2016</v>
      </c>
      <c r="C2">
        <f>MONTH(A2)</f>
        <v>1</v>
      </c>
      <c r="D2" s="31">
        <f>'Monthly Data'!F2</f>
        <v>18730.360576923078</v>
      </c>
      <c r="E2" s="33">
        <f>'Monthly Data'!AS2</f>
        <v>825.26875000000007</v>
      </c>
      <c r="F2" s="33">
        <f>'Monthly Data'!AZ2</f>
        <v>0</v>
      </c>
      <c r="G2" s="18">
        <f>'Monthly Data'!G2</f>
        <v>9443</v>
      </c>
      <c r="H2">
        <f>'Monthly Data'!BU2</f>
        <v>31</v>
      </c>
      <c r="I2" s="33">
        <f>'Monthly Data'!CQ2</f>
        <v>0</v>
      </c>
      <c r="J2" s="33">
        <f>'Monthly Data'!CX2</f>
        <v>0</v>
      </c>
      <c r="L2" s="18">
        <f>'Res Predicted Monthly'!$X$8</f>
        <v>-16404845.677784801</v>
      </c>
      <c r="M2" s="18">
        <f>E2*'Res Predicted Monthly'!$X$9</f>
        <v>5406837.3546201056</v>
      </c>
      <c r="N2" s="18">
        <f>F2*'Res Predicted Monthly'!$X$10</f>
        <v>0</v>
      </c>
      <c r="O2" s="18">
        <f>G2*'Res Predicted Monthly'!$X$11</f>
        <v>12720044.704831958</v>
      </c>
      <c r="P2" s="18">
        <f>H2*'Res Predicted Monthly'!$X$12</f>
        <v>6513250.5985030681</v>
      </c>
      <c r="Q2" s="18">
        <f>I2*'Res Predicted Monthly'!$X$13</f>
        <v>0</v>
      </c>
      <c r="R2" s="18">
        <f>J2*'Res Predicted Monthly'!$X$14</f>
        <v>0</v>
      </c>
      <c r="S2" s="18">
        <f>SUM(L2:R2)</f>
        <v>8235286.9801703319</v>
      </c>
      <c r="T2" s="18">
        <f t="shared" ref="T2:T33" si="1">S2-D2</f>
        <v>8216556.6195934089</v>
      </c>
      <c r="U2" s="35">
        <f t="shared" ref="U2:U33" si="2">ABS(T2/D2)</f>
        <v>438.67583786489922</v>
      </c>
    </row>
    <row r="3" spans="1:27">
      <c r="A3" s="541">
        <f>'Monthly Data'!A3</f>
        <v>42401</v>
      </c>
      <c r="B3">
        <f>YEAR(A3)</f>
        <v>2016</v>
      </c>
      <c r="C3">
        <f>MONTH(A3)</f>
        <v>2</v>
      </c>
      <c r="D3" s="31">
        <f>'Monthly Data'!F3</f>
        <v>21227.741987179485</v>
      </c>
      <c r="E3" s="33">
        <f>'Monthly Data'!AS3</f>
        <v>806.28750000000002</v>
      </c>
      <c r="F3" s="33">
        <f>'Monthly Data'!AZ3</f>
        <v>0</v>
      </c>
      <c r="G3" s="18">
        <f>'Monthly Data'!G3</f>
        <v>9443</v>
      </c>
      <c r="H3">
        <f>'Monthly Data'!BU3</f>
        <v>28</v>
      </c>
      <c r="I3" s="33">
        <f>'Monthly Data'!CQ3</f>
        <v>0</v>
      </c>
      <c r="J3" s="33">
        <f>'Monthly Data'!CX3</f>
        <v>0</v>
      </c>
      <c r="L3" s="18">
        <f>'Res Predicted Monthly'!$X$8</f>
        <v>-16404845.677784801</v>
      </c>
      <c r="M3" s="18">
        <f>E3*'Res Predicted Monthly'!$X$9</f>
        <v>5282479.6450407915</v>
      </c>
      <c r="N3" s="18">
        <f>F3*'Res Predicted Monthly'!$X$10</f>
        <v>0</v>
      </c>
      <c r="O3" s="18">
        <f>G3*'Res Predicted Monthly'!$X$11</f>
        <v>12720044.704831958</v>
      </c>
      <c r="P3" s="18">
        <f>H3*'Res Predicted Monthly'!$X$12</f>
        <v>5882936.0244543841</v>
      </c>
      <c r="Q3" s="18">
        <f>I3*'Res Predicted Monthly'!$X$13</f>
        <v>0</v>
      </c>
      <c r="R3" s="18">
        <f>J3*'Res Predicted Monthly'!$X$14</f>
        <v>0</v>
      </c>
      <c r="S3" s="18">
        <f t="shared" ref="S3:S66" si="3">SUM(L3:R3)</f>
        <v>7480614.6965423329</v>
      </c>
      <c r="T3" s="18">
        <f t="shared" si="1"/>
        <v>7459386.9545551538</v>
      </c>
      <c r="U3" s="35">
        <f t="shared" si="2"/>
        <v>351.39804125470613</v>
      </c>
      <c r="W3" t="s">
        <v>190</v>
      </c>
    </row>
    <row r="4" spans="1:27">
      <c r="A4" s="541">
        <f>'Monthly Data'!A4</f>
        <v>42430</v>
      </c>
      <c r="B4">
        <f>YEAR(A4)</f>
        <v>2016</v>
      </c>
      <c r="C4">
        <f>MONTH(A4)</f>
        <v>3</v>
      </c>
      <c r="D4" s="31">
        <f>'Monthly Data'!F4</f>
        <v>23725.123397435898</v>
      </c>
      <c r="E4" s="33">
        <f>'Monthly Data'!AS4</f>
        <v>632.14374999999984</v>
      </c>
      <c r="F4" s="33">
        <f>'Monthly Data'!AZ4</f>
        <v>0</v>
      </c>
      <c r="G4" s="18">
        <f>'Monthly Data'!G4</f>
        <v>9443</v>
      </c>
      <c r="H4">
        <f>'Monthly Data'!BU4</f>
        <v>31</v>
      </c>
      <c r="I4" s="33">
        <f>'Monthly Data'!CQ4</f>
        <v>0</v>
      </c>
      <c r="J4" s="33">
        <f>'Monthly Data'!CX4</f>
        <v>0</v>
      </c>
      <c r="L4" s="18">
        <f>'Res Predicted Monthly'!$X$8</f>
        <v>-16404845.677784801</v>
      </c>
      <c r="M4" s="18">
        <f>E4*'Res Predicted Monthly'!$X$9</f>
        <v>4141558.0572869531</v>
      </c>
      <c r="N4" s="18">
        <f>F4*'Res Predicted Monthly'!$X$10</f>
        <v>0</v>
      </c>
      <c r="O4" s="18">
        <f>G4*'Res Predicted Monthly'!$X$11</f>
        <v>12720044.704831958</v>
      </c>
      <c r="P4" s="18">
        <f>H4*'Res Predicted Monthly'!$X$12</f>
        <v>6513250.5985030681</v>
      </c>
      <c r="Q4" s="18">
        <f>I4*'Res Predicted Monthly'!$X$13</f>
        <v>0</v>
      </c>
      <c r="R4" s="18">
        <f>J4*'Res Predicted Monthly'!$X$14</f>
        <v>0</v>
      </c>
      <c r="S4" s="18">
        <f t="shared" si="3"/>
        <v>6970007.6828371789</v>
      </c>
      <c r="T4" s="18">
        <f t="shared" si="1"/>
        <v>6946282.5594397429</v>
      </c>
      <c r="U4" s="35">
        <f t="shared" si="2"/>
        <v>292.7817252234172</v>
      </c>
      <c r="W4" t="s">
        <v>191</v>
      </c>
    </row>
    <row r="5" spans="1:27">
      <c r="A5" s="541">
        <f>'Monthly Data'!A5</f>
        <v>42461</v>
      </c>
      <c r="B5">
        <f t="shared" ref="B5:B68" si="4">YEAR(A5)</f>
        <v>2016</v>
      </c>
      <c r="C5">
        <f t="shared" ref="C5:C68" si="5">MONTH(A5)</f>
        <v>4</v>
      </c>
      <c r="D5" s="31">
        <f>'Monthly Data'!F5</f>
        <v>26222.504807692305</v>
      </c>
      <c r="E5" s="33">
        <f>'Monthly Data'!AS5</f>
        <v>484.44166666666678</v>
      </c>
      <c r="F5" s="33">
        <f>'Monthly Data'!AZ5</f>
        <v>0</v>
      </c>
      <c r="G5" s="18">
        <f>'Monthly Data'!G5</f>
        <v>9491</v>
      </c>
      <c r="H5">
        <f>'Monthly Data'!BU5</f>
        <v>30</v>
      </c>
      <c r="I5" s="33">
        <f>'Monthly Data'!CQ5</f>
        <v>0</v>
      </c>
      <c r="J5" s="33">
        <f>'Monthly Data'!CX5</f>
        <v>0</v>
      </c>
      <c r="L5" s="18">
        <f>'Res Predicted Monthly'!$X$8</f>
        <v>-16404845.677784801</v>
      </c>
      <c r="M5" s="18">
        <f>E5*'Res Predicted Monthly'!$X$9</f>
        <v>3173871.9047192265</v>
      </c>
      <c r="N5" s="18">
        <f>F5*'Res Predicted Monthly'!$X$10</f>
        <v>0</v>
      </c>
      <c r="O5" s="18">
        <f>G5*'Res Predicted Monthly'!$X$11</f>
        <v>12784702.350265818</v>
      </c>
      <c r="P5" s="18">
        <f>H5*'Res Predicted Monthly'!$X$12</f>
        <v>6303145.7404868407</v>
      </c>
      <c r="Q5" s="18">
        <f>I5*'Res Predicted Monthly'!$X$13</f>
        <v>0</v>
      </c>
      <c r="R5" s="18">
        <f>J5*'Res Predicted Monthly'!$X$14</f>
        <v>0</v>
      </c>
      <c r="S5" s="18">
        <f t="shared" si="3"/>
        <v>5856874.317687084</v>
      </c>
      <c r="T5" s="18">
        <f t="shared" si="1"/>
        <v>5830651.8128793919</v>
      </c>
      <c r="U5" s="35">
        <f t="shared" si="2"/>
        <v>222.35296954427423</v>
      </c>
      <c r="W5" t="s">
        <v>192</v>
      </c>
    </row>
    <row r="6" spans="1:27">
      <c r="A6" s="541">
        <f>'Monthly Data'!A6</f>
        <v>42491</v>
      </c>
      <c r="B6">
        <f t="shared" si="4"/>
        <v>2016</v>
      </c>
      <c r="C6">
        <f t="shared" si="5"/>
        <v>5</v>
      </c>
      <c r="D6" s="31">
        <f>'Monthly Data'!F6</f>
        <v>28719.886217948719</v>
      </c>
      <c r="E6" s="33">
        <f>'Monthly Data'!AS6</f>
        <v>163.84583333333336</v>
      </c>
      <c r="F6" s="33">
        <f>'Monthly Data'!AZ6</f>
        <v>92.229166666666643</v>
      </c>
      <c r="G6" s="18">
        <f>'Monthly Data'!G6</f>
        <v>9491</v>
      </c>
      <c r="H6">
        <f>'Monthly Data'!BU6</f>
        <v>31</v>
      </c>
      <c r="I6" s="33">
        <f>'Monthly Data'!CQ6</f>
        <v>0</v>
      </c>
      <c r="J6" s="33">
        <f>'Monthly Data'!CX6</f>
        <v>0</v>
      </c>
      <c r="L6" s="18">
        <f>'Res Predicted Monthly'!$X$8</f>
        <v>-16404845.677784801</v>
      </c>
      <c r="M6" s="18">
        <f>E6*'Res Predicted Monthly'!$X$9</f>
        <v>1073453.6744127616</v>
      </c>
      <c r="N6" s="18">
        <f>F6*'Res Predicted Monthly'!$X$10</f>
        <v>1345170.445519252</v>
      </c>
      <c r="O6" s="18">
        <f>G6*'Res Predicted Monthly'!$X$11</f>
        <v>12784702.350265818</v>
      </c>
      <c r="P6" s="18">
        <f>H6*'Res Predicted Monthly'!$X$12</f>
        <v>6513250.5985030681</v>
      </c>
      <c r="Q6" s="18">
        <f>I6*'Res Predicted Monthly'!$X$13</f>
        <v>0</v>
      </c>
      <c r="R6" s="18">
        <f>J6*'Res Predicted Monthly'!$X$14</f>
        <v>0</v>
      </c>
      <c r="S6" s="18">
        <f t="shared" si="3"/>
        <v>5311731.3909160979</v>
      </c>
      <c r="T6" s="18">
        <f t="shared" si="1"/>
        <v>5283011.5046981489</v>
      </c>
      <c r="U6" s="35">
        <f t="shared" si="2"/>
        <v>183.94959731408997</v>
      </c>
    </row>
    <row r="7" spans="1:27">
      <c r="A7" s="541">
        <f>'Monthly Data'!A7</f>
        <v>42522</v>
      </c>
      <c r="B7">
        <f t="shared" si="4"/>
        <v>2016</v>
      </c>
      <c r="C7">
        <f t="shared" si="5"/>
        <v>6</v>
      </c>
      <c r="D7" s="31">
        <f>'Monthly Data'!F7</f>
        <v>31217.267628205125</v>
      </c>
      <c r="E7" s="33">
        <f>'Monthly Data'!AS7</f>
        <v>59.649999999999984</v>
      </c>
      <c r="F7" s="33">
        <f>'Monthly Data'!AZ7</f>
        <v>165.58333333333331</v>
      </c>
      <c r="G7" s="18">
        <f>'Monthly Data'!G7</f>
        <v>9491</v>
      </c>
      <c r="H7">
        <f>'Monthly Data'!BU7</f>
        <v>30</v>
      </c>
      <c r="I7" s="33">
        <f>'Monthly Data'!CQ7</f>
        <v>0</v>
      </c>
      <c r="J7" s="33">
        <f>'Monthly Data'!CX7</f>
        <v>0</v>
      </c>
      <c r="L7" s="18">
        <f>'Res Predicted Monthly'!$X$8</f>
        <v>-16404845.677784801</v>
      </c>
      <c r="M7" s="18">
        <f>E7*'Res Predicted Monthly'!$X$9</f>
        <v>390803.41792063392</v>
      </c>
      <c r="N7" s="18">
        <f>F7*'Res Predicted Monthly'!$X$10</f>
        <v>2415047.3686440061</v>
      </c>
      <c r="O7" s="18">
        <f>G7*'Res Predicted Monthly'!$X$11</f>
        <v>12784702.350265818</v>
      </c>
      <c r="P7" s="18">
        <f>H7*'Res Predicted Monthly'!$X$12</f>
        <v>6303145.7404868407</v>
      </c>
      <c r="Q7" s="18">
        <f>I7*'Res Predicted Monthly'!$X$13</f>
        <v>0</v>
      </c>
      <c r="R7" s="18">
        <f>J7*'Res Predicted Monthly'!$X$14</f>
        <v>0</v>
      </c>
      <c r="S7" s="18">
        <f t="shared" si="3"/>
        <v>5488853.1995324986</v>
      </c>
      <c r="T7" s="18">
        <f t="shared" si="1"/>
        <v>5457635.9319042936</v>
      </c>
      <c r="U7" s="35">
        <f t="shared" si="2"/>
        <v>174.82747038928105</v>
      </c>
      <c r="X7" t="s">
        <v>193</v>
      </c>
      <c r="Y7" t="s">
        <v>194</v>
      </c>
      <c r="Z7" t="s">
        <v>195</v>
      </c>
      <c r="AA7" t="s">
        <v>196</v>
      </c>
    </row>
    <row r="8" spans="1:27">
      <c r="A8" s="541">
        <f>'Monthly Data'!A8</f>
        <v>42552</v>
      </c>
      <c r="B8">
        <f t="shared" si="4"/>
        <v>2016</v>
      </c>
      <c r="C8">
        <f t="shared" si="5"/>
        <v>7</v>
      </c>
      <c r="D8" s="31">
        <f>'Monthly Data'!F8</f>
        <v>33714.649038461539</v>
      </c>
      <c r="E8" s="33">
        <f>'Monthly Data'!AS8</f>
        <v>7.4374999999999911</v>
      </c>
      <c r="F8" s="33">
        <f>'Monthly Data'!AZ8</f>
        <v>258.39583333333337</v>
      </c>
      <c r="G8" s="18">
        <f>'Monthly Data'!G8</f>
        <v>9540</v>
      </c>
      <c r="H8">
        <f>'Monthly Data'!BU8</f>
        <v>31</v>
      </c>
      <c r="I8" s="33">
        <f>'Monthly Data'!CQ8</f>
        <v>0</v>
      </c>
      <c r="J8" s="33">
        <f>'Monthly Data'!CX8</f>
        <v>0</v>
      </c>
      <c r="L8" s="18">
        <f>'Res Predicted Monthly'!$X$8</f>
        <v>-16404845.677784801</v>
      </c>
      <c r="M8" s="18">
        <f>E8*'Res Predicted Monthly'!$X$9</f>
        <v>48727.584589852675</v>
      </c>
      <c r="N8" s="18">
        <f>F8*'Res Predicted Monthly'!$X$10</f>
        <v>3768725.78174278</v>
      </c>
      <c r="O8" s="18">
        <f>G8*'Res Predicted Monthly'!$X$11</f>
        <v>12850707.029979549</v>
      </c>
      <c r="P8" s="18">
        <f>H8*'Res Predicted Monthly'!$X$12</f>
        <v>6513250.5985030681</v>
      </c>
      <c r="Q8" s="18">
        <f>I8*'Res Predicted Monthly'!$X$13</f>
        <v>0</v>
      </c>
      <c r="R8" s="18">
        <f>J8*'Res Predicted Monthly'!$X$14</f>
        <v>0</v>
      </c>
      <c r="S8" s="18">
        <f t="shared" si="3"/>
        <v>6776565.3170304485</v>
      </c>
      <c r="T8" s="18">
        <f t="shared" si="1"/>
        <v>6742850.6679919865</v>
      </c>
      <c r="U8" s="35">
        <f t="shared" si="2"/>
        <v>199.99765266130368</v>
      </c>
      <c r="W8" t="s">
        <v>187</v>
      </c>
      <c r="X8" s="18">
        <v>-16404845.677784801</v>
      </c>
      <c r="Y8" s="297">
        <v>2089662.98805291</v>
      </c>
      <c r="Z8" s="297">
        <v>-7.85047434518156</v>
      </c>
      <c r="AA8" s="298">
        <v>5.3807357573643802E-11</v>
      </c>
    </row>
    <row r="9" spans="1:27">
      <c r="A9" s="541">
        <f>'Monthly Data'!A9</f>
        <v>42583</v>
      </c>
      <c r="B9">
        <f t="shared" si="4"/>
        <v>2016</v>
      </c>
      <c r="C9">
        <f t="shared" si="5"/>
        <v>8</v>
      </c>
      <c r="D9" s="31">
        <f>'Monthly Data'!F9</f>
        <v>36212.030448717946</v>
      </c>
      <c r="E9" s="33">
        <f>'Monthly Data'!AS9</f>
        <v>3.7374999999999989</v>
      </c>
      <c r="F9" s="33">
        <f>'Monthly Data'!AZ9</f>
        <v>274.35833333333335</v>
      </c>
      <c r="G9" s="18">
        <f>'Monthly Data'!G9</f>
        <v>9540</v>
      </c>
      <c r="H9">
        <f>'Monthly Data'!BU9</f>
        <v>31</v>
      </c>
      <c r="I9" s="33">
        <f>'Monthly Data'!CQ9</f>
        <v>0</v>
      </c>
      <c r="J9" s="33">
        <f>'Monthly Data'!CX9</f>
        <v>0</v>
      </c>
      <c r="L9" s="18">
        <f>'Res Predicted Monthly'!$X$8</f>
        <v>-16404845.677784801</v>
      </c>
      <c r="M9" s="18">
        <f>E9*'Res Predicted Monthly'!$X$9</f>
        <v>24486.63494515288</v>
      </c>
      <c r="N9" s="18">
        <f>F9*'Res Predicted Monthly'!$X$10</f>
        <v>4001540.2374366699</v>
      </c>
      <c r="O9" s="18">
        <f>G9*'Res Predicted Monthly'!$X$11</f>
        <v>12850707.029979549</v>
      </c>
      <c r="P9" s="18">
        <f>H9*'Res Predicted Monthly'!$X$12</f>
        <v>6513250.5985030681</v>
      </c>
      <c r="Q9" s="18">
        <f>I9*'Res Predicted Monthly'!$X$13</f>
        <v>0</v>
      </c>
      <c r="R9" s="18">
        <f>J9*'Res Predicted Monthly'!$X$14</f>
        <v>0</v>
      </c>
      <c r="S9" s="18">
        <f t="shared" si="3"/>
        <v>6985138.8230796382</v>
      </c>
      <c r="T9" s="18">
        <f t="shared" si="1"/>
        <v>6948926.7926309202</v>
      </c>
      <c r="U9" s="35">
        <f t="shared" si="2"/>
        <v>191.895530477688</v>
      </c>
      <c r="W9" t="s">
        <v>70</v>
      </c>
      <c r="X9" s="18">
        <v>6551.6080120810402</v>
      </c>
      <c r="Y9" s="297">
        <v>143.59656283102399</v>
      </c>
      <c r="Z9" s="297">
        <v>45.625103295756396</v>
      </c>
      <c r="AA9" s="298">
        <v>4.3424128129506497E-51</v>
      </c>
    </row>
    <row r="10" spans="1:27">
      <c r="A10" s="541">
        <f>'Monthly Data'!A10</f>
        <v>42614</v>
      </c>
      <c r="B10">
        <f t="shared" si="4"/>
        <v>2016</v>
      </c>
      <c r="C10">
        <f t="shared" si="5"/>
        <v>9</v>
      </c>
      <c r="D10" s="31">
        <f>'Monthly Data'!F10</f>
        <v>38709.411858974359</v>
      </c>
      <c r="E10" s="33">
        <f>'Monthly Data'!AS10</f>
        <v>100.48333333333336</v>
      </c>
      <c r="F10" s="33">
        <f>'Monthly Data'!AZ10</f>
        <v>107.68749999999999</v>
      </c>
      <c r="G10" s="18">
        <f>'Monthly Data'!G10</f>
        <v>9540</v>
      </c>
      <c r="H10">
        <f>'Monthly Data'!BU10</f>
        <v>30</v>
      </c>
      <c r="I10" s="33">
        <f>'Monthly Data'!CQ10</f>
        <v>0</v>
      </c>
      <c r="J10" s="33">
        <f>'Monthly Data'!CX10</f>
        <v>0</v>
      </c>
      <c r="L10" s="18">
        <f>'Res Predicted Monthly'!$X$8</f>
        <v>-16404845.677784801</v>
      </c>
      <c r="M10" s="18">
        <f>E10*'Res Predicted Monthly'!$X$9</f>
        <v>658327.41174727667</v>
      </c>
      <c r="N10" s="18">
        <f>F10*'Res Predicted Monthly'!$X$10</f>
        <v>1570631.5863765562</v>
      </c>
      <c r="O10" s="18">
        <f>G10*'Res Predicted Monthly'!$X$11</f>
        <v>12850707.029979549</v>
      </c>
      <c r="P10" s="18">
        <f>H10*'Res Predicted Monthly'!$X$12</f>
        <v>6303145.7404868407</v>
      </c>
      <c r="Q10" s="18">
        <f>I10*'Res Predicted Monthly'!$X$13</f>
        <v>0</v>
      </c>
      <c r="R10" s="18">
        <f>J10*'Res Predicted Monthly'!$X$14</f>
        <v>0</v>
      </c>
      <c r="S10" s="18">
        <f t="shared" si="3"/>
        <v>4977966.0908054216</v>
      </c>
      <c r="T10" s="18">
        <f t="shared" si="1"/>
        <v>4939256.6789464476</v>
      </c>
      <c r="U10" s="35">
        <f t="shared" si="2"/>
        <v>127.59833957025968</v>
      </c>
      <c r="W10" t="s">
        <v>77</v>
      </c>
      <c r="X10" s="18">
        <v>14585.087279178701</v>
      </c>
      <c r="Y10" s="297">
        <v>556.79619786191699</v>
      </c>
      <c r="Z10" s="297">
        <v>26.194660335658</v>
      </c>
      <c r="AA10" s="298">
        <v>2.9595772741098101E-36</v>
      </c>
    </row>
    <row r="11" spans="1:27">
      <c r="A11" s="541">
        <f>'Monthly Data'!A11</f>
        <v>42644</v>
      </c>
      <c r="B11">
        <f t="shared" si="4"/>
        <v>2016</v>
      </c>
      <c r="C11">
        <f t="shared" si="5"/>
        <v>10</v>
      </c>
      <c r="D11" s="31">
        <f>'Monthly Data'!F11</f>
        <v>41206.793269230766</v>
      </c>
      <c r="E11" s="33">
        <f>'Monthly Data'!AS11</f>
        <v>309.38749999999999</v>
      </c>
      <c r="F11" s="33">
        <f>'Monthly Data'!AZ11</f>
        <v>19.216666666666676</v>
      </c>
      <c r="G11" s="18">
        <f>'Monthly Data'!G11</f>
        <v>9550</v>
      </c>
      <c r="H11">
        <f>'Monthly Data'!BU11</f>
        <v>31</v>
      </c>
      <c r="I11" s="33">
        <f>'Monthly Data'!CQ11</f>
        <v>0</v>
      </c>
      <c r="J11" s="33">
        <f>'Monthly Data'!CX11</f>
        <v>0</v>
      </c>
      <c r="L11" s="18">
        <f>'Res Predicted Monthly'!$X$8</f>
        <v>-16404845.677784801</v>
      </c>
      <c r="M11" s="18">
        <f>E11*'Res Predicted Monthly'!$X$9</f>
        <v>2026985.6238377227</v>
      </c>
      <c r="N11" s="18">
        <f>F11*'Res Predicted Monthly'!$X$10</f>
        <v>280276.76054821751</v>
      </c>
      <c r="O11" s="18">
        <f>G11*'Res Predicted Monthly'!$X$11</f>
        <v>12864177.37277827</v>
      </c>
      <c r="P11" s="18">
        <f>H11*'Res Predicted Monthly'!$X$12</f>
        <v>6513250.5985030681</v>
      </c>
      <c r="Q11" s="18">
        <f>I11*'Res Predicted Monthly'!$X$13</f>
        <v>0</v>
      </c>
      <c r="R11" s="18">
        <f>J11*'Res Predicted Monthly'!$X$14</f>
        <v>0</v>
      </c>
      <c r="S11" s="18">
        <f t="shared" si="3"/>
        <v>5279844.6778824776</v>
      </c>
      <c r="T11" s="18">
        <f t="shared" si="1"/>
        <v>5238637.8846132467</v>
      </c>
      <c r="U11" s="35">
        <f t="shared" si="2"/>
        <v>127.13044304092823</v>
      </c>
      <c r="W11" t="s">
        <v>32</v>
      </c>
      <c r="X11" s="18">
        <v>1347.0342798720701</v>
      </c>
      <c r="Y11" s="297">
        <v>192.21110657685901</v>
      </c>
      <c r="Z11" s="297">
        <v>7.00809804314527</v>
      </c>
      <c r="AA11" s="298">
        <v>1.6784819943738701E-9</v>
      </c>
    </row>
    <row r="12" spans="1:27">
      <c r="A12" s="541">
        <f>'Monthly Data'!A12</f>
        <v>42675</v>
      </c>
      <c r="B12">
        <f t="shared" si="4"/>
        <v>2016</v>
      </c>
      <c r="C12">
        <f t="shared" si="5"/>
        <v>11</v>
      </c>
      <c r="D12" s="31">
        <f>'Monthly Data'!F12</f>
        <v>43704.17467948718</v>
      </c>
      <c r="E12" s="33">
        <f>'Monthly Data'!AS12</f>
        <v>472.77083333333337</v>
      </c>
      <c r="F12" s="33">
        <f>'Monthly Data'!AZ12</f>
        <v>0</v>
      </c>
      <c r="G12" s="18">
        <f>'Monthly Data'!G12</f>
        <v>9550</v>
      </c>
      <c r="H12">
        <f>'Monthly Data'!BU12</f>
        <v>30</v>
      </c>
      <c r="I12" s="33">
        <f>'Monthly Data'!CQ12</f>
        <v>0</v>
      </c>
      <c r="J12" s="33">
        <f>'Monthly Data'!CX12</f>
        <v>0</v>
      </c>
      <c r="L12" s="18">
        <f>'Res Predicted Monthly'!$X$8</f>
        <v>-16404845.677784801</v>
      </c>
      <c r="M12" s="18">
        <f>E12*'Res Predicted Monthly'!$X$9</f>
        <v>3097409.1795448968</v>
      </c>
      <c r="N12" s="18">
        <f>F12*'Res Predicted Monthly'!$X$10</f>
        <v>0</v>
      </c>
      <c r="O12" s="18">
        <f>G12*'Res Predicted Monthly'!$X$11</f>
        <v>12864177.37277827</v>
      </c>
      <c r="P12" s="18">
        <f>H12*'Res Predicted Monthly'!$X$12</f>
        <v>6303145.7404868407</v>
      </c>
      <c r="Q12" s="18">
        <f>I12*'Res Predicted Monthly'!$X$13</f>
        <v>0</v>
      </c>
      <c r="R12" s="18">
        <f>J12*'Res Predicted Monthly'!$X$14</f>
        <v>0</v>
      </c>
      <c r="S12" s="18">
        <f t="shared" si="3"/>
        <v>5859886.6150252065</v>
      </c>
      <c r="T12" s="18">
        <f t="shared" si="1"/>
        <v>5816182.4403457195</v>
      </c>
      <c r="U12" s="35">
        <f t="shared" si="2"/>
        <v>133.0807064313602</v>
      </c>
      <c r="W12" t="s">
        <v>197</v>
      </c>
      <c r="X12" s="18">
        <v>210104.85801622801</v>
      </c>
      <c r="Y12" s="297">
        <v>35277.8438075374</v>
      </c>
      <c r="Z12" s="297">
        <v>5.9557171113541001</v>
      </c>
      <c r="AA12" s="298">
        <v>1.15382755297409E-7</v>
      </c>
    </row>
    <row r="13" spans="1:27">
      <c r="A13" s="541">
        <f>'Monthly Data'!A13</f>
        <v>42705</v>
      </c>
      <c r="B13">
        <f t="shared" si="4"/>
        <v>2016</v>
      </c>
      <c r="C13">
        <f t="shared" si="5"/>
        <v>12</v>
      </c>
      <c r="D13" s="31">
        <f>'Monthly Data'!F13</f>
        <v>76681316.556089744</v>
      </c>
      <c r="E13" s="33">
        <f>'Monthly Data'!AS13</f>
        <v>750.63333333333298</v>
      </c>
      <c r="F13" s="33">
        <f>'Monthly Data'!AZ13</f>
        <v>0</v>
      </c>
      <c r="G13" s="18">
        <f>'Monthly Data'!G13</f>
        <v>9550</v>
      </c>
      <c r="H13">
        <f>'Monthly Data'!BU13</f>
        <v>31</v>
      </c>
      <c r="I13" s="33">
        <f>'Monthly Data'!CQ13</f>
        <v>0</v>
      </c>
      <c r="J13" s="33">
        <f>'Monthly Data'!CX13</f>
        <v>0</v>
      </c>
      <c r="L13" s="18">
        <f>'Res Predicted Monthly'!$X$8</f>
        <v>-16404845.677784801</v>
      </c>
      <c r="M13" s="18">
        <f>E13*'Res Predicted Monthly'!$X$9</f>
        <v>4917855.3608017629</v>
      </c>
      <c r="N13" s="18">
        <f>F13*'Res Predicted Monthly'!$X$10</f>
        <v>0</v>
      </c>
      <c r="O13" s="18">
        <f>G13*'Res Predicted Monthly'!$X$11</f>
        <v>12864177.37277827</v>
      </c>
      <c r="P13" s="18">
        <f>H13*'Res Predicted Monthly'!$X$12</f>
        <v>6513250.5985030681</v>
      </c>
      <c r="Q13" s="18">
        <f>I13*'Res Predicted Monthly'!$X$13</f>
        <v>0</v>
      </c>
      <c r="R13" s="18">
        <f>J13*'Res Predicted Monthly'!$X$14</f>
        <v>0</v>
      </c>
      <c r="S13" s="18">
        <f t="shared" si="3"/>
        <v>7890437.6542983018</v>
      </c>
      <c r="T13" s="18">
        <f t="shared" si="1"/>
        <v>-68790878.901791438</v>
      </c>
      <c r="U13" s="35">
        <f t="shared" si="2"/>
        <v>0.89710091051284024</v>
      </c>
      <c r="V13" s="31">
        <f>SUM(S2:S13)</f>
        <v>77113207.445807025</v>
      </c>
      <c r="W13" t="s">
        <v>120</v>
      </c>
      <c r="X13" s="18">
        <v>540.82482716592199</v>
      </c>
      <c r="Y13" s="297">
        <v>204.73355100164099</v>
      </c>
      <c r="Z13" s="297">
        <v>2.6416033157241898</v>
      </c>
      <c r="AA13" s="298">
        <v>1.0324879815013401E-2</v>
      </c>
    </row>
    <row r="14" spans="1:27">
      <c r="A14" s="541">
        <f>'Monthly Data'!A14</f>
        <v>42736</v>
      </c>
      <c r="B14">
        <f t="shared" si="4"/>
        <v>2017</v>
      </c>
      <c r="C14">
        <f t="shared" si="5"/>
        <v>1</v>
      </c>
      <c r="D14" s="31">
        <f>'Monthly Data'!F14</f>
        <v>80079.323717948719</v>
      </c>
      <c r="E14" s="33">
        <f>'Monthly Data'!AS14</f>
        <v>773.17083333333323</v>
      </c>
      <c r="F14" s="33">
        <f>'Monthly Data'!AZ14</f>
        <v>0</v>
      </c>
      <c r="G14" s="18">
        <f>'Monthly Data'!G14</f>
        <v>9560</v>
      </c>
      <c r="H14">
        <f>'Monthly Data'!BU14</f>
        <v>31</v>
      </c>
      <c r="I14" s="33">
        <f>'Monthly Data'!CQ14</f>
        <v>0</v>
      </c>
      <c r="J14" s="33">
        <f>'Monthly Data'!CX14</f>
        <v>0</v>
      </c>
      <c r="L14" s="18">
        <f>'Res Predicted Monthly'!$X$8</f>
        <v>-16404845.677784801</v>
      </c>
      <c r="M14" s="18">
        <f>E14*'Res Predicted Monthly'!$X$9</f>
        <v>5065512.2263740404</v>
      </c>
      <c r="N14" s="18">
        <f>F14*'Res Predicted Monthly'!$X$10</f>
        <v>0</v>
      </c>
      <c r="O14" s="18">
        <f>G14*'Res Predicted Monthly'!$X$11</f>
        <v>12877647.71557699</v>
      </c>
      <c r="P14" s="18">
        <f>H14*'Res Predicted Monthly'!$X$12</f>
        <v>6513250.5985030681</v>
      </c>
      <c r="Q14" s="18">
        <f>I14*'Res Predicted Monthly'!$X$13</f>
        <v>0</v>
      </c>
      <c r="R14" s="18">
        <f>J14*'Res Predicted Monthly'!$X$14</f>
        <v>0</v>
      </c>
      <c r="S14" s="18">
        <f t="shared" si="3"/>
        <v>8051564.8626692984</v>
      </c>
      <c r="T14" s="18">
        <f t="shared" si="1"/>
        <v>7971485.5389513494</v>
      </c>
      <c r="U14" s="35">
        <f t="shared" si="2"/>
        <v>99.54486587609189</v>
      </c>
      <c r="V14" s="31">
        <f>V13-SUM(D2:D13)</f>
        <v>88500.945807024837</v>
      </c>
      <c r="W14" t="s">
        <v>127</v>
      </c>
      <c r="X14" s="18">
        <v>2193.8182507401898</v>
      </c>
      <c r="Y14" s="297">
        <v>749.32362571460305</v>
      </c>
      <c r="Z14" s="297">
        <v>2.9277313238963001</v>
      </c>
      <c r="AA14" s="298">
        <v>4.7020300255052501E-3</v>
      </c>
    </row>
    <row r="15" spans="1:27">
      <c r="A15" s="541">
        <f>'Monthly Data'!A15</f>
        <v>42767</v>
      </c>
      <c r="B15">
        <f t="shared" si="4"/>
        <v>2017</v>
      </c>
      <c r="C15">
        <f t="shared" si="5"/>
        <v>2</v>
      </c>
      <c r="D15" s="31">
        <f>'Monthly Data'!F15</f>
        <v>86427.772435897437</v>
      </c>
      <c r="E15" s="33">
        <f>'Monthly Data'!AS15</f>
        <v>682.81249999999989</v>
      </c>
      <c r="F15" s="33">
        <f>'Monthly Data'!AZ15</f>
        <v>0</v>
      </c>
      <c r="G15" s="18">
        <f>'Monthly Data'!G15</f>
        <v>9560</v>
      </c>
      <c r="H15">
        <f>'Monthly Data'!BU15</f>
        <v>28</v>
      </c>
      <c r="I15" s="33">
        <f>'Monthly Data'!CQ15</f>
        <v>0</v>
      </c>
      <c r="J15" s="33">
        <f>'Monthly Data'!CX15</f>
        <v>0</v>
      </c>
      <c r="L15" s="18">
        <f>'Res Predicted Monthly'!$X$8</f>
        <v>-16404845.677784801</v>
      </c>
      <c r="M15" s="18">
        <f>E15*'Res Predicted Monthly'!$X$9</f>
        <v>4473519.8457490848</v>
      </c>
      <c r="N15" s="18">
        <f>F15*'Res Predicted Monthly'!$X$10</f>
        <v>0</v>
      </c>
      <c r="O15" s="18">
        <f>G15*'Res Predicted Monthly'!$X$11</f>
        <v>12877647.71557699</v>
      </c>
      <c r="P15" s="18">
        <f>H15*'Res Predicted Monthly'!$X$12</f>
        <v>5882936.0244543841</v>
      </c>
      <c r="Q15" s="18">
        <f>I15*'Res Predicted Monthly'!$X$13</f>
        <v>0</v>
      </c>
      <c r="R15" s="18">
        <f>J15*'Res Predicted Monthly'!$X$14</f>
        <v>0</v>
      </c>
      <c r="S15" s="18">
        <f t="shared" si="3"/>
        <v>6829257.9079956571</v>
      </c>
      <c r="T15" s="18">
        <f t="shared" si="1"/>
        <v>6742830.13555976</v>
      </c>
      <c r="U15" s="35">
        <f t="shared" si="2"/>
        <v>78.016937675454329</v>
      </c>
      <c r="V15" s="73">
        <f>V14/V13</f>
        <v>1.1476755894147029E-3</v>
      </c>
      <c r="Z15" s="297"/>
      <c r="AA15" s="297"/>
    </row>
    <row r="16" spans="1:27">
      <c r="A16" s="541">
        <f>'Monthly Data'!A16</f>
        <v>42795</v>
      </c>
      <c r="B16">
        <f t="shared" si="4"/>
        <v>2017</v>
      </c>
      <c r="C16">
        <f t="shared" si="5"/>
        <v>3</v>
      </c>
      <c r="D16" s="31">
        <f>'Monthly Data'!F16</f>
        <v>92776.221153846156</v>
      </c>
      <c r="E16" s="33">
        <f>'Monthly Data'!AS16</f>
        <v>756.92500000000018</v>
      </c>
      <c r="F16" s="33">
        <f>'Monthly Data'!AZ16</f>
        <v>0</v>
      </c>
      <c r="G16" s="18">
        <f>'Monthly Data'!G16</f>
        <v>9560</v>
      </c>
      <c r="H16">
        <f>'Monthly Data'!BU16</f>
        <v>31</v>
      </c>
      <c r="I16" s="33">
        <f>'Monthly Data'!CQ16</f>
        <v>0</v>
      </c>
      <c r="J16" s="33">
        <f>'Monthly Data'!CX16</f>
        <v>0</v>
      </c>
      <c r="L16" s="18">
        <f>'Res Predicted Monthly'!$X$8</f>
        <v>-16404845.677784801</v>
      </c>
      <c r="M16" s="18">
        <f>E16*'Res Predicted Monthly'!$X$9</f>
        <v>4959075.8945444422</v>
      </c>
      <c r="N16" s="18">
        <f>F16*'Res Predicted Monthly'!$X$10</f>
        <v>0</v>
      </c>
      <c r="O16" s="18">
        <f>G16*'Res Predicted Monthly'!$X$11</f>
        <v>12877647.71557699</v>
      </c>
      <c r="P16" s="18">
        <f>H16*'Res Predicted Monthly'!$X$12</f>
        <v>6513250.5985030681</v>
      </c>
      <c r="Q16" s="18">
        <f>I16*'Res Predicted Monthly'!$X$13</f>
        <v>0</v>
      </c>
      <c r="R16" s="18">
        <f>J16*'Res Predicted Monthly'!$X$14</f>
        <v>0</v>
      </c>
      <c r="S16" s="18">
        <f t="shared" si="3"/>
        <v>7945128.5308396984</v>
      </c>
      <c r="T16" s="18">
        <f t="shared" si="1"/>
        <v>7852352.3096858524</v>
      </c>
      <c r="U16" s="35">
        <f t="shared" si="2"/>
        <v>84.637552726626907</v>
      </c>
      <c r="W16" t="s">
        <v>198</v>
      </c>
    </row>
    <row r="17" spans="1:26">
      <c r="A17" s="541">
        <f>'Monthly Data'!A17</f>
        <v>42826</v>
      </c>
      <c r="B17">
        <f t="shared" si="4"/>
        <v>2017</v>
      </c>
      <c r="C17">
        <f t="shared" si="5"/>
        <v>4</v>
      </c>
      <c r="D17" s="31">
        <f>'Monthly Data'!F17</f>
        <v>99124.669871794875</v>
      </c>
      <c r="E17" s="33">
        <f>'Monthly Data'!AS17</f>
        <v>367.46041666666656</v>
      </c>
      <c r="F17" s="33">
        <f>'Monthly Data'!AZ17</f>
        <v>6.4625000000000004</v>
      </c>
      <c r="G17" s="18">
        <f>'Monthly Data'!G17</f>
        <v>9566</v>
      </c>
      <c r="H17">
        <f>'Monthly Data'!BU17</f>
        <v>30</v>
      </c>
      <c r="I17" s="33">
        <f>'Monthly Data'!CQ17</f>
        <v>0</v>
      </c>
      <c r="J17" s="33">
        <f>'Monthly Data'!CX17</f>
        <v>0</v>
      </c>
      <c r="L17" s="18">
        <f>'Res Predicted Monthly'!$X$8</f>
        <v>-16404845.677784801</v>
      </c>
      <c r="M17" s="18">
        <f>E17*'Res Predicted Monthly'!$X$9</f>
        <v>2407456.6099559702</v>
      </c>
      <c r="N17" s="18">
        <f>F17*'Res Predicted Monthly'!$X$10</f>
        <v>94256.126541692356</v>
      </c>
      <c r="O17" s="18">
        <f>G17*'Res Predicted Monthly'!$X$11</f>
        <v>12885729.921256222</v>
      </c>
      <c r="P17" s="18">
        <f>H17*'Res Predicted Monthly'!$X$12</f>
        <v>6303145.7404868407</v>
      </c>
      <c r="Q17" s="18">
        <f>I17*'Res Predicted Monthly'!$X$13</f>
        <v>0</v>
      </c>
      <c r="R17" s="18">
        <f>J17*'Res Predicted Monthly'!$X$14</f>
        <v>0</v>
      </c>
      <c r="S17" s="18">
        <f t="shared" si="3"/>
        <v>5285742.720455925</v>
      </c>
      <c r="T17" s="18">
        <f t="shared" si="1"/>
        <v>5186618.05058413</v>
      </c>
      <c r="U17" s="35">
        <f t="shared" si="2"/>
        <v>52.324189904413899</v>
      </c>
      <c r="W17" t="s">
        <v>199</v>
      </c>
      <c r="X17" s="537">
        <v>2814014948656</v>
      </c>
      <c r="Y17" t="s">
        <v>200</v>
      </c>
      <c r="Z17" s="18">
        <v>208068.58886345799</v>
      </c>
    </row>
    <row r="18" spans="1:26">
      <c r="A18" s="541">
        <f>'Monthly Data'!A18</f>
        <v>42856</v>
      </c>
      <c r="B18">
        <f t="shared" si="4"/>
        <v>2017</v>
      </c>
      <c r="C18">
        <f t="shared" si="5"/>
        <v>5</v>
      </c>
      <c r="D18" s="31">
        <f>'Monthly Data'!F18</f>
        <v>105473.11858974359</v>
      </c>
      <c r="E18" s="33">
        <f>'Monthly Data'!AS18</f>
        <v>220.46250000000003</v>
      </c>
      <c r="F18" s="33">
        <f>'Monthly Data'!AZ18</f>
        <v>55.529166666666654</v>
      </c>
      <c r="G18" s="18">
        <f>'Monthly Data'!G18</f>
        <v>9566</v>
      </c>
      <c r="H18">
        <f>'Monthly Data'!BU18</f>
        <v>31</v>
      </c>
      <c r="I18" s="33">
        <f>'Monthly Data'!CQ18</f>
        <v>0</v>
      </c>
      <c r="J18" s="33">
        <f>'Monthly Data'!CX18</f>
        <v>0</v>
      </c>
      <c r="L18" s="18">
        <f>'Res Predicted Monthly'!$X$8</f>
        <v>-16404845.677784801</v>
      </c>
      <c r="M18" s="18">
        <f>E18*'Res Predicted Monthly'!$X$9</f>
        <v>1444383.8813634166</v>
      </c>
      <c r="N18" s="18">
        <f>F18*'Res Predicted Monthly'!$X$10</f>
        <v>809897.74237339373</v>
      </c>
      <c r="O18" s="18">
        <f>G18*'Res Predicted Monthly'!$X$11</f>
        <v>12885729.921256222</v>
      </c>
      <c r="P18" s="18">
        <f>H18*'Res Predicted Monthly'!$X$12</f>
        <v>6513250.5985030681</v>
      </c>
      <c r="Q18" s="18">
        <f>I18*'Res Predicted Monthly'!$X$13</f>
        <v>0</v>
      </c>
      <c r="R18" s="18">
        <f>J18*'Res Predicted Monthly'!$X$14</f>
        <v>0</v>
      </c>
      <c r="S18" s="18">
        <f t="shared" si="3"/>
        <v>5248416.4657112993</v>
      </c>
      <c r="T18" s="18">
        <f t="shared" si="1"/>
        <v>5142943.3471215554</v>
      </c>
      <c r="U18" s="35">
        <f t="shared" si="2"/>
        <v>48.760702403481076</v>
      </c>
      <c r="W18" t="s">
        <v>201</v>
      </c>
      <c r="X18" s="538">
        <v>0.97200241814966903</v>
      </c>
      <c r="Y18" t="s">
        <v>202</v>
      </c>
      <c r="Z18" s="538">
        <v>0.96941802597886995</v>
      </c>
    </row>
    <row r="19" spans="1:26">
      <c r="A19" s="541">
        <f>'Monthly Data'!A19</f>
        <v>42887</v>
      </c>
      <c r="B19">
        <f t="shared" si="4"/>
        <v>2017</v>
      </c>
      <c r="C19">
        <f t="shared" si="5"/>
        <v>6</v>
      </c>
      <c r="D19" s="31">
        <f>'Monthly Data'!F19</f>
        <v>111821.56730769231</v>
      </c>
      <c r="E19" s="33">
        <f>'Monthly Data'!AS19</f>
        <v>64.375</v>
      </c>
      <c r="F19" s="33">
        <f>'Monthly Data'!AZ19</f>
        <v>149.61666666666667</v>
      </c>
      <c r="G19" s="18">
        <f>'Monthly Data'!G19</f>
        <v>9566</v>
      </c>
      <c r="H19">
        <f>'Monthly Data'!BU19</f>
        <v>30</v>
      </c>
      <c r="I19" s="33">
        <f>'Monthly Data'!CQ19</f>
        <v>0</v>
      </c>
      <c r="J19" s="33">
        <f>'Monthly Data'!CX19</f>
        <v>0</v>
      </c>
      <c r="L19" s="18">
        <f>'Res Predicted Monthly'!$X$8</f>
        <v>-16404845.677784801</v>
      </c>
      <c r="M19" s="18">
        <f>E19*'Res Predicted Monthly'!$X$9</f>
        <v>421759.76577771694</v>
      </c>
      <c r="N19" s="18">
        <f>F19*'Res Predicted Monthly'!$X$10</f>
        <v>2182172.1417531199</v>
      </c>
      <c r="O19" s="18">
        <f>G19*'Res Predicted Monthly'!$X$11</f>
        <v>12885729.921256222</v>
      </c>
      <c r="P19" s="18">
        <f>H19*'Res Predicted Monthly'!$X$12</f>
        <v>6303145.7404868407</v>
      </c>
      <c r="Q19" s="18">
        <f>I19*'Res Predicted Monthly'!$X$13</f>
        <v>0</v>
      </c>
      <c r="R19" s="18">
        <f>J19*'Res Predicted Monthly'!$X$14</f>
        <v>0</v>
      </c>
      <c r="S19" s="18">
        <f t="shared" si="3"/>
        <v>5387961.8914890988</v>
      </c>
      <c r="T19" s="18">
        <f t="shared" si="1"/>
        <v>5276140.3241814068</v>
      </c>
      <c r="U19" s="35">
        <f t="shared" si="2"/>
        <v>47.183566204749987</v>
      </c>
      <c r="W19" t="s">
        <v>203</v>
      </c>
      <c r="X19" s="13">
        <v>486.68003466460902</v>
      </c>
      <c r="Y19" t="s">
        <v>204</v>
      </c>
      <c r="Z19" s="32">
        <v>5.3321520580297298E-52</v>
      </c>
    </row>
    <row r="20" spans="1:26">
      <c r="A20" s="541">
        <f>'Monthly Data'!A20</f>
        <v>42917</v>
      </c>
      <c r="B20">
        <f t="shared" si="4"/>
        <v>2017</v>
      </c>
      <c r="C20">
        <f t="shared" si="5"/>
        <v>7</v>
      </c>
      <c r="D20" s="31">
        <f>'Monthly Data'!F20</f>
        <v>118170.01602564103</v>
      </c>
      <c r="E20" s="33">
        <f>'Monthly Data'!AS20</f>
        <v>10.187499999999986</v>
      </c>
      <c r="F20" s="33">
        <f>'Monthly Data'!AZ20</f>
        <v>224.875</v>
      </c>
      <c r="G20" s="18">
        <f>'Monthly Data'!G20</f>
        <v>9598</v>
      </c>
      <c r="H20">
        <f>'Monthly Data'!BU20</f>
        <v>31</v>
      </c>
      <c r="I20" s="33">
        <f>'Monthly Data'!CQ20</f>
        <v>0</v>
      </c>
      <c r="J20" s="33">
        <f>'Monthly Data'!CX20</f>
        <v>0</v>
      </c>
      <c r="L20" s="18">
        <f>'Res Predicted Monthly'!$X$8</f>
        <v>-16404845.677784801</v>
      </c>
      <c r="M20" s="18">
        <f>E20*'Res Predicted Monthly'!$X$9</f>
        <v>66744.506623075504</v>
      </c>
      <c r="N20" s="18">
        <f>F20*'Res Predicted Monthly'!$X$10</f>
        <v>3279821.5019053104</v>
      </c>
      <c r="O20" s="18">
        <f>G20*'Res Predicted Monthly'!$X$11</f>
        <v>12928835.018212128</v>
      </c>
      <c r="P20" s="18">
        <f>H20*'Res Predicted Monthly'!$X$12</f>
        <v>6513250.5985030681</v>
      </c>
      <c r="Q20" s="18">
        <f>I20*'Res Predicted Monthly'!$X$13</f>
        <v>0</v>
      </c>
      <c r="R20" s="18">
        <f>J20*'Res Predicted Monthly'!$X$14</f>
        <v>0</v>
      </c>
      <c r="S20" s="18">
        <f t="shared" si="3"/>
        <v>6383805.9474587832</v>
      </c>
      <c r="T20" s="18">
        <f t="shared" si="1"/>
        <v>6265635.9314331422</v>
      </c>
      <c r="U20" s="35">
        <f t="shared" si="2"/>
        <v>53.022214451368086</v>
      </c>
      <c r="W20" t="s">
        <v>205</v>
      </c>
      <c r="X20" s="538">
        <v>3.9135893230426801E-2</v>
      </c>
      <c r="Y20" t="s">
        <v>206</v>
      </c>
      <c r="Z20" s="538">
        <v>1.8966033042491399</v>
      </c>
    </row>
    <row r="21" spans="1:26">
      <c r="A21" s="541">
        <f>'Monthly Data'!A21</f>
        <v>42948</v>
      </c>
      <c r="B21">
        <f t="shared" si="4"/>
        <v>2017</v>
      </c>
      <c r="C21">
        <f t="shared" si="5"/>
        <v>8</v>
      </c>
      <c r="D21" s="31">
        <f>'Monthly Data'!F21</f>
        <v>124518.46474358975</v>
      </c>
      <c r="E21" s="33">
        <f>'Monthly Data'!AS21</f>
        <v>42.45</v>
      </c>
      <c r="F21" s="33">
        <f>'Monthly Data'!AZ21</f>
        <v>164.64583333333331</v>
      </c>
      <c r="G21" s="18">
        <f>'Monthly Data'!G21</f>
        <v>9598</v>
      </c>
      <c r="H21">
        <f>'Monthly Data'!BU21</f>
        <v>31</v>
      </c>
      <c r="I21" s="33">
        <f>'Monthly Data'!CQ21</f>
        <v>0</v>
      </c>
      <c r="J21" s="33">
        <f>'Monthly Data'!CX21</f>
        <v>0</v>
      </c>
      <c r="L21" s="18">
        <f>'Res Predicted Monthly'!$X$8</f>
        <v>-16404845.677784801</v>
      </c>
      <c r="M21" s="18">
        <f>E21*'Res Predicted Monthly'!$X$9</f>
        <v>278115.76011284016</v>
      </c>
      <c r="N21" s="18">
        <f>F21*'Res Predicted Monthly'!$X$10</f>
        <v>2401373.8493197761</v>
      </c>
      <c r="O21" s="18">
        <f>G21*'Res Predicted Monthly'!$X$11</f>
        <v>12928835.018212128</v>
      </c>
      <c r="P21" s="18">
        <f>H21*'Res Predicted Monthly'!$X$12</f>
        <v>6513250.5985030681</v>
      </c>
      <c r="Q21" s="18">
        <f>I21*'Res Predicted Monthly'!$X$13</f>
        <v>0</v>
      </c>
      <c r="R21" s="18">
        <f>J21*'Res Predicted Monthly'!$X$14</f>
        <v>0</v>
      </c>
      <c r="S21" s="18">
        <f t="shared" si="3"/>
        <v>5716729.5483630132</v>
      </c>
      <c r="T21" s="18">
        <f t="shared" si="1"/>
        <v>5592211.0836194232</v>
      </c>
      <c r="U21" s="35">
        <f t="shared" si="2"/>
        <v>44.910697342237448</v>
      </c>
    </row>
    <row r="22" spans="1:26">
      <c r="A22" s="541">
        <f>'Monthly Data'!A22</f>
        <v>42979</v>
      </c>
      <c r="B22">
        <f t="shared" si="4"/>
        <v>2017</v>
      </c>
      <c r="C22">
        <f t="shared" si="5"/>
        <v>9</v>
      </c>
      <c r="D22" s="31">
        <f>'Monthly Data'!F22</f>
        <v>130866.91346153847</v>
      </c>
      <c r="E22" s="33">
        <f>'Monthly Data'!AS22</f>
        <v>98.341666666666669</v>
      </c>
      <c r="F22" s="33">
        <f>'Monthly Data'!AZ22</f>
        <v>126.25</v>
      </c>
      <c r="G22" s="18">
        <f>'Monthly Data'!G22</f>
        <v>9598</v>
      </c>
      <c r="H22">
        <f>'Monthly Data'!BU22</f>
        <v>30</v>
      </c>
      <c r="I22" s="33">
        <f>'Monthly Data'!CQ22</f>
        <v>0</v>
      </c>
      <c r="J22" s="33">
        <f>'Monthly Data'!CX22</f>
        <v>0</v>
      </c>
      <c r="L22" s="18">
        <f>'Res Predicted Monthly'!$X$8</f>
        <v>-16404845.677784801</v>
      </c>
      <c r="M22" s="18">
        <f>E22*'Res Predicted Monthly'!$X$9</f>
        <v>644296.05125473626</v>
      </c>
      <c r="N22" s="18">
        <f>F22*'Res Predicted Monthly'!$X$10</f>
        <v>1841367.2689963109</v>
      </c>
      <c r="O22" s="18">
        <f>G22*'Res Predicted Monthly'!$X$11</f>
        <v>12928835.018212128</v>
      </c>
      <c r="P22" s="18">
        <f>H22*'Res Predicted Monthly'!$X$12</f>
        <v>6303145.7404868407</v>
      </c>
      <c r="Q22" s="18">
        <f>I22*'Res Predicted Monthly'!$X$13</f>
        <v>0</v>
      </c>
      <c r="R22" s="18">
        <f>J22*'Res Predicted Monthly'!$X$14</f>
        <v>0</v>
      </c>
      <c r="S22" s="18">
        <f t="shared" si="3"/>
        <v>5312798.4011652162</v>
      </c>
      <c r="T22" s="18">
        <f t="shared" si="1"/>
        <v>5181931.4877036782</v>
      </c>
      <c r="U22" s="35">
        <f t="shared" si="2"/>
        <v>39.596956561725875</v>
      </c>
      <c r="W22" t="s">
        <v>207</v>
      </c>
    </row>
    <row r="23" spans="1:26">
      <c r="A23" s="541">
        <f>'Monthly Data'!A23</f>
        <v>43009</v>
      </c>
      <c r="B23">
        <f t="shared" si="4"/>
        <v>2017</v>
      </c>
      <c r="C23">
        <f t="shared" si="5"/>
        <v>10</v>
      </c>
      <c r="D23" s="31">
        <f>'Monthly Data'!F23</f>
        <v>137215.36217948719</v>
      </c>
      <c r="E23" s="33">
        <f>'Monthly Data'!AS23</f>
        <v>235.46875000000003</v>
      </c>
      <c r="F23" s="33">
        <f>'Monthly Data'!AZ23</f>
        <v>31.320833333333333</v>
      </c>
      <c r="G23" s="18">
        <f>'Monthly Data'!G23</f>
        <v>9676</v>
      </c>
      <c r="H23">
        <f>'Monthly Data'!BU23</f>
        <v>31</v>
      </c>
      <c r="I23" s="33">
        <f>'Monthly Data'!CQ23</f>
        <v>0</v>
      </c>
      <c r="J23" s="33">
        <f>'Monthly Data'!CX23</f>
        <v>0</v>
      </c>
      <c r="L23" s="18">
        <f>'Res Predicted Monthly'!$X$8</f>
        <v>-16404845.677784801</v>
      </c>
      <c r="M23" s="18">
        <f>E23*'Res Predicted Monthly'!$X$9</f>
        <v>1542698.9490947076</v>
      </c>
      <c r="N23" s="18">
        <f>F23*'Res Predicted Monthly'!$X$10</f>
        <v>456817.08782327623</v>
      </c>
      <c r="O23" s="18">
        <f>G23*'Res Predicted Monthly'!$X$11</f>
        <v>13033903.69204215</v>
      </c>
      <c r="P23" s="18">
        <f>H23*'Res Predicted Monthly'!$X$12</f>
        <v>6513250.5985030681</v>
      </c>
      <c r="Q23" s="18">
        <f>I23*'Res Predicted Monthly'!$X$13</f>
        <v>0</v>
      </c>
      <c r="R23" s="18">
        <f>J23*'Res Predicted Monthly'!$X$14</f>
        <v>0</v>
      </c>
      <c r="S23" s="18">
        <f t="shared" si="3"/>
        <v>5141824.6496783998</v>
      </c>
      <c r="T23" s="18">
        <f t="shared" si="1"/>
        <v>5004609.2874989128</v>
      </c>
      <c r="U23" s="35">
        <f t="shared" si="2"/>
        <v>36.472660261994115</v>
      </c>
      <c r="W23" t="s">
        <v>208</v>
      </c>
      <c r="X23" s="18">
        <v>7380930.0512202997</v>
      </c>
      <c r="Y23" t="s">
        <v>209</v>
      </c>
      <c r="Z23" s="18">
        <v>1189209.39640481</v>
      </c>
    </row>
    <row r="24" spans="1:26">
      <c r="A24" s="541">
        <f>'Monthly Data'!A24</f>
        <v>43040</v>
      </c>
      <c r="B24">
        <f t="shared" si="4"/>
        <v>2017</v>
      </c>
      <c r="C24">
        <f t="shared" si="5"/>
        <v>11</v>
      </c>
      <c r="D24" s="31">
        <f>'Monthly Data'!F24</f>
        <v>143563.81089743588</v>
      </c>
      <c r="E24" s="33">
        <f>'Monthly Data'!AS24</f>
        <v>565.73333333333335</v>
      </c>
      <c r="F24" s="33">
        <f>'Monthly Data'!AZ24</f>
        <v>0</v>
      </c>
      <c r="G24" s="18">
        <f>'Monthly Data'!G24</f>
        <v>9676</v>
      </c>
      <c r="H24">
        <f>'Monthly Data'!BU24</f>
        <v>30</v>
      </c>
      <c r="I24" s="33">
        <f>'Monthly Data'!CQ24</f>
        <v>0</v>
      </c>
      <c r="J24" s="33">
        <f>'Monthly Data'!CX24</f>
        <v>0</v>
      </c>
      <c r="L24" s="18">
        <f>'Res Predicted Monthly'!$X$8</f>
        <v>-16404845.677784801</v>
      </c>
      <c r="M24" s="18">
        <f>E24*'Res Predicted Monthly'!$X$9</f>
        <v>3706463.0393679808</v>
      </c>
      <c r="N24" s="18">
        <f>F24*'Res Predicted Monthly'!$X$10</f>
        <v>0</v>
      </c>
      <c r="O24" s="18">
        <f>G24*'Res Predicted Monthly'!$X$11</f>
        <v>13033903.69204215</v>
      </c>
      <c r="P24" s="18">
        <f>H24*'Res Predicted Monthly'!$X$12</f>
        <v>6303145.7404868407</v>
      </c>
      <c r="Q24" s="18">
        <f>I24*'Res Predicted Monthly'!$X$13</f>
        <v>0</v>
      </c>
      <c r="R24" s="18">
        <f>J24*'Res Predicted Monthly'!$X$14</f>
        <v>0</v>
      </c>
      <c r="S24" s="18">
        <f t="shared" si="3"/>
        <v>6638666.794112171</v>
      </c>
      <c r="T24" s="18">
        <f t="shared" si="1"/>
        <v>6495102.9832147351</v>
      </c>
      <c r="U24" s="35">
        <f t="shared" si="2"/>
        <v>45.241923731426532</v>
      </c>
    </row>
    <row r="25" spans="1:26">
      <c r="A25" s="541">
        <f>'Monthly Data'!A25</f>
        <v>43070</v>
      </c>
      <c r="B25">
        <f t="shared" si="4"/>
        <v>2017</v>
      </c>
      <c r="C25">
        <f t="shared" si="5"/>
        <v>12</v>
      </c>
      <c r="D25" s="31">
        <f>'Monthly Data'!F25</f>
        <v>76269429.279615387</v>
      </c>
      <c r="E25" s="33">
        <f>'Monthly Data'!AS25</f>
        <v>892.57499999999993</v>
      </c>
      <c r="F25" s="33">
        <f>'Monthly Data'!AZ25</f>
        <v>0</v>
      </c>
      <c r="G25" s="18">
        <f>'Monthly Data'!G25</f>
        <v>9676</v>
      </c>
      <c r="H25">
        <f>'Monthly Data'!BU25</f>
        <v>31</v>
      </c>
      <c r="I25" s="33">
        <f>'Monthly Data'!CQ25</f>
        <v>0</v>
      </c>
      <c r="J25" s="33">
        <f>'Monthly Data'!CX25</f>
        <v>0</v>
      </c>
      <c r="L25" s="18">
        <f>'Res Predicted Monthly'!$X$8</f>
        <v>-16404845.677784801</v>
      </c>
      <c r="M25" s="18">
        <f>E25*'Res Predicted Monthly'!$X$9</f>
        <v>5847801.5213832343</v>
      </c>
      <c r="N25" s="18">
        <f>F25*'Res Predicted Monthly'!$X$10</f>
        <v>0</v>
      </c>
      <c r="O25" s="18">
        <f>G25*'Res Predicted Monthly'!$X$11</f>
        <v>13033903.69204215</v>
      </c>
      <c r="P25" s="18">
        <f>H25*'Res Predicted Monthly'!$X$12</f>
        <v>6513250.5985030681</v>
      </c>
      <c r="Q25" s="18">
        <f>I25*'Res Predicted Monthly'!$X$13</f>
        <v>0</v>
      </c>
      <c r="R25" s="18">
        <f>J25*'Res Predicted Monthly'!$X$14</f>
        <v>0</v>
      </c>
      <c r="S25" s="18">
        <f t="shared" si="3"/>
        <v>8990110.1341436505</v>
      </c>
      <c r="T25" s="18">
        <f t="shared" si="1"/>
        <v>-67279319.145471737</v>
      </c>
      <c r="U25" s="35">
        <f t="shared" si="2"/>
        <v>0.88212695153146448</v>
      </c>
      <c r="V25" s="31">
        <f>SUM(S14:S25)</f>
        <v>76932007.854082212</v>
      </c>
    </row>
    <row r="26" spans="1:26">
      <c r="A26" s="541">
        <f>'Monthly Data'!A26</f>
        <v>43101</v>
      </c>
      <c r="B26">
        <f t="shared" si="4"/>
        <v>2018</v>
      </c>
      <c r="C26">
        <f t="shared" si="5"/>
        <v>1</v>
      </c>
      <c r="D26" s="31">
        <f>'Monthly Data'!F26</f>
        <v>138184.10424530588</v>
      </c>
      <c r="E26" s="33">
        <f>'Monthly Data'!AS26</f>
        <v>901.85000000000014</v>
      </c>
      <c r="F26" s="33">
        <f>'Monthly Data'!AZ26</f>
        <v>0</v>
      </c>
      <c r="G26" s="18">
        <f>'Monthly Data'!G26</f>
        <v>9688</v>
      </c>
      <c r="H26">
        <f>'Monthly Data'!BU26</f>
        <v>31</v>
      </c>
      <c r="I26" s="33">
        <f>'Monthly Data'!CQ26</f>
        <v>0</v>
      </c>
      <c r="J26" s="33">
        <f>'Monthly Data'!CX26</f>
        <v>0</v>
      </c>
      <c r="L26" s="18">
        <f>'Res Predicted Monthly'!$X$8</f>
        <v>-16404845.677784801</v>
      </c>
      <c r="M26" s="18">
        <f>E26*'Res Predicted Monthly'!$X$9</f>
        <v>5908567.6856952868</v>
      </c>
      <c r="N26" s="18">
        <f>F26*'Res Predicted Monthly'!$X$10</f>
        <v>0</v>
      </c>
      <c r="O26" s="18">
        <f>G26*'Res Predicted Monthly'!$X$11</f>
        <v>13050068.103400616</v>
      </c>
      <c r="P26" s="18">
        <f>H26*'Res Predicted Monthly'!$X$12</f>
        <v>6513250.5985030681</v>
      </c>
      <c r="Q26" s="18">
        <f>I26*'Res Predicted Monthly'!$X$13</f>
        <v>0</v>
      </c>
      <c r="R26" s="18">
        <f>J26*'Res Predicted Monthly'!$X$14</f>
        <v>0</v>
      </c>
      <c r="S26" s="18">
        <f t="shared" si="3"/>
        <v>9067040.7098141704</v>
      </c>
      <c r="T26" s="18">
        <f t="shared" si="1"/>
        <v>8928856.6055688653</v>
      </c>
      <c r="U26" s="35">
        <f t="shared" si="2"/>
        <v>64.615656441339056</v>
      </c>
      <c r="V26" s="31">
        <f>V25-SUM(D14:D25)</f>
        <v>-567458.66591778398</v>
      </c>
    </row>
    <row r="27" spans="1:26">
      <c r="A27" s="541">
        <f>'Monthly Data'!A27</f>
        <v>43132</v>
      </c>
      <c r="B27">
        <f t="shared" si="4"/>
        <v>2018</v>
      </c>
      <c r="C27">
        <f t="shared" si="5"/>
        <v>2</v>
      </c>
      <c r="D27" s="31">
        <f>'Monthly Data'!F27</f>
        <v>141275.87925579111</v>
      </c>
      <c r="E27" s="33">
        <f>'Monthly Data'!AS27</f>
        <v>698.27916666666658</v>
      </c>
      <c r="F27" s="33">
        <f>'Monthly Data'!AZ27</f>
        <v>0</v>
      </c>
      <c r="G27" s="18">
        <f>'Monthly Data'!G27</f>
        <v>9699</v>
      </c>
      <c r="H27">
        <f>'Monthly Data'!BU27</f>
        <v>29</v>
      </c>
      <c r="I27" s="33">
        <f>'Monthly Data'!CQ27</f>
        <v>0</v>
      </c>
      <c r="J27" s="33">
        <f>'Monthly Data'!CX27</f>
        <v>0</v>
      </c>
      <c r="L27" s="18">
        <f>'Res Predicted Monthly'!$X$8</f>
        <v>-16404845.677784801</v>
      </c>
      <c r="M27" s="18">
        <f>E27*'Res Predicted Monthly'!$X$9</f>
        <v>4574851.3830026044</v>
      </c>
      <c r="N27" s="18">
        <f>F27*'Res Predicted Monthly'!$X$10</f>
        <v>0</v>
      </c>
      <c r="O27" s="18">
        <f>G27*'Res Predicted Monthly'!$X$11</f>
        <v>13064885.480479209</v>
      </c>
      <c r="P27" s="18">
        <f>H27*'Res Predicted Monthly'!$X$12</f>
        <v>6093040.8824706124</v>
      </c>
      <c r="Q27" s="18">
        <f>I27*'Res Predicted Monthly'!$X$13</f>
        <v>0</v>
      </c>
      <c r="R27" s="18">
        <f>J27*'Res Predicted Monthly'!$X$14</f>
        <v>0</v>
      </c>
      <c r="S27" s="18">
        <f t="shared" si="3"/>
        <v>7327932.0681676259</v>
      </c>
      <c r="T27" s="18">
        <f t="shared" si="1"/>
        <v>7186656.1889118347</v>
      </c>
      <c r="U27" s="35">
        <f t="shared" si="2"/>
        <v>50.869661733973906</v>
      </c>
      <c r="V27" s="73">
        <f>V26/V25</f>
        <v>-7.3761062754801494E-3</v>
      </c>
    </row>
    <row r="28" spans="1:26">
      <c r="A28" s="541">
        <f>'Monthly Data'!A28</f>
        <v>43160</v>
      </c>
      <c r="B28">
        <f t="shared" si="4"/>
        <v>2018</v>
      </c>
      <c r="C28">
        <f t="shared" si="5"/>
        <v>3</v>
      </c>
      <c r="D28" s="31">
        <f>'Monthly Data'!F28</f>
        <v>144367.65426627634</v>
      </c>
      <c r="E28" s="33">
        <f>'Monthly Data'!AS28</f>
        <v>649.45000000000016</v>
      </c>
      <c r="F28" s="33">
        <f>'Monthly Data'!AZ28</f>
        <v>0</v>
      </c>
      <c r="G28" s="18">
        <f>'Monthly Data'!G28</f>
        <v>9711</v>
      </c>
      <c r="H28">
        <f>'Monthly Data'!BU28</f>
        <v>31</v>
      </c>
      <c r="I28" s="33">
        <f>'Monthly Data'!CQ28</f>
        <v>0</v>
      </c>
      <c r="J28" s="33">
        <f>'Monthly Data'!CX28</f>
        <v>0</v>
      </c>
      <c r="L28" s="18">
        <f>'Res Predicted Monthly'!$X$8</f>
        <v>-16404845.677784801</v>
      </c>
      <c r="M28" s="18">
        <f>E28*'Res Predicted Monthly'!$X$9</f>
        <v>4254941.8234460326</v>
      </c>
      <c r="N28" s="18">
        <f>F28*'Res Predicted Monthly'!$X$10</f>
        <v>0</v>
      </c>
      <c r="O28" s="18">
        <f>G28*'Res Predicted Monthly'!$X$11</f>
        <v>13081049.891837673</v>
      </c>
      <c r="P28" s="18">
        <f>H28*'Res Predicted Monthly'!$X$12</f>
        <v>6513250.5985030681</v>
      </c>
      <c r="Q28" s="18">
        <f>I28*'Res Predicted Monthly'!$X$13</f>
        <v>0</v>
      </c>
      <c r="R28" s="18">
        <f>J28*'Res Predicted Monthly'!$X$14</f>
        <v>0</v>
      </c>
      <c r="S28" s="18">
        <f t="shared" si="3"/>
        <v>7444396.6360019725</v>
      </c>
      <c r="T28" s="18">
        <f t="shared" si="1"/>
        <v>7300028.9817356961</v>
      </c>
      <c r="U28" s="35">
        <f t="shared" si="2"/>
        <v>50.565544053734421</v>
      </c>
    </row>
    <row r="29" spans="1:26">
      <c r="A29" s="541">
        <f>'Monthly Data'!A29</f>
        <v>43191</v>
      </c>
      <c r="B29">
        <f t="shared" si="4"/>
        <v>2018</v>
      </c>
      <c r="C29">
        <f t="shared" si="5"/>
        <v>4</v>
      </c>
      <c r="D29" s="31">
        <f>'Monthly Data'!F29</f>
        <v>147459.42927676154</v>
      </c>
      <c r="E29" s="33">
        <f>'Monthly Data'!AS29</f>
        <v>501.1541666666667</v>
      </c>
      <c r="F29" s="33">
        <f>'Monthly Data'!AZ29</f>
        <v>0</v>
      </c>
      <c r="G29" s="18">
        <f>'Monthly Data'!G29</f>
        <v>9720</v>
      </c>
      <c r="H29">
        <f>'Monthly Data'!BU29</f>
        <v>30</v>
      </c>
      <c r="I29" s="33">
        <f>'Monthly Data'!CQ29</f>
        <v>0</v>
      </c>
      <c r="J29" s="33">
        <f>'Monthly Data'!CX29</f>
        <v>0</v>
      </c>
      <c r="L29" s="18">
        <f>'Res Predicted Monthly'!$X$8</f>
        <v>-16404845.677784801</v>
      </c>
      <c r="M29" s="18">
        <f>E29*'Res Predicted Monthly'!$X$9</f>
        <v>3283365.6536211306</v>
      </c>
      <c r="N29" s="18">
        <f>F29*'Res Predicted Monthly'!$X$10</f>
        <v>0</v>
      </c>
      <c r="O29" s="18">
        <f>G29*'Res Predicted Monthly'!$X$11</f>
        <v>13093173.200356521</v>
      </c>
      <c r="P29" s="18">
        <f>H29*'Res Predicted Monthly'!$X$12</f>
        <v>6303145.7404868407</v>
      </c>
      <c r="Q29" s="18">
        <f>I29*'Res Predicted Monthly'!$X$13</f>
        <v>0</v>
      </c>
      <c r="R29" s="18">
        <f>J29*'Res Predicted Monthly'!$X$14</f>
        <v>0</v>
      </c>
      <c r="S29" s="18">
        <f t="shared" si="3"/>
        <v>6274838.9166796906</v>
      </c>
      <c r="T29" s="18">
        <f t="shared" si="1"/>
        <v>6127379.487402929</v>
      </c>
      <c r="U29" s="35">
        <f t="shared" si="2"/>
        <v>41.552985234349855</v>
      </c>
    </row>
    <row r="30" spans="1:26">
      <c r="A30" s="541">
        <f>'Monthly Data'!A30</f>
        <v>43221</v>
      </c>
      <c r="B30">
        <f t="shared" si="4"/>
        <v>2018</v>
      </c>
      <c r="C30">
        <f t="shared" si="5"/>
        <v>5</v>
      </c>
      <c r="D30" s="31">
        <f>'Monthly Data'!F30</f>
        <v>150551.20428724677</v>
      </c>
      <c r="E30" s="33">
        <f>'Monthly Data'!AS30</f>
        <v>133.90416666666667</v>
      </c>
      <c r="F30" s="33">
        <f>'Monthly Data'!AZ30</f>
        <v>91.550000000000011</v>
      </c>
      <c r="G30" s="18">
        <f>'Monthly Data'!G30</f>
        <v>9723</v>
      </c>
      <c r="H30">
        <f>'Monthly Data'!BU30</f>
        <v>31</v>
      </c>
      <c r="I30" s="33">
        <f>'Monthly Data'!CQ30</f>
        <v>0</v>
      </c>
      <c r="J30" s="33">
        <f>'Monthly Data'!CX30</f>
        <v>0</v>
      </c>
      <c r="L30" s="18">
        <f>'Res Predicted Monthly'!$X$8</f>
        <v>-16404845.677784801</v>
      </c>
      <c r="M30" s="18">
        <f>E30*'Res Predicted Monthly'!$X$9</f>
        <v>877287.61118436826</v>
      </c>
      <c r="N30" s="18">
        <f>F30*'Res Predicted Monthly'!$X$10</f>
        <v>1335264.7404088101</v>
      </c>
      <c r="O30" s="18">
        <f>G30*'Res Predicted Monthly'!$X$11</f>
        <v>13097214.303196138</v>
      </c>
      <c r="P30" s="18">
        <f>H30*'Res Predicted Monthly'!$X$12</f>
        <v>6513250.5985030681</v>
      </c>
      <c r="Q30" s="18">
        <f>I30*'Res Predicted Monthly'!$X$13</f>
        <v>0</v>
      </c>
      <c r="R30" s="18">
        <f>J30*'Res Predicted Monthly'!$X$14</f>
        <v>0</v>
      </c>
      <c r="S30" s="18">
        <f t="shared" si="3"/>
        <v>5418171.5755075831</v>
      </c>
      <c r="T30" s="18">
        <f t="shared" si="1"/>
        <v>5267620.3712203363</v>
      </c>
      <c r="U30" s="35">
        <f t="shared" si="2"/>
        <v>34.988895613016084</v>
      </c>
    </row>
    <row r="31" spans="1:26">
      <c r="A31" s="541">
        <f>'Monthly Data'!A31</f>
        <v>43252</v>
      </c>
      <c r="B31">
        <f t="shared" si="4"/>
        <v>2018</v>
      </c>
      <c r="C31">
        <f t="shared" si="5"/>
        <v>6</v>
      </c>
      <c r="D31" s="31">
        <f>'Monthly Data'!F31</f>
        <v>153642.979297732</v>
      </c>
      <c r="E31" s="33">
        <f>'Monthly Data'!AS31</f>
        <v>61.166666666666629</v>
      </c>
      <c r="F31" s="33">
        <f>'Monthly Data'!AZ31</f>
        <v>145.35</v>
      </c>
      <c r="G31" s="18">
        <f>'Monthly Data'!G31</f>
        <v>9728</v>
      </c>
      <c r="H31">
        <f>'Monthly Data'!BU31</f>
        <v>30</v>
      </c>
      <c r="I31" s="33">
        <f>'Monthly Data'!CQ31</f>
        <v>0</v>
      </c>
      <c r="J31" s="33">
        <f>'Monthly Data'!CX31</f>
        <v>0</v>
      </c>
      <c r="L31" s="18">
        <f>'Res Predicted Monthly'!$X$8</f>
        <v>-16404845.677784801</v>
      </c>
      <c r="M31" s="18">
        <f>E31*'Res Predicted Monthly'!$X$9</f>
        <v>400740.02340562339</v>
      </c>
      <c r="N31" s="18">
        <f>F31*'Res Predicted Monthly'!$X$10</f>
        <v>2119942.436028624</v>
      </c>
      <c r="O31" s="18">
        <f>G31*'Res Predicted Monthly'!$X$11</f>
        <v>13103949.474595498</v>
      </c>
      <c r="P31" s="18">
        <f>H31*'Res Predicted Monthly'!$X$12</f>
        <v>6303145.7404868407</v>
      </c>
      <c r="Q31" s="18">
        <f>I31*'Res Predicted Monthly'!$X$13</f>
        <v>0</v>
      </c>
      <c r="R31" s="18">
        <f>J31*'Res Predicted Monthly'!$X$14</f>
        <v>0</v>
      </c>
      <c r="S31" s="18">
        <f t="shared" si="3"/>
        <v>5522931.9967317851</v>
      </c>
      <c r="T31" s="18">
        <f t="shared" si="1"/>
        <v>5369289.0174340531</v>
      </c>
      <c r="U31" s="35">
        <f t="shared" si="2"/>
        <v>34.946530209033192</v>
      </c>
    </row>
    <row r="32" spans="1:26">
      <c r="A32" s="541">
        <f>'Monthly Data'!A32</f>
        <v>43282</v>
      </c>
      <c r="B32">
        <f t="shared" si="4"/>
        <v>2018</v>
      </c>
      <c r="C32">
        <f t="shared" si="5"/>
        <v>7</v>
      </c>
      <c r="D32" s="31">
        <f>'Monthly Data'!F32</f>
        <v>156734.75430821723</v>
      </c>
      <c r="E32" s="33">
        <f>'Monthly Data'!AS32</f>
        <v>1.9291666666666636</v>
      </c>
      <c r="F32" s="33">
        <f>'Monthly Data'!AZ32</f>
        <v>294.87916666666672</v>
      </c>
      <c r="G32" s="18">
        <f>'Monthly Data'!G32</f>
        <v>9733</v>
      </c>
      <c r="H32">
        <f>'Monthly Data'!BU32</f>
        <v>31</v>
      </c>
      <c r="I32" s="33">
        <f>'Monthly Data'!CQ32</f>
        <v>0</v>
      </c>
      <c r="J32" s="33">
        <f>'Monthly Data'!CX32</f>
        <v>0</v>
      </c>
      <c r="L32" s="18">
        <f>'Res Predicted Monthly'!$X$8</f>
        <v>-16404845.677784801</v>
      </c>
      <c r="M32" s="18">
        <f>E32*'Res Predicted Monthly'!$X$9</f>
        <v>12639.143789972986</v>
      </c>
      <c r="N32" s="18">
        <f>F32*'Res Predicted Monthly'!$X$10</f>
        <v>4300838.3826448163</v>
      </c>
      <c r="O32" s="18">
        <f>G32*'Res Predicted Monthly'!$X$11</f>
        <v>13110684.645994859</v>
      </c>
      <c r="P32" s="18">
        <f>H32*'Res Predicted Monthly'!$X$12</f>
        <v>6513250.5985030681</v>
      </c>
      <c r="Q32" s="18">
        <f>I32*'Res Predicted Monthly'!$X$13</f>
        <v>0</v>
      </c>
      <c r="R32" s="18">
        <f>J32*'Res Predicted Monthly'!$X$14</f>
        <v>0</v>
      </c>
      <c r="S32" s="18">
        <f t="shared" si="3"/>
        <v>7532567.0931479167</v>
      </c>
      <c r="T32" s="18">
        <f t="shared" si="1"/>
        <v>7375832.3388396995</v>
      </c>
      <c r="U32" s="35">
        <f t="shared" si="2"/>
        <v>47.05932880932842</v>
      </c>
    </row>
    <row r="33" spans="1:22">
      <c r="A33" s="541">
        <f>'Monthly Data'!A33</f>
        <v>43313</v>
      </c>
      <c r="B33">
        <f t="shared" si="4"/>
        <v>2018</v>
      </c>
      <c r="C33">
        <f t="shared" si="5"/>
        <v>8</v>
      </c>
      <c r="D33" s="31">
        <f>'Monthly Data'!F33</f>
        <v>159826.52931870247</v>
      </c>
      <c r="E33" s="33">
        <f>'Monthly Data'!AS33</f>
        <v>8.2375000000000007</v>
      </c>
      <c r="F33" s="33">
        <f>'Monthly Data'!AZ33</f>
        <v>257.05</v>
      </c>
      <c r="G33" s="18">
        <f>'Monthly Data'!G33</f>
        <v>9752</v>
      </c>
      <c r="H33">
        <f>'Monthly Data'!BU33</f>
        <v>31</v>
      </c>
      <c r="I33" s="33">
        <f>'Monthly Data'!CQ33</f>
        <v>0</v>
      </c>
      <c r="J33" s="33">
        <f>'Monthly Data'!CX33</f>
        <v>0</v>
      </c>
      <c r="L33" s="18">
        <f>'Res Predicted Monthly'!$X$8</f>
        <v>-16404845.677784801</v>
      </c>
      <c r="M33" s="18">
        <f>E33*'Res Predicted Monthly'!$X$9</f>
        <v>53968.870999517574</v>
      </c>
      <c r="N33" s="18">
        <f>F33*'Res Predicted Monthly'!$X$10</f>
        <v>3749096.6851128852</v>
      </c>
      <c r="O33" s="18">
        <f>G33*'Res Predicted Monthly'!$X$11</f>
        <v>13136278.297312427</v>
      </c>
      <c r="P33" s="18">
        <f>H33*'Res Predicted Monthly'!$X$12</f>
        <v>6513250.5985030681</v>
      </c>
      <c r="Q33" s="18">
        <f>I33*'Res Predicted Monthly'!$X$13</f>
        <v>0</v>
      </c>
      <c r="R33" s="18">
        <f>J33*'Res Predicted Monthly'!$X$14</f>
        <v>0</v>
      </c>
      <c r="S33" s="18">
        <f t="shared" si="3"/>
        <v>7047748.7741430961</v>
      </c>
      <c r="T33" s="18">
        <f t="shared" si="1"/>
        <v>6887922.2448243937</v>
      </c>
      <c r="U33" s="35">
        <f t="shared" si="2"/>
        <v>43.096238616866394</v>
      </c>
    </row>
    <row r="34" spans="1:22">
      <c r="A34" s="541">
        <f>'Monthly Data'!A34</f>
        <v>43344</v>
      </c>
      <c r="B34">
        <f t="shared" si="4"/>
        <v>2018</v>
      </c>
      <c r="C34">
        <f t="shared" si="5"/>
        <v>9</v>
      </c>
      <c r="D34" s="31">
        <f>'Monthly Data'!F34</f>
        <v>162918.3043291877</v>
      </c>
      <c r="E34" s="33">
        <f>'Monthly Data'!AS34</f>
        <v>123.21250000000003</v>
      </c>
      <c r="F34" s="33">
        <f>'Monthly Data'!AZ34</f>
        <v>120.82499999999999</v>
      </c>
      <c r="G34" s="18">
        <f>'Monthly Data'!G34</f>
        <v>9756</v>
      </c>
      <c r="H34">
        <f>'Monthly Data'!BU34</f>
        <v>30</v>
      </c>
      <c r="I34" s="33">
        <f>'Monthly Data'!CQ34</f>
        <v>0</v>
      </c>
      <c r="J34" s="33">
        <f>'Monthly Data'!CX34</f>
        <v>0</v>
      </c>
      <c r="L34" s="18">
        <f>'Res Predicted Monthly'!$X$8</f>
        <v>-16404845.677784801</v>
      </c>
      <c r="M34" s="18">
        <f>E34*'Res Predicted Monthly'!$X$9</f>
        <v>807240.00218853541</v>
      </c>
      <c r="N34" s="18">
        <f>F34*'Res Predicted Monthly'!$X$10</f>
        <v>1762243.1705067663</v>
      </c>
      <c r="O34" s="18">
        <f>G34*'Res Predicted Monthly'!$X$11</f>
        <v>13141666.434431916</v>
      </c>
      <c r="P34" s="18">
        <f>H34*'Res Predicted Monthly'!$X$12</f>
        <v>6303145.7404868407</v>
      </c>
      <c r="Q34" s="18">
        <f>I34*'Res Predicted Monthly'!$X$13</f>
        <v>0</v>
      </c>
      <c r="R34" s="18">
        <f>J34*'Res Predicted Monthly'!$X$14</f>
        <v>0</v>
      </c>
      <c r="S34" s="18">
        <f t="shared" si="3"/>
        <v>5609449.6698292578</v>
      </c>
      <c r="T34" s="18">
        <f t="shared" ref="T34:T65" si="6">S34-D34</f>
        <v>5446531.3655000702</v>
      </c>
      <c r="U34" s="35">
        <f t="shared" ref="U34:U65" si="7">ABS(T34/D34)</f>
        <v>33.43105851688081</v>
      </c>
    </row>
    <row r="35" spans="1:22">
      <c r="A35" s="541">
        <f>'Monthly Data'!A35</f>
        <v>43374</v>
      </c>
      <c r="B35">
        <f t="shared" si="4"/>
        <v>2018</v>
      </c>
      <c r="C35">
        <f t="shared" si="5"/>
        <v>10</v>
      </c>
      <c r="D35" s="31">
        <f>'Monthly Data'!F35</f>
        <v>166010.07933967293</v>
      </c>
      <c r="E35" s="33">
        <f>'Monthly Data'!AS35</f>
        <v>377.75416666666661</v>
      </c>
      <c r="F35" s="33">
        <f>'Monthly Data'!AZ35</f>
        <v>12.950000000000003</v>
      </c>
      <c r="G35" s="18">
        <f>'Monthly Data'!G35</f>
        <v>9769</v>
      </c>
      <c r="H35">
        <f>'Monthly Data'!BU35</f>
        <v>31</v>
      </c>
      <c r="I35" s="33">
        <f>'Monthly Data'!CQ35</f>
        <v>0</v>
      </c>
      <c r="J35" s="33">
        <f>'Monthly Data'!CX35</f>
        <v>0</v>
      </c>
      <c r="L35" s="18">
        <f>'Res Predicted Monthly'!$X$8</f>
        <v>-16404845.677784801</v>
      </c>
      <c r="M35" s="18">
        <f>E35*'Res Predicted Monthly'!$X$9</f>
        <v>2474897.2249303297</v>
      </c>
      <c r="N35" s="18">
        <f>F35*'Res Predicted Monthly'!$X$10</f>
        <v>188876.88026536422</v>
      </c>
      <c r="O35" s="18">
        <f>G35*'Res Predicted Monthly'!$X$11</f>
        <v>13159177.880070252</v>
      </c>
      <c r="P35" s="18">
        <f>H35*'Res Predicted Monthly'!$X$12</f>
        <v>6513250.5985030681</v>
      </c>
      <c r="Q35" s="18">
        <f>I35*'Res Predicted Monthly'!$X$13</f>
        <v>0</v>
      </c>
      <c r="R35" s="18">
        <f>J35*'Res Predicted Monthly'!$X$14</f>
        <v>0</v>
      </c>
      <c r="S35" s="18">
        <f t="shared" si="3"/>
        <v>5931356.9059842136</v>
      </c>
      <c r="T35" s="18">
        <f t="shared" si="6"/>
        <v>5765346.8266445408</v>
      </c>
      <c r="U35" s="35">
        <f t="shared" si="7"/>
        <v>34.728896278930598</v>
      </c>
    </row>
    <row r="36" spans="1:22">
      <c r="A36" s="541">
        <f>'Monthly Data'!A36</f>
        <v>43405</v>
      </c>
      <c r="B36">
        <f t="shared" si="4"/>
        <v>2018</v>
      </c>
      <c r="C36">
        <f t="shared" si="5"/>
        <v>11</v>
      </c>
      <c r="D36" s="31">
        <f>'Monthly Data'!F36</f>
        <v>169101.85435015816</v>
      </c>
      <c r="E36" s="33">
        <f>'Monthly Data'!AS36</f>
        <v>621.23333333333335</v>
      </c>
      <c r="F36" s="33">
        <f>'Monthly Data'!AZ36</f>
        <v>0</v>
      </c>
      <c r="G36" s="18">
        <f>'Monthly Data'!G36</f>
        <v>9802</v>
      </c>
      <c r="H36">
        <f>'Monthly Data'!BU36</f>
        <v>30</v>
      </c>
      <c r="I36" s="33">
        <f>'Monthly Data'!CQ36</f>
        <v>0</v>
      </c>
      <c r="J36" s="33">
        <f>'Monthly Data'!CX36</f>
        <v>0</v>
      </c>
      <c r="L36" s="18">
        <f>'Res Predicted Monthly'!$X$8</f>
        <v>-16404845.677784801</v>
      </c>
      <c r="M36" s="18">
        <f>E36*'Res Predicted Monthly'!$X$9</f>
        <v>4070077.2840384785</v>
      </c>
      <c r="N36" s="18">
        <f>F36*'Res Predicted Monthly'!$X$10</f>
        <v>0</v>
      </c>
      <c r="O36" s="18">
        <f>G36*'Res Predicted Monthly'!$X$11</f>
        <v>13203630.011306031</v>
      </c>
      <c r="P36" s="18">
        <f>H36*'Res Predicted Monthly'!$X$12</f>
        <v>6303145.7404868407</v>
      </c>
      <c r="Q36" s="18">
        <f>I36*'Res Predicted Monthly'!$X$13</f>
        <v>0</v>
      </c>
      <c r="R36" s="18">
        <f>J36*'Res Predicted Monthly'!$X$14</f>
        <v>0</v>
      </c>
      <c r="S36" s="18">
        <f t="shared" si="3"/>
        <v>7172007.3580465494</v>
      </c>
      <c r="T36" s="18">
        <f t="shared" si="6"/>
        <v>7002905.5036963914</v>
      </c>
      <c r="U36" s="35">
        <f t="shared" si="7"/>
        <v>41.412351926049958</v>
      </c>
    </row>
    <row r="37" spans="1:22">
      <c r="A37" s="541">
        <f>'Monthly Data'!A37</f>
        <v>43435</v>
      </c>
      <c r="B37">
        <f t="shared" si="4"/>
        <v>2018</v>
      </c>
      <c r="C37">
        <f t="shared" si="5"/>
        <v>12</v>
      </c>
      <c r="D37" s="31">
        <f>'Monthly Data'!F37</f>
        <v>81888692.629360646</v>
      </c>
      <c r="E37" s="33">
        <f>'Monthly Data'!AS37</f>
        <v>793.4000000000002</v>
      </c>
      <c r="F37" s="33">
        <f>'Monthly Data'!AZ37</f>
        <v>0</v>
      </c>
      <c r="G37" s="18">
        <f>'Monthly Data'!G37</f>
        <v>9809</v>
      </c>
      <c r="H37">
        <f>'Monthly Data'!BU37</f>
        <v>31</v>
      </c>
      <c r="I37" s="33">
        <f>'Monthly Data'!CQ37</f>
        <v>0</v>
      </c>
      <c r="J37" s="33">
        <f>'Monthly Data'!CX37</f>
        <v>0</v>
      </c>
      <c r="L37" s="18">
        <f>'Res Predicted Monthly'!$X$8</f>
        <v>-16404845.677784801</v>
      </c>
      <c r="M37" s="18">
        <f>E37*'Res Predicted Monthly'!$X$9</f>
        <v>5198045.7967850985</v>
      </c>
      <c r="N37" s="18">
        <f>F37*'Res Predicted Monthly'!$X$10</f>
        <v>0</v>
      </c>
      <c r="O37" s="18">
        <f>G37*'Res Predicted Monthly'!$X$11</f>
        <v>13213059.251265137</v>
      </c>
      <c r="P37" s="18">
        <f>H37*'Res Predicted Monthly'!$X$12</f>
        <v>6513250.5985030681</v>
      </c>
      <c r="Q37" s="18">
        <f>I37*'Res Predicted Monthly'!$X$13</f>
        <v>0</v>
      </c>
      <c r="R37" s="18">
        <f>J37*'Res Predicted Monthly'!$X$14</f>
        <v>0</v>
      </c>
      <c r="S37" s="18">
        <f t="shared" si="3"/>
        <v>8519509.9687685017</v>
      </c>
      <c r="T37" s="18">
        <f t="shared" si="6"/>
        <v>-73369182.660592139</v>
      </c>
      <c r="U37" s="35">
        <f t="shared" si="7"/>
        <v>0.89596231548928296</v>
      </c>
      <c r="V37" s="31">
        <f>SUM(S26:S37)</f>
        <v>82867951.672822371</v>
      </c>
    </row>
    <row r="38" spans="1:22">
      <c r="A38" s="541">
        <f>'Monthly Data'!A38</f>
        <v>43466</v>
      </c>
      <c r="B38">
        <f t="shared" si="4"/>
        <v>2019</v>
      </c>
      <c r="C38">
        <f t="shared" si="5"/>
        <v>1</v>
      </c>
      <c r="D38" s="31">
        <f>'Monthly Data'!F38</f>
        <v>159020.88139322816</v>
      </c>
      <c r="E38" s="33">
        <f>'Monthly Data'!AS38</f>
        <v>992.70000000000027</v>
      </c>
      <c r="F38" s="33">
        <f>'Monthly Data'!AZ38</f>
        <v>0</v>
      </c>
      <c r="G38" s="18">
        <f>'Monthly Data'!G38</f>
        <v>9816</v>
      </c>
      <c r="H38">
        <f>'Monthly Data'!BU38</f>
        <v>31</v>
      </c>
      <c r="I38" s="33">
        <f>'Monthly Data'!CQ38</f>
        <v>0</v>
      </c>
      <c r="J38" s="33">
        <f>'Monthly Data'!CX38</f>
        <v>0</v>
      </c>
      <c r="L38" s="18">
        <f>'Res Predicted Monthly'!$X$8</f>
        <v>-16404845.677784801</v>
      </c>
      <c r="M38" s="18">
        <f>E38*'Res Predicted Monthly'!$X$9</f>
        <v>6503781.2735928502</v>
      </c>
      <c r="N38" s="18">
        <f>F38*'Res Predicted Monthly'!$X$10</f>
        <v>0</v>
      </c>
      <c r="O38" s="18">
        <f>G38*'Res Predicted Monthly'!$X$11</f>
        <v>13222488.491224241</v>
      </c>
      <c r="P38" s="18">
        <f>H38*'Res Predicted Monthly'!$X$12</f>
        <v>6513250.5985030681</v>
      </c>
      <c r="Q38" s="18">
        <f>I38*'Res Predicted Monthly'!$X$13</f>
        <v>0</v>
      </c>
      <c r="R38" s="18">
        <f>J38*'Res Predicted Monthly'!$X$14</f>
        <v>0</v>
      </c>
      <c r="S38" s="18">
        <f t="shared" si="3"/>
        <v>9834674.6855353583</v>
      </c>
      <c r="T38" s="18">
        <f t="shared" si="6"/>
        <v>9675653.8041421305</v>
      </c>
      <c r="U38" s="35">
        <f t="shared" si="7"/>
        <v>60.845177811686838</v>
      </c>
      <c r="V38" s="31">
        <f>V37-SUM(D26:D37)</f>
        <v>-710813.7288133204</v>
      </c>
    </row>
    <row r="39" spans="1:22">
      <c r="A39" s="541">
        <f>'Monthly Data'!A39</f>
        <v>43497</v>
      </c>
      <c r="B39">
        <f t="shared" si="4"/>
        <v>2019</v>
      </c>
      <c r="C39">
        <f t="shared" si="5"/>
        <v>2</v>
      </c>
      <c r="D39" s="31">
        <f>'Monthly Data'!F39</f>
        <v>159531.81667192865</v>
      </c>
      <c r="E39" s="33">
        <f>'Monthly Data'!AS39</f>
        <v>802.87708333333342</v>
      </c>
      <c r="F39" s="33">
        <f>'Monthly Data'!AZ39</f>
        <v>0</v>
      </c>
      <c r="G39" s="18">
        <f>'Monthly Data'!G39</f>
        <v>9816</v>
      </c>
      <c r="H39">
        <f>'Monthly Data'!BU39</f>
        <v>28</v>
      </c>
      <c r="I39" s="33">
        <f>'Monthly Data'!CQ39</f>
        <v>0</v>
      </c>
      <c r="J39" s="33">
        <f>'Monthly Data'!CX39</f>
        <v>0</v>
      </c>
      <c r="L39" s="18">
        <f>'Res Predicted Monthly'!$X$8</f>
        <v>-16404845.677784801</v>
      </c>
      <c r="M39" s="18">
        <f>E39*'Res Predicted Monthly'!$X$9</f>
        <v>5260135.9318829244</v>
      </c>
      <c r="N39" s="18">
        <f>F39*'Res Predicted Monthly'!$X$10</f>
        <v>0</v>
      </c>
      <c r="O39" s="18">
        <f>G39*'Res Predicted Monthly'!$X$11</f>
        <v>13222488.491224241</v>
      </c>
      <c r="P39" s="18">
        <f>H39*'Res Predicted Monthly'!$X$12</f>
        <v>5882936.0244543841</v>
      </c>
      <c r="Q39" s="18">
        <f>I39*'Res Predicted Monthly'!$X$13</f>
        <v>0</v>
      </c>
      <c r="R39" s="18">
        <f>J39*'Res Predicted Monthly'!$X$14</f>
        <v>0</v>
      </c>
      <c r="S39" s="18">
        <f t="shared" si="3"/>
        <v>7960714.7697767494</v>
      </c>
      <c r="T39" s="18">
        <f t="shared" si="6"/>
        <v>7801182.953104821</v>
      </c>
      <c r="U39" s="35">
        <f t="shared" si="7"/>
        <v>48.900483401048888</v>
      </c>
      <c r="V39" s="73">
        <f>V38/V37</f>
        <v>-8.5776674150187908E-3</v>
      </c>
    </row>
    <row r="40" spans="1:22">
      <c r="A40" s="541">
        <f>'Monthly Data'!A40</f>
        <v>43525</v>
      </c>
      <c r="B40">
        <f t="shared" si="4"/>
        <v>2019</v>
      </c>
      <c r="C40">
        <f t="shared" si="5"/>
        <v>3</v>
      </c>
      <c r="D40" s="31">
        <f>'Monthly Data'!F40</f>
        <v>160042.75195062911</v>
      </c>
      <c r="E40" s="33">
        <f>'Monthly Data'!AS40</f>
        <v>711.79166666666663</v>
      </c>
      <c r="F40" s="33">
        <f>'Monthly Data'!AZ40</f>
        <v>0</v>
      </c>
      <c r="G40" s="18">
        <f>'Monthly Data'!G40</f>
        <v>9831</v>
      </c>
      <c r="H40">
        <f>'Monthly Data'!BU40</f>
        <v>31</v>
      </c>
      <c r="I40" s="33">
        <f>'Monthly Data'!CQ40</f>
        <v>0</v>
      </c>
      <c r="J40" s="33">
        <f>'Monthly Data'!CX40</f>
        <v>0</v>
      </c>
      <c r="L40" s="18">
        <f>'Res Predicted Monthly'!$X$8</f>
        <v>-16404845.677784801</v>
      </c>
      <c r="M40" s="18">
        <f>E40*'Res Predicted Monthly'!$X$9</f>
        <v>4663379.9862658503</v>
      </c>
      <c r="N40" s="18">
        <f>F40*'Res Predicted Monthly'!$X$10</f>
        <v>0</v>
      </c>
      <c r="O40" s="18">
        <f>G40*'Res Predicted Monthly'!$X$11</f>
        <v>13242694.005422322</v>
      </c>
      <c r="P40" s="18">
        <f>H40*'Res Predicted Monthly'!$X$12</f>
        <v>6513250.5985030681</v>
      </c>
      <c r="Q40" s="18">
        <f>I40*'Res Predicted Monthly'!$X$13</f>
        <v>0</v>
      </c>
      <c r="R40" s="18">
        <f>J40*'Res Predicted Monthly'!$X$14</f>
        <v>0</v>
      </c>
      <c r="S40" s="18">
        <f t="shared" si="3"/>
        <v>8014478.912406439</v>
      </c>
      <c r="T40" s="18">
        <f t="shared" si="6"/>
        <v>7854436.1604558099</v>
      </c>
      <c r="U40" s="35">
        <f t="shared" si="7"/>
        <v>49.077112613502109</v>
      </c>
    </row>
    <row r="41" spans="1:22">
      <c r="A41" s="541">
        <f>'Monthly Data'!A41</f>
        <v>43556</v>
      </c>
      <c r="B41">
        <f t="shared" si="4"/>
        <v>2019</v>
      </c>
      <c r="C41">
        <f t="shared" si="5"/>
        <v>4</v>
      </c>
      <c r="D41" s="31">
        <f>'Monthly Data'!F41</f>
        <v>160553.68722932957</v>
      </c>
      <c r="E41" s="33">
        <f>'Monthly Data'!AS41</f>
        <v>441.13750000000005</v>
      </c>
      <c r="F41" s="33">
        <f>'Monthly Data'!AZ41</f>
        <v>0</v>
      </c>
      <c r="G41" s="18">
        <f>'Monthly Data'!G41</f>
        <v>9847</v>
      </c>
      <c r="H41">
        <f>'Monthly Data'!BU41</f>
        <v>30</v>
      </c>
      <c r="I41" s="33">
        <f>'Monthly Data'!CQ41</f>
        <v>0</v>
      </c>
      <c r="J41" s="33">
        <f>'Monthly Data'!CX41</f>
        <v>0</v>
      </c>
      <c r="L41" s="18">
        <f>'Res Predicted Monthly'!$X$8</f>
        <v>-16404845.677784801</v>
      </c>
      <c r="M41" s="18">
        <f>E41*'Res Predicted Monthly'!$X$9</f>
        <v>2890159.9794294001</v>
      </c>
      <c r="N41" s="18">
        <f>F41*'Res Predicted Monthly'!$X$10</f>
        <v>0</v>
      </c>
      <c r="O41" s="18">
        <f>G41*'Res Predicted Monthly'!$X$11</f>
        <v>13264246.553900274</v>
      </c>
      <c r="P41" s="18">
        <f>H41*'Res Predicted Monthly'!$X$12</f>
        <v>6303145.7404868407</v>
      </c>
      <c r="Q41" s="18">
        <f>I41*'Res Predicted Monthly'!$X$13</f>
        <v>0</v>
      </c>
      <c r="R41" s="18">
        <f>J41*'Res Predicted Monthly'!$X$14</f>
        <v>0</v>
      </c>
      <c r="S41" s="18">
        <f t="shared" si="3"/>
        <v>6052706.5960317133</v>
      </c>
      <c r="T41" s="18">
        <f t="shared" si="6"/>
        <v>5892152.9088023836</v>
      </c>
      <c r="U41" s="35">
        <f t="shared" si="7"/>
        <v>36.698957280166525</v>
      </c>
    </row>
    <row r="42" spans="1:22">
      <c r="A42" s="541">
        <f>'Monthly Data'!A42</f>
        <v>43586</v>
      </c>
      <c r="B42">
        <f t="shared" si="4"/>
        <v>2019</v>
      </c>
      <c r="C42">
        <f t="shared" si="5"/>
        <v>5</v>
      </c>
      <c r="D42" s="31">
        <f>'Monthly Data'!F42</f>
        <v>161064.62250803006</v>
      </c>
      <c r="E42" s="33">
        <f>'Monthly Data'!AS42</f>
        <v>245.42916666666662</v>
      </c>
      <c r="F42" s="33">
        <f>'Monthly Data'!AZ42</f>
        <v>16.06666666666667</v>
      </c>
      <c r="G42" s="18">
        <f>'Monthly Data'!G42</f>
        <v>9859</v>
      </c>
      <c r="H42">
        <f>'Monthly Data'!BU42</f>
        <v>31</v>
      </c>
      <c r="I42" s="33">
        <f>'Monthly Data'!CQ42</f>
        <v>0</v>
      </c>
      <c r="J42" s="33">
        <f>'Monthly Data'!CX42</f>
        <v>0</v>
      </c>
      <c r="L42" s="18">
        <f>'Res Predicted Monthly'!$X$8</f>
        <v>-16404845.677784801</v>
      </c>
      <c r="M42" s="18">
        <f>E42*'Res Predicted Monthly'!$X$9</f>
        <v>1607955.6947317061</v>
      </c>
      <c r="N42" s="18">
        <f>F42*'Res Predicted Monthly'!$X$10</f>
        <v>234333.73561880449</v>
      </c>
      <c r="O42" s="18">
        <f>G42*'Res Predicted Monthly'!$X$11</f>
        <v>13280410.96525874</v>
      </c>
      <c r="P42" s="18">
        <f>H42*'Res Predicted Monthly'!$X$12</f>
        <v>6513250.5985030681</v>
      </c>
      <c r="Q42" s="18">
        <f>I42*'Res Predicted Monthly'!$X$13</f>
        <v>0</v>
      </c>
      <c r="R42" s="18">
        <f>J42*'Res Predicted Monthly'!$X$14</f>
        <v>0</v>
      </c>
      <c r="S42" s="18">
        <f t="shared" si="3"/>
        <v>5231105.3163275179</v>
      </c>
      <c r="T42" s="18">
        <f t="shared" si="6"/>
        <v>5070040.6938194875</v>
      </c>
      <c r="U42" s="35">
        <f t="shared" si="7"/>
        <v>31.478301161800534</v>
      </c>
    </row>
    <row r="43" spans="1:22">
      <c r="A43" s="541">
        <f>'Monthly Data'!A43</f>
        <v>43617</v>
      </c>
      <c r="B43">
        <f t="shared" si="4"/>
        <v>2019</v>
      </c>
      <c r="C43">
        <f t="shared" si="5"/>
        <v>6</v>
      </c>
      <c r="D43" s="31">
        <f>'Monthly Data'!F43</f>
        <v>161575.55778673053</v>
      </c>
      <c r="E43" s="33">
        <f>'Monthly Data'!AS43</f>
        <v>68.995833333333337</v>
      </c>
      <c r="F43" s="33">
        <f>'Monthly Data'!AZ43</f>
        <v>134.69583333333335</v>
      </c>
      <c r="G43" s="18">
        <f>'Monthly Data'!G43</f>
        <v>9857</v>
      </c>
      <c r="H43">
        <f>'Monthly Data'!BU43</f>
        <v>30</v>
      </c>
      <c r="I43" s="33">
        <f>'Monthly Data'!CQ43</f>
        <v>0</v>
      </c>
      <c r="J43" s="33">
        <f>'Monthly Data'!CX43</f>
        <v>0</v>
      </c>
      <c r="L43" s="18">
        <f>'Res Predicted Monthly'!$X$8</f>
        <v>-16404845.677784801</v>
      </c>
      <c r="M43" s="18">
        <f>E43*'Res Predicted Monthly'!$X$9</f>
        <v>452033.65446687478</v>
      </c>
      <c r="N43" s="18">
        <f>F43*'Res Predicted Monthly'!$X$10</f>
        <v>1964550.4853083747</v>
      </c>
      <c r="O43" s="18">
        <f>G43*'Res Predicted Monthly'!$X$11</f>
        <v>13277716.896698995</v>
      </c>
      <c r="P43" s="18">
        <f>H43*'Res Predicted Monthly'!$X$12</f>
        <v>6303145.7404868407</v>
      </c>
      <c r="Q43" s="18">
        <f>I43*'Res Predicted Monthly'!$X$13</f>
        <v>0</v>
      </c>
      <c r="R43" s="18">
        <f>J43*'Res Predicted Monthly'!$X$14</f>
        <v>0</v>
      </c>
      <c r="S43" s="18">
        <f t="shared" si="3"/>
        <v>5592601.0991762849</v>
      </c>
      <c r="T43" s="18">
        <f t="shared" si="6"/>
        <v>5431025.5413895547</v>
      </c>
      <c r="U43" s="35">
        <f t="shared" si="7"/>
        <v>33.612915318282013</v>
      </c>
    </row>
    <row r="44" spans="1:22">
      <c r="A44" s="541">
        <f>'Monthly Data'!A44</f>
        <v>43647</v>
      </c>
      <c r="B44">
        <f t="shared" si="4"/>
        <v>2019</v>
      </c>
      <c r="C44">
        <f t="shared" si="5"/>
        <v>7</v>
      </c>
      <c r="D44" s="31">
        <f>'Monthly Data'!F44</f>
        <v>162086.49306543099</v>
      </c>
      <c r="E44" s="33">
        <f>'Monthly Data'!AS44</f>
        <v>1.4625000000000021</v>
      </c>
      <c r="F44" s="33">
        <f>'Monthly Data'!AZ44</f>
        <v>290.43749999999994</v>
      </c>
      <c r="G44" s="18">
        <f>'Monthly Data'!G44</f>
        <v>9864</v>
      </c>
      <c r="H44">
        <f>'Monthly Data'!BU44</f>
        <v>31</v>
      </c>
      <c r="I44" s="33">
        <f>'Monthly Data'!CQ44</f>
        <v>0</v>
      </c>
      <c r="J44" s="33">
        <f>'Monthly Data'!CX44</f>
        <v>0</v>
      </c>
      <c r="L44" s="18">
        <f>'Res Predicted Monthly'!$X$8</f>
        <v>-16404845.677784801</v>
      </c>
      <c r="M44" s="18">
        <f>E44*'Res Predicted Monthly'!$X$9</f>
        <v>9581.7267176685345</v>
      </c>
      <c r="N44" s="18">
        <f>F44*'Res Predicted Monthly'!$X$10</f>
        <v>4236056.286646463</v>
      </c>
      <c r="O44" s="18">
        <f>G44*'Res Predicted Monthly'!$X$11</f>
        <v>13287146.136658099</v>
      </c>
      <c r="P44" s="18">
        <f>H44*'Res Predicted Monthly'!$X$12</f>
        <v>6513250.5985030681</v>
      </c>
      <c r="Q44" s="18">
        <f>I44*'Res Predicted Monthly'!$X$13</f>
        <v>0</v>
      </c>
      <c r="R44" s="18">
        <f>J44*'Res Predicted Monthly'!$X$14</f>
        <v>0</v>
      </c>
      <c r="S44" s="18">
        <f t="shared" si="3"/>
        <v>7641189.0707404967</v>
      </c>
      <c r="T44" s="18">
        <f t="shared" si="6"/>
        <v>7479102.577675066</v>
      </c>
      <c r="U44" s="35">
        <f t="shared" si="7"/>
        <v>46.142663933483377</v>
      </c>
    </row>
    <row r="45" spans="1:22">
      <c r="A45" s="541">
        <f>'Monthly Data'!A45</f>
        <v>43678</v>
      </c>
      <c r="B45">
        <f t="shared" si="4"/>
        <v>2019</v>
      </c>
      <c r="C45">
        <f t="shared" si="5"/>
        <v>8</v>
      </c>
      <c r="D45" s="31">
        <f>'Monthly Data'!F45</f>
        <v>162597.42834413148</v>
      </c>
      <c r="E45" s="33">
        <f>'Monthly Data'!AS45</f>
        <v>21.250000000000011</v>
      </c>
      <c r="F45" s="33">
        <f>'Monthly Data'!AZ45</f>
        <v>199.80416666666667</v>
      </c>
      <c r="G45" s="18">
        <f>'Monthly Data'!G45</f>
        <v>9866</v>
      </c>
      <c r="H45">
        <f>'Monthly Data'!BU45</f>
        <v>31</v>
      </c>
      <c r="I45" s="33">
        <f>'Monthly Data'!CQ45</f>
        <v>0</v>
      </c>
      <c r="J45" s="33">
        <f>'Monthly Data'!CX45</f>
        <v>0</v>
      </c>
      <c r="L45" s="18">
        <f>'Res Predicted Monthly'!$X$8</f>
        <v>-16404845.677784801</v>
      </c>
      <c r="M45" s="18">
        <f>E45*'Res Predicted Monthly'!$X$9</f>
        <v>139221.67025672217</v>
      </c>
      <c r="N45" s="18">
        <f>F45*'Res Predicted Monthly'!$X$10</f>
        <v>2914161.209576901</v>
      </c>
      <c r="O45" s="18">
        <f>G45*'Res Predicted Monthly'!$X$11</f>
        <v>13289840.205217844</v>
      </c>
      <c r="P45" s="18">
        <f>H45*'Res Predicted Monthly'!$X$12</f>
        <v>6513250.5985030681</v>
      </c>
      <c r="Q45" s="18">
        <f>I45*'Res Predicted Monthly'!$X$13</f>
        <v>0</v>
      </c>
      <c r="R45" s="18">
        <f>J45*'Res Predicted Monthly'!$X$14</f>
        <v>0</v>
      </c>
      <c r="S45" s="18">
        <f t="shared" si="3"/>
        <v>6451628.0057697352</v>
      </c>
      <c r="T45" s="18">
        <f t="shared" si="6"/>
        <v>6289030.5774256038</v>
      </c>
      <c r="U45" s="35">
        <f t="shared" si="7"/>
        <v>38.67853656402918</v>
      </c>
    </row>
    <row r="46" spans="1:22">
      <c r="A46" s="541">
        <f>'Monthly Data'!A46</f>
        <v>43709</v>
      </c>
      <c r="B46">
        <f t="shared" si="4"/>
        <v>2019</v>
      </c>
      <c r="C46">
        <f t="shared" si="5"/>
        <v>9</v>
      </c>
      <c r="D46" s="31">
        <f>'Monthly Data'!F46</f>
        <v>163108.36362283194</v>
      </c>
      <c r="E46" s="33">
        <f>'Monthly Data'!AS46</f>
        <v>133.26666666666668</v>
      </c>
      <c r="F46" s="33">
        <f>'Monthly Data'!AZ46</f>
        <v>66.591666666666669</v>
      </c>
      <c r="G46" s="18">
        <f>'Monthly Data'!G46</f>
        <v>9874</v>
      </c>
      <c r="H46">
        <f>'Monthly Data'!BU46</f>
        <v>30</v>
      </c>
      <c r="I46" s="33">
        <f>'Monthly Data'!CQ46</f>
        <v>0</v>
      </c>
      <c r="J46" s="33">
        <f>'Monthly Data'!CX46</f>
        <v>0</v>
      </c>
      <c r="L46" s="18">
        <f>'Res Predicted Monthly'!$X$8</f>
        <v>-16404845.677784801</v>
      </c>
      <c r="M46" s="18">
        <f>E46*'Res Predicted Monthly'!$X$9</f>
        <v>873110.96107666672</v>
      </c>
      <c r="N46" s="18">
        <f>F46*'Res Predicted Monthly'!$X$10</f>
        <v>971245.2703993083</v>
      </c>
      <c r="O46" s="18">
        <f>G46*'Res Predicted Monthly'!$X$11</f>
        <v>13300616.47945682</v>
      </c>
      <c r="P46" s="18">
        <f>H46*'Res Predicted Monthly'!$X$12</f>
        <v>6303145.7404868407</v>
      </c>
      <c r="Q46" s="18">
        <f>I46*'Res Predicted Monthly'!$X$13</f>
        <v>0</v>
      </c>
      <c r="R46" s="18">
        <f>J46*'Res Predicted Monthly'!$X$14</f>
        <v>0</v>
      </c>
      <c r="S46" s="18">
        <f t="shared" si="3"/>
        <v>5043272.7736348351</v>
      </c>
      <c r="T46" s="18">
        <f t="shared" si="6"/>
        <v>4880164.410012003</v>
      </c>
      <c r="U46" s="35">
        <f t="shared" si="7"/>
        <v>29.919768070856158</v>
      </c>
    </row>
    <row r="47" spans="1:22">
      <c r="A47" s="541">
        <f>'Monthly Data'!A47</f>
        <v>43739</v>
      </c>
      <c r="B47">
        <f t="shared" si="4"/>
        <v>2019</v>
      </c>
      <c r="C47">
        <f t="shared" si="5"/>
        <v>10</v>
      </c>
      <c r="D47" s="31">
        <f>'Monthly Data'!F47</f>
        <v>163619.2989015324</v>
      </c>
      <c r="E47" s="33">
        <f>'Monthly Data'!AS47</f>
        <v>334.53333333333325</v>
      </c>
      <c r="F47" s="33">
        <f>'Monthly Data'!AZ47</f>
        <v>0.59166666666666856</v>
      </c>
      <c r="G47" s="18">
        <f>'Monthly Data'!G47</f>
        <v>9881</v>
      </c>
      <c r="H47">
        <f>'Monthly Data'!BU47</f>
        <v>31</v>
      </c>
      <c r="I47" s="33">
        <f>'Monthly Data'!CQ47</f>
        <v>0</v>
      </c>
      <c r="J47" s="33">
        <f>'Monthly Data'!CX47</f>
        <v>0</v>
      </c>
      <c r="L47" s="18">
        <f>'Res Predicted Monthly'!$X$8</f>
        <v>-16404845.677784801</v>
      </c>
      <c r="M47" s="18">
        <f>E47*'Res Predicted Monthly'!$X$9</f>
        <v>2191731.2669748436</v>
      </c>
      <c r="N47" s="18">
        <f>F47*'Res Predicted Monthly'!$X$10</f>
        <v>8629.5099735140921</v>
      </c>
      <c r="O47" s="18">
        <f>G47*'Res Predicted Monthly'!$X$11</f>
        <v>13310045.719415925</v>
      </c>
      <c r="P47" s="18">
        <f>H47*'Res Predicted Monthly'!$X$12</f>
        <v>6513250.5985030681</v>
      </c>
      <c r="Q47" s="18">
        <f>I47*'Res Predicted Monthly'!$X$13</f>
        <v>0</v>
      </c>
      <c r="R47" s="18">
        <f>J47*'Res Predicted Monthly'!$X$14</f>
        <v>0</v>
      </c>
      <c r="S47" s="18">
        <f t="shared" si="3"/>
        <v>5618811.4170825519</v>
      </c>
      <c r="T47" s="18">
        <f t="shared" si="6"/>
        <v>5455192.1181810191</v>
      </c>
      <c r="U47" s="35">
        <f t="shared" si="7"/>
        <v>33.34076209105384</v>
      </c>
    </row>
    <row r="48" spans="1:22">
      <c r="A48" s="541">
        <f>'Monthly Data'!A48</f>
        <v>43770</v>
      </c>
      <c r="B48">
        <f t="shared" si="4"/>
        <v>2019</v>
      </c>
      <c r="C48">
        <f t="shared" si="5"/>
        <v>11</v>
      </c>
      <c r="D48" s="31">
        <f>'Monthly Data'!F48</f>
        <v>164130.23418023289</v>
      </c>
      <c r="E48" s="33">
        <f>'Monthly Data'!AS48</f>
        <v>622.09166666666681</v>
      </c>
      <c r="F48" s="33">
        <f>'Monthly Data'!AZ48</f>
        <v>0</v>
      </c>
      <c r="G48" s="18">
        <f>'Monthly Data'!G48</f>
        <v>9888</v>
      </c>
      <c r="H48">
        <f>'Monthly Data'!BU48</f>
        <v>30</v>
      </c>
      <c r="I48" s="33">
        <f>'Monthly Data'!CQ48</f>
        <v>0</v>
      </c>
      <c r="J48" s="33">
        <f>'Monthly Data'!CX48</f>
        <v>0</v>
      </c>
      <c r="L48" s="18">
        <f>'Res Predicted Monthly'!$X$8</f>
        <v>-16404845.677784801</v>
      </c>
      <c r="M48" s="18">
        <f>E48*'Res Predicted Monthly'!$X$9</f>
        <v>4075700.7475821818</v>
      </c>
      <c r="N48" s="18">
        <f>F48*'Res Predicted Monthly'!$X$10</f>
        <v>0</v>
      </c>
      <c r="O48" s="18">
        <f>G48*'Res Predicted Monthly'!$X$11</f>
        <v>13319474.959375029</v>
      </c>
      <c r="P48" s="18">
        <f>H48*'Res Predicted Monthly'!$X$12</f>
        <v>6303145.7404868407</v>
      </c>
      <c r="Q48" s="18">
        <f>I48*'Res Predicted Monthly'!$X$13</f>
        <v>0</v>
      </c>
      <c r="R48" s="18">
        <f>J48*'Res Predicted Monthly'!$X$14</f>
        <v>0</v>
      </c>
      <c r="S48" s="18">
        <f t="shared" si="3"/>
        <v>7293475.7696592519</v>
      </c>
      <c r="T48" s="18">
        <f t="shared" si="6"/>
        <v>7129345.5354790194</v>
      </c>
      <c r="U48" s="35">
        <f t="shared" si="7"/>
        <v>43.437125226119036</v>
      </c>
    </row>
    <row r="49" spans="1:22">
      <c r="A49" s="541">
        <f>'Monthly Data'!A49</f>
        <v>43800</v>
      </c>
      <c r="B49">
        <f t="shared" si="4"/>
        <v>2019</v>
      </c>
      <c r="C49">
        <f t="shared" si="5"/>
        <v>12</v>
      </c>
      <c r="D49" s="31">
        <f>'Monthly Data'!F49</f>
        <v>86097544.169458941</v>
      </c>
      <c r="E49" s="33">
        <f>'Monthly Data'!AS49</f>
        <v>749.69166666666661</v>
      </c>
      <c r="F49" s="33">
        <f>'Monthly Data'!AZ49</f>
        <v>0</v>
      </c>
      <c r="G49" s="18">
        <f>'Monthly Data'!G49</f>
        <v>9888</v>
      </c>
      <c r="H49">
        <f>'Monthly Data'!BU49</f>
        <v>31</v>
      </c>
      <c r="I49" s="33">
        <f>'Monthly Data'!CQ49</f>
        <v>0</v>
      </c>
      <c r="J49" s="33">
        <f>'Monthly Data'!CX49</f>
        <v>0</v>
      </c>
      <c r="L49" s="18">
        <f>'Res Predicted Monthly'!$X$8</f>
        <v>-16404845.677784801</v>
      </c>
      <c r="M49" s="18">
        <f>E49*'Res Predicted Monthly'!$X$9</f>
        <v>4911685.9299237216</v>
      </c>
      <c r="N49" s="18">
        <f>F49*'Res Predicted Monthly'!$X$10</f>
        <v>0</v>
      </c>
      <c r="O49" s="18">
        <f>G49*'Res Predicted Monthly'!$X$11</f>
        <v>13319474.959375029</v>
      </c>
      <c r="P49" s="18">
        <f>H49*'Res Predicted Monthly'!$X$12</f>
        <v>6513250.5985030681</v>
      </c>
      <c r="Q49" s="18">
        <f>I49*'Res Predicted Monthly'!$X$13</f>
        <v>0</v>
      </c>
      <c r="R49" s="18">
        <f>J49*'Res Predicted Monthly'!$X$14</f>
        <v>0</v>
      </c>
      <c r="S49" s="18">
        <f t="shared" si="3"/>
        <v>8339565.8100170176</v>
      </c>
      <c r="T49" s="18">
        <f t="shared" si="6"/>
        <v>-77757978.359441921</v>
      </c>
      <c r="U49" s="35">
        <f t="shared" si="7"/>
        <v>0.90313816856839824</v>
      </c>
      <c r="V49" s="31">
        <f>SUM(S38:S49)</f>
        <v>83074224.226157963</v>
      </c>
    </row>
    <row r="50" spans="1:22">
      <c r="A50" s="541">
        <f>'Monthly Data'!A50</f>
        <v>43831</v>
      </c>
      <c r="B50">
        <f t="shared" si="4"/>
        <v>2020</v>
      </c>
      <c r="C50">
        <f t="shared" si="5"/>
        <v>1</v>
      </c>
      <c r="D50" s="31">
        <f>'Monthly Data'!F50</f>
        <v>8414654.1696568504</v>
      </c>
      <c r="E50" s="33">
        <f>'Monthly Data'!AS50</f>
        <v>789.48333333333335</v>
      </c>
      <c r="F50" s="33">
        <f>'Monthly Data'!AZ50</f>
        <v>0</v>
      </c>
      <c r="G50" s="18">
        <f>'Monthly Data'!G50</f>
        <v>9912</v>
      </c>
      <c r="H50">
        <f>'Monthly Data'!BU50</f>
        <v>31</v>
      </c>
      <c r="I50" s="33">
        <f>'Monthly Data'!CQ50</f>
        <v>0</v>
      </c>
      <c r="J50" s="33">
        <f>'Monthly Data'!CX50</f>
        <v>0</v>
      </c>
      <c r="L50" s="18">
        <f>'Res Predicted Monthly'!$X$8</f>
        <v>-16404845.677784801</v>
      </c>
      <c r="M50" s="18">
        <f>E50*'Res Predicted Monthly'!$X$9</f>
        <v>5172385.3320711134</v>
      </c>
      <c r="N50" s="18">
        <f>F50*'Res Predicted Monthly'!$X$10</f>
        <v>0</v>
      </c>
      <c r="O50" s="18">
        <f>G50*'Res Predicted Monthly'!$X$11</f>
        <v>13351803.782091958</v>
      </c>
      <c r="P50" s="18">
        <f>H50*'Res Predicted Monthly'!$X$12</f>
        <v>6513250.5985030681</v>
      </c>
      <c r="Q50" s="18">
        <f>I50*'Res Predicted Monthly'!$X$13</f>
        <v>0</v>
      </c>
      <c r="R50" s="18">
        <f>J50*'Res Predicted Monthly'!$X$14</f>
        <v>0</v>
      </c>
      <c r="S50" s="18">
        <f t="shared" si="3"/>
        <v>8632594.0348813403</v>
      </c>
      <c r="T50" s="18">
        <f t="shared" si="6"/>
        <v>217939.86522448994</v>
      </c>
      <c r="U50" s="35">
        <f t="shared" si="7"/>
        <v>2.590003829395374E-2</v>
      </c>
      <c r="V50" s="31">
        <f>V49-SUM(D38:D49)</f>
        <v>-4800651.0789550096</v>
      </c>
    </row>
    <row r="51" spans="1:22">
      <c r="A51" s="541">
        <f>'Monthly Data'!A51</f>
        <v>43862</v>
      </c>
      <c r="B51">
        <f t="shared" si="4"/>
        <v>2020</v>
      </c>
      <c r="C51">
        <f t="shared" si="5"/>
        <v>2</v>
      </c>
      <c r="D51" s="31">
        <f>'Monthly Data'!F51</f>
        <v>7815438.1888876194</v>
      </c>
      <c r="E51" s="33">
        <f>'Monthly Data'!AS51</f>
        <v>746.35833333333335</v>
      </c>
      <c r="F51" s="33">
        <f>'Monthly Data'!AZ51</f>
        <v>0</v>
      </c>
      <c r="G51" s="18">
        <f>'Monthly Data'!G51</f>
        <v>9916</v>
      </c>
      <c r="H51">
        <f>'Monthly Data'!BU51</f>
        <v>28</v>
      </c>
      <c r="I51" s="33">
        <f>'Monthly Data'!CQ51</f>
        <v>0</v>
      </c>
      <c r="J51" s="33">
        <f>'Monthly Data'!CX51</f>
        <v>0</v>
      </c>
      <c r="L51" s="18">
        <f>'Res Predicted Monthly'!$X$8</f>
        <v>-16404845.677784801</v>
      </c>
      <c r="M51" s="18">
        <f>E51*'Res Predicted Monthly'!$X$9</f>
        <v>4889847.2365501188</v>
      </c>
      <c r="N51" s="18">
        <f>F51*'Res Predicted Monthly'!$X$10</f>
        <v>0</v>
      </c>
      <c r="O51" s="18">
        <f>G51*'Res Predicted Monthly'!$X$11</f>
        <v>13357191.919211447</v>
      </c>
      <c r="P51" s="18">
        <f>H51*'Res Predicted Monthly'!$X$12</f>
        <v>5882936.0244543841</v>
      </c>
      <c r="Q51" s="18">
        <f>I51*'Res Predicted Monthly'!$X$13</f>
        <v>0</v>
      </c>
      <c r="R51" s="18">
        <f>J51*'Res Predicted Monthly'!$X$14</f>
        <v>0</v>
      </c>
      <c r="S51" s="18">
        <f t="shared" si="3"/>
        <v>7725129.5024311496</v>
      </c>
      <c r="T51" s="18">
        <f t="shared" si="6"/>
        <v>-90308.686456469819</v>
      </c>
      <c r="U51" s="35">
        <f t="shared" si="7"/>
        <v>1.1555166105065641E-2</v>
      </c>
      <c r="V51" s="73">
        <f>V50/V49</f>
        <v>-5.7787492133371095E-2</v>
      </c>
    </row>
    <row r="52" spans="1:22">
      <c r="A52" s="541">
        <f>'Monthly Data'!A52</f>
        <v>43891</v>
      </c>
      <c r="B52">
        <f t="shared" si="4"/>
        <v>2020</v>
      </c>
      <c r="C52">
        <f t="shared" si="5"/>
        <v>3</v>
      </c>
      <c r="D52" s="31">
        <f>'Monthly Data'!F52</f>
        <v>7552050.2081183884</v>
      </c>
      <c r="E52" s="33">
        <f>'Monthly Data'!AS52</f>
        <v>597.47499999999991</v>
      </c>
      <c r="F52" s="33">
        <f>'Monthly Data'!AZ52</f>
        <v>0</v>
      </c>
      <c r="G52" s="18">
        <f>'Monthly Data'!G52</f>
        <v>9928</v>
      </c>
      <c r="H52">
        <f>'Monthly Data'!BU52</f>
        <v>31</v>
      </c>
      <c r="I52" s="33">
        <f>'Monthly Data'!CQ52</f>
        <v>298.73749999999995</v>
      </c>
      <c r="J52" s="33">
        <f>'Monthly Data'!CX52</f>
        <v>0</v>
      </c>
      <c r="L52" s="18">
        <f>'Res Predicted Monthly'!$X$8</f>
        <v>-16404845.677784801</v>
      </c>
      <c r="M52" s="18">
        <f>E52*'Res Predicted Monthly'!$X$9</f>
        <v>3914421.9970181189</v>
      </c>
      <c r="N52" s="18">
        <f>F52*'Res Predicted Monthly'!$X$10</f>
        <v>0</v>
      </c>
      <c r="O52" s="18">
        <f>G52*'Res Predicted Monthly'!$X$11</f>
        <v>13373356.330569912</v>
      </c>
      <c r="P52" s="18">
        <f>H52*'Res Predicted Monthly'!$X$12</f>
        <v>6513250.5985030681</v>
      </c>
      <c r="Q52" s="18">
        <f>I52*'Res Predicted Monthly'!$X$13</f>
        <v>161564.65680547961</v>
      </c>
      <c r="R52" s="18">
        <f>J52*'Res Predicted Monthly'!$X$14</f>
        <v>0</v>
      </c>
      <c r="S52" s="18">
        <f t="shared" si="3"/>
        <v>7557747.9051117785</v>
      </c>
      <c r="T52" s="18">
        <f t="shared" si="6"/>
        <v>5697.6969933900982</v>
      </c>
      <c r="U52" s="35">
        <f t="shared" si="7"/>
        <v>7.5445698007477798E-4</v>
      </c>
    </row>
    <row r="53" spans="1:22">
      <c r="A53" s="541">
        <f>'Monthly Data'!A53</f>
        <v>43922</v>
      </c>
      <c r="B53">
        <f t="shared" si="4"/>
        <v>2020</v>
      </c>
      <c r="C53">
        <f t="shared" si="5"/>
        <v>4</v>
      </c>
      <c r="D53" s="31">
        <f>'Monthly Data'!F53</f>
        <v>6718611.2273491574</v>
      </c>
      <c r="E53" s="33">
        <f>'Monthly Data'!AS53</f>
        <v>432.17083333333341</v>
      </c>
      <c r="F53" s="33">
        <f>'Monthly Data'!AZ53</f>
        <v>0</v>
      </c>
      <c r="G53" s="18">
        <f>'Monthly Data'!G53</f>
        <v>9943</v>
      </c>
      <c r="H53">
        <f>'Monthly Data'!BU53</f>
        <v>30</v>
      </c>
      <c r="I53" s="33">
        <f>'Monthly Data'!CQ53</f>
        <v>432.17083333333341</v>
      </c>
      <c r="J53" s="33">
        <f>'Monthly Data'!CX53</f>
        <v>0</v>
      </c>
      <c r="L53" s="18">
        <f>'Res Predicted Monthly'!$X$8</f>
        <v>-16404845.677784801</v>
      </c>
      <c r="M53" s="18">
        <f>E53*'Res Predicted Monthly'!$X$9</f>
        <v>2831413.8942544069</v>
      </c>
      <c r="N53" s="18">
        <f>F53*'Res Predicted Monthly'!$X$10</f>
        <v>0</v>
      </c>
      <c r="O53" s="18">
        <f>G53*'Res Predicted Monthly'!$X$11</f>
        <v>13393561.844767993</v>
      </c>
      <c r="P53" s="18">
        <f>H53*'Res Predicted Monthly'!$X$12</f>
        <v>6303145.7404868407</v>
      </c>
      <c r="Q53" s="18">
        <f>I53*'Res Predicted Monthly'!$X$13</f>
        <v>233728.71624365251</v>
      </c>
      <c r="R53" s="18">
        <f>J53*'Res Predicted Monthly'!$X$14</f>
        <v>0</v>
      </c>
      <c r="S53" s="18">
        <f t="shared" si="3"/>
        <v>6357004.517968093</v>
      </c>
      <c r="T53" s="18">
        <f t="shared" si="6"/>
        <v>-361606.7093810644</v>
      </c>
      <c r="U53" s="35">
        <f t="shared" si="7"/>
        <v>5.3821645150278638E-2</v>
      </c>
    </row>
    <row r="54" spans="1:22">
      <c r="A54" s="541">
        <f>'Monthly Data'!A54</f>
        <v>43952</v>
      </c>
      <c r="B54">
        <f t="shared" si="4"/>
        <v>2020</v>
      </c>
      <c r="C54">
        <f t="shared" si="5"/>
        <v>5</v>
      </c>
      <c r="D54" s="31">
        <f>'Monthly Data'!F54</f>
        <v>6484978.2465799265</v>
      </c>
      <c r="E54" s="33">
        <f>'Monthly Data'!AS54</f>
        <v>227.03749999999999</v>
      </c>
      <c r="F54" s="33">
        <f>'Monthly Data'!AZ54</f>
        <v>84.133333333333326</v>
      </c>
      <c r="G54" s="18">
        <f>'Monthly Data'!G54</f>
        <v>9945</v>
      </c>
      <c r="H54">
        <f>'Monthly Data'!BU54</f>
        <v>31</v>
      </c>
      <c r="I54" s="33">
        <f>'Monthly Data'!CQ54</f>
        <v>227.03749999999999</v>
      </c>
      <c r="J54" s="33">
        <f>'Monthly Data'!CX54</f>
        <v>84.133333333333326</v>
      </c>
      <c r="L54" s="18">
        <f>'Res Predicted Monthly'!$X$8</f>
        <v>-16404845.677784801</v>
      </c>
      <c r="M54" s="18">
        <f>E54*'Res Predicted Monthly'!$X$9</f>
        <v>1487460.7040428491</v>
      </c>
      <c r="N54" s="18">
        <f>F54*'Res Predicted Monthly'!$X$10</f>
        <v>1227092.0097549013</v>
      </c>
      <c r="O54" s="18">
        <f>G54*'Res Predicted Monthly'!$X$11</f>
        <v>13396255.913327737</v>
      </c>
      <c r="P54" s="18">
        <f>H54*'Res Predicted Monthly'!$X$12</f>
        <v>6513250.5985030681</v>
      </c>
      <c r="Q54" s="18">
        <f>I54*'Res Predicted Monthly'!$X$13</f>
        <v>122787.51669768301</v>
      </c>
      <c r="R54" s="18">
        <f>J54*'Res Predicted Monthly'!$X$14</f>
        <v>184573.2421622746</v>
      </c>
      <c r="S54" s="18">
        <f t="shared" si="3"/>
        <v>6526574.3067037119</v>
      </c>
      <c r="T54" s="18">
        <f t="shared" si="6"/>
        <v>41596.060123785399</v>
      </c>
      <c r="U54" s="35">
        <f t="shared" si="7"/>
        <v>6.414217371619171E-3</v>
      </c>
    </row>
    <row r="55" spans="1:22">
      <c r="A55" s="541">
        <f>'Monthly Data'!A55</f>
        <v>43983</v>
      </c>
      <c r="B55">
        <f t="shared" si="4"/>
        <v>2020</v>
      </c>
      <c r="C55">
        <f t="shared" si="5"/>
        <v>6</v>
      </c>
      <c r="D55" s="31">
        <f>'Monthly Data'!F55</f>
        <v>6791535.2658106964</v>
      </c>
      <c r="E55" s="33">
        <f>'Monthly Data'!AS55</f>
        <v>55.38333333333334</v>
      </c>
      <c r="F55" s="33">
        <f>'Monthly Data'!AZ55</f>
        <v>179.51249999999999</v>
      </c>
      <c r="G55" s="18">
        <f>'Monthly Data'!G55</f>
        <v>9949</v>
      </c>
      <c r="H55">
        <f>'Monthly Data'!BU55</f>
        <v>30</v>
      </c>
      <c r="I55" s="33">
        <f>'Monthly Data'!CQ55</f>
        <v>55.38333333333334</v>
      </c>
      <c r="J55" s="33">
        <f>'Monthly Data'!CX55</f>
        <v>179.51249999999999</v>
      </c>
      <c r="L55" s="18">
        <f>'Res Predicted Monthly'!$X$8</f>
        <v>-16404845.677784801</v>
      </c>
      <c r="M55" s="18">
        <f>E55*'Res Predicted Monthly'!$X$9</f>
        <v>362849.89040242165</v>
      </c>
      <c r="N55" s="18">
        <f>F55*'Res Predicted Monthly'!$X$10</f>
        <v>2618205.4802035661</v>
      </c>
      <c r="O55" s="18">
        <f>G55*'Res Predicted Monthly'!$X$11</f>
        <v>13401644.050447226</v>
      </c>
      <c r="P55" s="18">
        <f>H55*'Res Predicted Monthly'!$X$12</f>
        <v>6303145.7404868407</v>
      </c>
      <c r="Q55" s="18">
        <f>I55*'Res Predicted Monthly'!$X$13</f>
        <v>29952.68167787265</v>
      </c>
      <c r="R55" s="18">
        <f>J55*'Res Predicted Monthly'!$X$14</f>
        <v>393817.79873599828</v>
      </c>
      <c r="S55" s="18">
        <f t="shared" si="3"/>
        <v>6704769.9641691232</v>
      </c>
      <c r="T55" s="18">
        <f t="shared" si="6"/>
        <v>-86765.301641573198</v>
      </c>
      <c r="U55" s="35">
        <f t="shared" si="7"/>
        <v>1.277550630979697E-2</v>
      </c>
    </row>
    <row r="56" spans="1:22">
      <c r="A56" s="541">
        <f>'Monthly Data'!A56</f>
        <v>44013</v>
      </c>
      <c r="B56">
        <f t="shared" si="4"/>
        <v>2020</v>
      </c>
      <c r="C56">
        <f t="shared" si="5"/>
        <v>7</v>
      </c>
      <c r="D56" s="31">
        <f>'Monthly Data'!F56</f>
        <v>8887832.2850414645</v>
      </c>
      <c r="E56" s="33">
        <f>'Monthly Data'!AS56</f>
        <v>0</v>
      </c>
      <c r="F56" s="33">
        <f>'Monthly Data'!AZ56</f>
        <v>321.12500000000011</v>
      </c>
      <c r="G56" s="18">
        <f>'Monthly Data'!G56</f>
        <v>9955</v>
      </c>
      <c r="H56">
        <f>'Monthly Data'!BU56</f>
        <v>31</v>
      </c>
      <c r="I56" s="33">
        <f>'Monthly Data'!CQ56</f>
        <v>0</v>
      </c>
      <c r="J56" s="33">
        <f>'Monthly Data'!CX56</f>
        <v>321.12500000000011</v>
      </c>
      <c r="L56" s="18">
        <f>'Res Predicted Monthly'!$X$8</f>
        <v>-16404845.677784801</v>
      </c>
      <c r="M56" s="18">
        <f>E56*'Res Predicted Monthly'!$X$9</f>
        <v>0</v>
      </c>
      <c r="N56" s="18">
        <f>F56*'Res Predicted Monthly'!$X$10</f>
        <v>4683636.1525262622</v>
      </c>
      <c r="O56" s="18">
        <f>G56*'Res Predicted Monthly'!$X$11</f>
        <v>13409726.256126458</v>
      </c>
      <c r="P56" s="18">
        <f>H56*'Res Predicted Monthly'!$X$12</f>
        <v>6513250.5985030681</v>
      </c>
      <c r="Q56" s="18">
        <f>I56*'Res Predicted Monthly'!$X$13</f>
        <v>0</v>
      </c>
      <c r="R56" s="18">
        <f>J56*'Res Predicted Monthly'!$X$14</f>
        <v>704489.8857689437</v>
      </c>
      <c r="S56" s="18">
        <f t="shared" si="3"/>
        <v>8906257.2151399329</v>
      </c>
      <c r="T56" s="18">
        <f t="shared" si="6"/>
        <v>18424.930098468438</v>
      </c>
      <c r="U56" s="35">
        <f t="shared" si="7"/>
        <v>2.0730510553713132E-3</v>
      </c>
    </row>
    <row r="57" spans="1:22">
      <c r="A57" s="541">
        <f>'Monthly Data'!A57</f>
        <v>44044</v>
      </c>
      <c r="B57">
        <f t="shared" si="4"/>
        <v>2020</v>
      </c>
      <c r="C57">
        <f t="shared" si="5"/>
        <v>8</v>
      </c>
      <c r="D57" s="31">
        <f>'Monthly Data'!F57</f>
        <v>6981508.3042722344</v>
      </c>
      <c r="E57" s="33">
        <f>'Monthly Data'!AS57</f>
        <v>40.033333333333331</v>
      </c>
      <c r="F57" s="33">
        <f>'Monthly Data'!AZ57</f>
        <v>178.70833333333334</v>
      </c>
      <c r="G57" s="18">
        <f>'Monthly Data'!G57</f>
        <v>9965</v>
      </c>
      <c r="H57">
        <f>'Monthly Data'!BU57</f>
        <v>31</v>
      </c>
      <c r="I57" s="33">
        <f>'Monthly Data'!CQ57</f>
        <v>40.033333333333331</v>
      </c>
      <c r="J57" s="33">
        <f>'Monthly Data'!CX57</f>
        <v>178.70833333333334</v>
      </c>
      <c r="L57" s="18">
        <f>'Res Predicted Monthly'!$X$8</f>
        <v>-16404845.677784801</v>
      </c>
      <c r="M57" s="18">
        <f>E57*'Res Predicted Monthly'!$X$9</f>
        <v>262282.70741697762</v>
      </c>
      <c r="N57" s="18">
        <f>F57*'Res Predicted Monthly'!$X$10</f>
        <v>2606476.639183227</v>
      </c>
      <c r="O57" s="18">
        <f>G57*'Res Predicted Monthly'!$X$11</f>
        <v>13423196.598925179</v>
      </c>
      <c r="P57" s="18">
        <f>H57*'Res Predicted Monthly'!$X$12</f>
        <v>6513250.5985030681</v>
      </c>
      <c r="Q57" s="18">
        <f>I57*'Res Predicted Monthly'!$X$13</f>
        <v>21651.020580875742</v>
      </c>
      <c r="R57" s="18">
        <f>J57*'Res Predicted Monthly'!$X$14</f>
        <v>392053.60322602809</v>
      </c>
      <c r="S57" s="18">
        <f t="shared" si="3"/>
        <v>6814065.4900505552</v>
      </c>
      <c r="T57" s="18">
        <f t="shared" si="6"/>
        <v>-167442.81422167923</v>
      </c>
      <c r="U57" s="35">
        <f t="shared" si="7"/>
        <v>2.3983759228534469E-2</v>
      </c>
    </row>
    <row r="58" spans="1:22">
      <c r="A58" s="541">
        <f>'Monthly Data'!A58</f>
        <v>44075</v>
      </c>
      <c r="B58">
        <f t="shared" si="4"/>
        <v>2020</v>
      </c>
      <c r="C58">
        <f t="shared" si="5"/>
        <v>9</v>
      </c>
      <c r="D58" s="31">
        <f>'Monthly Data'!F58</f>
        <v>5593018.3235030035</v>
      </c>
      <c r="E58" s="33">
        <f>'Monthly Data'!AS58</f>
        <v>153.40416666666664</v>
      </c>
      <c r="F58" s="33">
        <f>'Monthly Data'!AZ58</f>
        <v>68.32916666666668</v>
      </c>
      <c r="G58" s="18">
        <f>'Monthly Data'!G58</f>
        <v>9980</v>
      </c>
      <c r="H58">
        <f>'Monthly Data'!BU58</f>
        <v>30</v>
      </c>
      <c r="I58" s="33">
        <f>'Monthly Data'!CQ58</f>
        <v>153.40416666666664</v>
      </c>
      <c r="J58" s="33">
        <f>'Monthly Data'!CX58</f>
        <v>68.32916666666668</v>
      </c>
      <c r="L58" s="18">
        <f>'Res Predicted Monthly'!$X$8</f>
        <v>-16404845.677784801</v>
      </c>
      <c r="M58" s="18">
        <f>E58*'Res Predicted Monthly'!$X$9</f>
        <v>1005043.9674199484</v>
      </c>
      <c r="N58" s="18">
        <f>F58*'Res Predicted Monthly'!$X$10</f>
        <v>996586.85954688152</v>
      </c>
      <c r="O58" s="18">
        <f>G58*'Res Predicted Monthly'!$X$11</f>
        <v>13443402.11312326</v>
      </c>
      <c r="P58" s="18">
        <f>H58*'Res Predicted Monthly'!$X$12</f>
        <v>6303145.7404868407</v>
      </c>
      <c r="Q58" s="18">
        <f>I58*'Res Predicted Monthly'!$X$13</f>
        <v>82964.781924032271</v>
      </c>
      <c r="R58" s="18">
        <f>J58*'Res Predicted Monthly'!$X$14</f>
        <v>149901.77289120157</v>
      </c>
      <c r="S58" s="18">
        <f t="shared" si="3"/>
        <v>5576199.5576073648</v>
      </c>
      <c r="T58" s="18">
        <f t="shared" si="6"/>
        <v>-16818.765895638615</v>
      </c>
      <c r="U58" s="35">
        <f t="shared" si="7"/>
        <v>3.007100088509049E-3</v>
      </c>
    </row>
    <row r="59" spans="1:22">
      <c r="A59" s="541">
        <f>'Monthly Data'!A59</f>
        <v>44105</v>
      </c>
      <c r="B59">
        <f t="shared" si="4"/>
        <v>2020</v>
      </c>
      <c r="C59">
        <f t="shared" si="5"/>
        <v>10</v>
      </c>
      <c r="D59" s="31">
        <f>'Monthly Data'!F59</f>
        <v>6282108.3427337734</v>
      </c>
      <c r="E59" s="33">
        <f>'Monthly Data'!AS59</f>
        <v>370.26666666666665</v>
      </c>
      <c r="F59" s="33">
        <f>'Monthly Data'!AZ59</f>
        <v>4.1500000000000021</v>
      </c>
      <c r="G59" s="18">
        <f>'Monthly Data'!G59</f>
        <v>9996</v>
      </c>
      <c r="H59">
        <f>'Monthly Data'!BU59</f>
        <v>31</v>
      </c>
      <c r="I59" s="33">
        <f>'Monthly Data'!CQ59</f>
        <v>370.26666666666665</v>
      </c>
      <c r="J59" s="33">
        <f>'Monthly Data'!CX59</f>
        <v>4.1500000000000021</v>
      </c>
      <c r="L59" s="18">
        <f>'Res Predicted Monthly'!$X$8</f>
        <v>-16404845.677784801</v>
      </c>
      <c r="M59" s="18">
        <f>E59*'Res Predicted Monthly'!$X$9</f>
        <v>2425842.0599398729</v>
      </c>
      <c r="N59" s="18">
        <f>F59*'Res Predicted Monthly'!$X$10</f>
        <v>60528.112208591636</v>
      </c>
      <c r="O59" s="18">
        <f>G59*'Res Predicted Monthly'!$X$11</f>
        <v>13464954.661601212</v>
      </c>
      <c r="P59" s="18">
        <f>H59*'Res Predicted Monthly'!$X$12</f>
        <v>6513250.5985030681</v>
      </c>
      <c r="Q59" s="18">
        <f>I59*'Res Predicted Monthly'!$X$13</f>
        <v>200249.40600530204</v>
      </c>
      <c r="R59" s="18">
        <f>J59*'Res Predicted Monthly'!$X$14</f>
        <v>9104.3457405717927</v>
      </c>
      <c r="S59" s="18">
        <f t="shared" si="3"/>
        <v>6269083.5062138177</v>
      </c>
      <c r="T59" s="18">
        <f t="shared" si="6"/>
        <v>-13024.836519955657</v>
      </c>
      <c r="U59" s="35">
        <f t="shared" si="7"/>
        <v>2.0733224913290276E-3</v>
      </c>
    </row>
    <row r="60" spans="1:22">
      <c r="A60" s="541">
        <f>'Monthly Data'!A60</f>
        <v>44136</v>
      </c>
      <c r="B60">
        <f t="shared" si="4"/>
        <v>2020</v>
      </c>
      <c r="C60">
        <f t="shared" si="5"/>
        <v>11</v>
      </c>
      <c r="D60" s="31">
        <f>'Monthly Data'!F60</f>
        <v>6779288.3619645424</v>
      </c>
      <c r="E60" s="33">
        <f>'Monthly Data'!AS60</f>
        <v>453.82916666666659</v>
      </c>
      <c r="F60" s="33">
        <f>'Monthly Data'!AZ60</f>
        <v>5.0749999999999975</v>
      </c>
      <c r="G60" s="18">
        <f>'Monthly Data'!G60</f>
        <v>10001</v>
      </c>
      <c r="H60">
        <f>'Monthly Data'!BU60</f>
        <v>30</v>
      </c>
      <c r="I60" s="33">
        <f>'Monthly Data'!CQ60</f>
        <v>453.82916666666659</v>
      </c>
      <c r="J60" s="33">
        <f>'Monthly Data'!CX60</f>
        <v>5.0749999999999975</v>
      </c>
      <c r="L60" s="18">
        <f>'Res Predicted Monthly'!$X$8</f>
        <v>-16404845.677784801</v>
      </c>
      <c r="M60" s="18">
        <f>E60*'Res Predicted Monthly'!$X$9</f>
        <v>2973310.8044493948</v>
      </c>
      <c r="N60" s="18">
        <f>F60*'Res Predicted Monthly'!$X$10</f>
        <v>74019.317941831876</v>
      </c>
      <c r="O60" s="18">
        <f>G60*'Res Predicted Monthly'!$X$11</f>
        <v>13471689.833000572</v>
      </c>
      <c r="P60" s="18">
        <f>H60*'Res Predicted Monthly'!$X$12</f>
        <v>6303145.7404868407</v>
      </c>
      <c r="Q60" s="18">
        <f>I60*'Res Predicted Monthly'!$X$13</f>
        <v>245442.08062535437</v>
      </c>
      <c r="R60" s="18">
        <f>J60*'Res Predicted Monthly'!$X$14</f>
        <v>11133.627622506458</v>
      </c>
      <c r="S60" s="18">
        <f t="shared" si="3"/>
        <v>6673895.7263416993</v>
      </c>
      <c r="T60" s="18">
        <f t="shared" si="6"/>
        <v>-105392.63562284317</v>
      </c>
      <c r="U60" s="35">
        <f t="shared" si="7"/>
        <v>1.5546268280038448E-2</v>
      </c>
    </row>
    <row r="61" spans="1:22">
      <c r="A61" s="541">
        <f>'Monthly Data'!A61</f>
        <v>44166</v>
      </c>
      <c r="B61">
        <f t="shared" si="4"/>
        <v>2020</v>
      </c>
      <c r="C61">
        <f t="shared" si="5"/>
        <v>12</v>
      </c>
      <c r="D61" s="31">
        <f>'Monthly Data'!F61</f>
        <v>8783121.3811953124</v>
      </c>
      <c r="E61" s="33">
        <f>'Monthly Data'!AS61</f>
        <v>713.91666666666674</v>
      </c>
      <c r="F61" s="33">
        <f>'Monthly Data'!AZ61</f>
        <v>0</v>
      </c>
      <c r="G61" s="18">
        <f>'Monthly Data'!G61</f>
        <v>10019</v>
      </c>
      <c r="H61">
        <f>'Monthly Data'!BU61</f>
        <v>31</v>
      </c>
      <c r="I61" s="33">
        <f>'Monthly Data'!CQ61</f>
        <v>713.91666666666674</v>
      </c>
      <c r="J61" s="33">
        <f>'Monthly Data'!CX61</f>
        <v>0</v>
      </c>
      <c r="L61" s="18">
        <f>'Res Predicted Monthly'!$X$8</f>
        <v>-16404845.677784801</v>
      </c>
      <c r="M61" s="18">
        <f>E61*'Res Predicted Monthly'!$X$9</f>
        <v>4677302.1532915235</v>
      </c>
      <c r="N61" s="18">
        <f>F61*'Res Predicted Monthly'!$X$10</f>
        <v>0</v>
      </c>
      <c r="O61" s="18">
        <f>G61*'Res Predicted Monthly'!$X$11</f>
        <v>13495936.450038271</v>
      </c>
      <c r="P61" s="18">
        <f>H61*'Res Predicted Monthly'!$X$12</f>
        <v>6513250.5985030681</v>
      </c>
      <c r="Q61" s="18">
        <f>I61*'Res Predicted Monthly'!$X$13</f>
        <v>386103.85786087118</v>
      </c>
      <c r="R61" s="18">
        <f>J61*'Res Predicted Monthly'!$X$14</f>
        <v>0</v>
      </c>
      <c r="S61" s="18">
        <f t="shared" si="3"/>
        <v>8667747.3819089327</v>
      </c>
      <c r="T61" s="18">
        <f t="shared" si="6"/>
        <v>-115373.99928637967</v>
      </c>
      <c r="U61" s="35">
        <f t="shared" si="7"/>
        <v>1.3135876675164221E-2</v>
      </c>
    </row>
    <row r="62" spans="1:22">
      <c r="A62" s="541">
        <f>'Monthly Data'!A62</f>
        <v>44197</v>
      </c>
      <c r="B62">
        <f t="shared" si="4"/>
        <v>2021</v>
      </c>
      <c r="C62">
        <f t="shared" si="5"/>
        <v>1</v>
      </c>
      <c r="D62" s="31">
        <f>'Monthly Data'!F62</f>
        <v>8947694.596042579</v>
      </c>
      <c r="E62" s="33">
        <f>'Monthly Data'!AS62</f>
        <v>790.97500000000002</v>
      </c>
      <c r="F62" s="33">
        <f>'Monthly Data'!AZ62</f>
        <v>0</v>
      </c>
      <c r="G62" s="18">
        <f>'Monthly Data'!G62</f>
        <v>10021</v>
      </c>
      <c r="H62">
        <f>'Monthly Data'!BU62</f>
        <v>31</v>
      </c>
      <c r="I62" s="33">
        <f>'Monthly Data'!CQ62</f>
        <v>593.23125000000005</v>
      </c>
      <c r="J62" s="33">
        <f>'Monthly Data'!CX62</f>
        <v>0</v>
      </c>
      <c r="L62" s="18">
        <f>'Res Predicted Monthly'!$X$8</f>
        <v>-16404845.677784801</v>
      </c>
      <c r="M62" s="18">
        <f>E62*'Res Predicted Monthly'!$X$9</f>
        <v>5182158.1473558005</v>
      </c>
      <c r="N62" s="18">
        <f>F62*'Res Predicted Monthly'!$X$10</f>
        <v>0</v>
      </c>
      <c r="O62" s="18">
        <f>G62*'Res Predicted Monthly'!$X$11</f>
        <v>13498630.518598014</v>
      </c>
      <c r="P62" s="18">
        <f>H62*'Res Predicted Monthly'!$X$12</f>
        <v>6513250.5985030681</v>
      </c>
      <c r="Q62" s="18">
        <f>I62*'Res Predicted Monthly'!$X$13</f>
        <v>320834.18825067388</v>
      </c>
      <c r="R62" s="18">
        <f>J62*'Res Predicted Monthly'!$X$14</f>
        <v>0</v>
      </c>
      <c r="S62" s="18">
        <f t="shared" si="3"/>
        <v>9110027.7749227565</v>
      </c>
      <c r="T62" s="18">
        <f t="shared" si="6"/>
        <v>162333.17888017744</v>
      </c>
      <c r="U62" s="35">
        <f t="shared" si="7"/>
        <v>1.8142458611850116E-2</v>
      </c>
    </row>
    <row r="63" spans="1:22">
      <c r="A63" s="541">
        <f>'Monthly Data'!A63</f>
        <v>44228</v>
      </c>
      <c r="B63">
        <f t="shared" si="4"/>
        <v>2021</v>
      </c>
      <c r="C63">
        <f t="shared" si="5"/>
        <v>2</v>
      </c>
      <c r="D63" s="31">
        <f>'Monthly Data'!F63</f>
        <v>8282825.1054581115</v>
      </c>
      <c r="E63" s="33">
        <f>'Monthly Data'!AS63</f>
        <v>763.91666666666652</v>
      </c>
      <c r="F63" s="33">
        <f>'Monthly Data'!AZ63</f>
        <v>0</v>
      </c>
      <c r="G63" s="18">
        <f>'Monthly Data'!G63</f>
        <v>10032</v>
      </c>
      <c r="H63">
        <f>'Monthly Data'!BU63</f>
        <v>28</v>
      </c>
      <c r="I63" s="33">
        <f>'Monthly Data'!CQ63</f>
        <v>572.93749999999989</v>
      </c>
      <c r="J63" s="33">
        <f>'Monthly Data'!CX63</f>
        <v>0</v>
      </c>
      <c r="L63" s="18">
        <f>'Res Predicted Monthly'!$X$8</f>
        <v>-16404845.677784801</v>
      </c>
      <c r="M63" s="18">
        <f>E63*'Res Predicted Monthly'!$X$9</f>
        <v>5004882.5538955741</v>
      </c>
      <c r="N63" s="18">
        <f>F63*'Res Predicted Monthly'!$X$10</f>
        <v>0</v>
      </c>
      <c r="O63" s="18">
        <f>G63*'Res Predicted Monthly'!$X$11</f>
        <v>13513447.895676607</v>
      </c>
      <c r="P63" s="18">
        <f>H63*'Res Predicted Monthly'!$X$12</f>
        <v>5882936.0244543841</v>
      </c>
      <c r="Q63" s="18">
        <f>I63*'Res Predicted Monthly'!$X$13</f>
        <v>309858.82441437535</v>
      </c>
      <c r="R63" s="18">
        <f>J63*'Res Predicted Monthly'!$X$14</f>
        <v>0</v>
      </c>
      <c r="S63" s="18">
        <f t="shared" si="3"/>
        <v>8306279.6206561401</v>
      </c>
      <c r="T63" s="18">
        <f t="shared" si="6"/>
        <v>23454.515198028646</v>
      </c>
      <c r="U63" s="35">
        <f t="shared" si="7"/>
        <v>2.8317047504205885E-3</v>
      </c>
    </row>
    <row r="64" spans="1:22">
      <c r="A64" s="541">
        <f>'Monthly Data'!A64</f>
        <v>44256</v>
      </c>
      <c r="B64">
        <f t="shared" si="4"/>
        <v>2021</v>
      </c>
      <c r="C64">
        <f t="shared" si="5"/>
        <v>3</v>
      </c>
      <c r="D64" s="31">
        <f>'Monthly Data'!F64</f>
        <v>7841494.614873644</v>
      </c>
      <c r="E64" s="33">
        <f>'Monthly Data'!AS64</f>
        <v>589.65416666666681</v>
      </c>
      <c r="F64" s="33">
        <f>'Monthly Data'!AZ64</f>
        <v>0</v>
      </c>
      <c r="G64" s="18">
        <f>'Monthly Data'!G64</f>
        <v>10053</v>
      </c>
      <c r="H64">
        <f>'Monthly Data'!BU64</f>
        <v>31</v>
      </c>
      <c r="I64" s="33">
        <f>'Monthly Data'!CQ64</f>
        <v>442.24062500000014</v>
      </c>
      <c r="J64" s="33">
        <f>'Monthly Data'!CX64</f>
        <v>0</v>
      </c>
      <c r="L64" s="18">
        <f>'Res Predicted Monthly'!$X$8</f>
        <v>-16404845.677784801</v>
      </c>
      <c r="M64" s="18">
        <f>E64*'Res Predicted Monthly'!$X$9</f>
        <v>3863182.9626903031</v>
      </c>
      <c r="N64" s="18">
        <f>F64*'Res Predicted Monthly'!$X$10</f>
        <v>0</v>
      </c>
      <c r="O64" s="18">
        <f>G64*'Res Predicted Monthly'!$X$11</f>
        <v>13541735.615553921</v>
      </c>
      <c r="P64" s="18">
        <f>H64*'Res Predicted Monthly'!$X$12</f>
        <v>6513250.5985030681</v>
      </c>
      <c r="Q64" s="18">
        <f>I64*'Res Predicted Monthly'!$X$13</f>
        <v>239174.70958137439</v>
      </c>
      <c r="R64" s="18">
        <f>J64*'Res Predicted Monthly'!$X$14</f>
        <v>0</v>
      </c>
      <c r="S64" s="18">
        <f t="shared" si="3"/>
        <v>7752498.2085438659</v>
      </c>
      <c r="T64" s="18">
        <f t="shared" si="6"/>
        <v>-88996.406329778023</v>
      </c>
      <c r="U64" s="35">
        <f t="shared" si="7"/>
        <v>1.134941879077119E-2</v>
      </c>
    </row>
    <row r="65" spans="1:25">
      <c r="A65" s="541">
        <f>'Monthly Data'!A65</f>
        <v>44287</v>
      </c>
      <c r="B65">
        <f t="shared" si="4"/>
        <v>2021</v>
      </c>
      <c r="C65">
        <f t="shared" si="5"/>
        <v>4</v>
      </c>
      <c r="D65" s="31">
        <f>'Monthly Data'!F65</f>
        <v>6176221.1242891774</v>
      </c>
      <c r="E65" s="33">
        <f>'Monthly Data'!AS65</f>
        <v>321.19583333333333</v>
      </c>
      <c r="F65" s="33">
        <f>'Monthly Data'!AZ65</f>
        <v>9.0875000000000004</v>
      </c>
      <c r="G65" s="18">
        <f>'Monthly Data'!G65</f>
        <v>10059</v>
      </c>
      <c r="H65">
        <f>'Monthly Data'!BU65</f>
        <v>30</v>
      </c>
      <c r="I65" s="33">
        <f>'Monthly Data'!CQ65</f>
        <v>240.89687499999999</v>
      </c>
      <c r="J65" s="33">
        <f>'Monthly Data'!CX65</f>
        <v>6.8156250000000007</v>
      </c>
      <c r="L65" s="18">
        <f>'Res Predicted Monthly'!$X$8</f>
        <v>-16404845.677784801</v>
      </c>
      <c r="M65" s="18">
        <f>E65*'Res Predicted Monthly'!$X$9</f>
        <v>2104349.1951137129</v>
      </c>
      <c r="N65" s="18">
        <f>F65*'Res Predicted Monthly'!$X$10</f>
        <v>132541.98064953645</v>
      </c>
      <c r="O65" s="18">
        <f>G65*'Res Predicted Monthly'!$X$11</f>
        <v>13549817.821233153</v>
      </c>
      <c r="P65" s="18">
        <f>H65*'Res Predicted Monthly'!$X$12</f>
        <v>6303145.7404868407</v>
      </c>
      <c r="Q65" s="18">
        <f>I65*'Res Predicted Monthly'!$X$13</f>
        <v>130283.01078668571</v>
      </c>
      <c r="R65" s="18">
        <f>J65*'Res Predicted Monthly'!$X$14</f>
        <v>14952.242515201107</v>
      </c>
      <c r="S65" s="18">
        <f t="shared" si="3"/>
        <v>5830244.3130003298</v>
      </c>
      <c r="T65" s="18">
        <f t="shared" si="6"/>
        <v>-345976.81128884759</v>
      </c>
      <c r="U65" s="35">
        <f t="shared" si="7"/>
        <v>5.6017555771801508E-2</v>
      </c>
    </row>
    <row r="66" spans="1:25">
      <c r="A66" s="541">
        <f>'Monthly Data'!A66</f>
        <v>44317</v>
      </c>
      <c r="B66">
        <f t="shared" si="4"/>
        <v>2021</v>
      </c>
      <c r="C66">
        <f t="shared" si="5"/>
        <v>5</v>
      </c>
      <c r="D66" s="31">
        <f>'Monthly Data'!F66</f>
        <v>6246538.6337047098</v>
      </c>
      <c r="E66" s="33">
        <f>'Monthly Data'!AS66</f>
        <v>201.67500000000001</v>
      </c>
      <c r="F66" s="33">
        <f>'Monthly Data'!AZ66</f>
        <v>79.041666666666686</v>
      </c>
      <c r="G66" s="18">
        <f>'Monthly Data'!G66</f>
        <v>10066</v>
      </c>
      <c r="H66">
        <f>'Monthly Data'!BU66</f>
        <v>31</v>
      </c>
      <c r="I66" s="33">
        <f>'Monthly Data'!CQ66</f>
        <v>151.25625000000002</v>
      </c>
      <c r="J66" s="33">
        <f>'Monthly Data'!CX66</f>
        <v>59.281250000000014</v>
      </c>
      <c r="L66" s="18">
        <f>'Res Predicted Monthly'!$X$8</f>
        <v>-16404845.677784801</v>
      </c>
      <c r="M66" s="18">
        <f>E66*'Res Predicted Monthly'!$X$9</f>
        <v>1321295.5458364438</v>
      </c>
      <c r="N66" s="18">
        <f>F66*'Res Predicted Monthly'!$X$10</f>
        <v>1152829.6070250834</v>
      </c>
      <c r="O66" s="18">
        <f>G66*'Res Predicted Monthly'!$X$11</f>
        <v>13559247.061192257</v>
      </c>
      <c r="P66" s="18">
        <f>H66*'Res Predicted Monthly'!$X$12</f>
        <v>6513250.5985030681</v>
      </c>
      <c r="Q66" s="18">
        <f>I66*'Res Predicted Monthly'!$X$13</f>
        <v>81803.135264015495</v>
      </c>
      <c r="R66" s="18">
        <f>J66*'Res Predicted Monthly'!$X$14</f>
        <v>130052.2881766919</v>
      </c>
      <c r="S66" s="18">
        <f t="shared" si="3"/>
        <v>6353632.558212759</v>
      </c>
      <c r="T66" s="18">
        <f t="shared" ref="T66:T97" si="8">S66-D66</f>
        <v>107093.92450804915</v>
      </c>
      <c r="U66" s="35">
        <f t="shared" ref="U66:U97" si="9">ABS(T66/D66)</f>
        <v>1.7144522877069548E-2</v>
      </c>
    </row>
    <row r="67" spans="1:25">
      <c r="A67" s="541">
        <f>'Monthly Data'!A67</f>
        <v>44348</v>
      </c>
      <c r="B67">
        <f t="shared" si="4"/>
        <v>2021</v>
      </c>
      <c r="C67">
        <f t="shared" si="5"/>
        <v>6</v>
      </c>
      <c r="D67" s="31">
        <f>'Monthly Data'!F67</f>
        <v>7011045.1431202432</v>
      </c>
      <c r="E67" s="33">
        <f>'Monthly Data'!AS67</f>
        <v>25.162499999999994</v>
      </c>
      <c r="F67" s="33">
        <f>'Monthly Data'!AZ67</f>
        <v>216.09166666666664</v>
      </c>
      <c r="G67" s="18">
        <f>'Monthly Data'!G67</f>
        <v>10064</v>
      </c>
      <c r="H67">
        <f>'Monthly Data'!BU67</f>
        <v>30</v>
      </c>
      <c r="I67" s="33">
        <f>'Monthly Data'!CQ67</f>
        <v>18.871874999999996</v>
      </c>
      <c r="J67" s="33">
        <f>'Monthly Data'!CX67</f>
        <v>162.06874999999997</v>
      </c>
      <c r="L67" s="18">
        <f>'Res Predicted Monthly'!$X$8</f>
        <v>-16404845.677784801</v>
      </c>
      <c r="M67" s="18">
        <f>E67*'Res Predicted Monthly'!$X$9</f>
        <v>164854.83660398913</v>
      </c>
      <c r="N67" s="18">
        <f>F67*'Res Predicted Monthly'!$X$10</f>
        <v>3151715.8186365236</v>
      </c>
      <c r="O67" s="18">
        <f>G67*'Res Predicted Monthly'!$X$11</f>
        <v>13556552.992632514</v>
      </c>
      <c r="P67" s="18">
        <f>H67*'Res Predicted Monthly'!$X$12</f>
        <v>6303145.7404868407</v>
      </c>
      <c r="Q67" s="18">
        <f>I67*'Res Predicted Monthly'!$X$13</f>
        <v>10206.378535171882</v>
      </c>
      <c r="R67" s="18">
        <f>J67*'Res Predicted Monthly'!$X$14</f>
        <v>355549.38162464905</v>
      </c>
      <c r="S67" s="18">
        <f t="shared" ref="S67:S121" si="10">SUM(L67:R67)</f>
        <v>7137179.4707348887</v>
      </c>
      <c r="T67" s="18">
        <f t="shared" si="8"/>
        <v>126134.32761464547</v>
      </c>
      <c r="U67" s="35">
        <f t="shared" si="9"/>
        <v>1.7990802375365936E-2</v>
      </c>
    </row>
    <row r="68" spans="1:25">
      <c r="A68" s="541">
        <f>'Monthly Data'!A68</f>
        <v>44378</v>
      </c>
      <c r="B68">
        <f t="shared" si="4"/>
        <v>2021</v>
      </c>
      <c r="C68">
        <f t="shared" si="5"/>
        <v>7</v>
      </c>
      <c r="D68" s="31">
        <f>'Monthly Data'!F68</f>
        <v>7147666.6525357757</v>
      </c>
      <c r="E68" s="33">
        <f>'Monthly Data'!AS68</f>
        <v>23.458333333333329</v>
      </c>
      <c r="F68" s="33">
        <f>'Monthly Data'!AZ68</f>
        <v>205.77500000000006</v>
      </c>
      <c r="G68" s="18">
        <f>'Monthly Data'!G68</f>
        <v>10086</v>
      </c>
      <c r="H68">
        <f>'Monthly Data'!BU68</f>
        <v>31</v>
      </c>
      <c r="I68" s="33">
        <f>'Monthly Data'!CQ68</f>
        <v>17.593749999999996</v>
      </c>
      <c r="J68" s="33">
        <f>'Monthly Data'!CX68</f>
        <v>154.33125000000004</v>
      </c>
      <c r="L68" s="18">
        <f>'Res Predicted Monthly'!$X$8</f>
        <v>-16404845.677784801</v>
      </c>
      <c r="M68" s="18">
        <f>E68*'Res Predicted Monthly'!$X$9</f>
        <v>153689.80461673436</v>
      </c>
      <c r="N68" s="18">
        <f>F68*'Res Predicted Monthly'!$X$10</f>
        <v>3001246.3348729978</v>
      </c>
      <c r="O68" s="18">
        <f>G68*'Res Predicted Monthly'!$X$11</f>
        <v>13586187.746789699</v>
      </c>
      <c r="P68" s="18">
        <f>H68*'Res Predicted Monthly'!$X$12</f>
        <v>6513250.5985030681</v>
      </c>
      <c r="Q68" s="18">
        <f>I68*'Res Predicted Monthly'!$X$13</f>
        <v>9515.1368029504374</v>
      </c>
      <c r="R68" s="18">
        <f>J68*'Res Predicted Monthly'!$X$14</f>
        <v>338574.71290954703</v>
      </c>
      <c r="S68" s="18">
        <f t="shared" si="10"/>
        <v>7197618.6567101972</v>
      </c>
      <c r="T68" s="18">
        <f t="shared" si="8"/>
        <v>49952.004174421541</v>
      </c>
      <c r="U68" s="35">
        <f t="shared" si="9"/>
        <v>6.9885749577731195E-3</v>
      </c>
    </row>
    <row r="69" spans="1:25">
      <c r="A69" s="541">
        <f>'Monthly Data'!A69</f>
        <v>44409</v>
      </c>
      <c r="B69">
        <f t="shared" ref="B69:B121" si="11">YEAR(A69)</f>
        <v>2021</v>
      </c>
      <c r="C69">
        <f t="shared" ref="C69:C121" si="12">MONTH(A69)</f>
        <v>8</v>
      </c>
      <c r="D69" s="31">
        <f>'Monthly Data'!F69</f>
        <v>8365336.1619513091</v>
      </c>
      <c r="E69" s="33">
        <f>'Monthly Data'!AS69</f>
        <v>8.2208333333333385</v>
      </c>
      <c r="F69" s="33">
        <f>'Monthly Data'!AZ69</f>
        <v>284.10416666666663</v>
      </c>
      <c r="G69" s="18">
        <f>'Monthly Data'!G69</f>
        <v>10096</v>
      </c>
      <c r="H69">
        <f>'Monthly Data'!BU69</f>
        <v>31</v>
      </c>
      <c r="I69" s="33">
        <f>'Monthly Data'!CQ69</f>
        <v>6.1656250000000039</v>
      </c>
      <c r="J69" s="33">
        <f>'Monthly Data'!CX69</f>
        <v>213.07812499999997</v>
      </c>
      <c r="L69" s="18">
        <f>'Res Predicted Monthly'!$X$8</f>
        <v>-16404845.677784801</v>
      </c>
      <c r="M69" s="18">
        <f>E69*'Res Predicted Monthly'!$X$9</f>
        <v>53859.677532649584</v>
      </c>
      <c r="N69" s="18">
        <f>F69*'Res Predicted Monthly'!$X$10</f>
        <v>4143684.0672116647</v>
      </c>
      <c r="O69" s="18">
        <f>G69*'Res Predicted Monthly'!$X$11</f>
        <v>13599658.08958842</v>
      </c>
      <c r="P69" s="18">
        <f>H69*'Res Predicted Monthly'!$X$12</f>
        <v>6513250.5985030681</v>
      </c>
      <c r="Q69" s="18">
        <f>I69*'Res Predicted Monthly'!$X$13</f>
        <v>3334.5230749948901</v>
      </c>
      <c r="R69" s="18">
        <f>J69*'Res Predicted Monthly'!$X$14</f>
        <v>467454.67945849942</v>
      </c>
      <c r="S69" s="18">
        <f t="shared" si="10"/>
        <v>8376395.9575844966</v>
      </c>
      <c r="T69" s="18">
        <f t="shared" si="8"/>
        <v>11059.795633187518</v>
      </c>
      <c r="U69" s="35">
        <f t="shared" si="9"/>
        <v>1.3220981702434891E-3</v>
      </c>
    </row>
    <row r="70" spans="1:25">
      <c r="A70" s="541">
        <f>'Monthly Data'!A70</f>
        <v>44440</v>
      </c>
      <c r="B70">
        <f t="shared" si="11"/>
        <v>2021</v>
      </c>
      <c r="C70">
        <f t="shared" si="12"/>
        <v>9</v>
      </c>
      <c r="D70" s="31">
        <f>'Monthly Data'!F70</f>
        <v>5638411.6713668425</v>
      </c>
      <c r="E70" s="33">
        <f>'Monthly Data'!AS70</f>
        <v>105.07500000000002</v>
      </c>
      <c r="F70" s="33">
        <f>'Monthly Data'!AZ70</f>
        <v>83.741666666666646</v>
      </c>
      <c r="G70" s="18">
        <f>'Monthly Data'!G70</f>
        <v>10107</v>
      </c>
      <c r="H70">
        <f>'Monthly Data'!BU70</f>
        <v>30</v>
      </c>
      <c r="I70" s="33">
        <f>'Monthly Data'!CQ70</f>
        <v>78.806250000000006</v>
      </c>
      <c r="J70" s="33">
        <f>'Monthly Data'!CX70</f>
        <v>62.806249999999984</v>
      </c>
      <c r="L70" s="18">
        <f>'Res Predicted Monthly'!$X$8</f>
        <v>-16404845.677784801</v>
      </c>
      <c r="M70" s="18">
        <f>E70*'Res Predicted Monthly'!$X$9</f>
        <v>688410.21186941536</v>
      </c>
      <c r="N70" s="18">
        <f>F70*'Res Predicted Monthly'!$X$10</f>
        <v>1221379.5172372228</v>
      </c>
      <c r="O70" s="18">
        <f>G70*'Res Predicted Monthly'!$X$11</f>
        <v>13614475.466667013</v>
      </c>
      <c r="P70" s="18">
        <f>H70*'Res Predicted Monthly'!$X$12</f>
        <v>6303145.7404868407</v>
      </c>
      <c r="Q70" s="18">
        <f>I70*'Res Predicted Monthly'!$X$13</f>
        <v>42620.376535844443</v>
      </c>
      <c r="R70" s="18">
        <f>J70*'Res Predicted Monthly'!$X$14</f>
        <v>137785.49751055101</v>
      </c>
      <c r="S70" s="18">
        <f t="shared" si="10"/>
        <v>5602971.1325220875</v>
      </c>
      <c r="T70" s="18">
        <f t="shared" si="8"/>
        <v>-35440.538844754919</v>
      </c>
      <c r="U70" s="35">
        <f t="shared" si="9"/>
        <v>6.2855536116190602E-3</v>
      </c>
    </row>
    <row r="71" spans="1:25">
      <c r="A71" s="541">
        <f>'Monthly Data'!A71</f>
        <v>44470</v>
      </c>
      <c r="B71">
        <f t="shared" si="11"/>
        <v>2021</v>
      </c>
      <c r="C71">
        <f t="shared" si="12"/>
        <v>10</v>
      </c>
      <c r="D71" s="31">
        <f>'Monthly Data'!F71</f>
        <v>5991389.1807823749</v>
      </c>
      <c r="E71" s="33">
        <f>'Monthly Data'!AS71</f>
        <v>232.72916666666669</v>
      </c>
      <c r="F71" s="33">
        <f>'Monthly Data'!AZ71</f>
        <v>38.133333333333326</v>
      </c>
      <c r="G71" s="18">
        <f>'Monthly Data'!G71</f>
        <v>10112</v>
      </c>
      <c r="H71">
        <f>'Monthly Data'!BU71</f>
        <v>31</v>
      </c>
      <c r="I71" s="33">
        <f>'Monthly Data'!CQ71</f>
        <v>174.546875</v>
      </c>
      <c r="J71" s="33">
        <f>'Monthly Data'!CX71</f>
        <v>28.599999999999994</v>
      </c>
      <c r="L71" s="18">
        <f>'Res Predicted Monthly'!$X$8</f>
        <v>-16404845.677784801</v>
      </c>
      <c r="M71" s="18">
        <f>E71*'Res Predicted Monthly'!$X$9</f>
        <v>1524750.2729782772</v>
      </c>
      <c r="N71" s="18">
        <f>F71*'Res Predicted Monthly'!$X$10</f>
        <v>556177.99491268105</v>
      </c>
      <c r="O71" s="18">
        <f>G71*'Res Predicted Monthly'!$X$11</f>
        <v>13621210.638066374</v>
      </c>
      <c r="P71" s="18">
        <f>H71*'Res Predicted Monthly'!$X$12</f>
        <v>6513250.5985030681</v>
      </c>
      <c r="Q71" s="18">
        <f>I71*'Res Predicted Monthly'!$X$13</f>
        <v>94399.283504226783</v>
      </c>
      <c r="R71" s="18">
        <f>J71*'Res Predicted Monthly'!$X$14</f>
        <v>62743.201971169416</v>
      </c>
      <c r="S71" s="18">
        <f t="shared" si="10"/>
        <v>5967686.3121509962</v>
      </c>
      <c r="T71" s="18">
        <f t="shared" si="8"/>
        <v>-23702.868631378748</v>
      </c>
      <c r="U71" s="35">
        <f t="shared" si="9"/>
        <v>3.9561557288594548E-3</v>
      </c>
    </row>
    <row r="72" spans="1:25">
      <c r="A72" s="541">
        <f>'Monthly Data'!A72</f>
        <v>44501</v>
      </c>
      <c r="B72">
        <f t="shared" si="11"/>
        <v>2021</v>
      </c>
      <c r="C72">
        <f t="shared" si="12"/>
        <v>11</v>
      </c>
      <c r="D72" s="31">
        <f>'Monthly Data'!F72</f>
        <v>7003129.6901979083</v>
      </c>
      <c r="E72" s="33">
        <f>'Monthly Data'!AS72</f>
        <v>524.32083333333333</v>
      </c>
      <c r="F72" s="33">
        <f>'Monthly Data'!AZ72</f>
        <v>0</v>
      </c>
      <c r="G72" s="18">
        <f>'Monthly Data'!G72</f>
        <v>10114</v>
      </c>
      <c r="H72">
        <f>'Monthly Data'!BU72</f>
        <v>30</v>
      </c>
      <c r="I72" s="33">
        <f>'Monthly Data'!CQ72</f>
        <v>393.24062500000002</v>
      </c>
      <c r="J72" s="33">
        <f>'Monthly Data'!CX72</f>
        <v>0</v>
      </c>
      <c r="L72" s="18">
        <f>'Res Predicted Monthly'!$X$8</f>
        <v>-16404845.677784801</v>
      </c>
      <c r="M72" s="18">
        <f>E72*'Res Predicted Monthly'!$X$9</f>
        <v>3435144.5725676743</v>
      </c>
      <c r="N72" s="18">
        <f>F72*'Res Predicted Monthly'!$X$10</f>
        <v>0</v>
      </c>
      <c r="O72" s="18">
        <f>G72*'Res Predicted Monthly'!$X$11</f>
        <v>13623904.706626117</v>
      </c>
      <c r="P72" s="18">
        <f>H72*'Res Predicted Monthly'!$X$12</f>
        <v>6303145.7404868407</v>
      </c>
      <c r="Q72" s="18">
        <f>I72*'Res Predicted Monthly'!$X$13</f>
        <v>212674.29305024416</v>
      </c>
      <c r="R72" s="18">
        <f>J72*'Res Predicted Monthly'!$X$14</f>
        <v>0</v>
      </c>
      <c r="S72" s="18">
        <f t="shared" si="10"/>
        <v>7170023.6349460771</v>
      </c>
      <c r="T72" s="18">
        <f t="shared" si="8"/>
        <v>166893.94474816881</v>
      </c>
      <c r="U72" s="35">
        <f t="shared" si="9"/>
        <v>2.3831337149412751E-2</v>
      </c>
    </row>
    <row r="73" spans="1:25">
      <c r="A73" s="541">
        <f>'Monthly Data'!A73</f>
        <v>44531</v>
      </c>
      <c r="B73">
        <f t="shared" si="11"/>
        <v>2021</v>
      </c>
      <c r="C73">
        <f t="shared" si="12"/>
        <v>12</v>
      </c>
      <c r="D73" s="31">
        <f>'Monthly Data'!F73</f>
        <v>8633204.8396134414</v>
      </c>
      <c r="E73" s="33">
        <f>'Monthly Data'!AS73</f>
        <v>702.20624999999995</v>
      </c>
      <c r="F73" s="33">
        <f>'Monthly Data'!AZ73</f>
        <v>0</v>
      </c>
      <c r="G73" s="18">
        <f>'Monthly Data'!G73</f>
        <v>10127</v>
      </c>
      <c r="H73">
        <f>'Monthly Data'!BU73</f>
        <v>31</v>
      </c>
      <c r="I73" s="33">
        <f>'Monthly Data'!CQ73</f>
        <v>526.65468749999991</v>
      </c>
      <c r="J73" s="33">
        <f>'Monthly Data'!CX73</f>
        <v>0</v>
      </c>
      <c r="L73" s="18">
        <f>'Res Predicted Monthly'!$X$8</f>
        <v>-16404845.677784801</v>
      </c>
      <c r="M73" s="18">
        <f>E73*'Res Predicted Monthly'!$X$9</f>
        <v>4600580.0936333816</v>
      </c>
      <c r="N73" s="18">
        <f>F73*'Res Predicted Monthly'!$X$10</f>
        <v>0</v>
      </c>
      <c r="O73" s="18">
        <f>G73*'Res Predicted Monthly'!$X$11</f>
        <v>13641416.152264453</v>
      </c>
      <c r="P73" s="18">
        <f>H73*'Res Predicted Monthly'!$X$12</f>
        <v>6513250.5985030681</v>
      </c>
      <c r="Q73" s="18">
        <f>I73*'Res Predicted Monthly'!$X$13</f>
        <v>284827.93034331012</v>
      </c>
      <c r="R73" s="18">
        <f>J73*'Res Predicted Monthly'!$X$14</f>
        <v>0</v>
      </c>
      <c r="S73" s="18">
        <f t="shared" si="10"/>
        <v>8635229.0969594121</v>
      </c>
      <c r="T73" s="18">
        <f t="shared" si="8"/>
        <v>2024.2573459707201</v>
      </c>
      <c r="U73" s="35">
        <f t="shared" si="9"/>
        <v>2.3447345262589156E-4</v>
      </c>
    </row>
    <row r="74" spans="1:25">
      <c r="A74" s="541">
        <f>'Monthly Data'!A74</f>
        <v>44562</v>
      </c>
      <c r="B74">
        <f t="shared" si="11"/>
        <v>2022</v>
      </c>
      <c r="C74">
        <f t="shared" si="12"/>
        <v>1</v>
      </c>
      <c r="D74" s="31">
        <f>'Monthly Data'!F74</f>
        <v>10532825.528697059</v>
      </c>
      <c r="E74" s="33">
        <f>'Monthly Data'!AS74</f>
        <v>1056.6333333333332</v>
      </c>
      <c r="F74" s="33">
        <f>'Monthly Data'!AZ74</f>
        <v>0</v>
      </c>
      <c r="G74" s="18">
        <f>'Monthly Data'!G74</f>
        <v>10147</v>
      </c>
      <c r="H74">
        <f>'Monthly Data'!BU74</f>
        <v>31</v>
      </c>
      <c r="I74" s="33">
        <f>'Monthly Data'!CQ74</f>
        <v>528.31666666666661</v>
      </c>
      <c r="J74" s="33">
        <f>'Monthly Data'!CX74</f>
        <v>0</v>
      </c>
      <c r="L74" s="18">
        <f>'Res Predicted Monthly'!$X$8</f>
        <v>-16404845.677784801</v>
      </c>
      <c r="M74" s="18">
        <f>E74*'Res Predicted Monthly'!$X$9</f>
        <v>6922647.4124985626</v>
      </c>
      <c r="N74" s="18">
        <f>F74*'Res Predicted Monthly'!$X$10</f>
        <v>0</v>
      </c>
      <c r="O74" s="18">
        <f>G74*'Res Predicted Monthly'!$X$11</f>
        <v>13668356.837861896</v>
      </c>
      <c r="P74" s="18">
        <f>H74*'Res Predicted Monthly'!$X$12</f>
        <v>6513250.5985030681</v>
      </c>
      <c r="Q74" s="18">
        <f>I74*'Res Predicted Monthly'!$X$13</f>
        <v>285726.76993887598</v>
      </c>
      <c r="R74" s="18">
        <f>J74*'Res Predicted Monthly'!$X$14</f>
        <v>0</v>
      </c>
      <c r="S74" s="18">
        <f t="shared" si="10"/>
        <v>10985135.941017604</v>
      </c>
      <c r="T74" s="18">
        <f t="shared" si="8"/>
        <v>452310.41232054494</v>
      </c>
      <c r="U74" s="35">
        <f t="shared" si="9"/>
        <v>4.2942932177905076E-2</v>
      </c>
    </row>
    <row r="75" spans="1:25">
      <c r="A75" s="541">
        <f>'Monthly Data'!A75</f>
        <v>44593</v>
      </c>
      <c r="B75">
        <f t="shared" si="11"/>
        <v>2022</v>
      </c>
      <c r="C75">
        <f t="shared" si="12"/>
        <v>2</v>
      </c>
      <c r="D75" s="31">
        <f>'Monthly Data'!F75</f>
        <v>8586318.012812933</v>
      </c>
      <c r="E75" s="33">
        <f>'Monthly Data'!AS75</f>
        <v>785.76666666666654</v>
      </c>
      <c r="F75" s="33">
        <f>'Monthly Data'!AZ75</f>
        <v>0</v>
      </c>
      <c r="G75" s="18">
        <f>'Monthly Data'!G75</f>
        <v>10147</v>
      </c>
      <c r="H75">
        <f>'Monthly Data'!BU75</f>
        <v>29</v>
      </c>
      <c r="I75" s="33">
        <f>'Monthly Data'!CQ75</f>
        <v>392.88333333333327</v>
      </c>
      <c r="J75" s="33">
        <f>'Monthly Data'!CX75</f>
        <v>0</v>
      </c>
      <c r="L75" s="18">
        <f>'Res Predicted Monthly'!$X$8</f>
        <v>-16404845.677784801</v>
      </c>
      <c r="M75" s="18">
        <f>E75*'Res Predicted Monthly'!$X$9</f>
        <v>5148035.1889595445</v>
      </c>
      <c r="N75" s="18">
        <f>F75*'Res Predicted Monthly'!$X$10</f>
        <v>0</v>
      </c>
      <c r="O75" s="18">
        <f>G75*'Res Predicted Monthly'!$X$11</f>
        <v>13668356.837861896</v>
      </c>
      <c r="P75" s="18">
        <f>H75*'Res Predicted Monthly'!$X$12</f>
        <v>6093040.8824706124</v>
      </c>
      <c r="Q75" s="18">
        <f>I75*'Res Predicted Monthly'!$X$13</f>
        <v>212481.06084637129</v>
      </c>
      <c r="R75" s="18">
        <f>J75*'Res Predicted Monthly'!$X$14</f>
        <v>0</v>
      </c>
      <c r="S75" s="18">
        <f t="shared" si="10"/>
        <v>8717068.2923536245</v>
      </c>
      <c r="T75" s="18">
        <f t="shared" si="8"/>
        <v>130750.27954069152</v>
      </c>
      <c r="U75" s="35">
        <f t="shared" si="9"/>
        <v>1.5227747137431833E-2</v>
      </c>
    </row>
    <row r="76" spans="1:25">
      <c r="A76" s="541">
        <f>'Monthly Data'!A76</f>
        <v>44621</v>
      </c>
      <c r="B76">
        <f t="shared" si="11"/>
        <v>2022</v>
      </c>
      <c r="C76">
        <f t="shared" si="12"/>
        <v>3</v>
      </c>
      <c r="D76" s="31">
        <f>'Monthly Data'!F76</f>
        <v>8070371.4969288055</v>
      </c>
      <c r="E76" s="33">
        <f>'Monthly Data'!AS76</f>
        <v>642.6583333333333</v>
      </c>
      <c r="F76" s="33">
        <f>'Monthly Data'!AZ76</f>
        <v>0</v>
      </c>
      <c r="G76" s="18">
        <f>'Monthly Data'!G76</f>
        <v>10148</v>
      </c>
      <c r="H76">
        <f>'Monthly Data'!BU76</f>
        <v>31</v>
      </c>
      <c r="I76" s="33">
        <f>'Monthly Data'!CQ76</f>
        <v>321.32916666666665</v>
      </c>
      <c r="J76" s="33">
        <f>'Monthly Data'!CX76</f>
        <v>0</v>
      </c>
      <c r="L76" s="18">
        <f>'Res Predicted Monthly'!$X$8</f>
        <v>-16404845.677784801</v>
      </c>
      <c r="M76" s="18">
        <f>E76*'Res Predicted Monthly'!$X$9</f>
        <v>4210445.4856973141</v>
      </c>
      <c r="N76" s="18">
        <f>F76*'Res Predicted Monthly'!$X$10</f>
        <v>0</v>
      </c>
      <c r="O76" s="18">
        <f>G76*'Res Predicted Monthly'!$X$11</f>
        <v>13669703.872141767</v>
      </c>
      <c r="P76" s="18">
        <f>H76*'Res Predicted Monthly'!$X$12</f>
        <v>6513250.5985030681</v>
      </c>
      <c r="Q76" s="18">
        <f>I76*'Res Predicted Monthly'!$X$13</f>
        <v>173782.79102586972</v>
      </c>
      <c r="R76" s="18">
        <f>J76*'Res Predicted Monthly'!$X$14</f>
        <v>0</v>
      </c>
      <c r="S76" s="18">
        <f t="shared" si="10"/>
        <v>8162337.0695832185</v>
      </c>
      <c r="T76" s="18">
        <f t="shared" si="8"/>
        <v>91965.572654413059</v>
      </c>
      <c r="U76" s="35">
        <f t="shared" si="9"/>
        <v>1.1395457159488968E-2</v>
      </c>
      <c r="X76" s="18"/>
      <c r="Y76" s="35"/>
    </row>
    <row r="77" spans="1:25">
      <c r="A77" s="541">
        <f>'Monthly Data'!A77</f>
        <v>44652</v>
      </c>
      <c r="B77">
        <f t="shared" si="11"/>
        <v>2022</v>
      </c>
      <c r="C77">
        <f t="shared" si="12"/>
        <v>4</v>
      </c>
      <c r="D77" s="31">
        <f>'Monthly Data'!F77</f>
        <v>6548410.9810446789</v>
      </c>
      <c r="E77" s="33">
        <f>'Monthly Data'!AS77</f>
        <v>401.22083333333353</v>
      </c>
      <c r="F77" s="33">
        <f>'Monthly Data'!AZ77</f>
        <v>0</v>
      </c>
      <c r="G77" s="18">
        <f>'Monthly Data'!G77</f>
        <v>10144</v>
      </c>
      <c r="H77">
        <f>'Monthly Data'!BU77</f>
        <v>30</v>
      </c>
      <c r="I77" s="33">
        <f>'Monthly Data'!CQ77</f>
        <v>200.61041666666677</v>
      </c>
      <c r="J77" s="33">
        <f>'Monthly Data'!CX77</f>
        <v>0</v>
      </c>
      <c r="L77" s="18">
        <f>'Res Predicted Monthly'!$X$8</f>
        <v>-16404845.677784801</v>
      </c>
      <c r="M77" s="18">
        <f>E77*'Res Predicted Monthly'!$X$9</f>
        <v>2628641.6262804996</v>
      </c>
      <c r="N77" s="18">
        <f>F77*'Res Predicted Monthly'!$X$10</f>
        <v>0</v>
      </c>
      <c r="O77" s="18">
        <f>G77*'Res Predicted Monthly'!$X$11</f>
        <v>13664315.735022279</v>
      </c>
      <c r="P77" s="18">
        <f>H77*'Res Predicted Monthly'!$X$12</f>
        <v>6303145.7404868407</v>
      </c>
      <c r="Q77" s="18">
        <f>I77*'Res Predicted Monthly'!$X$13</f>
        <v>108495.09392143365</v>
      </c>
      <c r="R77" s="18">
        <f>J77*'Res Predicted Monthly'!$X$14</f>
        <v>0</v>
      </c>
      <c r="S77" s="18">
        <f t="shared" si="10"/>
        <v>6299752.5179262515</v>
      </c>
      <c r="T77" s="18">
        <f t="shared" si="8"/>
        <v>-248658.46311842743</v>
      </c>
      <c r="U77" s="35">
        <f t="shared" si="9"/>
        <v>3.7972336164942187E-2</v>
      </c>
      <c r="X77" s="18"/>
      <c r="Y77" s="35"/>
    </row>
    <row r="78" spans="1:25">
      <c r="A78" s="541">
        <f>'Monthly Data'!A78</f>
        <v>44682</v>
      </c>
      <c r="B78">
        <f t="shared" si="11"/>
        <v>2022</v>
      </c>
      <c r="C78">
        <f t="shared" si="12"/>
        <v>5</v>
      </c>
      <c r="D78" s="31">
        <f>'Monthly Data'!F78</f>
        <v>6080494.4651605524</v>
      </c>
      <c r="E78" s="33">
        <f>'Monthly Data'!AS78</f>
        <v>126.58749999999998</v>
      </c>
      <c r="F78" s="33">
        <f>'Monthly Data'!AZ78</f>
        <v>105.25833333333331</v>
      </c>
      <c r="G78" s="18">
        <f>'Monthly Data'!G78</f>
        <v>10146</v>
      </c>
      <c r="H78">
        <f>'Monthly Data'!BU78</f>
        <v>31</v>
      </c>
      <c r="I78" s="33">
        <f>'Monthly Data'!CQ78</f>
        <v>63.293749999999989</v>
      </c>
      <c r="J78" s="33">
        <f>'Monthly Data'!CX78</f>
        <v>52.629166666666656</v>
      </c>
      <c r="L78" s="18">
        <f>'Res Predicted Monthly'!$X$8</f>
        <v>-16404845.677784801</v>
      </c>
      <c r="M78" s="18">
        <f>E78*'Res Predicted Monthly'!$X$9</f>
        <v>829351.6792293085</v>
      </c>
      <c r="N78" s="18">
        <f>F78*'Res Predicted Monthly'!$X$10</f>
        <v>1535201.9785275511</v>
      </c>
      <c r="O78" s="18">
        <f>G78*'Res Predicted Monthly'!$X$11</f>
        <v>13667009.803582024</v>
      </c>
      <c r="P78" s="18">
        <f>H78*'Res Predicted Monthly'!$X$12</f>
        <v>6513250.5985030681</v>
      </c>
      <c r="Q78" s="18">
        <f>I78*'Res Predicted Monthly'!$X$13</f>
        <v>34230.831404433069</v>
      </c>
      <c r="R78" s="18">
        <f>J78*'Res Predicted Monthly'!$X$14</f>
        <v>115458.82635458055</v>
      </c>
      <c r="S78" s="18">
        <f t="shared" si="10"/>
        <v>6289658.0398161644</v>
      </c>
      <c r="T78" s="18">
        <f t="shared" si="8"/>
        <v>209163.574655612</v>
      </c>
      <c r="U78" s="35">
        <f t="shared" si="9"/>
        <v>3.4399106167114842E-2</v>
      </c>
      <c r="X78" s="18"/>
      <c r="Y78" s="35"/>
    </row>
    <row r="79" spans="1:25">
      <c r="A79" s="541">
        <f>'Monthly Data'!A79</f>
        <v>44713</v>
      </c>
      <c r="B79">
        <f t="shared" si="11"/>
        <v>2022</v>
      </c>
      <c r="C79">
        <f t="shared" si="12"/>
        <v>6</v>
      </c>
      <c r="D79" s="31">
        <f>'Monthly Data'!F79</f>
        <v>6310089.9492764249</v>
      </c>
      <c r="E79" s="33">
        <f>'Monthly Data'!AS79</f>
        <v>54.516666666666666</v>
      </c>
      <c r="F79" s="33">
        <f>'Monthly Data'!AZ79</f>
        <v>152.1875</v>
      </c>
      <c r="G79" s="18">
        <f>'Monthly Data'!G79</f>
        <v>10146</v>
      </c>
      <c r="H79">
        <f>'Monthly Data'!BU79</f>
        <v>30</v>
      </c>
      <c r="I79" s="33">
        <f>'Monthly Data'!CQ79</f>
        <v>27.258333333333333</v>
      </c>
      <c r="J79" s="33">
        <f>'Monthly Data'!CX79</f>
        <v>76.09375</v>
      </c>
      <c r="L79" s="18">
        <f>'Res Predicted Monthly'!$X$8</f>
        <v>-16404845.677784801</v>
      </c>
      <c r="M79" s="18">
        <f>E79*'Res Predicted Monthly'!$X$9</f>
        <v>357171.83012528473</v>
      </c>
      <c r="N79" s="18">
        <f>F79*'Res Predicted Monthly'!$X$10</f>
        <v>2219667.9703000085</v>
      </c>
      <c r="O79" s="18">
        <f>G79*'Res Predicted Monthly'!$X$11</f>
        <v>13667009.803582024</v>
      </c>
      <c r="P79" s="18">
        <f>H79*'Res Predicted Monthly'!$X$12</f>
        <v>6303145.7404868407</v>
      </c>
      <c r="Q79" s="18">
        <f>I79*'Res Predicted Monthly'!$X$13</f>
        <v>14741.983413831091</v>
      </c>
      <c r="R79" s="18">
        <f>J79*'Res Predicted Monthly'!$X$14</f>
        <v>166935.85751726132</v>
      </c>
      <c r="S79" s="18">
        <f t="shared" si="10"/>
        <v>6323827.5076404512</v>
      </c>
      <c r="T79" s="18">
        <f t="shared" si="8"/>
        <v>13737.558364026248</v>
      </c>
      <c r="U79" s="35">
        <f t="shared" si="9"/>
        <v>2.1770780566450604E-3</v>
      </c>
      <c r="X79" s="18"/>
      <c r="Y79" s="35"/>
    </row>
    <row r="80" spans="1:25">
      <c r="A80" s="541">
        <f>'Monthly Data'!A80</f>
        <v>44743</v>
      </c>
      <c r="B80">
        <f t="shared" si="11"/>
        <v>2022</v>
      </c>
      <c r="C80">
        <f t="shared" si="12"/>
        <v>7</v>
      </c>
      <c r="D80" s="31">
        <f>'Monthly Data'!F80</f>
        <v>7465233.4333922984</v>
      </c>
      <c r="E80" s="33">
        <f>'Monthly Data'!AS80</f>
        <v>4.4583333333333375</v>
      </c>
      <c r="F80" s="33">
        <f>'Monthly Data'!AZ80</f>
        <v>248.86874999999998</v>
      </c>
      <c r="G80" s="18">
        <f>'Monthly Data'!G80</f>
        <v>10144</v>
      </c>
      <c r="H80">
        <f>'Monthly Data'!BU80</f>
        <v>31</v>
      </c>
      <c r="I80" s="33">
        <f>'Monthly Data'!CQ80</f>
        <v>2.2291666666666687</v>
      </c>
      <c r="J80" s="33">
        <f>'Monthly Data'!CX80</f>
        <v>124.43437499999999</v>
      </c>
      <c r="L80" s="18">
        <f>'Res Predicted Monthly'!$X$8</f>
        <v>-16404845.677784801</v>
      </c>
      <c r="M80" s="18">
        <f>E80*'Res Predicted Monthly'!$X$9</f>
        <v>29209.252387194665</v>
      </c>
      <c r="N80" s="18">
        <f>F80*'Res Predicted Monthly'!$X$10</f>
        <v>3629772.4398101037</v>
      </c>
      <c r="O80" s="18">
        <f>G80*'Res Predicted Monthly'!$X$11</f>
        <v>13664315.735022279</v>
      </c>
      <c r="P80" s="18">
        <f>H80*'Res Predicted Monthly'!$X$12</f>
        <v>6513250.5985030681</v>
      </c>
      <c r="Q80" s="18">
        <f>I80*'Res Predicted Monthly'!$X$13</f>
        <v>1205.5886772240356</v>
      </c>
      <c r="R80" s="18">
        <f>J80*'Res Predicted Monthly'!$X$14</f>
        <v>272986.40289444878</v>
      </c>
      <c r="S80" s="18">
        <f t="shared" si="10"/>
        <v>7705894.3395095151</v>
      </c>
      <c r="T80" s="18">
        <f t="shared" si="8"/>
        <v>240660.90611721668</v>
      </c>
      <c r="U80" s="35">
        <f t="shared" si="9"/>
        <v>3.22375593830369E-2</v>
      </c>
      <c r="X80" s="18"/>
      <c r="Y80" s="35"/>
    </row>
    <row r="81" spans="1:29">
      <c r="A81" s="541">
        <f>'Monthly Data'!A81</f>
        <v>44774</v>
      </c>
      <c r="B81">
        <f t="shared" si="11"/>
        <v>2022</v>
      </c>
      <c r="C81">
        <f t="shared" si="12"/>
        <v>8</v>
      </c>
      <c r="D81" s="31">
        <f>'Monthly Data'!F81</f>
        <v>7425747.9175081719</v>
      </c>
      <c r="E81" s="33">
        <f>'Monthly Data'!AS81</f>
        <v>15.441666666666658</v>
      </c>
      <c r="F81" s="33">
        <f>'Monthly Data'!AZ81</f>
        <v>223.74166666666665</v>
      </c>
      <c r="G81" s="18">
        <f>'Monthly Data'!G81</f>
        <v>10153</v>
      </c>
      <c r="H81">
        <f>'Monthly Data'!BU81</f>
        <v>31</v>
      </c>
      <c r="I81" s="33">
        <f>'Monthly Data'!CQ81</f>
        <v>7.7208333333333288</v>
      </c>
      <c r="J81" s="33">
        <f>'Monthly Data'!CX81</f>
        <v>111.87083333333332</v>
      </c>
      <c r="L81" s="18">
        <f>'Res Predicted Monthly'!$X$8</f>
        <v>-16404845.677784801</v>
      </c>
      <c r="M81" s="18">
        <f>E81*'Res Predicted Monthly'!$X$9</f>
        <v>101167.747053218</v>
      </c>
      <c r="N81" s="18">
        <f>F81*'Res Predicted Monthly'!$X$10</f>
        <v>3263291.7363222409</v>
      </c>
      <c r="O81" s="18">
        <f>G81*'Res Predicted Monthly'!$X$11</f>
        <v>13676439.043541128</v>
      </c>
      <c r="P81" s="18">
        <f>H81*'Res Predicted Monthly'!$X$12</f>
        <v>6513250.5985030681</v>
      </c>
      <c r="Q81" s="18">
        <f>I81*'Res Predicted Monthly'!$X$13</f>
        <v>4175.6183530768867</v>
      </c>
      <c r="R81" s="18">
        <f>J81*'Res Predicted Monthly'!$X$14</f>
        <v>245424.27589218062</v>
      </c>
      <c r="S81" s="18">
        <f t="shared" si="10"/>
        <v>7398903.341880111</v>
      </c>
      <c r="T81" s="18">
        <f t="shared" si="8"/>
        <v>-26844.575628060848</v>
      </c>
      <c r="U81" s="35">
        <f t="shared" si="9"/>
        <v>3.6150669166627155E-3</v>
      </c>
      <c r="X81" s="18"/>
      <c r="Y81" s="35"/>
    </row>
    <row r="82" spans="1:29">
      <c r="A82" s="541">
        <f>'Monthly Data'!A82</f>
        <v>44805</v>
      </c>
      <c r="B82">
        <f t="shared" si="11"/>
        <v>2022</v>
      </c>
      <c r="C82">
        <f t="shared" si="12"/>
        <v>9</v>
      </c>
      <c r="D82" s="31">
        <f>'Monthly Data'!F82</f>
        <v>5812994.4016240453</v>
      </c>
      <c r="E82" s="33">
        <f>'Monthly Data'!AS82</f>
        <v>130.7791666666667</v>
      </c>
      <c r="F82" s="33">
        <f>'Monthly Data'!AZ82</f>
        <v>74.350000000000023</v>
      </c>
      <c r="G82" s="18">
        <f>'Monthly Data'!G82</f>
        <v>10201</v>
      </c>
      <c r="H82">
        <f>'Monthly Data'!BU82</f>
        <v>30</v>
      </c>
      <c r="I82" s="33">
        <f>'Monthly Data'!CQ82</f>
        <v>65.389583333333348</v>
      </c>
      <c r="J82" s="33">
        <f>'Monthly Data'!CX82</f>
        <v>37.175000000000011</v>
      </c>
      <c r="L82" s="18">
        <f>'Res Predicted Monthly'!$X$8</f>
        <v>-16404845.677784801</v>
      </c>
      <c r="M82" s="18">
        <f>E82*'Res Predicted Monthly'!$X$9</f>
        <v>856813.83614661521</v>
      </c>
      <c r="N82" s="18">
        <f>F82*'Res Predicted Monthly'!$X$10</f>
        <v>1084401.2392069367</v>
      </c>
      <c r="O82" s="18">
        <f>G82*'Res Predicted Monthly'!$X$11</f>
        <v>13741096.688974988</v>
      </c>
      <c r="P82" s="18">
        <f>H82*'Res Predicted Monthly'!$X$12</f>
        <v>6303145.7404868407</v>
      </c>
      <c r="Q82" s="18">
        <f>I82*'Res Predicted Monthly'!$X$13</f>
        <v>35364.310104701661</v>
      </c>
      <c r="R82" s="18">
        <f>J82*'Res Predicted Monthly'!$X$14</f>
        <v>81555.193471266582</v>
      </c>
      <c r="S82" s="18">
        <f t="shared" si="10"/>
        <v>5697531.3306065481</v>
      </c>
      <c r="T82" s="18">
        <f t="shared" si="8"/>
        <v>-115463.07101749722</v>
      </c>
      <c r="U82" s="35">
        <f t="shared" si="9"/>
        <v>1.9862924861107543E-2</v>
      </c>
      <c r="X82" s="18"/>
      <c r="Y82" s="35"/>
    </row>
    <row r="83" spans="1:29">
      <c r="A83" s="541">
        <f>'Monthly Data'!A83</f>
        <v>44835</v>
      </c>
      <c r="B83">
        <f t="shared" si="11"/>
        <v>2022</v>
      </c>
      <c r="C83">
        <f t="shared" si="12"/>
        <v>10</v>
      </c>
      <c r="D83" s="31">
        <f>'Monthly Data'!F83</f>
        <v>6059998.8857399179</v>
      </c>
      <c r="E83" s="33">
        <f>'Monthly Data'!AS83</f>
        <v>324.60833333333329</v>
      </c>
      <c r="F83" s="33">
        <f>'Monthly Data'!AZ83</f>
        <v>7.2291666666666661</v>
      </c>
      <c r="G83" s="18">
        <f>'Monthly Data'!G83</f>
        <v>10208</v>
      </c>
      <c r="H83">
        <f>'Monthly Data'!BU83</f>
        <v>31</v>
      </c>
      <c r="I83" s="33">
        <f>'Monthly Data'!CQ83</f>
        <v>162.30416666666665</v>
      </c>
      <c r="J83" s="33">
        <f>'Monthly Data'!CX83</f>
        <v>3.614583333333333</v>
      </c>
      <c r="L83" s="18">
        <f>'Res Predicted Monthly'!$X$8</f>
        <v>-16404845.677784801</v>
      </c>
      <c r="M83" s="18">
        <f>E83*'Res Predicted Monthly'!$X$9</f>
        <v>2126706.5574549395</v>
      </c>
      <c r="N83" s="18">
        <f>F83*'Res Predicted Monthly'!$X$10</f>
        <v>105438.02678906269</v>
      </c>
      <c r="O83" s="18">
        <f>G83*'Res Predicted Monthly'!$X$11</f>
        <v>13750525.928934092</v>
      </c>
      <c r="P83" s="18">
        <f>H83*'Res Predicted Monthly'!$X$12</f>
        <v>6513250.5985030681</v>
      </c>
      <c r="Q83" s="18">
        <f>I83*'Res Predicted Monthly'!$X$13</f>
        <v>87778.122885808989</v>
      </c>
      <c r="R83" s="18">
        <f>J83*'Res Predicted Monthly'!$X$14</f>
        <v>7929.7388854879773</v>
      </c>
      <c r="S83" s="18">
        <f t="shared" si="10"/>
        <v>6186783.2956676604</v>
      </c>
      <c r="T83" s="18">
        <f t="shared" si="8"/>
        <v>126784.40992774256</v>
      </c>
      <c r="U83" s="35">
        <f t="shared" si="9"/>
        <v>2.0921523636924292E-2</v>
      </c>
      <c r="X83" s="18"/>
      <c r="Y83" s="35"/>
    </row>
    <row r="84" spans="1:29">
      <c r="A84" s="541">
        <f>'Monthly Data'!A84</f>
        <v>44866</v>
      </c>
      <c r="B84">
        <f t="shared" si="11"/>
        <v>2022</v>
      </c>
      <c r="C84">
        <f t="shared" si="12"/>
        <v>11</v>
      </c>
      <c r="D84" s="31">
        <f>'Monthly Data'!F84</f>
        <v>6806096.3698557913</v>
      </c>
      <c r="E84" s="33">
        <f>'Monthly Data'!AS84</f>
        <v>451.01250000000005</v>
      </c>
      <c r="F84" s="33">
        <f>'Monthly Data'!AZ84</f>
        <v>15.083333333333337</v>
      </c>
      <c r="G84" s="18">
        <f>'Monthly Data'!G84</f>
        <v>10218</v>
      </c>
      <c r="H84">
        <f>'Monthly Data'!BU84</f>
        <v>30</v>
      </c>
      <c r="I84" s="33">
        <f>'Monthly Data'!CQ84</f>
        <v>225.50625000000002</v>
      </c>
      <c r="J84" s="33">
        <f>'Monthly Data'!CX84</f>
        <v>7.5416666666666687</v>
      </c>
      <c r="L84" s="18">
        <f>'Res Predicted Monthly'!$X$8</f>
        <v>-16404845.677784801</v>
      </c>
      <c r="M84" s="18">
        <f>E84*'Res Predicted Monthly'!$X$9</f>
        <v>2954857.1085487003</v>
      </c>
      <c r="N84" s="18">
        <f>F84*'Res Predicted Monthly'!$X$10</f>
        <v>219991.73312761213</v>
      </c>
      <c r="O84" s="18">
        <f>G84*'Res Predicted Monthly'!$X$11</f>
        <v>13763996.271732813</v>
      </c>
      <c r="P84" s="18">
        <f>H84*'Res Predicted Monthly'!$X$12</f>
        <v>6303145.7404868407</v>
      </c>
      <c r="Q84" s="18">
        <f>I84*'Res Predicted Monthly'!$X$13</f>
        <v>121959.3786810852</v>
      </c>
      <c r="R84" s="18">
        <f>J84*'Res Predicted Monthly'!$X$14</f>
        <v>16545.045974332268</v>
      </c>
      <c r="S84" s="18">
        <f t="shared" si="10"/>
        <v>6975649.6007665833</v>
      </c>
      <c r="T84" s="18">
        <f t="shared" si="8"/>
        <v>169553.23091079202</v>
      </c>
      <c r="U84" s="35">
        <f t="shared" si="9"/>
        <v>2.4911964464938149E-2</v>
      </c>
      <c r="X84" s="18"/>
      <c r="Y84" s="35"/>
    </row>
    <row r="85" spans="1:29">
      <c r="A85" s="541">
        <f>'Monthly Data'!A85</f>
        <v>44896</v>
      </c>
      <c r="B85">
        <f t="shared" si="11"/>
        <v>2022</v>
      </c>
      <c r="C85">
        <f t="shared" si="12"/>
        <v>12</v>
      </c>
      <c r="D85" s="31">
        <f>'Monthly Data'!F85</f>
        <v>8382575.8539716648</v>
      </c>
      <c r="E85" s="33">
        <f>'Monthly Data'!AS85</f>
        <v>661.45416666666654</v>
      </c>
      <c r="F85" s="33">
        <f>'Monthly Data'!AZ85</f>
        <v>0</v>
      </c>
      <c r="G85" s="18">
        <f>'Monthly Data'!G85</f>
        <v>10223</v>
      </c>
      <c r="H85">
        <f>'Monthly Data'!BU85</f>
        <v>31</v>
      </c>
      <c r="I85" s="33">
        <f>'Monthly Data'!CQ85</f>
        <v>330.72708333333327</v>
      </c>
      <c r="J85" s="33">
        <f>'Monthly Data'!CX85</f>
        <v>0</v>
      </c>
      <c r="L85" s="18">
        <f>'Res Predicted Monthly'!$X$8</f>
        <v>-16404845.677784801</v>
      </c>
      <c r="M85" s="18">
        <f>E85*'Res Predicted Monthly'!$X$9</f>
        <v>4333588.4179577203</v>
      </c>
      <c r="N85" s="18">
        <f>F85*'Res Predicted Monthly'!$X$10</f>
        <v>0</v>
      </c>
      <c r="O85" s="18">
        <f>G85*'Res Predicted Monthly'!$X$11</f>
        <v>13770731.443132173</v>
      </c>
      <c r="P85" s="18">
        <f>H85*'Res Predicted Monthly'!$X$12</f>
        <v>6513250.5985030681</v>
      </c>
      <c r="Q85" s="18">
        <f>I85*'Res Predicted Monthly'!$X$13</f>
        <v>178865.41768283944</v>
      </c>
      <c r="R85" s="18">
        <f>J85*'Res Predicted Monthly'!$X$14</f>
        <v>0</v>
      </c>
      <c r="S85" s="18">
        <f t="shared" si="10"/>
        <v>8391590.1994909998</v>
      </c>
      <c r="T85" s="18">
        <f t="shared" si="8"/>
        <v>9014.3455193350092</v>
      </c>
      <c r="U85" s="35">
        <f t="shared" si="9"/>
        <v>1.0753670084672137E-3</v>
      </c>
      <c r="X85" s="18"/>
      <c r="Y85" s="35"/>
    </row>
    <row r="86" spans="1:29">
      <c r="A86" s="541">
        <f>'Monthly Data'!A86</f>
        <v>44927</v>
      </c>
      <c r="B86">
        <f t="shared" si="11"/>
        <v>2023</v>
      </c>
      <c r="C86">
        <f t="shared" si="12"/>
        <v>1</v>
      </c>
      <c r="D86" s="31">
        <f>'Monthly Data'!F86</f>
        <v>8740554.5448313784</v>
      </c>
      <c r="E86" s="33">
        <f>'Monthly Data'!AS86</f>
        <v>759.78333333333342</v>
      </c>
      <c r="F86" s="33">
        <f>'Monthly Data'!AZ86</f>
        <v>0</v>
      </c>
      <c r="G86" s="18">
        <f>'Monthly Data'!G86</f>
        <v>10225</v>
      </c>
      <c r="H86">
        <f>'Monthly Data'!BU86</f>
        <v>31</v>
      </c>
      <c r="I86" s="33">
        <f>'Monthly Data'!CQ86</f>
        <v>189.94583333333335</v>
      </c>
      <c r="J86" s="33">
        <f>'Monthly Data'!CX86</f>
        <v>0</v>
      </c>
      <c r="L86" s="18">
        <f>'Res Predicted Monthly'!$X$8</f>
        <v>-16404845.677784801</v>
      </c>
      <c r="M86" s="18">
        <f>E86*'Res Predicted Monthly'!$X$9</f>
        <v>4977802.5741123073</v>
      </c>
      <c r="N86" s="18">
        <f>F86*'Res Predicted Monthly'!$X$10</f>
        <v>0</v>
      </c>
      <c r="O86" s="18">
        <f>G86*'Res Predicted Monthly'!$X$11</f>
        <v>13773425.511691917</v>
      </c>
      <c r="P86" s="18">
        <f>H86*'Res Predicted Monthly'!$X$12</f>
        <v>6513250.5985030681</v>
      </c>
      <c r="Q86" s="18">
        <f>I86*'Res Predicted Monthly'!$X$13</f>
        <v>102727.42248338704</v>
      </c>
      <c r="R86" s="18">
        <f>J86*'Res Predicted Monthly'!$X$14</f>
        <v>0</v>
      </c>
      <c r="S86" s="18">
        <f t="shared" si="10"/>
        <v>8962360.429005878</v>
      </c>
      <c r="T86" s="18">
        <f t="shared" si="8"/>
        <v>221805.88417449966</v>
      </c>
      <c r="U86" s="35">
        <f t="shared" si="9"/>
        <v>2.5376637493288327E-2</v>
      </c>
      <c r="X86" s="18"/>
      <c r="Y86" s="35"/>
    </row>
    <row r="87" spans="1:29">
      <c r="A87" s="541">
        <f>'Monthly Data'!A87</f>
        <v>44958</v>
      </c>
      <c r="B87">
        <f t="shared" si="11"/>
        <v>2023</v>
      </c>
      <c r="C87">
        <f t="shared" si="12"/>
        <v>2</v>
      </c>
      <c r="D87" s="31">
        <f>'Monthly Data'!F87</f>
        <v>8231333.1919643153</v>
      </c>
      <c r="E87" s="33">
        <f>'Monthly Data'!AS87</f>
        <v>737.05833333333328</v>
      </c>
      <c r="F87" s="33">
        <f>'Monthly Data'!AZ87</f>
        <v>0</v>
      </c>
      <c r="G87" s="18">
        <f>'Monthly Data'!G87</f>
        <v>10255</v>
      </c>
      <c r="H87">
        <f>'Monthly Data'!BU87</f>
        <v>28</v>
      </c>
      <c r="I87" s="33">
        <f>'Monthly Data'!CQ87</f>
        <v>184.26458333333332</v>
      </c>
      <c r="J87" s="33">
        <f>'Monthly Data'!CX87</f>
        <v>0</v>
      </c>
      <c r="L87" s="18">
        <f>'Res Predicted Monthly'!$X$8</f>
        <v>-16404845.677784801</v>
      </c>
      <c r="M87" s="18">
        <f>E87*'Res Predicted Monthly'!$X$9</f>
        <v>4828917.2820377648</v>
      </c>
      <c r="N87" s="18">
        <f>F87*'Res Predicted Monthly'!$X$10</f>
        <v>0</v>
      </c>
      <c r="O87" s="18">
        <f>G87*'Res Predicted Monthly'!$X$11</f>
        <v>13813836.540088078</v>
      </c>
      <c r="P87" s="18">
        <f>H87*'Res Predicted Monthly'!$X$12</f>
        <v>5882936.0244543841</v>
      </c>
      <c r="Q87" s="18">
        <f>I87*'Res Predicted Monthly'!$X$13</f>
        <v>99654.861434050617</v>
      </c>
      <c r="R87" s="18">
        <f>J87*'Res Predicted Monthly'!$X$14</f>
        <v>0</v>
      </c>
      <c r="S87" s="18">
        <f t="shared" si="10"/>
        <v>8220499.0302294772</v>
      </c>
      <c r="T87" s="18">
        <f t="shared" si="8"/>
        <v>-10834.161734838039</v>
      </c>
      <c r="U87" s="35">
        <f t="shared" si="9"/>
        <v>1.3162098389377173E-3</v>
      </c>
      <c r="X87" s="18"/>
      <c r="Y87" s="35"/>
    </row>
    <row r="88" spans="1:29">
      <c r="A88" s="541">
        <f>'Monthly Data'!A88</f>
        <v>44986</v>
      </c>
      <c r="B88">
        <f t="shared" si="11"/>
        <v>2023</v>
      </c>
      <c r="C88">
        <f t="shared" si="12"/>
        <v>3</v>
      </c>
      <c r="D88" s="31">
        <f>'Monthly Data'!F88</f>
        <v>7931351.8390972503</v>
      </c>
      <c r="E88" s="33">
        <f>'Monthly Data'!AS88</f>
        <v>628.10000000000025</v>
      </c>
      <c r="F88" s="33">
        <f>'Monthly Data'!AZ88</f>
        <v>0</v>
      </c>
      <c r="G88" s="18">
        <f>'Monthly Data'!G88</f>
        <v>10268</v>
      </c>
      <c r="H88">
        <f>'Monthly Data'!BU88</f>
        <v>31</v>
      </c>
      <c r="I88" s="33">
        <f>'Monthly Data'!CQ88</f>
        <v>157.02500000000006</v>
      </c>
      <c r="J88" s="33">
        <f>'Monthly Data'!CX88</f>
        <v>0</v>
      </c>
      <c r="L88" s="18">
        <f>'Res Predicted Monthly'!$X$8</f>
        <v>-16404845.677784801</v>
      </c>
      <c r="M88" s="18">
        <f>E88*'Res Predicted Monthly'!$X$9</f>
        <v>4115064.9923881032</v>
      </c>
      <c r="N88" s="18">
        <f>F88*'Res Predicted Monthly'!$X$10</f>
        <v>0</v>
      </c>
      <c r="O88" s="18">
        <f>G88*'Res Predicted Monthly'!$X$11</f>
        <v>13831347.985726416</v>
      </c>
      <c r="P88" s="18">
        <f>H88*'Res Predicted Monthly'!$X$12</f>
        <v>6513250.5985030681</v>
      </c>
      <c r="Q88" s="18">
        <f>I88*'Res Predicted Monthly'!$X$13</f>
        <v>84923.018485728928</v>
      </c>
      <c r="R88" s="18">
        <f>J88*'Res Predicted Monthly'!$X$14</f>
        <v>0</v>
      </c>
      <c r="S88" s="18">
        <f t="shared" si="10"/>
        <v>8139740.9173185155</v>
      </c>
      <c r="T88" s="18">
        <f t="shared" si="8"/>
        <v>208389.07822126523</v>
      </c>
      <c r="U88" s="35">
        <f t="shared" si="9"/>
        <v>2.6274093300718351E-2</v>
      </c>
    </row>
    <row r="89" spans="1:29">
      <c r="A89" s="541">
        <f>'Monthly Data'!A89</f>
        <v>45017</v>
      </c>
      <c r="B89">
        <f t="shared" si="11"/>
        <v>2023</v>
      </c>
      <c r="C89">
        <f t="shared" si="12"/>
        <v>4</v>
      </c>
      <c r="D89" s="31">
        <f>'Monthly Data'!F89</f>
        <v>6481760.4862301862</v>
      </c>
      <c r="E89" s="33">
        <f>'Monthly Data'!AS89</f>
        <v>360.70833333333337</v>
      </c>
      <c r="F89" s="33">
        <f>'Monthly Data'!AZ89</f>
        <v>7.1333333333333417</v>
      </c>
      <c r="G89" s="18">
        <f>'Monthly Data'!G89</f>
        <v>10271</v>
      </c>
      <c r="H89">
        <f>'Monthly Data'!BU89</f>
        <v>30</v>
      </c>
      <c r="I89" s="33">
        <f>'Monthly Data'!CQ89</f>
        <v>90.177083333333343</v>
      </c>
      <c r="J89" s="33">
        <f>'Monthly Data'!CX89</f>
        <v>1.7833333333333354</v>
      </c>
      <c r="L89" s="18">
        <f>'Res Predicted Monthly'!$X$8</f>
        <v>-16404845.677784801</v>
      </c>
      <c r="M89" s="18">
        <f>E89*'Res Predicted Monthly'!$X$9</f>
        <v>2363219.6066910652</v>
      </c>
      <c r="N89" s="18">
        <f>F89*'Res Predicted Monthly'!$X$10</f>
        <v>104040.28925814152</v>
      </c>
      <c r="O89" s="18">
        <f>G89*'Res Predicted Monthly'!$X$11</f>
        <v>13835389.088566031</v>
      </c>
      <c r="P89" s="18">
        <f>H89*'Res Predicted Monthly'!$X$12</f>
        <v>6303145.7404868407</v>
      </c>
      <c r="Q89" s="18">
        <f>I89*'Res Predicted Monthly'!$X$13</f>
        <v>48770.005508076953</v>
      </c>
      <c r="R89" s="18">
        <f>J89*'Res Predicted Monthly'!$X$14</f>
        <v>3912.30921382001</v>
      </c>
      <c r="S89" s="18">
        <f t="shared" si="10"/>
        <v>6253631.361939176</v>
      </c>
      <c r="T89" s="18">
        <f t="shared" si="8"/>
        <v>-228129.1242910102</v>
      </c>
      <c r="U89" s="35">
        <f t="shared" si="9"/>
        <v>3.5195549847243872E-2</v>
      </c>
      <c r="X89" s="18"/>
    </row>
    <row r="90" spans="1:29">
      <c r="A90" s="541">
        <f>'Monthly Data'!A90</f>
        <v>45047</v>
      </c>
      <c r="B90">
        <f t="shared" si="11"/>
        <v>2023</v>
      </c>
      <c r="C90">
        <f t="shared" si="12"/>
        <v>5</v>
      </c>
      <c r="D90" s="31">
        <f>'Monthly Data'!F90</f>
        <v>5935915.1333631221</v>
      </c>
      <c r="E90" s="33">
        <f>'Monthly Data'!AS90</f>
        <v>177.13750000000005</v>
      </c>
      <c r="F90" s="33">
        <f>'Monthly Data'!AZ90</f>
        <v>64.672916666666652</v>
      </c>
      <c r="G90" s="18">
        <f>'Monthly Data'!G90</f>
        <v>10275</v>
      </c>
      <c r="H90">
        <f>'Monthly Data'!BU90</f>
        <v>31</v>
      </c>
      <c r="I90" s="33">
        <f>'Monthly Data'!CQ90</f>
        <v>44.284375000000011</v>
      </c>
      <c r="J90" s="33">
        <f>'Monthly Data'!CX90</f>
        <v>16.168229166666663</v>
      </c>
      <c r="L90" s="18">
        <f>'Res Predicted Monthly'!$X$8</f>
        <v>-16404845.677784801</v>
      </c>
      <c r="M90" s="18">
        <f>E90*'Res Predicted Monthly'!$X$9</f>
        <v>1160535.4642400055</v>
      </c>
      <c r="N90" s="18">
        <f>F90*'Res Predicted Monthly'!$X$10</f>
        <v>943260.134182384</v>
      </c>
      <c r="O90" s="18">
        <f>G90*'Res Predicted Monthly'!$X$11</f>
        <v>13840777.22568552</v>
      </c>
      <c r="P90" s="18">
        <f>H90*'Res Predicted Monthly'!$X$12</f>
        <v>6513250.5985030681</v>
      </c>
      <c r="Q90" s="18">
        <f>I90*'Res Predicted Monthly'!$X$13</f>
        <v>23950.089455525882</v>
      </c>
      <c r="R90" s="18">
        <f>J90*'Res Predicted Monthly'!$X$14</f>
        <v>35470.156227983178</v>
      </c>
      <c r="S90" s="18">
        <f t="shared" si="10"/>
        <v>6112397.990509687</v>
      </c>
      <c r="T90" s="18">
        <f t="shared" si="8"/>
        <v>176482.85714656487</v>
      </c>
      <c r="U90" s="35">
        <f t="shared" si="9"/>
        <v>2.9731364613795389E-2</v>
      </c>
      <c r="X90" s="18"/>
      <c r="Y90" s="34"/>
      <c r="AA90" s="18"/>
      <c r="AB90" s="18"/>
      <c r="AC90" s="73"/>
    </row>
    <row r="91" spans="1:29">
      <c r="A91" s="541">
        <f>'Monthly Data'!A91</f>
        <v>45078</v>
      </c>
      <c r="B91">
        <f t="shared" si="11"/>
        <v>2023</v>
      </c>
      <c r="C91">
        <f t="shared" si="12"/>
        <v>6</v>
      </c>
      <c r="D91" s="31">
        <f>'Monthly Data'!F91</f>
        <v>6617170.7804960571</v>
      </c>
      <c r="E91" s="33">
        <f>'Monthly Data'!AS91</f>
        <v>38.23749999999999</v>
      </c>
      <c r="F91" s="33">
        <f>'Monthly Data'!AZ91</f>
        <v>176.22499999999999</v>
      </c>
      <c r="G91" s="18">
        <f>'Monthly Data'!G91</f>
        <v>10280</v>
      </c>
      <c r="H91">
        <f>'Monthly Data'!BU91</f>
        <v>30</v>
      </c>
      <c r="I91" s="33">
        <f>'Monthly Data'!CQ91</f>
        <v>9.5593749999999975</v>
      </c>
      <c r="J91" s="33">
        <f>'Monthly Data'!CX91</f>
        <v>44.056249999999999</v>
      </c>
      <c r="L91" s="18">
        <f>'Res Predicted Monthly'!$X$8</f>
        <v>-16404845.677784801</v>
      </c>
      <c r="M91" s="18">
        <f>E91*'Res Predicted Monthly'!$X$9</f>
        <v>250517.11136194872</v>
      </c>
      <c r="N91" s="18">
        <f>F91*'Res Predicted Monthly'!$X$10</f>
        <v>2570257.0057732663</v>
      </c>
      <c r="O91" s="18">
        <f>G91*'Res Predicted Monthly'!$X$11</f>
        <v>13847512.397084881</v>
      </c>
      <c r="P91" s="18">
        <f>H91*'Res Predicted Monthly'!$X$12</f>
        <v>6303145.7404868407</v>
      </c>
      <c r="Q91" s="18">
        <f>I91*'Res Predicted Monthly'!$X$13</f>
        <v>5169.9473321892337</v>
      </c>
      <c r="R91" s="18">
        <f>J91*'Res Predicted Monthly'!$X$14</f>
        <v>96651.405309172478</v>
      </c>
      <c r="S91" s="18">
        <f t="shared" si="10"/>
        <v>6668407.9295634981</v>
      </c>
      <c r="T91" s="18">
        <f t="shared" si="8"/>
        <v>51237.149067441002</v>
      </c>
      <c r="U91" s="35">
        <f t="shared" si="9"/>
        <v>7.7430598010952353E-3</v>
      </c>
      <c r="X91" s="18"/>
      <c r="Y91" s="34"/>
      <c r="AA91" s="18"/>
      <c r="AB91" s="18"/>
      <c r="AC91" s="73"/>
    </row>
    <row r="92" spans="1:29">
      <c r="A92" s="541">
        <f>'Monthly Data'!A92</f>
        <v>45108</v>
      </c>
      <c r="B92">
        <f t="shared" si="11"/>
        <v>2023</v>
      </c>
      <c r="C92">
        <f t="shared" si="12"/>
        <v>7</v>
      </c>
      <c r="D92" s="31">
        <f>'Monthly Data'!F92</f>
        <v>8069819.4276289931</v>
      </c>
      <c r="E92" s="33">
        <f>'Monthly Data'!AS92</f>
        <v>6.454166666666671</v>
      </c>
      <c r="F92" s="33">
        <f>'Monthly Data'!AZ92</f>
        <v>255.62083333333328</v>
      </c>
      <c r="G92" s="18">
        <f>'Monthly Data'!G92</f>
        <v>10278</v>
      </c>
      <c r="H92">
        <f>'Monthly Data'!BU92</f>
        <v>31</v>
      </c>
      <c r="I92" s="33">
        <f>'Monthly Data'!CQ92</f>
        <v>1.6135416666666678</v>
      </c>
      <c r="J92" s="33">
        <f>'Monthly Data'!CX92</f>
        <v>63.90520833333332</v>
      </c>
      <c r="L92" s="18">
        <f>'Res Predicted Monthly'!$X$8</f>
        <v>-16404845.677784801</v>
      </c>
      <c r="M92" s="18">
        <f>E92*'Res Predicted Monthly'!$X$9</f>
        <v>42285.170044639744</v>
      </c>
      <c r="N92" s="18">
        <f>F92*'Res Predicted Monthly'!$X$10</f>
        <v>3728252.1645430578</v>
      </c>
      <c r="O92" s="18">
        <f>G92*'Res Predicted Monthly'!$X$11</f>
        <v>13844818.328525137</v>
      </c>
      <c r="P92" s="18">
        <f>H92*'Res Predicted Monthly'!$X$12</f>
        <v>6513250.5985030681</v>
      </c>
      <c r="Q92" s="18">
        <f>I92*'Res Predicted Monthly'!$X$13</f>
        <v>872.64339300001427</v>
      </c>
      <c r="R92" s="18">
        <f>J92*'Res Predicted Monthly'!$X$14</f>
        <v>140196.4123590207</v>
      </c>
      <c r="S92" s="18">
        <f t="shared" si="10"/>
        <v>7864829.639583122</v>
      </c>
      <c r="T92" s="18">
        <f t="shared" si="8"/>
        <v>-204989.78804587107</v>
      </c>
      <c r="U92" s="35">
        <f t="shared" si="9"/>
        <v>2.5402029114064015E-2</v>
      </c>
      <c r="X92" s="18"/>
      <c r="Y92" s="34"/>
      <c r="AA92" s="18"/>
      <c r="AB92" s="18"/>
      <c r="AC92" s="73"/>
    </row>
    <row r="93" spans="1:29">
      <c r="A93" s="541">
        <f>'Monthly Data'!A93</f>
        <v>45139</v>
      </c>
      <c r="B93">
        <f t="shared" si="11"/>
        <v>2023</v>
      </c>
      <c r="C93">
        <f t="shared" si="12"/>
        <v>8</v>
      </c>
      <c r="D93" s="31">
        <f>'Monthly Data'!F93</f>
        <v>6590759.074761929</v>
      </c>
      <c r="E93" s="33">
        <f>'Monthly Data'!AS93</f>
        <v>30.016666666666659</v>
      </c>
      <c r="F93" s="33">
        <f>'Monthly Data'!AZ93</f>
        <v>170.83333333333337</v>
      </c>
      <c r="G93" s="18">
        <f>'Monthly Data'!G93</f>
        <v>10295</v>
      </c>
      <c r="H93">
        <f>'Monthly Data'!BU93</f>
        <v>31</v>
      </c>
      <c r="I93" s="33">
        <f>'Monthly Data'!CQ93</f>
        <v>7.5041666666666647</v>
      </c>
      <c r="J93" s="33">
        <f>'Monthly Data'!CX93</f>
        <v>42.708333333333343</v>
      </c>
      <c r="L93" s="18">
        <f>'Res Predicted Monthly'!$X$8</f>
        <v>-16404845.677784801</v>
      </c>
      <c r="M93" s="18">
        <f>E93*'Res Predicted Monthly'!$X$9</f>
        <v>196657.43382929917</v>
      </c>
      <c r="N93" s="18">
        <f>F93*'Res Predicted Monthly'!$X$10</f>
        <v>2491619.0768596954</v>
      </c>
      <c r="O93" s="18">
        <f>G93*'Res Predicted Monthly'!$X$11</f>
        <v>13867717.911282962</v>
      </c>
      <c r="P93" s="18">
        <f>H93*'Res Predicted Monthly'!$X$12</f>
        <v>6513250.5985030681</v>
      </c>
      <c r="Q93" s="18">
        <f>I93*'Res Predicted Monthly'!$X$13</f>
        <v>4058.4396405242719</v>
      </c>
      <c r="R93" s="18">
        <f>J93*'Res Predicted Monthly'!$X$14</f>
        <v>93694.321125362287</v>
      </c>
      <c r="S93" s="18">
        <f t="shared" si="10"/>
        <v>6762152.1034561116</v>
      </c>
      <c r="T93" s="18">
        <f t="shared" si="8"/>
        <v>171393.02869418263</v>
      </c>
      <c r="U93" s="35">
        <f t="shared" si="9"/>
        <v>2.6005051428825546E-2</v>
      </c>
      <c r="X93" s="18"/>
      <c r="Y93" s="34"/>
      <c r="AA93" s="18"/>
      <c r="AB93" s="18"/>
      <c r="AC93" s="73"/>
    </row>
    <row r="94" spans="1:29">
      <c r="A94" s="541">
        <f>'Monthly Data'!A94</f>
        <v>45170</v>
      </c>
      <c r="B94">
        <f t="shared" si="11"/>
        <v>2023</v>
      </c>
      <c r="C94">
        <f t="shared" si="12"/>
        <v>9</v>
      </c>
      <c r="D94" s="31">
        <f>'Monthly Data'!F94</f>
        <v>6146868.721894864</v>
      </c>
      <c r="E94" s="33">
        <f>'Monthly Data'!AS94</f>
        <v>112.94166666666663</v>
      </c>
      <c r="F94" s="33">
        <f>'Monthly Data'!AZ94</f>
        <v>103.32083333333338</v>
      </c>
      <c r="G94" s="18">
        <f>'Monthly Data'!G94</f>
        <v>10291</v>
      </c>
      <c r="H94">
        <f>'Monthly Data'!BU94</f>
        <v>30</v>
      </c>
      <c r="I94" s="33">
        <f>'Monthly Data'!CQ94</f>
        <v>28.235416666666659</v>
      </c>
      <c r="J94" s="33">
        <f>'Monthly Data'!CX94</f>
        <v>25.830208333333346</v>
      </c>
      <c r="L94" s="18">
        <f>'Res Predicted Monthly'!$X$8</f>
        <v>-16404845.677784801</v>
      </c>
      <c r="M94" s="18">
        <f>E94*'Res Predicted Monthly'!$X$9</f>
        <v>739949.52823111927</v>
      </c>
      <c r="N94" s="18">
        <f>F94*'Res Predicted Monthly'!$X$10</f>
        <v>1506943.3719241433</v>
      </c>
      <c r="O94" s="18">
        <f>G94*'Res Predicted Monthly'!$X$11</f>
        <v>13862329.774163473</v>
      </c>
      <c r="P94" s="18">
        <f>H94*'Res Predicted Monthly'!$X$12</f>
        <v>6303145.7404868407</v>
      </c>
      <c r="Q94" s="18">
        <f>I94*'Res Predicted Monthly'!$X$13</f>
        <v>15270.414338707789</v>
      </c>
      <c r="R94" s="18">
        <f>J94*'Res Predicted Monthly'!$X$14</f>
        <v>56666.782462088035</v>
      </c>
      <c r="S94" s="18">
        <f t="shared" si="10"/>
        <v>6079459.9338215729</v>
      </c>
      <c r="T94" s="18">
        <f t="shared" si="8"/>
        <v>-67408.788073291071</v>
      </c>
      <c r="U94" s="35">
        <f t="shared" si="9"/>
        <v>1.0966362081751325E-2</v>
      </c>
      <c r="X94" s="18"/>
      <c r="Y94" s="34"/>
      <c r="AA94" s="18"/>
      <c r="AB94" s="18"/>
      <c r="AC94" s="73"/>
    </row>
    <row r="95" spans="1:29">
      <c r="A95" s="541">
        <f>'Monthly Data'!A95</f>
        <v>45200</v>
      </c>
      <c r="B95">
        <f t="shared" si="11"/>
        <v>2023</v>
      </c>
      <c r="C95">
        <f t="shared" si="12"/>
        <v>10</v>
      </c>
      <c r="D95" s="31">
        <f>'Monthly Data'!F95</f>
        <v>6311574.3690277999</v>
      </c>
      <c r="E95" s="33">
        <f>'Monthly Data'!AS95</f>
        <v>250.95</v>
      </c>
      <c r="F95" s="33">
        <f>'Monthly Data'!AZ95</f>
        <v>46.733333333333334</v>
      </c>
      <c r="G95" s="18">
        <f>'Monthly Data'!G95</f>
        <v>10304</v>
      </c>
      <c r="H95">
        <f>'Monthly Data'!BU95</f>
        <v>31</v>
      </c>
      <c r="I95" s="33">
        <f>'Monthly Data'!CQ95</f>
        <v>62.737499999999997</v>
      </c>
      <c r="J95" s="33">
        <f>'Monthly Data'!CX95</f>
        <v>11.683333333333334</v>
      </c>
      <c r="L95" s="18">
        <f>'Res Predicted Monthly'!$X$8</f>
        <v>-16404845.677784801</v>
      </c>
      <c r="M95" s="18">
        <f>E95*'Res Predicted Monthly'!$X$9</f>
        <v>1644126.0306317369</v>
      </c>
      <c r="N95" s="18">
        <f>F95*'Res Predicted Monthly'!$X$10</f>
        <v>681609.74551361799</v>
      </c>
      <c r="O95" s="18">
        <f>G95*'Res Predicted Monthly'!$X$11</f>
        <v>13879841.21980181</v>
      </c>
      <c r="P95" s="18">
        <f>H95*'Res Predicted Monthly'!$X$12</f>
        <v>6513250.5985030681</v>
      </c>
      <c r="Q95" s="18">
        <f>I95*'Res Predicted Monthly'!$X$13</f>
        <v>33929.997594322027</v>
      </c>
      <c r="R95" s="18">
        <f>J95*'Res Predicted Monthly'!$X$14</f>
        <v>25631.109896147886</v>
      </c>
      <c r="S95" s="18">
        <f t="shared" si="10"/>
        <v>6373543.0241559008</v>
      </c>
      <c r="T95" s="18">
        <f t="shared" si="8"/>
        <v>61968.655128100887</v>
      </c>
      <c r="U95" s="35">
        <f t="shared" si="9"/>
        <v>9.8182563501420326E-3</v>
      </c>
      <c r="X95" s="18"/>
      <c r="Y95" s="34"/>
      <c r="AA95" s="18"/>
      <c r="AB95" s="18"/>
      <c r="AC95" s="73"/>
    </row>
    <row r="96" spans="1:29">
      <c r="A96" s="541">
        <f>'Monthly Data'!A96</f>
        <v>45231</v>
      </c>
      <c r="B96">
        <f t="shared" si="11"/>
        <v>2023</v>
      </c>
      <c r="C96">
        <f t="shared" si="12"/>
        <v>11</v>
      </c>
      <c r="D96" s="31">
        <f>'Monthly Data'!F96</f>
        <v>7441339.0161607359</v>
      </c>
      <c r="E96" s="33">
        <f>'Monthly Data'!AS96</f>
        <v>556.27291666666667</v>
      </c>
      <c r="F96" s="33">
        <f>'Monthly Data'!AZ96</f>
        <v>0</v>
      </c>
      <c r="G96" s="18">
        <f>'Monthly Data'!G96</f>
        <v>10324</v>
      </c>
      <c r="H96">
        <f>'Monthly Data'!BU96</f>
        <v>30</v>
      </c>
      <c r="I96" s="33">
        <f>'Monthly Data'!CQ96</f>
        <v>139.06822916666667</v>
      </c>
      <c r="J96" s="33">
        <f>'Monthly Data'!CX96</f>
        <v>0</v>
      </c>
      <c r="L96" s="18">
        <f>'Res Predicted Monthly'!$X$8</f>
        <v>-16404845.677784801</v>
      </c>
      <c r="M96" s="18">
        <f>E96*'Res Predicted Monthly'!$X$9</f>
        <v>3644482.0977370222</v>
      </c>
      <c r="N96" s="18">
        <f>F96*'Res Predicted Monthly'!$X$10</f>
        <v>0</v>
      </c>
      <c r="O96" s="18">
        <f>G96*'Res Predicted Monthly'!$X$11</f>
        <v>13906781.905399252</v>
      </c>
      <c r="P96" s="18">
        <f>H96*'Res Predicted Monthly'!$X$12</f>
        <v>6303145.7404868407</v>
      </c>
      <c r="Q96" s="18">
        <f>I96*'Res Predicted Monthly'!$X$13</f>
        <v>75211.551003333327</v>
      </c>
      <c r="R96" s="18">
        <f>J96*'Res Predicted Monthly'!$X$14</f>
        <v>0</v>
      </c>
      <c r="S96" s="18">
        <f t="shared" si="10"/>
        <v>7524775.6168416468</v>
      </c>
      <c r="T96" s="18">
        <f t="shared" si="8"/>
        <v>83436.600680910982</v>
      </c>
      <c r="U96" s="35">
        <f t="shared" si="9"/>
        <v>1.1212578878573796E-2</v>
      </c>
      <c r="X96" s="18"/>
      <c r="Y96" s="34"/>
      <c r="AA96" s="18"/>
      <c r="AB96" s="18"/>
      <c r="AC96" s="73"/>
    </row>
    <row r="97" spans="1:29">
      <c r="A97" s="541">
        <f>'Monthly Data'!A97</f>
        <v>45261</v>
      </c>
      <c r="B97">
        <f t="shared" si="11"/>
        <v>2023</v>
      </c>
      <c r="C97">
        <f t="shared" si="12"/>
        <v>12</v>
      </c>
      <c r="D97" s="31">
        <f>'Monthly Data'!F97</f>
        <v>8512565.6632936709</v>
      </c>
      <c r="E97" s="33">
        <f>'Monthly Data'!AS97</f>
        <v>651.16250000000025</v>
      </c>
      <c r="F97" s="33">
        <f>'Monthly Data'!AZ97</f>
        <v>0</v>
      </c>
      <c r="G97" s="18">
        <f>'Monthly Data'!G97</f>
        <v>10326</v>
      </c>
      <c r="H97">
        <f>'Monthly Data'!BU97</f>
        <v>31</v>
      </c>
      <c r="I97" s="33">
        <f>'Monthly Data'!CQ97</f>
        <v>162.79062500000006</v>
      </c>
      <c r="J97" s="33">
        <f>'Monthly Data'!CX97</f>
        <v>0</v>
      </c>
      <c r="L97" s="18">
        <f>'Res Predicted Monthly'!$X$8</f>
        <v>-16404845.677784801</v>
      </c>
      <c r="M97" s="18">
        <f>E97*'Res Predicted Monthly'!$X$9</f>
        <v>4266161.4521667222</v>
      </c>
      <c r="N97" s="18">
        <f>F97*'Res Predicted Monthly'!$X$10</f>
        <v>0</v>
      </c>
      <c r="O97" s="18">
        <f>G97*'Res Predicted Monthly'!$X$11</f>
        <v>13909475.973958995</v>
      </c>
      <c r="P97" s="18">
        <f>H97*'Res Predicted Monthly'!$X$12</f>
        <v>6513250.5985030681</v>
      </c>
      <c r="Q97" s="18">
        <f>I97*'Res Predicted Monthly'!$X$13</f>
        <v>88041.211629857455</v>
      </c>
      <c r="R97" s="18">
        <f>J97*'Res Predicted Monthly'!$X$14</f>
        <v>0</v>
      </c>
      <c r="S97" s="18">
        <f t="shared" si="10"/>
        <v>8372083.5584738413</v>
      </c>
      <c r="T97" s="18">
        <f t="shared" si="8"/>
        <v>-140482.10481982958</v>
      </c>
      <c r="U97" s="35">
        <f t="shared" si="9"/>
        <v>1.650290997761002E-2</v>
      </c>
      <c r="X97" s="18"/>
      <c r="Y97" s="34"/>
      <c r="AA97" s="18"/>
      <c r="AB97" s="18"/>
      <c r="AC97" s="73"/>
    </row>
    <row r="98" spans="1:29">
      <c r="A98" s="541">
        <f>'Monthly Data'!A98</f>
        <v>45292</v>
      </c>
      <c r="B98">
        <f t="shared" si="11"/>
        <v>2024</v>
      </c>
      <c r="C98">
        <f t="shared" si="12"/>
        <v>1</v>
      </c>
      <c r="D98" s="31">
        <f>'Monthly Data'!F98</f>
        <v>10058510.850234345</v>
      </c>
      <c r="E98" s="33">
        <f>'Monthly Data'!AS98</f>
        <v>767.07916666666677</v>
      </c>
      <c r="F98" s="33">
        <f>'Monthly Data'!AZ98</f>
        <v>0</v>
      </c>
      <c r="G98" s="18">
        <f>'Monthly Data'!G98</f>
        <v>10337</v>
      </c>
      <c r="H98">
        <f>'Monthly Data'!BU98</f>
        <v>31</v>
      </c>
      <c r="I98" s="33">
        <f>'Monthly Data'!CQ98</f>
        <v>191.76979166666669</v>
      </c>
      <c r="J98" s="33">
        <f>'Monthly Data'!CX98</f>
        <v>0</v>
      </c>
      <c r="L98" s="18">
        <f>'Res Predicted Monthly'!$X$8</f>
        <v>-16404845.677784801</v>
      </c>
      <c r="M98" s="18">
        <f>E98*'Res Predicted Monthly'!$X$9</f>
        <v>5025602.014233782</v>
      </c>
      <c r="N98" s="18">
        <f>F98*'Res Predicted Monthly'!$X$10</f>
        <v>0</v>
      </c>
      <c r="O98" s="18">
        <f>G98*'Res Predicted Monthly'!$X$11</f>
        <v>13924293.351037588</v>
      </c>
      <c r="P98" s="18">
        <f>H98*'Res Predicted Monthly'!$X$12</f>
        <v>6513250.5985030681</v>
      </c>
      <c r="Q98" s="18">
        <f>I98*'Res Predicted Monthly'!$X$13</f>
        <v>103713.86443376988</v>
      </c>
      <c r="R98" s="18">
        <f>J98*'Res Predicted Monthly'!$X$14</f>
        <v>0</v>
      </c>
      <c r="S98" s="18">
        <f t="shared" si="10"/>
        <v>9162014.1504234076</v>
      </c>
      <c r="T98" s="18">
        <f t="shared" ref="T98:T121" si="13">S98-D98</f>
        <v>-896496.69981093705</v>
      </c>
      <c r="U98" s="35">
        <f t="shared" ref="U98:U121" si="14">ABS(T98/D98)</f>
        <v>8.9128173460194693E-2</v>
      </c>
      <c r="X98" s="18"/>
      <c r="Y98" s="34"/>
      <c r="AA98" s="18"/>
      <c r="AB98" s="18"/>
      <c r="AC98" s="73"/>
    </row>
    <row r="99" spans="1:29">
      <c r="A99" s="541">
        <f>'Monthly Data'!A99</f>
        <v>45323</v>
      </c>
      <c r="B99">
        <f t="shared" si="11"/>
        <v>2024</v>
      </c>
      <c r="C99">
        <f t="shared" si="12"/>
        <v>2</v>
      </c>
      <c r="D99" s="31">
        <f>'Monthly Data'!F99</f>
        <v>7527358.4163905876</v>
      </c>
      <c r="E99" s="33">
        <f>'Monthly Data'!AS99</f>
        <v>653.87916666666672</v>
      </c>
      <c r="F99" s="33">
        <f>'Monthly Data'!AZ99</f>
        <v>0</v>
      </c>
      <c r="G99" s="18">
        <f>'Monthly Data'!G99</f>
        <v>10346</v>
      </c>
      <c r="H99">
        <f>'Monthly Data'!BU99</f>
        <v>28</v>
      </c>
      <c r="I99" s="33">
        <f>'Monthly Data'!CQ99</f>
        <v>163.46979166666668</v>
      </c>
      <c r="J99" s="33">
        <f>'Monthly Data'!CX99</f>
        <v>0</v>
      </c>
      <c r="L99" s="18">
        <f>'Res Predicted Monthly'!$X$8</f>
        <v>-16404845.677784801</v>
      </c>
      <c r="M99" s="18">
        <f>E99*'Res Predicted Monthly'!$X$9</f>
        <v>4283959.9872662071</v>
      </c>
      <c r="N99" s="18">
        <f>F99*'Res Predicted Monthly'!$X$10</f>
        <v>0</v>
      </c>
      <c r="O99" s="18">
        <f>G99*'Res Predicted Monthly'!$X$11</f>
        <v>13936416.659556437</v>
      </c>
      <c r="P99" s="18">
        <f>H99*'Res Predicted Monthly'!$X$12</f>
        <v>5882936.0244543841</v>
      </c>
      <c r="Q99" s="18">
        <f>I99*'Res Predicted Monthly'!$X$13</f>
        <v>88408.521824974276</v>
      </c>
      <c r="R99" s="18">
        <f>J99*'Res Predicted Monthly'!$X$14</f>
        <v>0</v>
      </c>
      <c r="S99" s="18">
        <f t="shared" si="10"/>
        <v>7786875.5153172025</v>
      </c>
      <c r="T99" s="18">
        <f t="shared" si="13"/>
        <v>259517.09892661497</v>
      </c>
      <c r="U99" s="35">
        <f t="shared" si="14"/>
        <v>3.4476516803228684E-2</v>
      </c>
      <c r="X99" s="18"/>
      <c r="Y99" s="34"/>
      <c r="AA99" s="18"/>
      <c r="AB99" s="18"/>
      <c r="AC99" s="73"/>
    </row>
    <row r="100" spans="1:29">
      <c r="A100" s="541">
        <f>'Monthly Data'!A100</f>
        <v>45352</v>
      </c>
      <c r="B100">
        <f t="shared" si="11"/>
        <v>2024</v>
      </c>
      <c r="C100">
        <f t="shared" si="12"/>
        <v>3</v>
      </c>
      <c r="D100" s="31">
        <f>'Monthly Data'!F100</f>
        <v>8124056.9825468305</v>
      </c>
      <c r="E100" s="33">
        <f>'Monthly Data'!AS100</f>
        <v>534.57916666666665</v>
      </c>
      <c r="F100" s="33">
        <f>'Monthly Data'!AZ100</f>
        <v>0</v>
      </c>
      <c r="G100" s="18">
        <f>'Monthly Data'!G100</f>
        <v>10340</v>
      </c>
      <c r="H100">
        <f>'Monthly Data'!BU100</f>
        <v>31</v>
      </c>
      <c r="I100" s="33">
        <f>'Monthly Data'!CQ100</f>
        <v>133.64479166666666</v>
      </c>
      <c r="J100" s="33">
        <f>'Monthly Data'!CX100</f>
        <v>0</v>
      </c>
      <c r="L100" s="18">
        <f>'Res Predicted Monthly'!$X$8</f>
        <v>-16404845.677784801</v>
      </c>
      <c r="M100" s="18">
        <f>E100*'Res Predicted Monthly'!$X$9</f>
        <v>3502353.1514249388</v>
      </c>
      <c r="N100" s="18">
        <f>F100*'Res Predicted Monthly'!$X$10</f>
        <v>0</v>
      </c>
      <c r="O100" s="18">
        <f>G100*'Res Predicted Monthly'!$X$11</f>
        <v>13928334.453877205</v>
      </c>
      <c r="P100" s="18">
        <f>H100*'Res Predicted Monthly'!$X$12</f>
        <v>6513250.5985030681</v>
      </c>
      <c r="Q100" s="18">
        <f>I100*'Res Predicted Monthly'!$X$13</f>
        <v>72278.421354750652</v>
      </c>
      <c r="R100" s="18">
        <f>J100*'Res Predicted Monthly'!$X$14</f>
        <v>0</v>
      </c>
      <c r="S100" s="18">
        <f t="shared" si="10"/>
        <v>7611370.9473751625</v>
      </c>
      <c r="T100" s="18">
        <f t="shared" si="13"/>
        <v>-512686.03517166805</v>
      </c>
      <c r="U100" s="35">
        <f t="shared" si="14"/>
        <v>6.3107144161234682E-2</v>
      </c>
      <c r="X100" s="18"/>
    </row>
    <row r="101" spans="1:29">
      <c r="A101" s="541">
        <f>'Monthly Data'!A101</f>
        <v>45383</v>
      </c>
      <c r="B101">
        <f t="shared" si="11"/>
        <v>2024</v>
      </c>
      <c r="C101">
        <f t="shared" si="12"/>
        <v>4</v>
      </c>
      <c r="D101" s="31">
        <f>'Monthly Data'!F101</f>
        <v>5757851.5487030726</v>
      </c>
      <c r="E101" s="33">
        <f>'Monthly Data'!AS101</f>
        <v>357.11249999999995</v>
      </c>
      <c r="F101" s="33">
        <f>'Monthly Data'!AZ101</f>
        <v>0.7333333333333325</v>
      </c>
      <c r="G101" s="18">
        <f>'Monthly Data'!G101</f>
        <v>10345</v>
      </c>
      <c r="H101">
        <f>'Monthly Data'!BU101</f>
        <v>30</v>
      </c>
      <c r="I101" s="33">
        <f>'Monthly Data'!CQ101</f>
        <v>89.278124999999989</v>
      </c>
      <c r="J101" s="33">
        <f>'Monthly Data'!CX101</f>
        <v>0.18333333333333313</v>
      </c>
      <c r="L101" s="18">
        <f>'Res Predicted Monthly'!$X$8</f>
        <v>-16404845.677784801</v>
      </c>
      <c r="M101" s="18">
        <f>E101*'Res Predicted Monthly'!$X$9</f>
        <v>2339661.1162142903</v>
      </c>
      <c r="N101" s="18">
        <f>F101*'Res Predicted Monthly'!$X$10</f>
        <v>10695.730671397701</v>
      </c>
      <c r="O101" s="18">
        <f>G101*'Res Predicted Monthly'!$X$11</f>
        <v>13935069.625276566</v>
      </c>
      <c r="P101" s="18">
        <f>H101*'Res Predicted Monthly'!$X$12</f>
        <v>6303145.7404868407</v>
      </c>
      <c r="Q101" s="18">
        <f>I101*'Res Predicted Monthly'!$X$13</f>
        <v>48283.826522822572</v>
      </c>
      <c r="R101" s="18">
        <f>J101*'Res Predicted Monthly'!$X$14</f>
        <v>402.200012635701</v>
      </c>
      <c r="S101" s="18">
        <f t="shared" si="10"/>
        <v>6232412.5613997523</v>
      </c>
      <c r="T101" s="18">
        <f t="shared" si="13"/>
        <v>474561.01269667968</v>
      </c>
      <c r="U101" s="35">
        <f t="shared" si="14"/>
        <v>8.2419806881539381E-2</v>
      </c>
      <c r="AC101" s="61"/>
    </row>
    <row r="102" spans="1:29">
      <c r="A102" s="541">
        <f>'Monthly Data'!A102</f>
        <v>45413</v>
      </c>
      <c r="B102">
        <f t="shared" si="11"/>
        <v>2024</v>
      </c>
      <c r="C102">
        <f t="shared" si="12"/>
        <v>5</v>
      </c>
      <c r="D102" s="31">
        <f>'Monthly Data'!F102</f>
        <v>6393480.1148593156</v>
      </c>
      <c r="E102" s="33">
        <f>'Monthly Data'!AS102</f>
        <v>107.28749999999998</v>
      </c>
      <c r="F102" s="33">
        <f>'Monthly Data'!AZ102</f>
        <v>96.229166666666686</v>
      </c>
      <c r="G102" s="18">
        <f>'Monthly Data'!G102</f>
        <v>10345</v>
      </c>
      <c r="H102">
        <f>'Monthly Data'!BU102</f>
        <v>31</v>
      </c>
      <c r="I102" s="33">
        <f>'Monthly Data'!CQ102</f>
        <v>26.821874999999995</v>
      </c>
      <c r="J102" s="33">
        <f>'Monthly Data'!CX102</f>
        <v>24.057291666666671</v>
      </c>
      <c r="L102" s="18">
        <f>'Res Predicted Monthly'!$X$8</f>
        <v>-16404845.677784801</v>
      </c>
      <c r="M102" s="18">
        <f>E102*'Res Predicted Monthly'!$X$9</f>
        <v>702905.64459614444</v>
      </c>
      <c r="N102" s="18">
        <f>F102*'Res Predicted Monthly'!$X$10</f>
        <v>1403510.7946359674</v>
      </c>
      <c r="O102" s="18">
        <f>G102*'Res Predicted Monthly'!$X$11</f>
        <v>13935069.625276566</v>
      </c>
      <c r="P102" s="18">
        <f>H102*'Res Predicted Monthly'!$X$12</f>
        <v>6513250.5985030681</v>
      </c>
      <c r="Q102" s="18">
        <f>I102*'Res Predicted Monthly'!$X$13</f>
        <v>14505.935911140961</v>
      </c>
      <c r="R102" s="18">
        <f>J102*'Res Predicted Monthly'!$X$14</f>
        <v>52777.325521713225</v>
      </c>
      <c r="S102" s="18">
        <f t="shared" si="10"/>
        <v>6217174.2466597985</v>
      </c>
      <c r="T102" s="18">
        <f t="shared" si="13"/>
        <v>-176305.86819951702</v>
      </c>
      <c r="U102" s="35">
        <f t="shared" si="14"/>
        <v>2.7575884343451425E-2</v>
      </c>
    </row>
    <row r="103" spans="1:29">
      <c r="A103" s="541">
        <f>'Monthly Data'!A103</f>
        <v>45444</v>
      </c>
      <c r="B103">
        <f t="shared" si="11"/>
        <v>2024</v>
      </c>
      <c r="C103">
        <f t="shared" si="12"/>
        <v>6</v>
      </c>
      <c r="D103" s="31">
        <f>'Monthly Data'!F103</f>
        <v>6950866.6810155576</v>
      </c>
      <c r="E103" s="33">
        <f>'Monthly Data'!AS103</f>
        <v>44.020833333333336</v>
      </c>
      <c r="F103" s="33">
        <f>'Monthly Data'!AZ103</f>
        <v>187.28333333333333</v>
      </c>
      <c r="G103" s="18">
        <f>'Monthly Data'!G103</f>
        <v>10343</v>
      </c>
      <c r="H103">
        <f>'Monthly Data'!BU103</f>
        <v>30</v>
      </c>
      <c r="I103" s="33">
        <f>'Monthly Data'!CQ103</f>
        <v>11.005208333333334</v>
      </c>
      <c r="J103" s="33">
        <f>'Monthly Data'!CX103</f>
        <v>46.820833333333333</v>
      </c>
      <c r="L103" s="18">
        <f>'Res Predicted Monthly'!$X$8</f>
        <v>-16404845.677784801</v>
      </c>
      <c r="M103" s="18">
        <f>E103*'Res Predicted Monthly'!$X$9</f>
        <v>288407.24436515081</v>
      </c>
      <c r="N103" s="18">
        <f>F103*'Res Predicted Monthly'!$X$10</f>
        <v>2731543.7626021844</v>
      </c>
      <c r="O103" s="18">
        <f>G103*'Res Predicted Monthly'!$X$11</f>
        <v>13932375.55671682</v>
      </c>
      <c r="P103" s="18">
        <f>H103*'Res Predicted Monthly'!$X$12</f>
        <v>6303145.7404868407</v>
      </c>
      <c r="Q103" s="18">
        <f>I103*'Res Predicted Monthly'!$X$13</f>
        <v>5951.8898947999651</v>
      </c>
      <c r="R103" s="18">
        <f>J103*'Res Predicted Monthly'!$X$14</f>
        <v>102716.3986815313</v>
      </c>
      <c r="S103" s="18">
        <f t="shared" si="10"/>
        <v>6959294.9149625264</v>
      </c>
      <c r="T103" s="18">
        <f t="shared" si="13"/>
        <v>8428.2339469688013</v>
      </c>
      <c r="U103" s="35">
        <f t="shared" si="14"/>
        <v>1.212544324866463E-3</v>
      </c>
    </row>
    <row r="104" spans="1:29">
      <c r="A104" s="541">
        <f>'Monthly Data'!A104</f>
        <v>45474</v>
      </c>
      <c r="B104">
        <f t="shared" si="11"/>
        <v>2024</v>
      </c>
      <c r="C104">
        <f t="shared" si="12"/>
        <v>7</v>
      </c>
      <c r="D104" s="31">
        <f>'Monthly Data'!F104</f>
        <v>8232160.2471718006</v>
      </c>
      <c r="E104" s="33">
        <f>'Monthly Data'!AS104</f>
        <v>2.2499999999999964</v>
      </c>
      <c r="F104" s="33">
        <f>'Monthly Data'!AZ104</f>
        <v>274.14166666666665</v>
      </c>
      <c r="G104" s="18">
        <f>'Monthly Data'!G104</f>
        <v>10353</v>
      </c>
      <c r="H104">
        <f>'Monthly Data'!BU104</f>
        <v>31</v>
      </c>
      <c r="I104" s="33">
        <f>'Monthly Data'!CQ104</f>
        <v>0.56249999999999911</v>
      </c>
      <c r="J104" s="33">
        <f>'Monthly Data'!CX104</f>
        <v>68.535416666666663</v>
      </c>
      <c r="L104" s="18">
        <f>'Res Predicted Monthly'!$X$8</f>
        <v>-16404845.677784801</v>
      </c>
      <c r="M104" s="18">
        <f>E104*'Res Predicted Monthly'!$X$9</f>
        <v>14741.118027182318</v>
      </c>
      <c r="N104" s="18">
        <f>F104*'Res Predicted Monthly'!$X$10</f>
        <v>3998380.1351928473</v>
      </c>
      <c r="O104" s="18">
        <f>G104*'Res Predicted Monthly'!$X$11</f>
        <v>13945845.899515541</v>
      </c>
      <c r="P104" s="18">
        <f>H104*'Res Predicted Monthly'!$X$12</f>
        <v>6513250.5985030681</v>
      </c>
      <c r="Q104" s="18">
        <f>I104*'Res Predicted Monthly'!$X$13</f>
        <v>304.21396528083062</v>
      </c>
      <c r="R104" s="18">
        <f>J104*'Res Predicted Monthly'!$X$14</f>
        <v>150354.24790541671</v>
      </c>
      <c r="S104" s="18">
        <f t="shared" si="10"/>
        <v>8218030.5353245353</v>
      </c>
      <c r="T104" s="18">
        <f t="shared" si="13"/>
        <v>-14129.711847265251</v>
      </c>
      <c r="U104" s="35">
        <f t="shared" si="14"/>
        <v>1.7164038870744265E-3</v>
      </c>
    </row>
    <row r="105" spans="1:29">
      <c r="A105" s="541">
        <f>'Monthly Data'!A105</f>
        <v>45505</v>
      </c>
      <c r="B105">
        <f t="shared" si="11"/>
        <v>2024</v>
      </c>
      <c r="C105">
        <f t="shared" si="12"/>
        <v>8</v>
      </c>
      <c r="D105" s="31">
        <f>'Monthly Data'!F105</f>
        <v>7428027.8133280436</v>
      </c>
      <c r="E105" s="33">
        <f>'Monthly Data'!AS105</f>
        <v>30.883333333333333</v>
      </c>
      <c r="F105" s="33">
        <f>'Monthly Data'!AZ105</f>
        <v>212.65</v>
      </c>
      <c r="G105" s="18">
        <f>'Monthly Data'!G105</f>
        <v>10354</v>
      </c>
      <c r="H105">
        <f>'Monthly Data'!BU105</f>
        <v>31</v>
      </c>
      <c r="I105" s="33">
        <f>'Monthly Data'!CQ105</f>
        <v>7.7208333333333332</v>
      </c>
      <c r="J105" s="33">
        <f>'Monthly Data'!CX105</f>
        <v>53.162500000000001</v>
      </c>
      <c r="L105" s="18">
        <f>'Res Predicted Monthly'!$X$8</f>
        <v>-16404845.677784801</v>
      </c>
      <c r="M105" s="18">
        <f>E105*'Res Predicted Monthly'!$X$9</f>
        <v>202335.49410643612</v>
      </c>
      <c r="N105" s="18">
        <f>F105*'Res Predicted Monthly'!$X$10</f>
        <v>3101518.8099173508</v>
      </c>
      <c r="O105" s="18">
        <f>G105*'Res Predicted Monthly'!$X$11</f>
        <v>13947192.933795413</v>
      </c>
      <c r="P105" s="18">
        <f>H105*'Res Predicted Monthly'!$X$12</f>
        <v>6513250.5985030681</v>
      </c>
      <c r="Q105" s="18">
        <f>I105*'Res Predicted Monthly'!$X$13</f>
        <v>4175.6183530768894</v>
      </c>
      <c r="R105" s="18">
        <f>J105*'Res Predicted Monthly'!$X$14</f>
        <v>116628.86275497534</v>
      </c>
      <c r="S105" s="18">
        <f t="shared" si="10"/>
        <v>7480256.6396455206</v>
      </c>
      <c r="T105" s="18">
        <f t="shared" si="13"/>
        <v>52228.82631747704</v>
      </c>
      <c r="U105" s="35">
        <f t="shared" si="14"/>
        <v>7.0313180873883274E-3</v>
      </c>
    </row>
    <row r="106" spans="1:29">
      <c r="A106" s="541">
        <f>'Monthly Data'!A106</f>
        <v>45536</v>
      </c>
      <c r="B106">
        <f t="shared" si="11"/>
        <v>2024</v>
      </c>
      <c r="C106">
        <f t="shared" si="12"/>
        <v>9</v>
      </c>
      <c r="D106" s="31">
        <f>'Monthly Data'!F106</f>
        <v>6258910.3794842856</v>
      </c>
      <c r="E106" s="33">
        <f>'Monthly Data'!AS106</f>
        <v>70.695833333333326</v>
      </c>
      <c r="F106" s="33">
        <f>'Monthly Data'!AZ106</f>
        <v>127.19583333333331</v>
      </c>
      <c r="G106" s="18">
        <f>'Monthly Data'!G106</f>
        <v>10358</v>
      </c>
      <c r="H106">
        <f>'Monthly Data'!BU106</f>
        <v>30</v>
      </c>
      <c r="I106" s="33">
        <f>'Monthly Data'!CQ106</f>
        <v>17.673958333333331</v>
      </c>
      <c r="J106" s="33">
        <f>'Monthly Data'!CX106</f>
        <v>31.798958333333328</v>
      </c>
      <c r="L106" s="18">
        <f>'Res Predicted Monthly'!$X$8</f>
        <v>-16404845.677784801</v>
      </c>
      <c r="M106" s="18">
        <f>E106*'Res Predicted Monthly'!$X$9</f>
        <v>463171.38808741252</v>
      </c>
      <c r="N106" s="18">
        <f>F106*'Res Predicted Monthly'!$X$10</f>
        <v>1855162.3307145338</v>
      </c>
      <c r="O106" s="18">
        <f>G106*'Res Predicted Monthly'!$X$11</f>
        <v>13952581.070914902</v>
      </c>
      <c r="P106" s="18">
        <f>H106*'Res Predicted Monthly'!$X$12</f>
        <v>6303145.7404868407</v>
      </c>
      <c r="Q106" s="18">
        <f>I106*'Res Predicted Monthly'!$X$13</f>
        <v>9558.5154609627061</v>
      </c>
      <c r="R106" s="18">
        <f>J106*'Res Predicted Monthly'!$X$14</f>
        <v>69761.135146193497</v>
      </c>
      <c r="S106" s="18">
        <f t="shared" si="10"/>
        <v>6248534.5030260431</v>
      </c>
      <c r="T106" s="18">
        <f t="shared" si="13"/>
        <v>-10375.876458242536</v>
      </c>
      <c r="U106" s="35">
        <f t="shared" si="14"/>
        <v>1.6577768060480641E-3</v>
      </c>
    </row>
    <row r="107" spans="1:29">
      <c r="A107" s="541">
        <f>'Monthly Data'!A107</f>
        <v>45566</v>
      </c>
      <c r="B107">
        <f t="shared" si="11"/>
        <v>2024</v>
      </c>
      <c r="C107">
        <f t="shared" si="12"/>
        <v>10</v>
      </c>
      <c r="D107" s="31">
        <f>'Monthly Data'!F107</f>
        <v>6160614.9456405286</v>
      </c>
      <c r="E107" s="33">
        <f>'Monthly Data'!AS107</f>
        <v>299.2833333333333</v>
      </c>
      <c r="F107" s="33">
        <f>'Monthly Data'!AZ107</f>
        <v>20.145833333333339</v>
      </c>
      <c r="G107" s="18">
        <f>'Monthly Data'!G107</f>
        <v>10359</v>
      </c>
      <c r="H107">
        <f>'Monthly Data'!BU107</f>
        <v>31</v>
      </c>
      <c r="I107" s="33">
        <f>'Monthly Data'!CQ107</f>
        <v>74.820833333333326</v>
      </c>
      <c r="J107" s="33">
        <f>'Monthly Data'!CX107</f>
        <v>5.0364583333333348</v>
      </c>
      <c r="L107" s="18">
        <f>'Res Predicted Monthly'!$X$8</f>
        <v>-16404845.677784801</v>
      </c>
      <c r="M107" s="18">
        <f>E107*'Res Predicted Monthly'!$X$9</f>
        <v>1960787.0845489872</v>
      </c>
      <c r="N107" s="18">
        <f>F107*'Res Predicted Monthly'!$X$10</f>
        <v>293828.73747845431</v>
      </c>
      <c r="O107" s="18">
        <f>G107*'Res Predicted Monthly'!$X$11</f>
        <v>13953928.105194774</v>
      </c>
      <c r="P107" s="18">
        <f>H107*'Res Predicted Monthly'!$X$12</f>
        <v>6513250.5985030681</v>
      </c>
      <c r="Q107" s="18">
        <f>I107*'Res Predicted Monthly'!$X$13</f>
        <v>40464.96425591025</v>
      </c>
      <c r="R107" s="18">
        <f>J107*'Res Predicted Monthly'!$X$14</f>
        <v>11049.074210759189</v>
      </c>
      <c r="S107" s="18">
        <f t="shared" si="10"/>
        <v>6368462.8864071518</v>
      </c>
      <c r="T107" s="18">
        <f t="shared" si="13"/>
        <v>207847.94076662324</v>
      </c>
      <c r="U107" s="35">
        <f t="shared" si="14"/>
        <v>3.3738180782375282E-2</v>
      </c>
    </row>
    <row r="108" spans="1:29">
      <c r="A108" s="541">
        <f>'Monthly Data'!A108</f>
        <v>45597</v>
      </c>
      <c r="B108">
        <f t="shared" si="11"/>
        <v>2024</v>
      </c>
      <c r="C108">
        <f t="shared" si="12"/>
        <v>11</v>
      </c>
      <c r="D108" s="31">
        <f>'Monthly Data'!F108</f>
        <v>6834550.5117967715</v>
      </c>
      <c r="E108" s="33">
        <f>'Monthly Data'!AS108</f>
        <v>446.44583333333333</v>
      </c>
      <c r="F108" s="33">
        <f>'Monthly Data'!AZ108</f>
        <v>2.6374999999999975</v>
      </c>
      <c r="G108" s="18">
        <f>'Monthly Data'!G108</f>
        <v>10364</v>
      </c>
      <c r="H108">
        <f>'Monthly Data'!BU108</f>
        <v>30</v>
      </c>
      <c r="I108" s="33">
        <f>'Monthly Data'!CQ108</f>
        <v>111.61145833333333</v>
      </c>
      <c r="J108" s="33">
        <f>'Monthly Data'!CX108</f>
        <v>0.65937499999999938</v>
      </c>
      <c r="L108" s="18">
        <f>'Res Predicted Monthly'!$X$8</f>
        <v>-16404845.677784801</v>
      </c>
      <c r="M108" s="18">
        <f>E108*'Res Predicted Monthly'!$X$9</f>
        <v>2924938.0986268632</v>
      </c>
      <c r="N108" s="18">
        <f>F108*'Res Predicted Monthly'!$X$10</f>
        <v>38468.167698833786</v>
      </c>
      <c r="O108" s="18">
        <f>G108*'Res Predicted Monthly'!$X$11</f>
        <v>13960663.276594134</v>
      </c>
      <c r="P108" s="18">
        <f>H108*'Res Predicted Monthly'!$X$12</f>
        <v>6303145.7404868407</v>
      </c>
      <c r="Q108" s="18">
        <f>I108*'Res Predicted Monthly'!$X$13</f>
        <v>60362.247662861504</v>
      </c>
      <c r="R108" s="18">
        <f>J108*'Res Predicted Monthly'!$X$14</f>
        <v>1446.5489090818112</v>
      </c>
      <c r="S108" s="18">
        <f t="shared" si="10"/>
        <v>6884178.4021938154</v>
      </c>
      <c r="T108" s="18">
        <f t="shared" si="13"/>
        <v>49627.890397043899</v>
      </c>
      <c r="U108" s="35">
        <f t="shared" si="14"/>
        <v>7.2613246930260753E-3</v>
      </c>
    </row>
    <row r="109" spans="1:29">
      <c r="A109" s="541">
        <f>'Monthly Data'!A109</f>
        <v>45627</v>
      </c>
      <c r="B109">
        <f t="shared" si="11"/>
        <v>2024</v>
      </c>
      <c r="C109">
        <f t="shared" si="12"/>
        <v>12</v>
      </c>
      <c r="D109" s="31">
        <f>'Monthly Data'!F109</f>
        <v>9082027.0779530145</v>
      </c>
      <c r="E109" s="33">
        <f>'Monthly Data'!AS109</f>
        <v>734.64791666666656</v>
      </c>
      <c r="F109" s="33">
        <f>'Monthly Data'!AZ109</f>
        <v>0</v>
      </c>
      <c r="G109" s="18">
        <f>'Monthly Data'!G109</f>
        <v>10367</v>
      </c>
      <c r="H109">
        <f>'Monthly Data'!BU109</f>
        <v>31</v>
      </c>
      <c r="I109" s="33">
        <f>'Monthly Data'!CQ109</f>
        <v>183.66197916666664</v>
      </c>
      <c r="J109" s="33">
        <f>'Monthly Data'!CX109</f>
        <v>0</v>
      </c>
      <c r="L109" s="18">
        <f>'Res Predicted Monthly'!$X$8</f>
        <v>-16404845.677784801</v>
      </c>
      <c r="M109" s="18">
        <f>E109*'Res Predicted Monthly'!$X$9</f>
        <v>4813125.176891977</v>
      </c>
      <c r="N109" s="18">
        <f>F109*'Res Predicted Monthly'!$X$10</f>
        <v>0</v>
      </c>
      <c r="O109" s="18">
        <f>G109*'Res Predicted Monthly'!$X$11</f>
        <v>13964704.379433751</v>
      </c>
      <c r="P109" s="18">
        <f>H109*'Res Predicted Monthly'!$X$12</f>
        <v>6513250.5985030681</v>
      </c>
      <c r="Q109" s="18">
        <f>I109*'Res Predicted Monthly'!$X$13</f>
        <v>99328.95813976365</v>
      </c>
      <c r="R109" s="18">
        <f>J109*'Res Predicted Monthly'!$X$14</f>
        <v>0</v>
      </c>
      <c r="S109" s="18">
        <f t="shared" si="10"/>
        <v>8985563.4351837598</v>
      </c>
      <c r="T109" s="18">
        <f t="shared" si="13"/>
        <v>-96463.642769254744</v>
      </c>
      <c r="U109" s="35">
        <f t="shared" si="14"/>
        <v>1.0621378018506916E-2</v>
      </c>
    </row>
    <row r="110" spans="1:29">
      <c r="A110" s="541">
        <f>'Monthly Data'!A110</f>
        <v>45658</v>
      </c>
      <c r="B110">
        <f t="shared" si="11"/>
        <v>2025</v>
      </c>
      <c r="C110">
        <f t="shared" si="12"/>
        <v>1</v>
      </c>
      <c r="D110" s="31">
        <f>'Monthly Data'!F110</f>
        <v>9808318.0739879906</v>
      </c>
      <c r="E110" s="33">
        <f>'Monthly Data'!AS110</f>
        <v>868.57291666666663</v>
      </c>
      <c r="F110" s="33">
        <f>'Monthly Data'!AZ110</f>
        <v>0</v>
      </c>
      <c r="G110" s="18">
        <f>'Monthly Data'!G110</f>
        <v>10366</v>
      </c>
      <c r="H110">
        <f>'Monthly Data'!BU110</f>
        <v>31</v>
      </c>
      <c r="I110" s="33">
        <f>'Monthly Data'!CQ110</f>
        <v>217.14322916666666</v>
      </c>
      <c r="J110" s="33">
        <f>'Monthly Data'!CX110</f>
        <v>0</v>
      </c>
      <c r="L110" s="18">
        <f>'Res Predicted Monthly'!$X$8</f>
        <v>-16404845.677784801</v>
      </c>
      <c r="M110" s="18">
        <f>E110*'Res Predicted Monthly'!$X$9</f>
        <v>5690549.2799099311</v>
      </c>
      <c r="N110" s="18">
        <f>F110*'Res Predicted Monthly'!$X$10</f>
        <v>0</v>
      </c>
      <c r="O110" s="18">
        <f>G110*'Res Predicted Monthly'!$X$11</f>
        <v>13963357.345153879</v>
      </c>
      <c r="P110" s="18">
        <f>H110*'Res Predicted Monthly'!$X$12</f>
        <v>6513250.5985030681</v>
      </c>
      <c r="Q110" s="18">
        <f>I110*'Res Predicted Monthly'!$X$13</f>
        <v>117436.44938431268</v>
      </c>
      <c r="R110" s="18">
        <f>J110*'Res Predicted Monthly'!$X$14</f>
        <v>0</v>
      </c>
      <c r="S110" s="18">
        <f t="shared" si="10"/>
        <v>9879747.9951663911</v>
      </c>
      <c r="T110" s="18">
        <f t="shared" si="13"/>
        <v>71429.921178400517</v>
      </c>
      <c r="U110" s="35">
        <f t="shared" si="14"/>
        <v>7.2825861314423741E-3</v>
      </c>
    </row>
    <row r="111" spans="1:29">
      <c r="A111" s="541">
        <f>'Monthly Data'!A111</f>
        <v>45689</v>
      </c>
      <c r="B111">
        <f t="shared" si="11"/>
        <v>2025</v>
      </c>
      <c r="C111">
        <f t="shared" si="12"/>
        <v>2</v>
      </c>
      <c r="D111" s="31">
        <f>'Monthly Data'!F111</f>
        <v>8864275.7553072311</v>
      </c>
      <c r="E111" s="33">
        <f>'Monthly Data'!AS111</f>
        <v>795.05000000000007</v>
      </c>
      <c r="F111" s="33">
        <f>'Monthly Data'!AZ111</f>
        <v>0</v>
      </c>
      <c r="G111" s="18">
        <f>'Monthly Data'!G111</f>
        <v>10371</v>
      </c>
      <c r="H111">
        <f>'Monthly Data'!BU111</f>
        <v>28</v>
      </c>
      <c r="I111" s="33">
        <f>'Monthly Data'!CQ111</f>
        <v>198.76250000000002</v>
      </c>
      <c r="J111" s="33">
        <f>'Monthly Data'!CX111</f>
        <v>0</v>
      </c>
      <c r="L111" s="18">
        <f>'Res Predicted Monthly'!$X$8</f>
        <v>-16404845.677784801</v>
      </c>
      <c r="M111" s="18">
        <f>E111*'Res Predicted Monthly'!$X$9</f>
        <v>5208855.9500050312</v>
      </c>
      <c r="N111" s="18">
        <f>F111*'Res Predicted Monthly'!$X$10</f>
        <v>0</v>
      </c>
      <c r="O111" s="18">
        <f>G111*'Res Predicted Monthly'!$X$11</f>
        <v>13970092.51655324</v>
      </c>
      <c r="P111" s="18">
        <f>H111*'Res Predicted Monthly'!$X$12</f>
        <v>5882936.0244543841</v>
      </c>
      <c r="Q111" s="18">
        <f>I111*'Res Predicted Monthly'!$X$13</f>
        <v>107495.69470956658</v>
      </c>
      <c r="R111" s="18">
        <f>J111*'Res Predicted Monthly'!$X$14</f>
        <v>0</v>
      </c>
      <c r="S111" s="18">
        <f t="shared" si="10"/>
        <v>8764534.507937422</v>
      </c>
      <c r="T111" s="18">
        <f t="shared" si="13"/>
        <v>-99741.247369809076</v>
      </c>
      <c r="U111" s="35">
        <f t="shared" si="14"/>
        <v>1.1252046994374229E-2</v>
      </c>
    </row>
    <row r="112" spans="1:29">
      <c r="A112" s="541">
        <f>'Monthly Data'!A112</f>
        <v>45717</v>
      </c>
      <c r="B112">
        <f t="shared" si="11"/>
        <v>2025</v>
      </c>
      <c r="C112">
        <f t="shared" si="12"/>
        <v>3</v>
      </c>
      <c r="D112" s="31">
        <f>'Monthly Data'!F112</f>
        <v>8273577.4366264734</v>
      </c>
      <c r="E112" s="33">
        <f>'Monthly Data'!AS112</f>
        <v>620.18333333333362</v>
      </c>
      <c r="F112" s="33">
        <f>'Monthly Data'!AZ112</f>
        <v>0</v>
      </c>
      <c r="G112" s="18">
        <f>'Monthly Data'!G112</f>
        <v>10390</v>
      </c>
      <c r="H112">
        <f>'Monthly Data'!BU112</f>
        <v>31</v>
      </c>
      <c r="I112" s="33">
        <f>'Monthly Data'!CQ112</f>
        <v>155.04583333333341</v>
      </c>
      <c r="J112" s="33">
        <f>'Monthly Data'!CX112</f>
        <v>0</v>
      </c>
      <c r="L112" s="18">
        <f>'Res Predicted Monthly'!$X$8</f>
        <v>-16404845.677784801</v>
      </c>
      <c r="M112" s="18">
        <f>E112*'Res Predicted Monthly'!$X$9</f>
        <v>4063198.095625795</v>
      </c>
      <c r="N112" s="18">
        <f>F112*'Res Predicted Monthly'!$X$10</f>
        <v>0</v>
      </c>
      <c r="O112" s="18">
        <f>G112*'Res Predicted Monthly'!$X$11</f>
        <v>13995686.167870808</v>
      </c>
      <c r="P112" s="18">
        <f>H112*'Res Predicted Monthly'!$X$12</f>
        <v>6513250.5985030681</v>
      </c>
      <c r="Q112" s="18">
        <f>I112*'Res Predicted Monthly'!$X$13</f>
        <v>83852.63601529639</v>
      </c>
      <c r="R112" s="18">
        <f>J112*'Res Predicted Monthly'!$X$14</f>
        <v>0</v>
      </c>
      <c r="S112" s="18">
        <f t="shared" si="10"/>
        <v>8251141.8202301674</v>
      </c>
      <c r="T112" s="18">
        <f t="shared" si="13"/>
        <v>-22435.616396306083</v>
      </c>
      <c r="U112" s="35">
        <f t="shared" si="14"/>
        <v>2.7117189109737926E-3</v>
      </c>
    </row>
    <row r="113" spans="1:21">
      <c r="A113" s="541">
        <f>'Monthly Data'!A113</f>
        <v>45748</v>
      </c>
      <c r="B113">
        <f t="shared" si="11"/>
        <v>2025</v>
      </c>
      <c r="C113">
        <f t="shared" si="12"/>
        <v>4</v>
      </c>
      <c r="D113" s="31">
        <f>'Monthly Data'!F113</f>
        <v>6923951.1179457149</v>
      </c>
      <c r="E113" s="33">
        <f>'Monthly Data'!AS113</f>
        <v>419.4354166666667</v>
      </c>
      <c r="F113" s="33">
        <f>'Monthly Data'!AZ113</f>
        <v>4.6874999999999982</v>
      </c>
      <c r="G113" s="18">
        <f>'Monthly Data'!G113</f>
        <v>10390</v>
      </c>
      <c r="H113">
        <f>'Monthly Data'!BU113</f>
        <v>30</v>
      </c>
      <c r="I113" s="33">
        <f>'Monthly Data'!CQ113</f>
        <v>104.85885416666667</v>
      </c>
      <c r="J113" s="33">
        <f>'Monthly Data'!CX113</f>
        <v>1.1718749999999996</v>
      </c>
      <c r="L113" s="18">
        <f>'Res Predicted Monthly'!$X$8</f>
        <v>-16404845.677784801</v>
      </c>
      <c r="M113" s="18">
        <f>E113*'Res Predicted Monthly'!$X$9</f>
        <v>2747976.436383883</v>
      </c>
      <c r="N113" s="18">
        <f>F113*'Res Predicted Monthly'!$X$10</f>
        <v>68367.596621150136</v>
      </c>
      <c r="O113" s="18">
        <f>G113*'Res Predicted Monthly'!$X$11</f>
        <v>13995686.167870808</v>
      </c>
      <c r="P113" s="18">
        <f>H113*'Res Predicted Monthly'!$X$12</f>
        <v>6303145.7404868407</v>
      </c>
      <c r="Q113" s="18">
        <f>I113*'Res Predicted Monthly'!$X$13</f>
        <v>56710.27168150412</v>
      </c>
      <c r="R113" s="18">
        <f>J113*'Res Predicted Monthly'!$X$14</f>
        <v>2570.8807625861591</v>
      </c>
      <c r="S113" s="18">
        <f t="shared" si="10"/>
        <v>6769611.416021972</v>
      </c>
      <c r="T113" s="18">
        <f t="shared" si="13"/>
        <v>-154339.70192374289</v>
      </c>
      <c r="U113" s="35">
        <f t="shared" si="14"/>
        <v>2.2290697795904479E-2</v>
      </c>
    </row>
    <row r="114" spans="1:21">
      <c r="A114" s="541">
        <f>'Monthly Data'!A114</f>
        <v>45778</v>
      </c>
      <c r="B114">
        <f t="shared" si="11"/>
        <v>2025</v>
      </c>
      <c r="C114">
        <f t="shared" si="12"/>
        <v>5</v>
      </c>
      <c r="D114" s="31">
        <f>'Monthly Data'!F114</f>
        <v>6113839.7992649563</v>
      </c>
      <c r="E114" s="33">
        <f>'Monthly Data'!AS114</f>
        <v>177.67291666666665</v>
      </c>
      <c r="F114" s="33">
        <f>'Monthly Data'!AZ114</f>
        <v>62.020833333333329</v>
      </c>
      <c r="G114" s="18">
        <f>'Monthly Data'!G114</f>
        <v>10389</v>
      </c>
      <c r="H114">
        <f>'Monthly Data'!BU114</f>
        <v>31</v>
      </c>
      <c r="I114" s="33">
        <f>'Monthly Data'!CQ114</f>
        <v>44.418229166666663</v>
      </c>
      <c r="J114" s="33">
        <f>'Monthly Data'!CX114</f>
        <v>15.505208333333332</v>
      </c>
      <c r="L114" s="18">
        <f>'Res Predicted Monthly'!$X$8</f>
        <v>-16404845.677784801</v>
      </c>
      <c r="M114" s="18">
        <f>E114*'Res Predicted Monthly'!$X$9</f>
        <v>1164043.3043631401</v>
      </c>
      <c r="N114" s="18">
        <f>F114*'Res Predicted Monthly'!$X$10</f>
        <v>904579.2672940623</v>
      </c>
      <c r="O114" s="18">
        <f>G114*'Res Predicted Monthly'!$X$11</f>
        <v>13994339.133590937</v>
      </c>
      <c r="P114" s="18">
        <f>H114*'Res Predicted Monthly'!$X$12</f>
        <v>6513250.5985030681</v>
      </c>
      <c r="Q114" s="18">
        <f>I114*'Res Predicted Monthly'!$X$13</f>
        <v>24022.481112078814</v>
      </c>
      <c r="R114" s="18">
        <f>J114*'Res Predicted Monthly'!$X$14</f>
        <v>34015.609023195546</v>
      </c>
      <c r="S114" s="18">
        <f t="shared" si="10"/>
        <v>6229404.7161016818</v>
      </c>
      <c r="T114" s="18">
        <f t="shared" si="13"/>
        <v>115564.91683672555</v>
      </c>
      <c r="U114" s="35">
        <f t="shared" si="14"/>
        <v>1.8902182692228781E-2</v>
      </c>
    </row>
    <row r="115" spans="1:21">
      <c r="A115" s="541">
        <f>'Monthly Data'!A115</f>
        <v>45809</v>
      </c>
      <c r="B115">
        <f t="shared" si="11"/>
        <v>2025</v>
      </c>
      <c r="C115">
        <f t="shared" si="12"/>
        <v>6</v>
      </c>
      <c r="D115" s="31">
        <f>'Monthly Data'!F115</f>
        <v>7082189.4805841977</v>
      </c>
      <c r="E115" s="33">
        <f>'Monthly Data'!AS115</f>
        <v>46.833333333333336</v>
      </c>
      <c r="F115" s="33">
        <f>'Monthly Data'!AZ115</f>
        <v>191.33749999999998</v>
      </c>
      <c r="G115" s="18">
        <f>'Monthly Data'!G115</f>
        <v>10389</v>
      </c>
      <c r="H115">
        <f>'Monthly Data'!BU115</f>
        <v>30</v>
      </c>
      <c r="I115" s="33">
        <f>'Monthly Data'!CQ115</f>
        <v>11.708333333333334</v>
      </c>
      <c r="J115" s="33">
        <f>'Monthly Data'!CX115</f>
        <v>47.834374999999994</v>
      </c>
      <c r="L115" s="18">
        <f>'Res Predicted Monthly'!$X$8</f>
        <v>-16404845.677784801</v>
      </c>
      <c r="M115" s="18">
        <f>E115*'Res Predicted Monthly'!$X$9</f>
        <v>306833.64189912874</v>
      </c>
      <c r="N115" s="18">
        <f>F115*'Res Predicted Monthly'!$X$10</f>
        <v>2790674.1372798542</v>
      </c>
      <c r="O115" s="18">
        <f>G115*'Res Predicted Monthly'!$X$11</f>
        <v>13994339.133590937</v>
      </c>
      <c r="P115" s="18">
        <f>H115*'Res Predicted Monthly'!$X$12</f>
        <v>6303145.7404868407</v>
      </c>
      <c r="Q115" s="18">
        <f>I115*'Res Predicted Monthly'!$X$13</f>
        <v>6332.1573514010033</v>
      </c>
      <c r="R115" s="18">
        <f>J115*'Res Predicted Monthly'!$X$14</f>
        <v>104939.92488775025</v>
      </c>
      <c r="S115" s="18">
        <f t="shared" si="10"/>
        <v>7101419.0577111123</v>
      </c>
      <c r="T115" s="18">
        <f t="shared" si="13"/>
        <v>19229.577126914635</v>
      </c>
      <c r="U115" s="35">
        <f t="shared" si="14"/>
        <v>2.7152022943797913E-3</v>
      </c>
    </row>
    <row r="116" spans="1:21">
      <c r="A116" s="541">
        <f>'Monthly Data'!A116</f>
        <v>45839</v>
      </c>
      <c r="B116">
        <f t="shared" si="11"/>
        <v>2025</v>
      </c>
      <c r="C116">
        <f t="shared" si="12"/>
        <v>7</v>
      </c>
      <c r="D116" s="31">
        <f>'Monthly Data'!F116</f>
        <v>8777773.1619034391</v>
      </c>
      <c r="E116" s="33">
        <f>'Monthly Data'!AS116</f>
        <v>8.0333333333333403</v>
      </c>
      <c r="F116" s="33">
        <f>'Monthly Data'!AZ116</f>
        <v>285.84375000000006</v>
      </c>
      <c r="G116" s="18">
        <f>'Monthly Data'!G116</f>
        <v>10393</v>
      </c>
      <c r="H116">
        <f>'Monthly Data'!BU116</f>
        <v>31</v>
      </c>
      <c r="I116" s="33">
        <f>'Monthly Data'!CQ116</f>
        <v>2.0083333333333351</v>
      </c>
      <c r="J116" s="33">
        <f>'Monthly Data'!CX116</f>
        <v>71.460937500000014</v>
      </c>
      <c r="L116" s="18">
        <f>'Res Predicted Monthly'!$X$8</f>
        <v>-16404845.677784801</v>
      </c>
      <c r="M116" s="18">
        <f>E116*'Res Predicted Monthly'!$X$9</f>
        <v>52631.251030384403</v>
      </c>
      <c r="N116" s="18">
        <f>F116*'Res Predicted Monthly'!$X$10</f>
        <v>4169056.0419577374</v>
      </c>
      <c r="O116" s="18">
        <f>G116*'Res Predicted Monthly'!$X$11</f>
        <v>13999727.270710425</v>
      </c>
      <c r="P116" s="18">
        <f>H116*'Res Predicted Monthly'!$X$12</f>
        <v>6513250.5985030681</v>
      </c>
      <c r="Q116" s="18">
        <f>I116*'Res Predicted Monthly'!$X$13</f>
        <v>1086.1565278915609</v>
      </c>
      <c r="R116" s="18">
        <f>J116*'Res Predicted Monthly'!$X$14</f>
        <v>156772.30890250407</v>
      </c>
      <c r="S116" s="18">
        <f t="shared" si="10"/>
        <v>8487677.9498472102</v>
      </c>
      <c r="T116" s="18">
        <f t="shared" si="13"/>
        <v>-290095.21205622889</v>
      </c>
      <c r="U116" s="35">
        <f t="shared" si="14"/>
        <v>3.3048839005691784E-2</v>
      </c>
    </row>
    <row r="117" spans="1:21">
      <c r="A117" s="541">
        <f>'Monthly Data'!A117</f>
        <v>45870</v>
      </c>
      <c r="B117">
        <f t="shared" si="11"/>
        <v>2025</v>
      </c>
      <c r="C117">
        <f t="shared" si="12"/>
        <v>8</v>
      </c>
      <c r="D117" s="31">
        <f>'Monthly Data'!F117</f>
        <v>7696904.8432226805</v>
      </c>
      <c r="E117" s="33">
        <f>'Monthly Data'!AS117</f>
        <v>32.360416666666666</v>
      </c>
      <c r="F117" s="33">
        <f>'Monthly Data'!AZ117</f>
        <v>218.76041666666663</v>
      </c>
      <c r="G117" s="18">
        <f>'Monthly Data'!G117</f>
        <v>10396</v>
      </c>
      <c r="H117">
        <f>'Monthly Data'!BU117</f>
        <v>31</v>
      </c>
      <c r="I117" s="33">
        <f>'Monthly Data'!CQ117</f>
        <v>8.0901041666666664</v>
      </c>
      <c r="J117" s="33">
        <f>'Monthly Data'!CX117</f>
        <v>54.690104166666657</v>
      </c>
      <c r="L117" s="18">
        <f>'Res Predicted Monthly'!$X$8</f>
        <v>-16404845.677784801</v>
      </c>
      <c r="M117" s="18">
        <f>E117*'Res Predicted Monthly'!$X$9</f>
        <v>212012.76510761416</v>
      </c>
      <c r="N117" s="18">
        <f>F117*'Res Predicted Monthly'!$X$10</f>
        <v>3190639.7703128317</v>
      </c>
      <c r="O117" s="18">
        <f>G117*'Res Predicted Monthly'!$X$11</f>
        <v>14003768.373550041</v>
      </c>
      <c r="P117" s="18">
        <f>H117*'Res Predicted Monthly'!$X$12</f>
        <v>6513250.5985030681</v>
      </c>
      <c r="Q117" s="18">
        <f>I117*'Res Predicted Monthly'!$X$13</f>
        <v>4375.3291876918056</v>
      </c>
      <c r="R117" s="18">
        <f>J117*'Res Predicted Monthly'!$X$14</f>
        <v>119980.14865571541</v>
      </c>
      <c r="S117" s="18">
        <f t="shared" si="10"/>
        <v>7639181.3075321633</v>
      </c>
      <c r="T117" s="18">
        <f t="shared" si="13"/>
        <v>-57723.535690517165</v>
      </c>
      <c r="U117" s="35">
        <f t="shared" si="14"/>
        <v>7.4995776700220217E-3</v>
      </c>
    </row>
    <row r="118" spans="1:21">
      <c r="A118" s="541">
        <f>'Monthly Data'!A118</f>
        <v>45901</v>
      </c>
      <c r="B118">
        <f t="shared" si="11"/>
        <v>2025</v>
      </c>
      <c r="C118">
        <f t="shared" si="12"/>
        <v>9</v>
      </c>
      <c r="D118" s="31">
        <f>'Monthly Data'!F118</f>
        <v>5759107.5245419219</v>
      </c>
      <c r="E118" s="33">
        <f>'Monthly Data'!AS118</f>
        <v>119.1583333333333</v>
      </c>
      <c r="F118" s="33">
        <f>'Monthly Data'!AZ118</f>
        <v>73.020833333333343</v>
      </c>
      <c r="G118" s="18">
        <f>'Monthly Data'!G118</f>
        <v>10397</v>
      </c>
      <c r="H118">
        <f>'Monthly Data'!BU118</f>
        <v>30</v>
      </c>
      <c r="I118" s="33">
        <f>'Monthly Data'!CQ118</f>
        <v>29.789583333333326</v>
      </c>
      <c r="J118" s="33">
        <f>'Monthly Data'!CX118</f>
        <v>18.255208333333336</v>
      </c>
      <c r="L118" s="18">
        <f>'Res Predicted Monthly'!$X$8</f>
        <v>-16404845.677784801</v>
      </c>
      <c r="M118" s="18">
        <f>E118*'Res Predicted Monthly'!$X$9</f>
        <v>780678.69137288979</v>
      </c>
      <c r="N118" s="18">
        <f>F118*'Res Predicted Monthly'!$X$10</f>
        <v>1065015.2273650281</v>
      </c>
      <c r="O118" s="18">
        <f>G118*'Res Predicted Monthly'!$X$11</f>
        <v>14005115.407829912</v>
      </c>
      <c r="P118" s="18">
        <f>H118*'Res Predicted Monthly'!$X$12</f>
        <v>6303145.7404868407</v>
      </c>
      <c r="Q118" s="18">
        <f>I118*'Res Predicted Monthly'!$X$13</f>
        <v>16110.946257594826</v>
      </c>
      <c r="R118" s="18">
        <f>J118*'Res Predicted Monthly'!$X$14</f>
        <v>40048.609212731077</v>
      </c>
      <c r="S118" s="18">
        <f t="shared" si="10"/>
        <v>5805268.9447401967</v>
      </c>
      <c r="T118" s="18">
        <f t="shared" si="13"/>
        <v>46161.420198274776</v>
      </c>
      <c r="U118" s="35">
        <f t="shared" si="14"/>
        <v>8.0153773829646363E-3</v>
      </c>
    </row>
    <row r="119" spans="1:21">
      <c r="A119" s="541">
        <f>'Monthly Data'!A119</f>
        <v>45931</v>
      </c>
      <c r="B119">
        <f t="shared" si="11"/>
        <v>2025</v>
      </c>
      <c r="C119">
        <f t="shared" si="12"/>
        <v>10</v>
      </c>
      <c r="D119" s="31">
        <f>'Monthly Data'!F119</f>
        <v>6185821.2058611633</v>
      </c>
      <c r="E119" s="33">
        <f>'Monthly Data'!AS119</f>
        <v>289.06666666666666</v>
      </c>
      <c r="F119" s="33">
        <f>'Monthly Data'!AZ119</f>
        <v>37.666666666666671</v>
      </c>
      <c r="G119" s="18">
        <f>'Monthly Data'!G119</f>
        <v>10402</v>
      </c>
      <c r="H119">
        <f>'Monthly Data'!BU119</f>
        <v>31</v>
      </c>
      <c r="I119" s="33">
        <f>'Monthly Data'!CQ119</f>
        <v>72.266666666666666</v>
      </c>
      <c r="J119" s="33">
        <f>'Monthly Data'!CX119</f>
        <v>9.4166666666666679</v>
      </c>
      <c r="L119" s="18">
        <f>'Res Predicted Monthly'!$X$8</f>
        <v>-16404845.677784801</v>
      </c>
      <c r="M119" s="18">
        <f>E119*'Res Predicted Monthly'!$X$9</f>
        <v>1893851.4893588927</v>
      </c>
      <c r="N119" s="18">
        <f>F119*'Res Predicted Monthly'!$X$10</f>
        <v>549371.62084906443</v>
      </c>
      <c r="O119" s="18">
        <f>G119*'Res Predicted Monthly'!$X$11</f>
        <v>14011850.579229273</v>
      </c>
      <c r="P119" s="18">
        <f>H119*'Res Predicted Monthly'!$X$12</f>
        <v>6513250.5985030681</v>
      </c>
      <c r="Q119" s="18">
        <f>I119*'Res Predicted Monthly'!$X$13</f>
        <v>39083.607509857298</v>
      </c>
      <c r="R119" s="18">
        <f>J119*'Res Predicted Monthly'!$X$14</f>
        <v>20658.455194470123</v>
      </c>
      <c r="S119" s="18">
        <f t="shared" si="10"/>
        <v>6623220.6728598243</v>
      </c>
      <c r="T119" s="18">
        <f t="shared" si="13"/>
        <v>437399.46699866094</v>
      </c>
      <c r="U119" s="35">
        <f t="shared" si="14"/>
        <v>7.0710008007379532E-2</v>
      </c>
    </row>
    <row r="120" spans="1:21">
      <c r="A120" s="541">
        <f>'Monthly Data'!A120</f>
        <v>45962</v>
      </c>
      <c r="B120">
        <f t="shared" si="11"/>
        <v>2025</v>
      </c>
      <c r="C120">
        <f t="shared" si="12"/>
        <v>11</v>
      </c>
      <c r="D120" s="31">
        <f>'Monthly Data'!F120</f>
        <v>7688916.8871804047</v>
      </c>
      <c r="E120" s="33">
        <f>'Monthly Data'!AS120</f>
        <v>547.22916666666663</v>
      </c>
      <c r="F120" s="33">
        <f>'Monthly Data'!AZ120</f>
        <v>0</v>
      </c>
      <c r="G120" s="18">
        <f>'Monthly Data'!G120</f>
        <v>10407</v>
      </c>
      <c r="H120">
        <f>'Monthly Data'!BU120</f>
        <v>30</v>
      </c>
      <c r="I120" s="33">
        <f>'Monthly Data'!CQ120</f>
        <v>136.80729166666666</v>
      </c>
      <c r="J120" s="33">
        <f>'Monthly Data'!CX120</f>
        <v>0</v>
      </c>
      <c r="L120" s="18">
        <f>'Res Predicted Monthly'!$X$8</f>
        <v>-16404845.677784801</v>
      </c>
      <c r="M120" s="18">
        <f>E120*'Res Predicted Monthly'!$X$9</f>
        <v>3585230.9927777639</v>
      </c>
      <c r="N120" s="18">
        <f>F120*'Res Predicted Monthly'!$X$10</f>
        <v>0</v>
      </c>
      <c r="O120" s="18">
        <f>G120*'Res Predicted Monthly'!$X$11</f>
        <v>14018585.750628633</v>
      </c>
      <c r="P120" s="18">
        <f>H120*'Res Predicted Monthly'!$X$12</f>
        <v>6303145.7404868407</v>
      </c>
      <c r="Q120" s="18">
        <f>I120*'Res Predicted Monthly'!$X$13</f>
        <v>73988.779870662867</v>
      </c>
      <c r="R120" s="18">
        <f>J120*'Res Predicted Monthly'!$X$14</f>
        <v>0</v>
      </c>
      <c r="S120" s="18">
        <f t="shared" si="10"/>
        <v>7576105.5859791012</v>
      </c>
      <c r="T120" s="18">
        <f t="shared" si="13"/>
        <v>-112811.30120130349</v>
      </c>
      <c r="U120" s="35">
        <f t="shared" si="14"/>
        <v>1.4671936614296322E-2</v>
      </c>
    </row>
    <row r="121" spans="1:21">
      <c r="A121" s="541">
        <f>'Monthly Data'!A121</f>
        <v>45992</v>
      </c>
      <c r="B121">
        <f t="shared" si="11"/>
        <v>2025</v>
      </c>
      <c r="C121">
        <f t="shared" si="12"/>
        <v>12</v>
      </c>
      <c r="D121" s="31">
        <f>'Monthly Data'!F121</f>
        <v>9982601.5684996471</v>
      </c>
      <c r="E121" s="33">
        <f>'Monthly Data'!AS121</f>
        <v>853.94583333333321</v>
      </c>
      <c r="F121" s="33">
        <f>'Monthly Data'!AZ121</f>
        <v>0</v>
      </c>
      <c r="G121" s="18">
        <f>'Monthly Data'!G121</f>
        <v>10411</v>
      </c>
      <c r="H121">
        <f>'Monthly Data'!BU121</f>
        <v>31</v>
      </c>
      <c r="I121" s="33">
        <f>'Monthly Data'!CQ121</f>
        <v>213.4864583333333</v>
      </c>
      <c r="J121" s="33">
        <f>'Monthly Data'!CX121</f>
        <v>0</v>
      </c>
      <c r="L121" s="18">
        <f>'Res Predicted Monthly'!$X$8</f>
        <v>-16404845.677784801</v>
      </c>
      <c r="M121" s="18">
        <f>E121*'Res Predicted Monthly'!$X$9</f>
        <v>5594718.3635498863</v>
      </c>
      <c r="N121" s="18">
        <f>F121*'Res Predicted Monthly'!$X$10</f>
        <v>0</v>
      </c>
      <c r="O121" s="18">
        <f>G121*'Res Predicted Monthly'!$X$11</f>
        <v>14023973.887748122</v>
      </c>
      <c r="P121" s="18">
        <f>H121*'Res Predicted Monthly'!$X$12</f>
        <v>6513250.5985030681</v>
      </c>
      <c r="Q121" s="18">
        <f>I121*'Res Predicted Monthly'!$X$13</f>
        <v>115458.77693038979</v>
      </c>
      <c r="R121" s="18">
        <f>J121*'Res Predicted Monthly'!$X$14</f>
        <v>0</v>
      </c>
      <c r="S121" s="18">
        <f t="shared" si="10"/>
        <v>9842555.948946666</v>
      </c>
      <c r="T121" s="18">
        <f t="shared" si="13"/>
        <v>-140045.61955298111</v>
      </c>
      <c r="U121" s="35">
        <f t="shared" si="14"/>
        <v>1.4028970162938149E-2</v>
      </c>
    </row>
    <row r="122" spans="1:21">
      <c r="A122" s="9"/>
      <c r="G122" s="18"/>
      <c r="O122" s="18"/>
      <c r="U122" s="35">
        <f>AVERAGE(U50:U121)</f>
        <v>1.9201303139580395E-2</v>
      </c>
    </row>
    <row r="123" spans="1:21">
      <c r="A123" s="9"/>
      <c r="G123" s="18"/>
      <c r="O123" s="18"/>
    </row>
    <row r="124" spans="1:21">
      <c r="A124" s="9"/>
      <c r="G124" s="18"/>
      <c r="O124" s="18"/>
    </row>
    <row r="125" spans="1:21">
      <c r="A125" s="9"/>
      <c r="G125" s="18"/>
      <c r="O125" s="18"/>
    </row>
    <row r="126" spans="1:21">
      <c r="A126" s="9"/>
    </row>
    <row r="127" spans="1:21">
      <c r="A127" s="9"/>
    </row>
    <row r="128" spans="1:21">
      <c r="A128" s="9"/>
    </row>
    <row r="129" spans="1:1">
      <c r="A129" s="9"/>
    </row>
    <row r="130" spans="1:1">
      <c r="A130" s="9"/>
    </row>
    <row r="131" spans="1:1">
      <c r="A131" s="9"/>
    </row>
    <row r="132" spans="1:1">
      <c r="A132" s="9"/>
    </row>
    <row r="133" spans="1:1">
      <c r="A133" s="9"/>
    </row>
    <row r="134" spans="1:1">
      <c r="A134" s="9"/>
    </row>
    <row r="135" spans="1:1">
      <c r="A135" s="9"/>
    </row>
    <row r="136" spans="1:1">
      <c r="A136" s="9"/>
    </row>
    <row r="137" spans="1:1">
      <c r="A137" s="9"/>
    </row>
    <row r="138" spans="1:1">
      <c r="A138" s="9"/>
    </row>
    <row r="139" spans="1:1">
      <c r="A139" s="9"/>
    </row>
    <row r="140" spans="1:1">
      <c r="A140" s="9"/>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3"/>
  <dimension ref="A1:Z141"/>
  <sheetViews>
    <sheetView workbookViewId="0">
      <selection activeCell="Q1" sqref="Q1:Q1048576"/>
    </sheetView>
  </sheetViews>
  <sheetFormatPr defaultColWidth="9.33203125" defaultRowHeight="13.15"/>
  <cols>
    <col min="4" max="4" width="14.6640625" bestFit="1" customWidth="1"/>
    <col min="7" max="7" width="12.83203125" style="18" customWidth="1"/>
    <col min="9" max="9" width="11.5" customWidth="1"/>
    <col min="11" max="11" width="14.6640625" bestFit="1" customWidth="1"/>
    <col min="12" max="13" width="12.83203125" bestFit="1" customWidth="1"/>
    <col min="14" max="14" width="14.33203125" bestFit="1" customWidth="1"/>
    <col min="15" max="16" width="12.5" customWidth="1"/>
    <col min="17" max="17" width="14.83203125" bestFit="1" customWidth="1"/>
    <col min="18" max="18" width="13.83203125" bestFit="1" customWidth="1"/>
    <col min="21" max="21" width="13.83203125" bestFit="1" customWidth="1"/>
    <col min="22" max="22" width="14.6640625" customWidth="1"/>
    <col min="23" max="23" width="11" bestFit="1" customWidth="1"/>
    <col min="24" max="26" width="12.83203125" customWidth="1"/>
  </cols>
  <sheetData>
    <row r="1" spans="1:25">
      <c r="A1" s="266" t="str">
        <f>'Monthly Data'!A1</f>
        <v>Date</v>
      </c>
      <c r="B1" s="258" t="s">
        <v>27</v>
      </c>
      <c r="C1" s="258" t="s">
        <v>28</v>
      </c>
      <c r="D1" s="267" t="str">
        <f>'Monthly Data'!J1</f>
        <v>GS_lt_50_NoCDM</v>
      </c>
      <c r="E1" s="268" t="str">
        <f>'Monthly Data'!AQ1</f>
        <v>HDD20</v>
      </c>
      <c r="F1" s="268" t="str">
        <f>'Monthly Data'!AZ1</f>
        <v>CDD12</v>
      </c>
      <c r="G1" s="269" t="str">
        <f>'Monthly Data'!AD1</f>
        <v>ON GDP</v>
      </c>
      <c r="H1" s="268" t="str">
        <f>'Monthly Data'!BU1</f>
        <v>Month Days</v>
      </c>
      <c r="I1" s="267" t="str">
        <f>'Monthly Data'!BX1</f>
        <v>COVID_AM</v>
      </c>
      <c r="K1" s="268" t="s">
        <v>187</v>
      </c>
      <c r="L1" s="268" t="str">
        <f>E1</f>
        <v>HDD20</v>
      </c>
      <c r="M1" s="268" t="str">
        <f>F1</f>
        <v>CDD12</v>
      </c>
      <c r="N1" s="268" t="str">
        <f>G1</f>
        <v>ON GDP</v>
      </c>
      <c r="O1" s="268" t="str">
        <f>H1</f>
        <v>Month Days</v>
      </c>
      <c r="P1" s="268" t="str">
        <f>I1</f>
        <v>COVID_AM</v>
      </c>
      <c r="Q1" s="258" t="s">
        <v>188</v>
      </c>
      <c r="R1" s="258" t="s">
        <v>189</v>
      </c>
    </row>
    <row r="2" spans="1:25">
      <c r="A2" s="541">
        <f>'Monthly Data'!A2</f>
        <v>42370</v>
      </c>
      <c r="B2">
        <f t="shared" ref="B2:B7" si="0">YEAR(A2)</f>
        <v>2016</v>
      </c>
      <c r="C2">
        <f t="shared" ref="C2:C7" si="1">MONTH(A2)</f>
        <v>1</v>
      </c>
      <c r="D2" s="31">
        <f>'Monthly Data'!J2</f>
        <v>17466.899038461539</v>
      </c>
      <c r="E2" s="33">
        <f>'Monthly Data'!AQ2</f>
        <v>887.26875000000007</v>
      </c>
      <c r="F2" s="33">
        <f>'Monthly Data'!AZ2</f>
        <v>0</v>
      </c>
      <c r="G2" s="33">
        <f>'Monthly Data'!AD2</f>
        <v>743976.2</v>
      </c>
      <c r="H2" s="8">
        <f>'Monthly Data'!BU2</f>
        <v>31</v>
      </c>
      <c r="I2" s="18">
        <f>'Monthly Data'!BX2</f>
        <v>0</v>
      </c>
      <c r="K2" s="18">
        <f>'GS&lt;50 Predicted Monthly'!$V$8</f>
        <v>-2135516.9462582301</v>
      </c>
      <c r="L2" s="18">
        <f>E2*'GS&lt;50 Predicted Monthly'!$V$9</f>
        <v>1673272.2942278103</v>
      </c>
      <c r="M2" s="18">
        <f>F2*'GS&lt;50 Predicted Monthly'!$V$10</f>
        <v>0</v>
      </c>
      <c r="N2" s="18">
        <f>G2*'GS&lt;50 Predicted Monthly'!$V$11</f>
        <v>1792621.7249881153</v>
      </c>
      <c r="O2" s="18">
        <f>H2*'GS&lt;50 Predicted Monthly'!$V$12</f>
        <v>1722828.0010148797</v>
      </c>
      <c r="P2" s="18">
        <f>I2*'GS&lt;50 Predicted Monthly'!$V$13</f>
        <v>0</v>
      </c>
      <c r="Q2" s="18">
        <f>SUM(K2:P2)</f>
        <v>3053205.0739725754</v>
      </c>
      <c r="R2" s="18">
        <f>Q2-D2</f>
        <v>3035738.1749341139</v>
      </c>
      <c r="S2" s="35">
        <f>ABS(R2/D2)</f>
        <v>173.79949172715305</v>
      </c>
    </row>
    <row r="3" spans="1:25">
      <c r="A3" s="541">
        <f>'Monthly Data'!A3</f>
        <v>42401</v>
      </c>
      <c r="B3">
        <f t="shared" si="0"/>
        <v>2016</v>
      </c>
      <c r="C3">
        <f t="shared" si="1"/>
        <v>2</v>
      </c>
      <c r="D3" s="31">
        <f>'Monthly Data'!J3</f>
        <v>19795.81891025641</v>
      </c>
      <c r="E3" s="33">
        <f>'Monthly Data'!AQ3</f>
        <v>864.28750000000002</v>
      </c>
      <c r="F3" s="33">
        <f>'Monthly Data'!AZ3</f>
        <v>0</v>
      </c>
      <c r="G3" s="33">
        <f>'Monthly Data'!AD3</f>
        <v>743976.2</v>
      </c>
      <c r="H3" s="8">
        <f>'Monthly Data'!BU3</f>
        <v>28</v>
      </c>
      <c r="I3" s="18">
        <f>'Monthly Data'!BX3</f>
        <v>0</v>
      </c>
      <c r="K3" s="18">
        <f>'GS&lt;50 Predicted Monthly'!$V$8</f>
        <v>-2135516.9462582301</v>
      </c>
      <c r="L3" s="18">
        <f>E3*'GS&lt;50 Predicted Monthly'!$V$9</f>
        <v>1629932.6759760426</v>
      </c>
      <c r="M3" s="18">
        <f>F3*'GS&lt;50 Predicted Monthly'!$V$10</f>
        <v>0</v>
      </c>
      <c r="N3" s="18">
        <f>G3*'GS&lt;50 Predicted Monthly'!$V$11</f>
        <v>1792621.7249881153</v>
      </c>
      <c r="O3" s="18">
        <f>H3*'GS&lt;50 Predicted Monthly'!$V$12</f>
        <v>1556102.7105940848</v>
      </c>
      <c r="P3" s="18">
        <f>I3*'GS&lt;50 Predicted Monthly'!$V$13</f>
        <v>0</v>
      </c>
      <c r="Q3" s="18">
        <f>SUM(K3:P3)</f>
        <v>2843140.1653000126</v>
      </c>
      <c r="R3" s="18">
        <f>Q3-D3</f>
        <v>2823344.3463897561</v>
      </c>
      <c r="S3" s="35">
        <f>ABS(R3/D3)</f>
        <v>142.62326601335766</v>
      </c>
      <c r="U3" t="s">
        <v>210</v>
      </c>
    </row>
    <row r="4" spans="1:25">
      <c r="A4" s="541">
        <f>'Monthly Data'!A4</f>
        <v>42430</v>
      </c>
      <c r="B4">
        <f t="shared" si="0"/>
        <v>2016</v>
      </c>
      <c r="C4">
        <f t="shared" si="1"/>
        <v>3</v>
      </c>
      <c r="D4" s="31">
        <f>'Monthly Data'!J4</f>
        <v>22124.738782051281</v>
      </c>
      <c r="E4" s="33">
        <f>'Monthly Data'!AQ4</f>
        <v>694.14374999999995</v>
      </c>
      <c r="F4" s="33">
        <f>'Monthly Data'!AZ4</f>
        <v>0</v>
      </c>
      <c r="G4" s="33">
        <f>'Monthly Data'!AD4</f>
        <v>743976.2</v>
      </c>
      <c r="H4" s="8">
        <f>'Monthly Data'!BU4</f>
        <v>31</v>
      </c>
      <c r="I4" s="18">
        <f>'Monthly Data'!BX4</f>
        <v>0</v>
      </c>
      <c r="K4" s="18">
        <f>'GS&lt;50 Predicted Monthly'!$V$8</f>
        <v>-2135516.9462582301</v>
      </c>
      <c r="L4" s="18">
        <f>E4*'GS&lt;50 Predicted Monthly'!$V$9</f>
        <v>1309063.9167517119</v>
      </c>
      <c r="M4" s="18">
        <f>F4*'GS&lt;50 Predicted Monthly'!$V$10</f>
        <v>0</v>
      </c>
      <c r="N4" s="18">
        <f>G4*'GS&lt;50 Predicted Monthly'!$V$11</f>
        <v>1792621.7249881153</v>
      </c>
      <c r="O4" s="18">
        <f>H4*'GS&lt;50 Predicted Monthly'!$V$12</f>
        <v>1722828.0010148797</v>
      </c>
      <c r="P4" s="18">
        <f>I4*'GS&lt;50 Predicted Monthly'!$V$13</f>
        <v>0</v>
      </c>
      <c r="Q4" s="18">
        <f>SUM(K4:P4)</f>
        <v>2688996.6964964764</v>
      </c>
      <c r="R4" s="18">
        <f>Q4-D4</f>
        <v>2666871.9577144249</v>
      </c>
      <c r="S4" s="35">
        <f>ABS(R4/D4)</f>
        <v>120.53800878670386</v>
      </c>
      <c r="U4" t="s">
        <v>211</v>
      </c>
    </row>
    <row r="5" spans="1:25">
      <c r="A5" s="541">
        <f>'Monthly Data'!A5</f>
        <v>42461</v>
      </c>
      <c r="B5">
        <f t="shared" si="0"/>
        <v>2016</v>
      </c>
      <c r="C5">
        <f t="shared" si="1"/>
        <v>4</v>
      </c>
      <c r="D5" s="31">
        <f>'Monthly Data'!J5</f>
        <v>24453.658653846152</v>
      </c>
      <c r="E5" s="33">
        <f>'Monthly Data'!AQ5</f>
        <v>544.44166666666672</v>
      </c>
      <c r="F5" s="33">
        <f>'Monthly Data'!AZ5</f>
        <v>0</v>
      </c>
      <c r="G5" s="33">
        <f>'Monthly Data'!AD5</f>
        <v>743976.2</v>
      </c>
      <c r="H5" s="8">
        <f>'Monthly Data'!BU5</f>
        <v>30</v>
      </c>
      <c r="I5" s="18">
        <f>'Monthly Data'!BX5</f>
        <v>0</v>
      </c>
      <c r="K5" s="18">
        <f>'GS&lt;50 Predicted Monthly'!$V$8</f>
        <v>-2135516.9462582301</v>
      </c>
      <c r="L5" s="18">
        <f>E5*'GS&lt;50 Predicted Monthly'!$V$9</f>
        <v>1026745.4552598028</v>
      </c>
      <c r="M5" s="18">
        <f>F5*'GS&lt;50 Predicted Monthly'!$V$10</f>
        <v>0</v>
      </c>
      <c r="N5" s="18">
        <f>G5*'GS&lt;50 Predicted Monthly'!$V$11</f>
        <v>1792621.7249881153</v>
      </c>
      <c r="O5" s="18">
        <f>H5*'GS&lt;50 Predicted Monthly'!$V$12</f>
        <v>1667252.9042079481</v>
      </c>
      <c r="P5" s="18">
        <f>I5*'GS&lt;50 Predicted Monthly'!$V$13</f>
        <v>0</v>
      </c>
      <c r="Q5" s="18">
        <f>SUM(K5:P5)</f>
        <v>2351103.1381976362</v>
      </c>
      <c r="R5" s="18">
        <f>Q5-D5</f>
        <v>2326649.4795437902</v>
      </c>
      <c r="S5" s="35">
        <f>ABS(R5/D5)</f>
        <v>95.145250552429999</v>
      </c>
      <c r="U5" t="s">
        <v>212</v>
      </c>
    </row>
    <row r="6" spans="1:25">
      <c r="A6" s="541">
        <f>'Monthly Data'!A6</f>
        <v>42491</v>
      </c>
      <c r="B6">
        <f t="shared" si="0"/>
        <v>2016</v>
      </c>
      <c r="C6">
        <f t="shared" si="1"/>
        <v>5</v>
      </c>
      <c r="D6" s="31">
        <f>'Monthly Data'!J6</f>
        <v>26782.578525641024</v>
      </c>
      <c r="E6" s="33">
        <f>'Monthly Data'!AQ6</f>
        <v>215.85833333333335</v>
      </c>
      <c r="F6" s="33">
        <f>'Monthly Data'!AZ6</f>
        <v>92.229166666666643</v>
      </c>
      <c r="G6" s="33">
        <f>'Monthly Data'!AD6</f>
        <v>743976.2</v>
      </c>
      <c r="H6" s="8">
        <f>'Monthly Data'!BU6</f>
        <v>31</v>
      </c>
      <c r="I6" s="18">
        <f>'Monthly Data'!BX6</f>
        <v>0</v>
      </c>
      <c r="K6" s="18">
        <f>'GS&lt;50 Predicted Monthly'!$V$8</f>
        <v>-2135516.9462582301</v>
      </c>
      <c r="L6" s="18">
        <f>E6*'GS&lt;50 Predicted Monthly'!$V$9</f>
        <v>407080.45746551774</v>
      </c>
      <c r="M6" s="18">
        <f>F6*'GS&lt;50 Predicted Monthly'!$V$10</f>
        <v>342435.3173031988</v>
      </c>
      <c r="N6" s="18">
        <f>G6*'GS&lt;50 Predicted Monthly'!$V$11</f>
        <v>1792621.7249881153</v>
      </c>
      <c r="O6" s="18">
        <f>H6*'GS&lt;50 Predicted Monthly'!$V$12</f>
        <v>1722828.0010148797</v>
      </c>
      <c r="P6" s="18">
        <f>I6*'GS&lt;50 Predicted Monthly'!$V$13</f>
        <v>0</v>
      </c>
      <c r="Q6" s="18">
        <f>SUM(K6:P6)</f>
        <v>2129448.5545134814</v>
      </c>
      <c r="R6" s="18">
        <f>Q6-D6</f>
        <v>2102665.9759878404</v>
      </c>
      <c r="S6" s="35">
        <f>ABS(R6/D6)</f>
        <v>78.508720658647434</v>
      </c>
    </row>
    <row r="7" spans="1:25">
      <c r="A7" s="541">
        <f>'Monthly Data'!A7</f>
        <v>42522</v>
      </c>
      <c r="B7">
        <f t="shared" si="0"/>
        <v>2016</v>
      </c>
      <c r="C7">
        <f t="shared" si="1"/>
        <v>6</v>
      </c>
      <c r="D7" s="31">
        <f>'Monthly Data'!J7</f>
        <v>29111.498397435898</v>
      </c>
      <c r="E7" s="33">
        <f>'Monthly Data'!AQ7</f>
        <v>99.395833333333343</v>
      </c>
      <c r="F7" s="33">
        <f>'Monthly Data'!AZ7</f>
        <v>165.58333333333331</v>
      </c>
      <c r="G7" s="33">
        <f>'Monthly Data'!AD7</f>
        <v>743976.2</v>
      </c>
      <c r="H7" s="8">
        <f>'Monthly Data'!BU7</f>
        <v>30</v>
      </c>
      <c r="I7" s="18">
        <f>'Monthly Data'!BX7</f>
        <v>0</v>
      </c>
      <c r="K7" s="18">
        <f>'GS&lt;50 Predicted Monthly'!$V$8</f>
        <v>-2135516.9462582301</v>
      </c>
      <c r="L7" s="18">
        <f>E7*'GS&lt;50 Predicted Monthly'!$V$9</f>
        <v>187447.48316488293</v>
      </c>
      <c r="M7" s="18">
        <f>F7*'GS&lt;50 Predicted Monthly'!$V$10</f>
        <v>614790.12919038278</v>
      </c>
      <c r="N7" s="18">
        <f>G7*'GS&lt;50 Predicted Monthly'!$V$11</f>
        <v>1792621.7249881153</v>
      </c>
      <c r="O7" s="18">
        <f>H7*'GS&lt;50 Predicted Monthly'!$V$12</f>
        <v>1667252.9042079481</v>
      </c>
      <c r="P7" s="18">
        <f>I7*'GS&lt;50 Predicted Monthly'!$V$13</f>
        <v>0</v>
      </c>
      <c r="Q7" s="18">
        <f>SUM(K7:P7)</f>
        <v>2126595.2952930992</v>
      </c>
      <c r="R7" s="18">
        <f>Q7-D7</f>
        <v>2097483.7968956633</v>
      </c>
      <c r="S7" s="35">
        <f>ABS(R7/D7)</f>
        <v>72.050011588562086</v>
      </c>
      <c r="V7" t="s">
        <v>193</v>
      </c>
      <c r="W7" t="s">
        <v>194</v>
      </c>
      <c r="X7" t="s">
        <v>195</v>
      </c>
      <c r="Y7" t="s">
        <v>196</v>
      </c>
    </row>
    <row r="8" spans="1:25">
      <c r="A8" s="541">
        <f>'Monthly Data'!A8</f>
        <v>42552</v>
      </c>
      <c r="B8">
        <f t="shared" ref="B8:B71" si="2">YEAR(A8)</f>
        <v>2016</v>
      </c>
      <c r="C8">
        <f t="shared" ref="C8:C71" si="3">MONTH(A8)</f>
        <v>7</v>
      </c>
      <c r="D8" s="31">
        <f>'Monthly Data'!J8</f>
        <v>31440.41826923077</v>
      </c>
      <c r="E8" s="33">
        <f>'Monthly Data'!AQ8</f>
        <v>31.595833333333335</v>
      </c>
      <c r="F8" s="33">
        <f>'Monthly Data'!AZ8</f>
        <v>258.39583333333337</v>
      </c>
      <c r="G8" s="33">
        <f>'Monthly Data'!AD8</f>
        <v>743976.2</v>
      </c>
      <c r="H8" s="8">
        <f>'Monthly Data'!BU8</f>
        <v>31</v>
      </c>
      <c r="I8" s="18">
        <f>'Monthly Data'!BX8</f>
        <v>0</v>
      </c>
      <c r="K8" s="18">
        <f>'GS&lt;50 Predicted Monthly'!$V$8</f>
        <v>-2135516.9462582301</v>
      </c>
      <c r="L8" s="18">
        <f>E8*'GS&lt;50 Predicted Monthly'!$V$9</f>
        <v>59585.590645118726</v>
      </c>
      <c r="M8" s="18">
        <f>F8*'GS&lt;50 Predicted Monthly'!$V$10</f>
        <v>959391.28992807237</v>
      </c>
      <c r="N8" s="18">
        <f>G8*'GS&lt;50 Predicted Monthly'!$V$11</f>
        <v>1792621.7249881153</v>
      </c>
      <c r="O8" s="18">
        <f>H8*'GS&lt;50 Predicted Monthly'!$V$12</f>
        <v>1722828.0010148797</v>
      </c>
      <c r="P8" s="18">
        <f>I8*'GS&lt;50 Predicted Monthly'!$V$13</f>
        <v>0</v>
      </c>
      <c r="Q8" s="18">
        <f>SUM(K8:P8)</f>
        <v>2398909.6603179555</v>
      </c>
      <c r="R8" s="18">
        <f>Q8-D8</f>
        <v>2367469.2420487246</v>
      </c>
      <c r="S8" s="35">
        <f>ABS(R8/D8)</f>
        <v>75.300182770330807</v>
      </c>
      <c r="U8" t="s">
        <v>187</v>
      </c>
      <c r="V8" s="18">
        <v>-2135516.9462582301</v>
      </c>
      <c r="W8" s="297">
        <v>442864.37043406302</v>
      </c>
      <c r="X8" s="539">
        <v>-4.8220563423631404</v>
      </c>
      <c r="Y8" s="540">
        <v>8.7204580281092499E-6</v>
      </c>
    </row>
    <row r="9" spans="1:25">
      <c r="A9" s="541">
        <f>'Monthly Data'!A9</f>
        <v>42583</v>
      </c>
      <c r="B9">
        <f t="shared" si="2"/>
        <v>2016</v>
      </c>
      <c r="C9">
        <f t="shared" si="3"/>
        <v>8</v>
      </c>
      <c r="D9" s="31">
        <f>'Monthly Data'!J9</f>
        <v>33769.338141025641</v>
      </c>
      <c r="E9" s="33">
        <f>'Monthly Data'!AQ9</f>
        <v>19.462499999999999</v>
      </c>
      <c r="F9" s="33">
        <f>'Monthly Data'!AZ9</f>
        <v>274.35833333333335</v>
      </c>
      <c r="G9" s="33">
        <f>'Monthly Data'!AD9</f>
        <v>743976.2</v>
      </c>
      <c r="H9" s="8">
        <f>'Monthly Data'!BU9</f>
        <v>31</v>
      </c>
      <c r="I9" s="18">
        <f>'Monthly Data'!BX9</f>
        <v>0</v>
      </c>
      <c r="K9" s="18">
        <f>'GS&lt;50 Predicted Monthly'!$V$8</f>
        <v>-2135516.9462582301</v>
      </c>
      <c r="L9" s="18">
        <f>E9*'GS&lt;50 Predicted Monthly'!$V$9</f>
        <v>36703.718040795138</v>
      </c>
      <c r="M9" s="18">
        <f>F9*'GS&lt;50 Predicted Monthly'!$V$10</f>
        <v>1018658.0484818809</v>
      </c>
      <c r="N9" s="18">
        <f>G9*'GS&lt;50 Predicted Monthly'!$V$11</f>
        <v>1792621.7249881153</v>
      </c>
      <c r="O9" s="18">
        <f>H9*'GS&lt;50 Predicted Monthly'!$V$12</f>
        <v>1722828.0010148797</v>
      </c>
      <c r="P9" s="18">
        <f>I9*'GS&lt;50 Predicted Monthly'!$V$13</f>
        <v>0</v>
      </c>
      <c r="Q9" s="18">
        <f>SUM(K9:P9)</f>
        <v>2435294.5462674405</v>
      </c>
      <c r="R9" s="18">
        <f>Q9-D9</f>
        <v>2401525.208126415</v>
      </c>
      <c r="S9" s="35">
        <f>ABS(R9/D9)</f>
        <v>71.11555453344387</v>
      </c>
      <c r="U9" t="s">
        <v>68</v>
      </c>
      <c r="V9" s="18">
        <v>1885.8686212354601</v>
      </c>
      <c r="W9" s="297">
        <v>53.148773041990999</v>
      </c>
      <c r="X9" s="539">
        <v>35.482825158456698</v>
      </c>
      <c r="Y9" s="540">
        <v>1.0298538662675E-44</v>
      </c>
    </row>
    <row r="10" spans="1:25">
      <c r="A10" s="541">
        <f>'Monthly Data'!A10</f>
        <v>42614</v>
      </c>
      <c r="B10">
        <f t="shared" si="2"/>
        <v>2016</v>
      </c>
      <c r="C10">
        <f t="shared" si="3"/>
        <v>9</v>
      </c>
      <c r="D10" s="31">
        <f>'Monthly Data'!J10</f>
        <v>36098.258012820515</v>
      </c>
      <c r="E10" s="33">
        <f>'Monthly Data'!AQ10</f>
        <v>150.00416666666666</v>
      </c>
      <c r="F10" s="33">
        <f>'Monthly Data'!AZ10</f>
        <v>107.68749999999999</v>
      </c>
      <c r="G10" s="33">
        <f>'Monthly Data'!AD10</f>
        <v>743976.2</v>
      </c>
      <c r="H10" s="8">
        <f>'Monthly Data'!BU10</f>
        <v>30</v>
      </c>
      <c r="I10" s="18">
        <f>'Monthly Data'!BX10</f>
        <v>0</v>
      </c>
      <c r="K10" s="18">
        <f>'GS&lt;50 Predicted Monthly'!$V$8</f>
        <v>-2135516.9462582301</v>
      </c>
      <c r="L10" s="18">
        <f>E10*'GS&lt;50 Predicted Monthly'!$V$9</f>
        <v>282888.15097124083</v>
      </c>
      <c r="M10" s="18">
        <f>F10*'GS&lt;50 Predicted Monthly'!$V$10</f>
        <v>399830.16831719782</v>
      </c>
      <c r="N10" s="18">
        <f>G10*'GS&lt;50 Predicted Monthly'!$V$11</f>
        <v>1792621.7249881153</v>
      </c>
      <c r="O10" s="18">
        <f>H10*'GS&lt;50 Predicted Monthly'!$V$12</f>
        <v>1667252.9042079481</v>
      </c>
      <c r="P10" s="18">
        <f>I10*'GS&lt;50 Predicted Monthly'!$V$13</f>
        <v>0</v>
      </c>
      <c r="Q10" s="18">
        <f>SUM(K10:P10)</f>
        <v>2007076.0022262719</v>
      </c>
      <c r="R10" s="18">
        <f>Q10-D10</f>
        <v>1970977.7442134514</v>
      </c>
      <c r="S10" s="35">
        <f>ABS(R10/D10)</f>
        <v>54.600356158833115</v>
      </c>
      <c r="U10" t="s">
        <v>77</v>
      </c>
      <c r="V10" s="18">
        <v>3712.87445912662</v>
      </c>
      <c r="W10" s="297">
        <v>170.85347191361899</v>
      </c>
      <c r="X10" s="539">
        <v>21.7313374878551</v>
      </c>
      <c r="Y10" s="540">
        <v>8.7194700868508202E-32</v>
      </c>
    </row>
    <row r="11" spans="1:25">
      <c r="A11" s="541">
        <f>'Monthly Data'!A11</f>
        <v>42644</v>
      </c>
      <c r="B11">
        <f t="shared" si="2"/>
        <v>2016</v>
      </c>
      <c r="C11">
        <f t="shared" si="3"/>
        <v>10</v>
      </c>
      <c r="D11" s="31">
        <f>'Monthly Data'!J11</f>
        <v>38427.177884615383</v>
      </c>
      <c r="E11" s="33">
        <f>'Monthly Data'!AQ11</f>
        <v>371.38749999999993</v>
      </c>
      <c r="F11" s="33">
        <f>'Monthly Data'!AZ11</f>
        <v>19.216666666666676</v>
      </c>
      <c r="G11" s="33">
        <f>'Monthly Data'!AD11</f>
        <v>743976.2</v>
      </c>
      <c r="H11" s="8">
        <f>'Monthly Data'!BU11</f>
        <v>31</v>
      </c>
      <c r="I11" s="18">
        <f>'Monthly Data'!BX11</f>
        <v>0</v>
      </c>
      <c r="K11" s="18">
        <f>'GS&lt;50 Predicted Monthly'!$V$8</f>
        <v>-2135516.9462582301</v>
      </c>
      <c r="L11" s="18">
        <f>E11*'GS&lt;50 Predicted Monthly'!$V$9</f>
        <v>700388.03256908432</v>
      </c>
      <c r="M11" s="18">
        <f>F11*'GS&lt;50 Predicted Monthly'!$V$10</f>
        <v>71349.070856216582</v>
      </c>
      <c r="N11" s="18">
        <f>G11*'GS&lt;50 Predicted Monthly'!$V$11</f>
        <v>1792621.7249881153</v>
      </c>
      <c r="O11" s="18">
        <f>H11*'GS&lt;50 Predicted Monthly'!$V$12</f>
        <v>1722828.0010148797</v>
      </c>
      <c r="P11" s="18">
        <f>I11*'GS&lt;50 Predicted Monthly'!$V$13</f>
        <v>0</v>
      </c>
      <c r="Q11" s="18">
        <f>SUM(K11:P11)</f>
        <v>2151669.8831700655</v>
      </c>
      <c r="R11" s="18">
        <f>Q11-D11</f>
        <v>2113242.70528545</v>
      </c>
      <c r="S11" s="35">
        <f>ABS(R11/D11)</f>
        <v>54.993440101972801</v>
      </c>
      <c r="U11" t="s">
        <v>213</v>
      </c>
      <c r="V11" s="18">
        <v>2.4095148809708098</v>
      </c>
      <c r="W11" s="297">
        <v>0.38674617656824201</v>
      </c>
      <c r="X11" s="539">
        <v>6.2302228876608998</v>
      </c>
      <c r="Y11" s="540">
        <v>3.6884754721700099E-8</v>
      </c>
    </row>
    <row r="12" spans="1:25">
      <c r="A12" s="541">
        <f>'Monthly Data'!A12</f>
        <v>42675</v>
      </c>
      <c r="B12">
        <f t="shared" si="2"/>
        <v>2016</v>
      </c>
      <c r="C12">
        <f t="shared" si="3"/>
        <v>11</v>
      </c>
      <c r="D12" s="31">
        <f>'Monthly Data'!J12</f>
        <v>40756.097756410258</v>
      </c>
      <c r="E12" s="33">
        <f>'Monthly Data'!AQ12</f>
        <v>532.77083333333348</v>
      </c>
      <c r="F12" s="33">
        <f>'Monthly Data'!AZ12</f>
        <v>0</v>
      </c>
      <c r="G12" s="33">
        <f>'Monthly Data'!AD12</f>
        <v>743976.2</v>
      </c>
      <c r="H12" s="8">
        <f>'Monthly Data'!BU12</f>
        <v>30</v>
      </c>
      <c r="I12" s="18">
        <f>'Monthly Data'!BX12</f>
        <v>0</v>
      </c>
      <c r="K12" s="18">
        <f>'GS&lt;50 Predicted Monthly'!$V$8</f>
        <v>-2135516.9462582301</v>
      </c>
      <c r="L12" s="18">
        <f>E12*'GS&lt;50 Predicted Monthly'!$V$9</f>
        <v>1004735.7968928007</v>
      </c>
      <c r="M12" s="18">
        <f>F12*'GS&lt;50 Predicted Monthly'!$V$10</f>
        <v>0</v>
      </c>
      <c r="N12" s="18">
        <f>G12*'GS&lt;50 Predicted Monthly'!$V$11</f>
        <v>1792621.7249881153</v>
      </c>
      <c r="O12" s="18">
        <f>H12*'GS&lt;50 Predicted Monthly'!$V$12</f>
        <v>1667252.9042079481</v>
      </c>
      <c r="P12" s="18">
        <f>I12*'GS&lt;50 Predicted Monthly'!$V$13</f>
        <v>0</v>
      </c>
      <c r="Q12" s="18">
        <f>SUM(K12:P12)</f>
        <v>2329093.4798306338</v>
      </c>
      <c r="R12" s="18">
        <f>Q12-D12</f>
        <v>2288337.3820742234</v>
      </c>
      <c r="S12" s="35">
        <f>ABS(R12/D12)</f>
        <v>56.147116825341939</v>
      </c>
      <c r="U12" t="s">
        <v>197</v>
      </c>
      <c r="V12" s="18">
        <v>55575.0968069316</v>
      </c>
      <c r="W12" s="297">
        <v>10275.5896971199</v>
      </c>
      <c r="X12" s="539">
        <v>5.4084581464466899</v>
      </c>
      <c r="Y12" s="540">
        <v>9.4552795030648399E-7</v>
      </c>
    </row>
    <row r="13" spans="1:25">
      <c r="A13" s="541">
        <f>'Monthly Data'!A13</f>
        <v>42705</v>
      </c>
      <c r="B13">
        <f t="shared" si="2"/>
        <v>2016</v>
      </c>
      <c r="C13">
        <f t="shared" si="3"/>
        <v>12</v>
      </c>
      <c r="D13" s="31">
        <f>'Monthly Data'!J13</f>
        <v>29557146.017628204</v>
      </c>
      <c r="E13" s="33">
        <f>'Monthly Data'!AQ13</f>
        <v>812.63333333333298</v>
      </c>
      <c r="F13" s="33">
        <f>'Monthly Data'!AZ13</f>
        <v>0</v>
      </c>
      <c r="G13" s="33">
        <f>'Monthly Data'!AD13</f>
        <v>743976.2</v>
      </c>
      <c r="H13" s="8">
        <f>'Monthly Data'!BU13</f>
        <v>31</v>
      </c>
      <c r="I13" s="18">
        <f>'Monthly Data'!BX13</f>
        <v>0</v>
      </c>
      <c r="K13" s="18">
        <f>'GS&lt;50 Predicted Monthly'!$V$8</f>
        <v>-2135516.9462582301</v>
      </c>
      <c r="L13" s="18">
        <f>E13*'GS&lt;50 Predicted Monthly'!$V$9</f>
        <v>1532519.7039033086</v>
      </c>
      <c r="M13" s="18">
        <f>F13*'GS&lt;50 Predicted Monthly'!$V$10</f>
        <v>0</v>
      </c>
      <c r="N13" s="18">
        <f>G13*'GS&lt;50 Predicted Monthly'!$V$11</f>
        <v>1792621.7249881153</v>
      </c>
      <c r="O13" s="18">
        <f>H13*'GS&lt;50 Predicted Monthly'!$V$12</f>
        <v>1722828.0010148797</v>
      </c>
      <c r="P13" s="18">
        <f>I13*'GS&lt;50 Predicted Monthly'!$V$13</f>
        <v>0</v>
      </c>
      <c r="Q13" s="18">
        <f>SUM(K13:P13)</f>
        <v>2912452.4836480734</v>
      </c>
      <c r="R13" s="18">
        <f>Q13-D13</f>
        <v>-26644693.533980131</v>
      </c>
      <c r="S13" s="35">
        <f>ABS(R13/D13)</f>
        <v>0.90146367711175313</v>
      </c>
      <c r="T13" s="31">
        <f>SUM(Q2:Q13)</f>
        <v>29426984.979233723</v>
      </c>
      <c r="U13" t="s">
        <v>101</v>
      </c>
      <c r="V13" s="18">
        <v>-311329.50743941899</v>
      </c>
      <c r="W13" s="297">
        <v>61587.201509725099</v>
      </c>
      <c r="X13" s="539">
        <v>-5.0551007320937904</v>
      </c>
      <c r="Y13" s="540">
        <v>3.6477544081636199E-6</v>
      </c>
    </row>
    <row r="14" spans="1:25">
      <c r="A14" s="541">
        <f>'Monthly Data'!A14</f>
        <v>42736</v>
      </c>
      <c r="B14">
        <f t="shared" si="2"/>
        <v>2017</v>
      </c>
      <c r="C14">
        <f t="shared" si="3"/>
        <v>1</v>
      </c>
      <c r="D14" s="31">
        <f>'Monthly Data'!J14</f>
        <v>63199.167467948719</v>
      </c>
      <c r="E14" s="33">
        <f>'Monthly Data'!AQ14</f>
        <v>835.17083333333335</v>
      </c>
      <c r="F14" s="33">
        <f>'Monthly Data'!AZ14</f>
        <v>0</v>
      </c>
      <c r="G14" s="33">
        <f>'Monthly Data'!AD14</f>
        <v>764464.8</v>
      </c>
      <c r="H14" s="8">
        <f>'Monthly Data'!BU14</f>
        <v>31</v>
      </c>
      <c r="I14" s="18">
        <f>'Monthly Data'!BX14</f>
        <v>0</v>
      </c>
      <c r="K14" s="18">
        <f>'GS&lt;50 Predicted Monthly'!$V$8</f>
        <v>-2135516.9462582301</v>
      </c>
      <c r="L14" s="18">
        <f>E14*'GS&lt;50 Predicted Monthly'!$V$9</f>
        <v>1575022.4679544035</v>
      </c>
      <c r="M14" s="18">
        <f>F14*'GS&lt;50 Predicted Monthly'!$V$10</f>
        <v>0</v>
      </c>
      <c r="N14" s="18">
        <f>G14*'GS&lt;50 Predicted Monthly'!$V$11</f>
        <v>1841989.3115783741</v>
      </c>
      <c r="O14" s="18">
        <f>H14*'GS&lt;50 Predicted Monthly'!$V$12</f>
        <v>1722828.0010148797</v>
      </c>
      <c r="P14" s="18">
        <f>I14*'GS&lt;50 Predicted Monthly'!$V$13</f>
        <v>0</v>
      </c>
      <c r="Q14" s="18">
        <f>SUM(K14:P14)</f>
        <v>3004322.8342894269</v>
      </c>
      <c r="R14" s="18">
        <f>Q14-D14</f>
        <v>2941123.6668214784</v>
      </c>
      <c r="S14" s="35">
        <f>ABS(R14/D14)</f>
        <v>46.537379915851915</v>
      </c>
      <c r="T14" s="31">
        <f>T13-SUM(D2:D13)</f>
        <v>-450387.52076627687</v>
      </c>
      <c r="V14" s="20"/>
      <c r="W14" s="20"/>
      <c r="X14" s="297"/>
      <c r="Y14" s="298"/>
    </row>
    <row r="15" spans="1:25">
      <c r="A15" s="541">
        <f>'Monthly Data'!A15</f>
        <v>42767</v>
      </c>
      <c r="B15">
        <f t="shared" si="2"/>
        <v>2017</v>
      </c>
      <c r="C15">
        <f t="shared" si="3"/>
        <v>2</v>
      </c>
      <c r="D15" s="31">
        <f>'Monthly Data'!J15</f>
        <v>67588.928685897437</v>
      </c>
      <c r="E15" s="33">
        <f>'Monthly Data'!AQ15</f>
        <v>738.8125</v>
      </c>
      <c r="F15" s="33">
        <f>'Monthly Data'!AZ15</f>
        <v>0</v>
      </c>
      <c r="G15" s="33">
        <f>'Monthly Data'!AD15</f>
        <v>764464.8</v>
      </c>
      <c r="H15" s="8">
        <f>'Monthly Data'!BU15</f>
        <v>28</v>
      </c>
      <c r="I15" s="18">
        <f>'Monthly Data'!BX15</f>
        <v>0</v>
      </c>
      <c r="K15" s="18">
        <f>'GS&lt;50 Predicted Monthly'!$V$8</f>
        <v>-2135516.9462582301</v>
      </c>
      <c r="L15" s="18">
        <f>E15*'GS&lt;50 Predicted Monthly'!$V$9</f>
        <v>1393303.3107265234</v>
      </c>
      <c r="M15" s="18">
        <f>F15*'GS&lt;50 Predicted Monthly'!$V$10</f>
        <v>0</v>
      </c>
      <c r="N15" s="18">
        <f>G15*'GS&lt;50 Predicted Monthly'!$V$11</f>
        <v>1841989.3115783741</v>
      </c>
      <c r="O15" s="18">
        <f>H15*'GS&lt;50 Predicted Monthly'!$V$12</f>
        <v>1556102.7105940848</v>
      </c>
      <c r="P15" s="18">
        <f>I15*'GS&lt;50 Predicted Monthly'!$V$13</f>
        <v>0</v>
      </c>
      <c r="Q15" s="18">
        <f>SUM(K15:P15)</f>
        <v>2655878.3866407522</v>
      </c>
      <c r="R15" s="18">
        <f>Q15-D15</f>
        <v>2588289.4579548547</v>
      </c>
      <c r="S15" s="35">
        <f>ABS(R15/D15)</f>
        <v>38.294577355757177</v>
      </c>
      <c r="T15" s="73">
        <f>T14/T13</f>
        <v>-1.5305255400242669E-2</v>
      </c>
      <c r="U15" t="s">
        <v>198</v>
      </c>
    </row>
    <row r="16" spans="1:25">
      <c r="A16" s="541">
        <f>'Monthly Data'!A16</f>
        <v>42795</v>
      </c>
      <c r="B16">
        <f t="shared" si="2"/>
        <v>2017</v>
      </c>
      <c r="C16">
        <f t="shared" si="3"/>
        <v>3</v>
      </c>
      <c r="D16" s="31">
        <f>'Monthly Data'!J16</f>
        <v>71978.689903846156</v>
      </c>
      <c r="E16" s="33">
        <f>'Monthly Data'!AQ16</f>
        <v>818.92500000000018</v>
      </c>
      <c r="F16" s="33">
        <f>'Monthly Data'!AZ16</f>
        <v>0</v>
      </c>
      <c r="G16" s="33">
        <f>'Monthly Data'!AD16</f>
        <v>764464.8</v>
      </c>
      <c r="H16" s="8">
        <f>'Monthly Data'!BU16</f>
        <v>31</v>
      </c>
      <c r="I16" s="18">
        <f>'Monthly Data'!BX16</f>
        <v>0</v>
      </c>
      <c r="K16" s="18">
        <f>'GS&lt;50 Predicted Monthly'!$V$8</f>
        <v>-2135516.9462582301</v>
      </c>
      <c r="L16" s="18">
        <f>E16*'GS&lt;50 Predicted Monthly'!$V$9</f>
        <v>1544384.9606452496</v>
      </c>
      <c r="M16" s="18">
        <f>F16*'GS&lt;50 Predicted Monthly'!$V$10</f>
        <v>0</v>
      </c>
      <c r="N16" s="18">
        <f>G16*'GS&lt;50 Predicted Monthly'!$V$11</f>
        <v>1841989.3115783741</v>
      </c>
      <c r="O16" s="18">
        <f>H16*'GS&lt;50 Predicted Monthly'!$V$12</f>
        <v>1722828.0010148797</v>
      </c>
      <c r="P16" s="18">
        <f>I16*'GS&lt;50 Predicted Monthly'!$V$13</f>
        <v>0</v>
      </c>
      <c r="Q16" s="18">
        <f>SUM(K16:P16)</f>
        <v>2973685.3269802732</v>
      </c>
      <c r="R16" s="18">
        <f>Q16-D16</f>
        <v>2901706.6370764272</v>
      </c>
      <c r="S16" s="35">
        <f>ABS(R16/D16)</f>
        <v>40.313412774707579</v>
      </c>
      <c r="U16" t="s">
        <v>199</v>
      </c>
      <c r="V16" s="537">
        <v>349280885897.31201</v>
      </c>
      <c r="W16" t="s">
        <v>200</v>
      </c>
      <c r="X16" s="18">
        <v>72747.059286322794</v>
      </c>
    </row>
    <row r="17" spans="1:24">
      <c r="A17" s="541">
        <f>'Monthly Data'!A17</f>
        <v>42826</v>
      </c>
      <c r="B17">
        <f t="shared" si="2"/>
        <v>2017</v>
      </c>
      <c r="C17">
        <f t="shared" si="3"/>
        <v>4</v>
      </c>
      <c r="D17" s="31">
        <f>'Monthly Data'!J17</f>
        <v>76368.451121794875</v>
      </c>
      <c r="E17" s="33">
        <f>'Monthly Data'!AQ17</f>
        <v>427.46041666666662</v>
      </c>
      <c r="F17" s="33">
        <f>'Monthly Data'!AZ17</f>
        <v>6.4625000000000004</v>
      </c>
      <c r="G17" s="33">
        <f>'Monthly Data'!AD17</f>
        <v>764464.8</v>
      </c>
      <c r="H17" s="8">
        <f>'Monthly Data'!BU17</f>
        <v>30</v>
      </c>
      <c r="I17" s="18">
        <f>'Monthly Data'!BX17</f>
        <v>0</v>
      </c>
      <c r="K17" s="18">
        <f>'GS&lt;50 Predicted Monthly'!$V$8</f>
        <v>-2135516.9462582301</v>
      </c>
      <c r="L17" s="18">
        <f>E17*'GS&lt;50 Predicted Monthly'!$V$9</f>
        <v>806134.18661190185</v>
      </c>
      <c r="M17" s="18">
        <f>F17*'GS&lt;50 Predicted Monthly'!$V$10</f>
        <v>23994.451192105782</v>
      </c>
      <c r="N17" s="18">
        <f>G17*'GS&lt;50 Predicted Monthly'!$V$11</f>
        <v>1841989.3115783741</v>
      </c>
      <c r="O17" s="18">
        <f>H17*'GS&lt;50 Predicted Monthly'!$V$12</f>
        <v>1667252.9042079481</v>
      </c>
      <c r="P17" s="18">
        <f>I17*'GS&lt;50 Predicted Monthly'!$V$13</f>
        <v>0</v>
      </c>
      <c r="Q17" s="18">
        <f>SUM(K17:P17)</f>
        <v>2203853.9073321</v>
      </c>
      <c r="R17" s="18">
        <f>Q17-D17</f>
        <v>2127485.456210305</v>
      </c>
      <c r="S17" s="35">
        <f>ABS(R17/D17)</f>
        <v>27.858172124210327</v>
      </c>
      <c r="U17" t="s">
        <v>201</v>
      </c>
      <c r="V17" s="538">
        <v>0.96859050218748</v>
      </c>
      <c r="W17" t="s">
        <v>202</v>
      </c>
      <c r="X17" s="538">
        <v>0.96621099477743999</v>
      </c>
    </row>
    <row r="18" spans="1:24">
      <c r="A18" s="541">
        <f>'Monthly Data'!A18</f>
        <v>42856</v>
      </c>
      <c r="B18">
        <f t="shared" si="2"/>
        <v>2017</v>
      </c>
      <c r="C18">
        <f t="shared" si="3"/>
        <v>5</v>
      </c>
      <c r="D18" s="31">
        <f>'Monthly Data'!J18</f>
        <v>80758.212339743593</v>
      </c>
      <c r="E18" s="33">
        <f>'Monthly Data'!AQ18</f>
        <v>278.46250000000009</v>
      </c>
      <c r="F18" s="33">
        <f>'Monthly Data'!AZ18</f>
        <v>55.529166666666654</v>
      </c>
      <c r="G18" s="33">
        <f>'Monthly Data'!AD18</f>
        <v>764464.8</v>
      </c>
      <c r="H18" s="8">
        <f>'Monthly Data'!BU18</f>
        <v>31</v>
      </c>
      <c r="I18" s="18">
        <f>'Monthly Data'!BX18</f>
        <v>0</v>
      </c>
      <c r="K18" s="18">
        <f>'GS&lt;50 Predicted Monthly'!$V$8</f>
        <v>-2135516.9462582301</v>
      </c>
      <c r="L18" s="18">
        <f>E18*'GS&lt;50 Predicted Monthly'!$V$9</f>
        <v>525143.69094077952</v>
      </c>
      <c r="M18" s="18">
        <f>F18*'GS&lt;50 Predicted Monthly'!$V$10</f>
        <v>206172.82465325188</v>
      </c>
      <c r="N18" s="18">
        <f>G18*'GS&lt;50 Predicted Monthly'!$V$11</f>
        <v>1841989.3115783741</v>
      </c>
      <c r="O18" s="18">
        <f>H18*'GS&lt;50 Predicted Monthly'!$V$12</f>
        <v>1722828.0010148797</v>
      </c>
      <c r="P18" s="18">
        <f>I18*'GS&lt;50 Predicted Monthly'!$V$13</f>
        <v>0</v>
      </c>
      <c r="Q18" s="18">
        <f>SUM(K18:P18)</f>
        <v>2160616.8819290549</v>
      </c>
      <c r="R18" s="18">
        <f>Q18-D18</f>
        <v>2079858.6695893114</v>
      </c>
      <c r="S18" s="35">
        <f>ABS(R18/D18)</f>
        <v>25.754144492940306</v>
      </c>
      <c r="U18" t="s">
        <v>214</v>
      </c>
      <c r="V18" s="13">
        <v>379.22549802314802</v>
      </c>
      <c r="W18" t="s">
        <v>204</v>
      </c>
      <c r="X18" s="32">
        <v>3.4806029151367202E-47</v>
      </c>
    </row>
    <row r="19" spans="1:24">
      <c r="A19" s="541">
        <f>'Monthly Data'!A19</f>
        <v>42887</v>
      </c>
      <c r="B19">
        <f t="shared" si="2"/>
        <v>2017</v>
      </c>
      <c r="C19">
        <f t="shared" si="3"/>
        <v>6</v>
      </c>
      <c r="D19" s="31">
        <f>'Monthly Data'!J19</f>
        <v>85147.973557692312</v>
      </c>
      <c r="E19" s="33">
        <f>'Monthly Data'!AQ19</f>
        <v>107.97500000000002</v>
      </c>
      <c r="F19" s="33">
        <f>'Monthly Data'!AZ19</f>
        <v>149.61666666666667</v>
      </c>
      <c r="G19" s="33">
        <f>'Monthly Data'!AD19</f>
        <v>764464.8</v>
      </c>
      <c r="H19" s="8">
        <f>'Monthly Data'!BU19</f>
        <v>30</v>
      </c>
      <c r="I19" s="18">
        <f>'Monthly Data'!BX19</f>
        <v>0</v>
      </c>
      <c r="K19" s="18">
        <f>'GS&lt;50 Predicted Monthly'!$V$8</f>
        <v>-2135516.9462582301</v>
      </c>
      <c r="L19" s="18">
        <f>E19*'GS&lt;50 Predicted Monthly'!$V$9</f>
        <v>203626.66437789885</v>
      </c>
      <c r="M19" s="18">
        <f>F19*'GS&lt;50 Predicted Monthly'!$V$10</f>
        <v>555507.90032632777</v>
      </c>
      <c r="N19" s="18">
        <f>G19*'GS&lt;50 Predicted Monthly'!$V$11</f>
        <v>1841989.3115783741</v>
      </c>
      <c r="O19" s="18">
        <f>H19*'GS&lt;50 Predicted Monthly'!$V$12</f>
        <v>1667252.9042079481</v>
      </c>
      <c r="P19" s="18">
        <f>I19*'GS&lt;50 Predicted Monthly'!$V$13</f>
        <v>0</v>
      </c>
      <c r="Q19" s="18">
        <f>SUM(K19:P19)</f>
        <v>2132859.8342323191</v>
      </c>
      <c r="R19" s="18">
        <f>Q19-D19</f>
        <v>2047711.8606746269</v>
      </c>
      <c r="S19" s="35">
        <f>ABS(R19/D19)</f>
        <v>24.048861941349578</v>
      </c>
      <c r="U19" t="s">
        <v>205</v>
      </c>
      <c r="V19" s="538">
        <v>2.3544089015072101E-3</v>
      </c>
      <c r="W19" t="s">
        <v>206</v>
      </c>
      <c r="X19" s="538">
        <v>1.99109581424378</v>
      </c>
    </row>
    <row r="20" spans="1:24">
      <c r="A20" s="541">
        <f>'Monthly Data'!A20</f>
        <v>42917</v>
      </c>
      <c r="B20">
        <f t="shared" si="2"/>
        <v>2017</v>
      </c>
      <c r="C20">
        <f t="shared" si="3"/>
        <v>7</v>
      </c>
      <c r="D20" s="31">
        <f>'Monthly Data'!J20</f>
        <v>89537.734775641031</v>
      </c>
      <c r="E20" s="33">
        <f>'Monthly Data'!AQ20</f>
        <v>38.441666666666649</v>
      </c>
      <c r="F20" s="33">
        <f>'Monthly Data'!AZ20</f>
        <v>224.875</v>
      </c>
      <c r="G20" s="33">
        <f>'Monthly Data'!AD20</f>
        <v>764464.8</v>
      </c>
      <c r="H20" s="8">
        <f>'Monthly Data'!BU20</f>
        <v>31</v>
      </c>
      <c r="I20" s="18">
        <f>'Monthly Data'!BX20</f>
        <v>0</v>
      </c>
      <c r="K20" s="18">
        <f>'GS&lt;50 Predicted Monthly'!$V$8</f>
        <v>-2135516.9462582301</v>
      </c>
      <c r="L20" s="18">
        <f>E20*'GS&lt;50 Predicted Monthly'!$V$9</f>
        <v>72495.932914659774</v>
      </c>
      <c r="M20" s="18">
        <f>F20*'GS&lt;50 Predicted Monthly'!$V$10</f>
        <v>834932.64399609866</v>
      </c>
      <c r="N20" s="18">
        <f>G20*'GS&lt;50 Predicted Monthly'!$V$11</f>
        <v>1841989.3115783741</v>
      </c>
      <c r="O20" s="18">
        <f>H20*'GS&lt;50 Predicted Monthly'!$V$12</f>
        <v>1722828.0010148797</v>
      </c>
      <c r="P20" s="18">
        <f>I20*'GS&lt;50 Predicted Monthly'!$V$13</f>
        <v>0</v>
      </c>
      <c r="Q20" s="18">
        <f>SUM(K20:P20)</f>
        <v>2336728.9432457821</v>
      </c>
      <c r="R20" s="18">
        <f>Q20-D20</f>
        <v>2247191.208470141</v>
      </c>
      <c r="S20" s="35">
        <f>ABS(R20/D20)</f>
        <v>25.097700026709802</v>
      </c>
    </row>
    <row r="21" spans="1:24">
      <c r="A21" s="541">
        <f>'Monthly Data'!A21</f>
        <v>42948</v>
      </c>
      <c r="B21">
        <f t="shared" si="2"/>
        <v>2017</v>
      </c>
      <c r="C21">
        <f t="shared" si="3"/>
        <v>8</v>
      </c>
      <c r="D21" s="31">
        <f>'Monthly Data'!J21</f>
        <v>93927.49599358975</v>
      </c>
      <c r="E21" s="33">
        <f>'Monthly Data'!AQ21</f>
        <v>86.879166666666663</v>
      </c>
      <c r="F21" s="33">
        <f>'Monthly Data'!AZ21</f>
        <v>164.64583333333331</v>
      </c>
      <c r="G21" s="33">
        <f>'Monthly Data'!AD21</f>
        <v>764464.8</v>
      </c>
      <c r="H21" s="8">
        <f>'Monthly Data'!BU21</f>
        <v>31</v>
      </c>
      <c r="I21" s="18">
        <f>'Monthly Data'!BX21</f>
        <v>0</v>
      </c>
      <c r="K21" s="18">
        <f>'GS&lt;50 Predicted Monthly'!$V$8</f>
        <v>-2135516.9462582301</v>
      </c>
      <c r="L21" s="18">
        <f>E21*'GS&lt;50 Predicted Monthly'!$V$9</f>
        <v>163842.6942557524</v>
      </c>
      <c r="M21" s="18">
        <f>F21*'GS&lt;50 Predicted Monthly'!$V$10</f>
        <v>611309.3093849516</v>
      </c>
      <c r="N21" s="18">
        <f>G21*'GS&lt;50 Predicted Monthly'!$V$11</f>
        <v>1841989.3115783741</v>
      </c>
      <c r="O21" s="18">
        <f>H21*'GS&lt;50 Predicted Monthly'!$V$12</f>
        <v>1722828.0010148797</v>
      </c>
      <c r="P21" s="18">
        <f>I21*'GS&lt;50 Predicted Monthly'!$V$13</f>
        <v>0</v>
      </c>
      <c r="Q21" s="18">
        <f>SUM(K21:P21)</f>
        <v>2204452.369975728</v>
      </c>
      <c r="R21" s="18">
        <f>Q21-D21</f>
        <v>2110524.873982138</v>
      </c>
      <c r="S21" s="35">
        <f>ABS(R21/D21)</f>
        <v>22.469723606026658</v>
      </c>
      <c r="U21" t="s">
        <v>207</v>
      </c>
    </row>
    <row r="22" spans="1:24">
      <c r="A22" s="541">
        <f>'Monthly Data'!A22</f>
        <v>42979</v>
      </c>
      <c r="B22">
        <f t="shared" si="2"/>
        <v>2017</v>
      </c>
      <c r="C22">
        <f t="shared" si="3"/>
        <v>9</v>
      </c>
      <c r="D22" s="31">
        <f>'Monthly Data'!J22</f>
        <v>98317.257211538468</v>
      </c>
      <c r="E22" s="33">
        <f>'Monthly Data'!AQ22</f>
        <v>140.68333333333331</v>
      </c>
      <c r="F22" s="33">
        <f>'Monthly Data'!AZ22</f>
        <v>126.25</v>
      </c>
      <c r="G22" s="33">
        <f>'Monthly Data'!AD22</f>
        <v>764464.8</v>
      </c>
      <c r="H22" s="8">
        <f>'Monthly Data'!BU22</f>
        <v>30</v>
      </c>
      <c r="I22" s="18">
        <f>'Monthly Data'!BX22</f>
        <v>0</v>
      </c>
      <c r="K22" s="18">
        <f>'GS&lt;50 Predicted Monthly'!$V$8</f>
        <v>-2135516.9462582301</v>
      </c>
      <c r="L22" s="18">
        <f>E22*'GS&lt;50 Predicted Monthly'!$V$9</f>
        <v>265310.28386414191</v>
      </c>
      <c r="M22" s="18">
        <f>F22*'GS&lt;50 Predicted Monthly'!$V$10</f>
        <v>468750.40046473575</v>
      </c>
      <c r="N22" s="18">
        <f>G22*'GS&lt;50 Predicted Monthly'!$V$11</f>
        <v>1841989.3115783741</v>
      </c>
      <c r="O22" s="18">
        <f>H22*'GS&lt;50 Predicted Monthly'!$V$12</f>
        <v>1667252.9042079481</v>
      </c>
      <c r="P22" s="18">
        <f>I22*'GS&lt;50 Predicted Monthly'!$V$13</f>
        <v>0</v>
      </c>
      <c r="Q22" s="18">
        <f>SUM(K22:P22)</f>
        <v>2107785.9538569697</v>
      </c>
      <c r="R22" s="18">
        <f>Q22-D22</f>
        <v>2009468.6966454312</v>
      </c>
      <c r="S22" s="35">
        <f>ABS(R22/D22)</f>
        <v>20.438616308446012</v>
      </c>
      <c r="U22" t="s">
        <v>208</v>
      </c>
      <c r="V22" s="18">
        <v>2590373.3881711899</v>
      </c>
      <c r="W22" t="s">
        <v>209</v>
      </c>
      <c r="X22" s="18">
        <v>395742.13221547502</v>
      </c>
    </row>
    <row r="23" spans="1:24">
      <c r="A23" s="541">
        <f>'Monthly Data'!A23</f>
        <v>43009</v>
      </c>
      <c r="B23">
        <f t="shared" si="2"/>
        <v>2017</v>
      </c>
      <c r="C23">
        <f t="shared" si="3"/>
        <v>10</v>
      </c>
      <c r="D23" s="31">
        <f>'Monthly Data'!J23</f>
        <v>102707.01842948719</v>
      </c>
      <c r="E23" s="33">
        <f>'Monthly Data'!AQ23</f>
        <v>297.41041666666666</v>
      </c>
      <c r="F23" s="33">
        <f>'Monthly Data'!AZ23</f>
        <v>31.320833333333333</v>
      </c>
      <c r="G23" s="33">
        <f>'Monthly Data'!AD23</f>
        <v>764464.8</v>
      </c>
      <c r="H23" s="8">
        <f>'Monthly Data'!BU23</f>
        <v>31</v>
      </c>
      <c r="I23" s="18">
        <f>'Monthly Data'!BX23</f>
        <v>0</v>
      </c>
      <c r="K23" s="18">
        <f>'GS&lt;50 Predicted Monthly'!$V$8</f>
        <v>-2135516.9462582301</v>
      </c>
      <c r="L23" s="18">
        <f>E23*'GS&lt;50 Predicted Monthly'!$V$9</f>
        <v>560876.97242023039</v>
      </c>
      <c r="M23" s="18">
        <f>F23*'GS&lt;50 Predicted Monthly'!$V$10</f>
        <v>116290.32212189501</v>
      </c>
      <c r="N23" s="18">
        <f>G23*'GS&lt;50 Predicted Monthly'!$V$11</f>
        <v>1841989.3115783741</v>
      </c>
      <c r="O23" s="18">
        <f>H23*'GS&lt;50 Predicted Monthly'!$V$12</f>
        <v>1722828.0010148797</v>
      </c>
      <c r="P23" s="18">
        <f>I23*'GS&lt;50 Predicted Monthly'!$V$13</f>
        <v>0</v>
      </c>
      <c r="Q23" s="18">
        <f>SUM(K23:P23)</f>
        <v>2106467.6608771491</v>
      </c>
      <c r="R23" s="18">
        <f>Q23-D23</f>
        <v>2003760.6424476618</v>
      </c>
      <c r="S23" s="35">
        <f>ABS(R23/D23)</f>
        <v>19.509481173609672</v>
      </c>
      <c r="V23" s="18"/>
      <c r="X23" s="18"/>
    </row>
    <row r="24" spans="1:24">
      <c r="A24" s="541">
        <f>'Monthly Data'!A24</f>
        <v>43040</v>
      </c>
      <c r="B24">
        <f t="shared" si="2"/>
        <v>2017</v>
      </c>
      <c r="C24">
        <f t="shared" si="3"/>
        <v>11</v>
      </c>
      <c r="D24" s="31">
        <f>'Monthly Data'!J24</f>
        <v>107096.77964743591</v>
      </c>
      <c r="E24" s="33">
        <f>'Monthly Data'!AQ24</f>
        <v>625.73333333333346</v>
      </c>
      <c r="F24" s="33">
        <f>'Monthly Data'!AZ24</f>
        <v>0</v>
      </c>
      <c r="G24" s="33">
        <f>'Monthly Data'!AD24</f>
        <v>764464.8</v>
      </c>
      <c r="H24" s="8">
        <f>'Monthly Data'!BU24</f>
        <v>30</v>
      </c>
      <c r="I24" s="18">
        <f>'Monthly Data'!BX24</f>
        <v>0</v>
      </c>
      <c r="K24" s="18">
        <f>'GS&lt;50 Predicted Monthly'!$V$8</f>
        <v>-2135516.9462582301</v>
      </c>
      <c r="L24" s="18">
        <f>E24*'GS&lt;50 Predicted Monthly'!$V$9</f>
        <v>1180050.8585944022</v>
      </c>
      <c r="M24" s="18">
        <f>F24*'GS&lt;50 Predicted Monthly'!$V$10</f>
        <v>0</v>
      </c>
      <c r="N24" s="18">
        <f>G24*'GS&lt;50 Predicted Monthly'!$V$11</f>
        <v>1841989.3115783741</v>
      </c>
      <c r="O24" s="18">
        <f>H24*'GS&lt;50 Predicted Monthly'!$V$12</f>
        <v>1667252.9042079481</v>
      </c>
      <c r="P24" s="18">
        <f>I24*'GS&lt;50 Predicted Monthly'!$V$13</f>
        <v>0</v>
      </c>
      <c r="Q24" s="18">
        <f>SUM(K24:P24)</f>
        <v>2553776.1281224946</v>
      </c>
      <c r="R24" s="18">
        <f>Q24-D24</f>
        <v>2446679.3484750586</v>
      </c>
      <c r="S24" s="35">
        <f>ABS(R24/D24)</f>
        <v>22.84549877717669</v>
      </c>
    </row>
    <row r="25" spans="1:24">
      <c r="A25" s="541">
        <f>'Monthly Data'!A25</f>
        <v>43070</v>
      </c>
      <c r="B25">
        <f t="shared" si="2"/>
        <v>2017</v>
      </c>
      <c r="C25">
        <f t="shared" si="3"/>
        <v>12</v>
      </c>
      <c r="D25" s="31">
        <f>'Monthly Data'!J25</f>
        <v>28984020.540865384</v>
      </c>
      <c r="E25" s="33">
        <f>'Monthly Data'!AQ25</f>
        <v>954.57499999999993</v>
      </c>
      <c r="F25" s="33">
        <f>'Monthly Data'!AZ25</f>
        <v>0</v>
      </c>
      <c r="G25" s="33">
        <f>'Monthly Data'!AD25</f>
        <v>764464.8</v>
      </c>
      <c r="H25" s="8">
        <f>'Monthly Data'!BU25</f>
        <v>31</v>
      </c>
      <c r="I25" s="18">
        <f>'Monthly Data'!BX25</f>
        <v>0</v>
      </c>
      <c r="K25" s="18">
        <f>'GS&lt;50 Predicted Monthly'!$V$8</f>
        <v>-2135516.9462582301</v>
      </c>
      <c r="L25" s="18">
        <f>E25*'GS&lt;50 Predicted Monthly'!$V$9</f>
        <v>1800203.0391158392</v>
      </c>
      <c r="M25" s="18">
        <f>F25*'GS&lt;50 Predicted Monthly'!$V$10</f>
        <v>0</v>
      </c>
      <c r="N25" s="18">
        <f>G25*'GS&lt;50 Predicted Monthly'!$V$11</f>
        <v>1841989.3115783741</v>
      </c>
      <c r="O25" s="18">
        <f>H25*'GS&lt;50 Predicted Monthly'!$V$12</f>
        <v>1722828.0010148797</v>
      </c>
      <c r="P25" s="18">
        <f>I25*'GS&lt;50 Predicted Monthly'!$V$13</f>
        <v>0</v>
      </c>
      <c r="Q25" s="18">
        <f>SUM(K25:P25)</f>
        <v>3229503.4054508628</v>
      </c>
      <c r="R25" s="18">
        <f>Q25-D25</f>
        <v>-25754517.135414522</v>
      </c>
      <c r="S25" s="35">
        <f>ABS(R25/D25)</f>
        <v>0.8885764174470725</v>
      </c>
      <c r="T25" s="31">
        <f>SUM(Q14:Q25)</f>
        <v>29669931.632932913</v>
      </c>
    </row>
    <row r="26" spans="1:24">
      <c r="A26" s="541">
        <f>'Monthly Data'!A26</f>
        <v>43101</v>
      </c>
      <c r="B26">
        <f t="shared" si="2"/>
        <v>2018</v>
      </c>
      <c r="C26">
        <f t="shared" si="3"/>
        <v>1</v>
      </c>
      <c r="D26" s="31">
        <f>'Monthly Data'!J26</f>
        <v>116499.30518896331</v>
      </c>
      <c r="E26" s="33">
        <f>'Monthly Data'!AQ26</f>
        <v>963.85000000000014</v>
      </c>
      <c r="F26" s="33">
        <f>'Monthly Data'!AZ26</f>
        <v>0</v>
      </c>
      <c r="G26" s="33">
        <f>'Monthly Data'!AD26</f>
        <v>789531.6</v>
      </c>
      <c r="H26" s="8">
        <f>'Monthly Data'!BU26</f>
        <v>31</v>
      </c>
      <c r="I26" s="18">
        <f>'Monthly Data'!BX26</f>
        <v>0</v>
      </c>
      <c r="K26" s="18">
        <f>'GS&lt;50 Predicted Monthly'!$V$8</f>
        <v>-2135516.9462582301</v>
      </c>
      <c r="L26" s="18">
        <f>E26*'GS&lt;50 Predicted Monthly'!$V$9</f>
        <v>1817694.4705777986</v>
      </c>
      <c r="M26" s="18">
        <f>F26*'GS&lt;50 Predicted Monthly'!$V$10</f>
        <v>0</v>
      </c>
      <c r="N26" s="18">
        <f>G26*'GS&lt;50 Predicted Monthly'!$V$11</f>
        <v>1902388.139196693</v>
      </c>
      <c r="O26" s="18">
        <f>H26*'GS&lt;50 Predicted Monthly'!$V$12</f>
        <v>1722828.0010148797</v>
      </c>
      <c r="P26" s="18">
        <f>I26*'GS&lt;50 Predicted Monthly'!$V$13</f>
        <v>0</v>
      </c>
      <c r="Q26" s="18">
        <f>SUM(K26:P26)</f>
        <v>3307393.6645311411</v>
      </c>
      <c r="R26" s="18">
        <f>Q26-D26</f>
        <v>3190894.3593421779</v>
      </c>
      <c r="S26" s="35">
        <f>ABS(R26/D26)</f>
        <v>27.389814507189616</v>
      </c>
      <c r="T26" s="31">
        <f>T25-SUM(D14:D25)</f>
        <v>-250716.61706708744</v>
      </c>
    </row>
    <row r="27" spans="1:24">
      <c r="A27" s="541">
        <f>'Monthly Data'!A27</f>
        <v>43132</v>
      </c>
      <c r="B27">
        <f t="shared" si="2"/>
        <v>2018</v>
      </c>
      <c r="C27">
        <f t="shared" si="3"/>
        <v>2</v>
      </c>
      <c r="D27" s="31">
        <f>'Monthly Data'!J27</f>
        <v>120386.83199193618</v>
      </c>
      <c r="E27" s="33">
        <f>'Monthly Data'!AQ27</f>
        <v>754.27916666666658</v>
      </c>
      <c r="F27" s="33">
        <f>'Monthly Data'!AZ27</f>
        <v>0</v>
      </c>
      <c r="G27" s="33">
        <f>'Monthly Data'!AD27</f>
        <v>789531.6</v>
      </c>
      <c r="H27" s="8">
        <f>'Monthly Data'!BU27</f>
        <v>29</v>
      </c>
      <c r="I27" s="18">
        <f>'Monthly Data'!BX27</f>
        <v>0</v>
      </c>
      <c r="K27" s="18">
        <f>'GS&lt;50 Predicted Monthly'!$V$8</f>
        <v>-2135516.9462582301</v>
      </c>
      <c r="L27" s="18">
        <f>E27*'GS&lt;50 Predicted Monthly'!$V$9</f>
        <v>1422471.4120682983</v>
      </c>
      <c r="M27" s="18">
        <f>F27*'GS&lt;50 Predicted Monthly'!$V$10</f>
        <v>0</v>
      </c>
      <c r="N27" s="18">
        <f>G27*'GS&lt;50 Predicted Monthly'!$V$11</f>
        <v>1902388.139196693</v>
      </c>
      <c r="O27" s="18">
        <f>H27*'GS&lt;50 Predicted Monthly'!$V$12</f>
        <v>1611677.8074010164</v>
      </c>
      <c r="P27" s="18">
        <f>I27*'GS&lt;50 Predicted Monthly'!$V$13</f>
        <v>0</v>
      </c>
      <c r="Q27" s="18">
        <f>SUM(K27:P27)</f>
        <v>2801020.4124077773</v>
      </c>
      <c r="R27" s="18">
        <f>Q27-D27</f>
        <v>2680633.5804158412</v>
      </c>
      <c r="S27" s="35">
        <f>ABS(R27/D27)</f>
        <v>22.266833806170734</v>
      </c>
      <c r="T27" s="73">
        <f>T26/T25</f>
        <v>-8.4501919373753467E-3</v>
      </c>
    </row>
    <row r="28" spans="1:24">
      <c r="A28" s="541">
        <f>'Monthly Data'!A28</f>
        <v>43160</v>
      </c>
      <c r="B28">
        <f t="shared" si="2"/>
        <v>2018</v>
      </c>
      <c r="C28">
        <f t="shared" si="3"/>
        <v>3</v>
      </c>
      <c r="D28" s="31">
        <f>'Monthly Data'!J28</f>
        <v>124274.35879490906</v>
      </c>
      <c r="E28" s="33">
        <f>'Monthly Data'!AQ28</f>
        <v>711.45</v>
      </c>
      <c r="F28" s="33">
        <f>'Monthly Data'!AZ28</f>
        <v>0</v>
      </c>
      <c r="G28" s="33">
        <f>'Monthly Data'!AD28</f>
        <v>789531.6</v>
      </c>
      <c r="H28" s="8">
        <f>'Monthly Data'!BU28</f>
        <v>31</v>
      </c>
      <c r="I28" s="18">
        <f>'Monthly Data'!BX28</f>
        <v>0</v>
      </c>
      <c r="K28" s="18">
        <f>'GS&lt;50 Predicted Monthly'!$V$8</f>
        <v>-2135516.9462582301</v>
      </c>
      <c r="L28" s="18">
        <f>E28*'GS&lt;50 Predicted Monthly'!$V$9</f>
        <v>1341701.2305779681</v>
      </c>
      <c r="M28" s="18">
        <f>F28*'GS&lt;50 Predicted Monthly'!$V$10</f>
        <v>0</v>
      </c>
      <c r="N28" s="18">
        <f>G28*'GS&lt;50 Predicted Monthly'!$V$11</f>
        <v>1902388.139196693</v>
      </c>
      <c r="O28" s="18">
        <f>H28*'GS&lt;50 Predicted Monthly'!$V$12</f>
        <v>1722828.0010148797</v>
      </c>
      <c r="P28" s="18">
        <f>I28*'GS&lt;50 Predicted Monthly'!$V$13</f>
        <v>0</v>
      </c>
      <c r="Q28" s="18">
        <f>SUM(K28:P28)</f>
        <v>2831400.4245313108</v>
      </c>
      <c r="R28" s="18">
        <f>Q28-D28</f>
        <v>2707126.0657364018</v>
      </c>
      <c r="S28" s="35">
        <f>ABS(R28/D28)</f>
        <v>21.783464360528249</v>
      </c>
    </row>
    <row r="29" spans="1:24">
      <c r="A29" s="541">
        <f>'Monthly Data'!A29</f>
        <v>43191</v>
      </c>
      <c r="B29">
        <f t="shared" si="2"/>
        <v>2018</v>
      </c>
      <c r="C29">
        <f t="shared" si="3"/>
        <v>4</v>
      </c>
      <c r="D29" s="31">
        <f>'Monthly Data'!J29</f>
        <v>128161.88559788195</v>
      </c>
      <c r="E29" s="33">
        <f>'Monthly Data'!AQ29</f>
        <v>561.15416666666681</v>
      </c>
      <c r="F29" s="33">
        <f>'Monthly Data'!AZ29</f>
        <v>0</v>
      </c>
      <c r="G29" s="33">
        <f>'Monthly Data'!AD29</f>
        <v>789531.6</v>
      </c>
      <c r="H29" s="8">
        <f>'Monthly Data'!BU29</f>
        <v>30</v>
      </c>
      <c r="I29" s="18">
        <f>'Monthly Data'!BX29</f>
        <v>0</v>
      </c>
      <c r="K29" s="18">
        <f>'GS&lt;50 Predicted Monthly'!$V$8</f>
        <v>-2135516.9462582301</v>
      </c>
      <c r="L29" s="18">
        <f>E29*'GS&lt;50 Predicted Monthly'!$V$9</f>
        <v>1058263.0345922005</v>
      </c>
      <c r="M29" s="18">
        <f>F29*'GS&lt;50 Predicted Monthly'!$V$10</f>
        <v>0</v>
      </c>
      <c r="N29" s="18">
        <f>G29*'GS&lt;50 Predicted Monthly'!$V$11</f>
        <v>1902388.139196693</v>
      </c>
      <c r="O29" s="18">
        <f>H29*'GS&lt;50 Predicted Monthly'!$V$12</f>
        <v>1667252.9042079481</v>
      </c>
      <c r="P29" s="18">
        <f>I29*'GS&lt;50 Predicted Monthly'!$V$13</f>
        <v>0</v>
      </c>
      <c r="Q29" s="18">
        <f>SUM(K29:P29)</f>
        <v>2492387.1317386115</v>
      </c>
      <c r="R29" s="18">
        <f>Q29-D29</f>
        <v>2364225.2461407296</v>
      </c>
      <c r="S29" s="35">
        <f>ABS(R29/D29)</f>
        <v>18.447179012008871</v>
      </c>
    </row>
    <row r="30" spans="1:24">
      <c r="A30" s="541">
        <f>'Monthly Data'!A30</f>
        <v>43221</v>
      </c>
      <c r="B30">
        <f t="shared" si="2"/>
        <v>2018</v>
      </c>
      <c r="C30">
        <f t="shared" si="3"/>
        <v>5</v>
      </c>
      <c r="D30" s="31">
        <f>'Monthly Data'!J30</f>
        <v>132049.41240085484</v>
      </c>
      <c r="E30" s="33">
        <f>'Monthly Data'!AQ30</f>
        <v>189.08749999999998</v>
      </c>
      <c r="F30" s="33">
        <f>'Monthly Data'!AZ30</f>
        <v>91.550000000000011</v>
      </c>
      <c r="G30" s="33">
        <f>'Monthly Data'!AD30</f>
        <v>789531.6</v>
      </c>
      <c r="H30" s="8">
        <f>'Monthly Data'!BU30</f>
        <v>31</v>
      </c>
      <c r="I30" s="18">
        <f>'Monthly Data'!BX30</f>
        <v>0</v>
      </c>
      <c r="K30" s="18">
        <f>'GS&lt;50 Predicted Monthly'!$V$8</f>
        <v>-2135516.9462582301</v>
      </c>
      <c r="L30" s="18">
        <f>E30*'GS&lt;50 Predicted Monthly'!$V$9</f>
        <v>356594.18291785999</v>
      </c>
      <c r="M30" s="18">
        <f>F30*'GS&lt;50 Predicted Monthly'!$V$10</f>
        <v>339913.65673304209</v>
      </c>
      <c r="N30" s="18">
        <f>G30*'GS&lt;50 Predicted Monthly'!$V$11</f>
        <v>1902388.139196693</v>
      </c>
      <c r="O30" s="18">
        <f>H30*'GS&lt;50 Predicted Monthly'!$V$12</f>
        <v>1722828.0010148797</v>
      </c>
      <c r="P30" s="18">
        <f>I30*'GS&lt;50 Predicted Monthly'!$V$13</f>
        <v>0</v>
      </c>
      <c r="Q30" s="18">
        <f>SUM(K30:P30)</f>
        <v>2186207.0336042447</v>
      </c>
      <c r="R30" s="18">
        <f>Q30-D30</f>
        <v>2054157.62120339</v>
      </c>
      <c r="S30" s="35">
        <f>ABS(R30/D30)</f>
        <v>15.555976992670754</v>
      </c>
    </row>
    <row r="31" spans="1:24">
      <c r="A31" s="541">
        <f>'Monthly Data'!A31</f>
        <v>43252</v>
      </c>
      <c r="B31">
        <f t="shared" si="2"/>
        <v>2018</v>
      </c>
      <c r="C31">
        <f t="shared" si="3"/>
        <v>6</v>
      </c>
      <c r="D31" s="31">
        <f>'Monthly Data'!J31</f>
        <v>135936.9392038277</v>
      </c>
      <c r="E31" s="33">
        <f>'Monthly Data'!AQ31</f>
        <v>109.22083333333332</v>
      </c>
      <c r="F31" s="33">
        <f>'Monthly Data'!AZ31</f>
        <v>145.35</v>
      </c>
      <c r="G31" s="33">
        <f>'Monthly Data'!AD31</f>
        <v>789531.6</v>
      </c>
      <c r="H31" s="8">
        <f>'Monthly Data'!BU31</f>
        <v>30</v>
      </c>
      <c r="I31" s="18">
        <f>'Monthly Data'!BX31</f>
        <v>0</v>
      </c>
      <c r="K31" s="18">
        <f>'GS&lt;50 Predicted Monthly'!$V$8</f>
        <v>-2135516.9462582301</v>
      </c>
      <c r="L31" s="18">
        <f>E31*'GS&lt;50 Predicted Monthly'!$V$9</f>
        <v>205976.14236852128</v>
      </c>
      <c r="M31" s="18">
        <f>F31*'GS&lt;50 Predicted Monthly'!$V$10</f>
        <v>539666.30263405421</v>
      </c>
      <c r="N31" s="18">
        <f>G31*'GS&lt;50 Predicted Monthly'!$V$11</f>
        <v>1902388.139196693</v>
      </c>
      <c r="O31" s="18">
        <f>H31*'GS&lt;50 Predicted Monthly'!$V$12</f>
        <v>1667252.9042079481</v>
      </c>
      <c r="P31" s="18">
        <f>I31*'GS&lt;50 Predicted Monthly'!$V$13</f>
        <v>0</v>
      </c>
      <c r="Q31" s="18">
        <f>SUM(K31:P31)</f>
        <v>2179766.5421489864</v>
      </c>
      <c r="R31" s="18">
        <f>Q31-D31</f>
        <v>2043829.6029451587</v>
      </c>
      <c r="S31" s="35">
        <f>ABS(R31/D31)</f>
        <v>15.035130369388284</v>
      </c>
    </row>
    <row r="32" spans="1:24">
      <c r="A32" s="541">
        <f>'Monthly Data'!A32</f>
        <v>43282</v>
      </c>
      <c r="B32">
        <f t="shared" si="2"/>
        <v>2018</v>
      </c>
      <c r="C32">
        <f t="shared" si="3"/>
        <v>7</v>
      </c>
      <c r="D32" s="31">
        <f>'Monthly Data'!J32</f>
        <v>139824.46600680059</v>
      </c>
      <c r="E32" s="33">
        <f>'Monthly Data'!AQ32</f>
        <v>15.241666666666678</v>
      </c>
      <c r="F32" s="33">
        <f>'Monthly Data'!AZ32</f>
        <v>294.87916666666672</v>
      </c>
      <c r="G32" s="33">
        <f>'Monthly Data'!AD32</f>
        <v>789531.6</v>
      </c>
      <c r="H32" s="8">
        <f>'Monthly Data'!BU32</f>
        <v>31</v>
      </c>
      <c r="I32" s="18">
        <f>'Monthly Data'!BX32</f>
        <v>0</v>
      </c>
      <c r="K32" s="18">
        <f>'GS&lt;50 Predicted Monthly'!$V$8</f>
        <v>-2135516.9462582301</v>
      </c>
      <c r="L32" s="18">
        <f>E32*'GS&lt;50 Predicted Monthly'!$V$9</f>
        <v>28743.780901997157</v>
      </c>
      <c r="M32" s="18">
        <f>F32*'GS&lt;50 Predicted Monthly'!$V$10</f>
        <v>1094849.3264452086</v>
      </c>
      <c r="N32" s="18">
        <f>G32*'GS&lt;50 Predicted Monthly'!$V$11</f>
        <v>1902388.139196693</v>
      </c>
      <c r="O32" s="18">
        <f>H32*'GS&lt;50 Predicted Monthly'!$V$12</f>
        <v>1722828.0010148797</v>
      </c>
      <c r="P32" s="18">
        <f>I32*'GS&lt;50 Predicted Monthly'!$V$13</f>
        <v>0</v>
      </c>
      <c r="Q32" s="18">
        <f>SUM(K32:P32)</f>
        <v>2613292.3013005485</v>
      </c>
      <c r="R32" s="18">
        <f>Q32-D32</f>
        <v>2473467.835293748</v>
      </c>
      <c r="S32" s="35">
        <f>ABS(R32/D32)</f>
        <v>17.689807126983389</v>
      </c>
    </row>
    <row r="33" spans="1:20">
      <c r="A33" s="541">
        <f>'Monthly Data'!A33</f>
        <v>43313</v>
      </c>
      <c r="B33">
        <f t="shared" si="2"/>
        <v>2018</v>
      </c>
      <c r="C33">
        <f t="shared" si="3"/>
        <v>8</v>
      </c>
      <c r="D33" s="31">
        <f>'Monthly Data'!J33</f>
        <v>143711.99280977348</v>
      </c>
      <c r="E33" s="33">
        <f>'Monthly Data'!AQ33</f>
        <v>25.450000000000003</v>
      </c>
      <c r="F33" s="33">
        <f>'Monthly Data'!AZ33</f>
        <v>257.05</v>
      </c>
      <c r="G33" s="33">
        <f>'Monthly Data'!AD33</f>
        <v>789531.6</v>
      </c>
      <c r="H33" s="8">
        <f>'Monthly Data'!BU33</f>
        <v>31</v>
      </c>
      <c r="I33" s="18">
        <f>'Monthly Data'!BX33</f>
        <v>0</v>
      </c>
      <c r="K33" s="18">
        <f>'GS&lt;50 Predicted Monthly'!$V$8</f>
        <v>-2135516.9462582301</v>
      </c>
      <c r="L33" s="18">
        <f>E33*'GS&lt;50 Predicted Monthly'!$V$9</f>
        <v>47995.356410442466</v>
      </c>
      <c r="M33" s="18">
        <f>F33*'GS&lt;50 Predicted Monthly'!$V$10</f>
        <v>954394.37971849774</v>
      </c>
      <c r="N33" s="18">
        <f>G33*'GS&lt;50 Predicted Monthly'!$V$11</f>
        <v>1902388.139196693</v>
      </c>
      <c r="O33" s="18">
        <f>H33*'GS&lt;50 Predicted Monthly'!$V$12</f>
        <v>1722828.0010148797</v>
      </c>
      <c r="P33" s="18">
        <f>I33*'GS&lt;50 Predicted Monthly'!$V$13</f>
        <v>0</v>
      </c>
      <c r="Q33" s="18">
        <f>SUM(K33:P33)</f>
        <v>2492088.930082283</v>
      </c>
      <c r="R33" s="18">
        <f>Q33-D33</f>
        <v>2348376.9372725096</v>
      </c>
      <c r="S33" s="35">
        <f>ABS(R33/D33)</f>
        <v>16.340855702842934</v>
      </c>
    </row>
    <row r="34" spans="1:20">
      <c r="A34" s="541">
        <f>'Monthly Data'!A34</f>
        <v>43344</v>
      </c>
      <c r="B34">
        <f t="shared" si="2"/>
        <v>2018</v>
      </c>
      <c r="C34">
        <f t="shared" si="3"/>
        <v>9</v>
      </c>
      <c r="D34" s="31">
        <f>'Monthly Data'!J34</f>
        <v>147599.51961274637</v>
      </c>
      <c r="E34" s="33">
        <f>'Monthly Data'!AQ34</f>
        <v>165.60416666666669</v>
      </c>
      <c r="F34" s="33">
        <f>'Monthly Data'!AZ34</f>
        <v>120.82499999999999</v>
      </c>
      <c r="G34" s="33">
        <f>'Monthly Data'!AD34</f>
        <v>789531.6</v>
      </c>
      <c r="H34" s="8">
        <f>'Monthly Data'!BU34</f>
        <v>30</v>
      </c>
      <c r="I34" s="18">
        <f>'Monthly Data'!BX34</f>
        <v>0</v>
      </c>
      <c r="K34" s="18">
        <f>'GS&lt;50 Predicted Monthly'!$V$8</f>
        <v>-2135516.9462582301</v>
      </c>
      <c r="L34" s="18">
        <f>E34*'GS&lt;50 Predicted Monthly'!$V$9</f>
        <v>312307.70146251406</v>
      </c>
      <c r="M34" s="18">
        <f>F34*'GS&lt;50 Predicted Monthly'!$V$10</f>
        <v>448608.05652397382</v>
      </c>
      <c r="N34" s="18">
        <f>G34*'GS&lt;50 Predicted Monthly'!$V$11</f>
        <v>1902388.139196693</v>
      </c>
      <c r="O34" s="18">
        <f>H34*'GS&lt;50 Predicted Monthly'!$V$12</f>
        <v>1667252.9042079481</v>
      </c>
      <c r="P34" s="18">
        <f>I34*'GS&lt;50 Predicted Monthly'!$V$13</f>
        <v>0</v>
      </c>
      <c r="Q34" s="18">
        <f>SUM(K34:P34)</f>
        <v>2195039.8551328988</v>
      </c>
      <c r="R34" s="18">
        <f>Q34-D34</f>
        <v>2047440.3355201525</v>
      </c>
      <c r="S34" s="35">
        <f>ABS(R34/D34)</f>
        <v>13.871592135882128</v>
      </c>
    </row>
    <row r="35" spans="1:20">
      <c r="A35" s="541">
        <f>'Monthly Data'!A35</f>
        <v>43374</v>
      </c>
      <c r="B35">
        <f t="shared" si="2"/>
        <v>2018</v>
      </c>
      <c r="C35">
        <f t="shared" si="3"/>
        <v>10</v>
      </c>
      <c r="D35" s="31">
        <f>'Monthly Data'!J35</f>
        <v>151487.04641571926</v>
      </c>
      <c r="E35" s="33">
        <f>'Monthly Data'!AQ35</f>
        <v>439.75416666666661</v>
      </c>
      <c r="F35" s="33">
        <f>'Monthly Data'!AZ35</f>
        <v>12.950000000000003</v>
      </c>
      <c r="G35" s="33">
        <f>'Monthly Data'!AD35</f>
        <v>789531.6</v>
      </c>
      <c r="H35" s="8">
        <f>'Monthly Data'!BU35</f>
        <v>31</v>
      </c>
      <c r="I35" s="18">
        <f>'Monthly Data'!BX35</f>
        <v>0</v>
      </c>
      <c r="K35" s="18">
        <f>'GS&lt;50 Predicted Monthly'!$V$8</f>
        <v>-2135516.9462582301</v>
      </c>
      <c r="L35" s="18">
        <f>E35*'GS&lt;50 Predicted Monthly'!$V$9</f>
        <v>829318.58397421532</v>
      </c>
      <c r="M35" s="18">
        <f>F35*'GS&lt;50 Predicted Monthly'!$V$10</f>
        <v>48081.724245689737</v>
      </c>
      <c r="N35" s="18">
        <f>G35*'GS&lt;50 Predicted Monthly'!$V$11</f>
        <v>1902388.139196693</v>
      </c>
      <c r="O35" s="18">
        <f>H35*'GS&lt;50 Predicted Monthly'!$V$12</f>
        <v>1722828.0010148797</v>
      </c>
      <c r="P35" s="18">
        <f>I35*'GS&lt;50 Predicted Monthly'!$V$13</f>
        <v>0</v>
      </c>
      <c r="Q35" s="18">
        <f>SUM(K35:P35)</f>
        <v>2367099.5021732477</v>
      </c>
      <c r="R35" s="18">
        <f>Q35-D35</f>
        <v>2215612.4557575285</v>
      </c>
      <c r="S35" s="35">
        <f>ABS(R35/D35)</f>
        <v>14.625755192805862</v>
      </c>
    </row>
    <row r="36" spans="1:20">
      <c r="A36" s="541">
        <f>'Monthly Data'!A36</f>
        <v>43405</v>
      </c>
      <c r="B36">
        <f t="shared" si="2"/>
        <v>2018</v>
      </c>
      <c r="C36">
        <f t="shared" si="3"/>
        <v>11</v>
      </c>
      <c r="D36" s="31">
        <f>'Monthly Data'!J36</f>
        <v>155374.57321869212</v>
      </c>
      <c r="E36" s="33">
        <f>'Monthly Data'!AQ36</f>
        <v>681.23333333333335</v>
      </c>
      <c r="F36" s="33">
        <f>'Monthly Data'!AZ36</f>
        <v>0</v>
      </c>
      <c r="G36" s="33">
        <f>'Monthly Data'!AD36</f>
        <v>789531.6</v>
      </c>
      <c r="H36" s="8">
        <f>'Monthly Data'!BU36</f>
        <v>30</v>
      </c>
      <c r="I36" s="18">
        <f>'Monthly Data'!BX36</f>
        <v>0</v>
      </c>
      <c r="K36" s="18">
        <f>'GS&lt;50 Predicted Monthly'!$V$8</f>
        <v>-2135516.9462582301</v>
      </c>
      <c r="L36" s="18">
        <f>E36*'GS&lt;50 Predicted Monthly'!$V$9</f>
        <v>1284716.5670729699</v>
      </c>
      <c r="M36" s="18">
        <f>F36*'GS&lt;50 Predicted Monthly'!$V$10</f>
        <v>0</v>
      </c>
      <c r="N36" s="18">
        <f>G36*'GS&lt;50 Predicted Monthly'!$V$11</f>
        <v>1902388.139196693</v>
      </c>
      <c r="O36" s="18">
        <f>H36*'GS&lt;50 Predicted Monthly'!$V$12</f>
        <v>1667252.9042079481</v>
      </c>
      <c r="P36" s="18">
        <f>I36*'GS&lt;50 Predicted Monthly'!$V$13</f>
        <v>0</v>
      </c>
      <c r="Q36" s="18">
        <f>SUM(K36:P36)</f>
        <v>2718840.6642193808</v>
      </c>
      <c r="R36" s="18">
        <f>Q36-D36</f>
        <v>2563466.0910006887</v>
      </c>
      <c r="S36" s="35">
        <f>ABS(R36/D36)</f>
        <v>16.498620320537071</v>
      </c>
    </row>
    <row r="37" spans="1:20">
      <c r="A37" s="541">
        <f>'Monthly Data'!A37</f>
        <v>43435</v>
      </c>
      <c r="B37">
        <f t="shared" si="2"/>
        <v>2018</v>
      </c>
      <c r="C37">
        <f t="shared" si="3"/>
        <v>12</v>
      </c>
      <c r="D37" s="31">
        <f>'Monthly Data'!J37</f>
        <v>30219324.100021664</v>
      </c>
      <c r="E37" s="33">
        <f>'Monthly Data'!AQ37</f>
        <v>855.4000000000002</v>
      </c>
      <c r="F37" s="33">
        <f>'Monthly Data'!AZ37</f>
        <v>0</v>
      </c>
      <c r="G37" s="33">
        <f>'Monthly Data'!AD37</f>
        <v>789531.6</v>
      </c>
      <c r="H37" s="8">
        <f>'Monthly Data'!BU37</f>
        <v>31</v>
      </c>
      <c r="I37" s="18">
        <f>'Monthly Data'!BX37</f>
        <v>0</v>
      </c>
      <c r="K37" s="18">
        <f>'GS&lt;50 Predicted Monthly'!$V$8</f>
        <v>-2135516.9462582301</v>
      </c>
      <c r="L37" s="18">
        <f>E37*'GS&lt;50 Predicted Monthly'!$V$9</f>
        <v>1613172.0186048129</v>
      </c>
      <c r="M37" s="18">
        <f>F37*'GS&lt;50 Predicted Monthly'!$V$10</f>
        <v>0</v>
      </c>
      <c r="N37" s="18">
        <f>G37*'GS&lt;50 Predicted Monthly'!$V$11</f>
        <v>1902388.139196693</v>
      </c>
      <c r="O37" s="18">
        <f>H37*'GS&lt;50 Predicted Monthly'!$V$12</f>
        <v>1722828.0010148797</v>
      </c>
      <c r="P37" s="18">
        <f>I37*'GS&lt;50 Predicted Monthly'!$V$13</f>
        <v>0</v>
      </c>
      <c r="Q37" s="18">
        <f>SUM(K37:P37)</f>
        <v>3102871.2125581554</v>
      </c>
      <c r="R37" s="18">
        <f>Q37-D37</f>
        <v>-27116452.88746351</v>
      </c>
      <c r="S37" s="35">
        <f>ABS(R37/D37)</f>
        <v>0.89732162101680069</v>
      </c>
      <c r="T37" s="31">
        <f>SUM(Q26:Q37)</f>
        <v>31287407.67442859</v>
      </c>
    </row>
    <row r="38" spans="1:20">
      <c r="A38" s="541">
        <f>'Monthly Data'!A38</f>
        <v>43466</v>
      </c>
      <c r="B38">
        <f t="shared" si="2"/>
        <v>2019</v>
      </c>
      <c r="C38">
        <f t="shared" si="3"/>
        <v>1</v>
      </c>
      <c r="D38" s="31">
        <f>'Monthly Data'!J38</f>
        <v>151405.07528035509</v>
      </c>
      <c r="E38" s="33">
        <f>'Monthly Data'!AQ38</f>
        <v>1054.7000000000003</v>
      </c>
      <c r="F38" s="33">
        <f>'Monthly Data'!AZ38</f>
        <v>0</v>
      </c>
      <c r="G38" s="33">
        <f>'Monthly Data'!AD38</f>
        <v>807274.5</v>
      </c>
      <c r="H38" s="8">
        <f>'Monthly Data'!BU38</f>
        <v>31</v>
      </c>
      <c r="I38" s="18">
        <f>'Monthly Data'!BX38</f>
        <v>0</v>
      </c>
      <c r="K38" s="18">
        <f>'GS&lt;50 Predicted Monthly'!$V$8</f>
        <v>-2135516.9462582301</v>
      </c>
      <c r="L38" s="18">
        <f>E38*'GS&lt;50 Predicted Monthly'!$V$9</f>
        <v>1989025.6348170403</v>
      </c>
      <c r="M38" s="18">
        <f>F38*'GS&lt;50 Predicted Monthly'!$V$10</f>
        <v>0</v>
      </c>
      <c r="N38" s="18">
        <f>G38*'GS&lt;50 Predicted Monthly'!$V$11</f>
        <v>1945139.9207782699</v>
      </c>
      <c r="O38" s="18">
        <f>H38*'GS&lt;50 Predicted Monthly'!$V$12</f>
        <v>1722828.0010148797</v>
      </c>
      <c r="P38" s="18">
        <f>I38*'GS&lt;50 Predicted Monthly'!$V$13</f>
        <v>0</v>
      </c>
      <c r="Q38" s="18">
        <f>SUM(K38:P38)</f>
        <v>3521476.6103519597</v>
      </c>
      <c r="R38" s="18">
        <f>Q38-D38</f>
        <v>3370071.5350716044</v>
      </c>
      <c r="S38" s="35">
        <f>ABS(R38/D38)</f>
        <v>22.258643105796029</v>
      </c>
      <c r="T38" s="31">
        <f>T37-SUM(D26:D37)</f>
        <v>-427222.75683517754</v>
      </c>
    </row>
    <row r="39" spans="1:20">
      <c r="A39" s="541">
        <f>'Monthly Data'!A39</f>
        <v>43497</v>
      </c>
      <c r="B39">
        <f t="shared" si="2"/>
        <v>2019</v>
      </c>
      <c r="C39">
        <f t="shared" si="3"/>
        <v>2</v>
      </c>
      <c r="D39" s="31">
        <f>'Monthly Data'!J39</f>
        <v>153208.32497036053</v>
      </c>
      <c r="E39" s="33">
        <f>'Monthly Data'!AQ39</f>
        <v>858.87708333333342</v>
      </c>
      <c r="F39" s="33">
        <f>'Monthly Data'!AZ39</f>
        <v>0</v>
      </c>
      <c r="G39" s="33">
        <f>'Monthly Data'!AD39</f>
        <v>807274.5</v>
      </c>
      <c r="H39" s="8">
        <f>'Monthly Data'!BU39</f>
        <v>28</v>
      </c>
      <c r="I39" s="18">
        <f>'Monthly Data'!BX39</f>
        <v>0</v>
      </c>
      <c r="K39" s="18">
        <f>'GS&lt;50 Predicted Monthly'!$V$8</f>
        <v>-2135516.9462582301</v>
      </c>
      <c r="L39" s="18">
        <f>E39*'GS&lt;50 Predicted Monthly'!$V$9</f>
        <v>1619729.3409565669</v>
      </c>
      <c r="M39" s="18">
        <f>F39*'GS&lt;50 Predicted Monthly'!$V$10</f>
        <v>0</v>
      </c>
      <c r="N39" s="18">
        <f>G39*'GS&lt;50 Predicted Monthly'!$V$11</f>
        <v>1945139.9207782699</v>
      </c>
      <c r="O39" s="18">
        <f>H39*'GS&lt;50 Predicted Monthly'!$V$12</f>
        <v>1556102.7105940848</v>
      </c>
      <c r="P39" s="18">
        <f>I39*'GS&lt;50 Predicted Monthly'!$V$13</f>
        <v>0</v>
      </c>
      <c r="Q39" s="18">
        <f>SUM(K39:P39)</f>
        <v>2985455.0260706916</v>
      </c>
      <c r="R39" s="18">
        <f>Q39-D39</f>
        <v>2832246.7011003313</v>
      </c>
      <c r="S39" s="35">
        <f>ABS(R39/D39)</f>
        <v>18.486245454666083</v>
      </c>
      <c r="T39" s="73">
        <f>T38/T37</f>
        <v>-1.3654782821280192E-2</v>
      </c>
    </row>
    <row r="40" spans="1:20">
      <c r="A40" s="541">
        <f>'Monthly Data'!A40</f>
        <v>43525</v>
      </c>
      <c r="B40">
        <f t="shared" si="2"/>
        <v>2019</v>
      </c>
      <c r="C40">
        <f t="shared" si="3"/>
        <v>3</v>
      </c>
      <c r="D40" s="31">
        <f>'Monthly Data'!J40</f>
        <v>155011.57466036599</v>
      </c>
      <c r="E40" s="33">
        <f>'Monthly Data'!AQ40</f>
        <v>773.79166666666663</v>
      </c>
      <c r="F40" s="33">
        <f>'Monthly Data'!AZ40</f>
        <v>0</v>
      </c>
      <c r="G40" s="33">
        <f>'Monthly Data'!AD40</f>
        <v>807274.5</v>
      </c>
      <c r="H40" s="8">
        <f>'Monthly Data'!BU40</f>
        <v>31</v>
      </c>
      <c r="I40" s="18">
        <f>'Monthly Data'!BX40</f>
        <v>0</v>
      </c>
      <c r="K40" s="18">
        <f>'GS&lt;50 Predicted Monthly'!$V$8</f>
        <v>-2135516.9462582301</v>
      </c>
      <c r="L40" s="18">
        <f>E40*'GS&lt;50 Predicted Monthly'!$V$9</f>
        <v>1459269.4235401554</v>
      </c>
      <c r="M40" s="18">
        <f>F40*'GS&lt;50 Predicted Monthly'!$V$10</f>
        <v>0</v>
      </c>
      <c r="N40" s="18">
        <f>G40*'GS&lt;50 Predicted Monthly'!$V$11</f>
        <v>1945139.9207782699</v>
      </c>
      <c r="O40" s="18">
        <f>H40*'GS&lt;50 Predicted Monthly'!$V$12</f>
        <v>1722828.0010148797</v>
      </c>
      <c r="P40" s="18">
        <f>I40*'GS&lt;50 Predicted Monthly'!$V$13</f>
        <v>0</v>
      </c>
      <c r="Q40" s="18">
        <f>SUM(K40:P40)</f>
        <v>2991720.3990750751</v>
      </c>
      <c r="R40" s="18">
        <f>Q40-D40</f>
        <v>2836708.8244147091</v>
      </c>
      <c r="S40" s="35">
        <f>ABS(R40/D40)</f>
        <v>18.299980699054281</v>
      </c>
    </row>
    <row r="41" spans="1:20">
      <c r="A41" s="541">
        <f>'Monthly Data'!A41</f>
        <v>43556</v>
      </c>
      <c r="B41">
        <f t="shared" si="2"/>
        <v>2019</v>
      </c>
      <c r="C41">
        <f t="shared" si="3"/>
        <v>4</v>
      </c>
      <c r="D41" s="31">
        <f>'Monthly Data'!J41</f>
        <v>156814.82435037143</v>
      </c>
      <c r="E41" s="33">
        <f>'Monthly Data'!AQ41</f>
        <v>501.13749999999999</v>
      </c>
      <c r="F41" s="33">
        <f>'Monthly Data'!AZ41</f>
        <v>0</v>
      </c>
      <c r="G41" s="33">
        <f>'Monthly Data'!AD41</f>
        <v>807274.5</v>
      </c>
      <c r="H41" s="8">
        <f>'Monthly Data'!BU41</f>
        <v>30</v>
      </c>
      <c r="I41" s="18">
        <f>'Monthly Data'!BX41</f>
        <v>0</v>
      </c>
      <c r="K41" s="18">
        <f>'GS&lt;50 Predicted Monthly'!$V$8</f>
        <v>-2135516.9462582301</v>
      </c>
      <c r="L41" s="18">
        <f>E41*'GS&lt;50 Predicted Monthly'!$V$9</f>
        <v>945079.4861743853</v>
      </c>
      <c r="M41" s="18">
        <f>F41*'GS&lt;50 Predicted Monthly'!$V$10</f>
        <v>0</v>
      </c>
      <c r="N41" s="18">
        <f>G41*'GS&lt;50 Predicted Monthly'!$V$11</f>
        <v>1945139.9207782699</v>
      </c>
      <c r="O41" s="18">
        <f>H41*'GS&lt;50 Predicted Monthly'!$V$12</f>
        <v>1667252.9042079481</v>
      </c>
      <c r="P41" s="18">
        <f>I41*'GS&lt;50 Predicted Monthly'!$V$13</f>
        <v>0</v>
      </c>
      <c r="Q41" s="18">
        <f>SUM(K41:P41)</f>
        <v>2421955.3649023734</v>
      </c>
      <c r="R41" s="18">
        <f>Q41-D41</f>
        <v>2265140.5405520019</v>
      </c>
      <c r="S41" s="35">
        <f>ABS(R41/D41)</f>
        <v>14.444683721297913</v>
      </c>
    </row>
    <row r="42" spans="1:20">
      <c r="A42" s="541">
        <f>'Monthly Data'!A42</f>
        <v>43586</v>
      </c>
      <c r="B42">
        <f t="shared" si="2"/>
        <v>2019</v>
      </c>
      <c r="C42">
        <f t="shared" si="3"/>
        <v>5</v>
      </c>
      <c r="D42" s="31">
        <f>'Monthly Data'!J42</f>
        <v>158618.0740403769</v>
      </c>
      <c r="E42" s="33">
        <f>'Monthly Data'!AQ42</f>
        <v>307.42916666666667</v>
      </c>
      <c r="F42" s="33">
        <f>'Monthly Data'!AZ42</f>
        <v>16.06666666666667</v>
      </c>
      <c r="G42" s="33">
        <f>'Monthly Data'!AD42</f>
        <v>807274.5</v>
      </c>
      <c r="H42" s="8">
        <f>'Monthly Data'!BU42</f>
        <v>31</v>
      </c>
      <c r="I42" s="18">
        <f>'Monthly Data'!BX42</f>
        <v>0</v>
      </c>
      <c r="K42" s="18">
        <f>'GS&lt;50 Predicted Monthly'!$V$8</f>
        <v>-2135516.9462582301</v>
      </c>
      <c r="L42" s="18">
        <f>E42*'GS&lt;50 Predicted Monthly'!$V$9</f>
        <v>579771.01866923319</v>
      </c>
      <c r="M42" s="18">
        <f>F42*'GS&lt;50 Predicted Monthly'!$V$10</f>
        <v>59653.516309967708</v>
      </c>
      <c r="N42" s="18">
        <f>G42*'GS&lt;50 Predicted Monthly'!$V$11</f>
        <v>1945139.9207782699</v>
      </c>
      <c r="O42" s="18">
        <f>H42*'GS&lt;50 Predicted Monthly'!$V$12</f>
        <v>1722828.0010148797</v>
      </c>
      <c r="P42" s="18">
        <f>I42*'GS&lt;50 Predicted Monthly'!$V$13</f>
        <v>0</v>
      </c>
      <c r="Q42" s="18">
        <f>SUM(K42:P42)</f>
        <v>2171875.5105141206</v>
      </c>
      <c r="R42" s="18">
        <f>Q42-D42</f>
        <v>2013257.4364737438</v>
      </c>
      <c r="S42" s="35">
        <f>ABS(R42/D42)</f>
        <v>12.69248443882417</v>
      </c>
    </row>
    <row r="43" spans="1:20">
      <c r="A43" s="541">
        <f>'Monthly Data'!A43</f>
        <v>43617</v>
      </c>
      <c r="B43">
        <f t="shared" si="2"/>
        <v>2019</v>
      </c>
      <c r="C43">
        <f t="shared" si="3"/>
        <v>6</v>
      </c>
      <c r="D43" s="31">
        <f>'Monthly Data'!J43</f>
        <v>160421.32373038234</v>
      </c>
      <c r="E43" s="33">
        <f>'Monthly Data'!AQ43</f>
        <v>114.8875</v>
      </c>
      <c r="F43" s="33">
        <f>'Monthly Data'!AZ43</f>
        <v>134.69583333333335</v>
      </c>
      <c r="G43" s="33">
        <f>'Monthly Data'!AD43</f>
        <v>807274.5</v>
      </c>
      <c r="H43" s="8">
        <f>'Monthly Data'!BU43</f>
        <v>30</v>
      </c>
      <c r="I43" s="18">
        <f>'Monthly Data'!BX43</f>
        <v>0</v>
      </c>
      <c r="K43" s="18">
        <f>'GS&lt;50 Predicted Monthly'!$V$8</f>
        <v>-2135516.9462582301</v>
      </c>
      <c r="L43" s="18">
        <f>E43*'GS&lt;50 Predicted Monthly'!$V$9</f>
        <v>216662.73122218892</v>
      </c>
      <c r="M43" s="18">
        <f>F43*'GS&lt;50 Predicted Monthly'!$V$10</f>
        <v>500108.71933410945</v>
      </c>
      <c r="N43" s="18">
        <f>G43*'GS&lt;50 Predicted Monthly'!$V$11</f>
        <v>1945139.9207782699</v>
      </c>
      <c r="O43" s="18">
        <f>H43*'GS&lt;50 Predicted Monthly'!$V$12</f>
        <v>1667252.9042079481</v>
      </c>
      <c r="P43" s="18">
        <f>I43*'GS&lt;50 Predicted Monthly'!$V$13</f>
        <v>0</v>
      </c>
      <c r="Q43" s="18">
        <f>SUM(K43:P43)</f>
        <v>2193647.3292842861</v>
      </c>
      <c r="R43" s="18">
        <f>Q43-D43</f>
        <v>2033226.0055539038</v>
      </c>
      <c r="S43" s="35">
        <f>ABS(R43/D43)</f>
        <v>12.674287671202087</v>
      </c>
    </row>
    <row r="44" spans="1:20">
      <c r="A44" s="541">
        <f>'Monthly Data'!A44</f>
        <v>43647</v>
      </c>
      <c r="B44">
        <f t="shared" si="2"/>
        <v>2019</v>
      </c>
      <c r="C44">
        <f t="shared" si="3"/>
        <v>7</v>
      </c>
      <c r="D44" s="31">
        <f>'Monthly Data'!J44</f>
        <v>162224.57342038781</v>
      </c>
      <c r="E44" s="33">
        <f>'Monthly Data'!AQ44</f>
        <v>14.054166666666667</v>
      </c>
      <c r="F44" s="33">
        <f>'Monthly Data'!AZ44</f>
        <v>290.43749999999994</v>
      </c>
      <c r="G44" s="33">
        <f>'Monthly Data'!AD44</f>
        <v>807274.5</v>
      </c>
      <c r="H44" s="8">
        <f>'Monthly Data'!BU44</f>
        <v>31</v>
      </c>
      <c r="I44" s="18">
        <f>'Monthly Data'!BX44</f>
        <v>0</v>
      </c>
      <c r="K44" s="18">
        <f>'GS&lt;50 Predicted Monthly'!$V$8</f>
        <v>-2135516.9462582301</v>
      </c>
      <c r="L44" s="18">
        <f>E44*'GS&lt;50 Predicted Monthly'!$V$9</f>
        <v>26504.311914280028</v>
      </c>
      <c r="M44" s="18">
        <f>F44*'GS&lt;50 Predicted Monthly'!$V$10</f>
        <v>1078357.9757225874</v>
      </c>
      <c r="N44" s="18">
        <f>G44*'GS&lt;50 Predicted Monthly'!$V$11</f>
        <v>1945139.9207782699</v>
      </c>
      <c r="O44" s="18">
        <f>H44*'GS&lt;50 Predicted Monthly'!$V$12</f>
        <v>1722828.0010148797</v>
      </c>
      <c r="P44" s="18">
        <f>I44*'GS&lt;50 Predicted Monthly'!$V$13</f>
        <v>0</v>
      </c>
      <c r="Q44" s="18">
        <f>SUM(K44:P44)</f>
        <v>2637313.2631717869</v>
      </c>
      <c r="R44" s="18">
        <f>Q44-D44</f>
        <v>2475088.6897513992</v>
      </c>
      <c r="S44" s="35">
        <f>ABS(R44/D44)</f>
        <v>15.257174899991686</v>
      </c>
    </row>
    <row r="45" spans="1:20">
      <c r="A45" s="541">
        <f>'Monthly Data'!A45</f>
        <v>43678</v>
      </c>
      <c r="B45">
        <f t="shared" si="2"/>
        <v>2019</v>
      </c>
      <c r="C45">
        <f t="shared" si="3"/>
        <v>8</v>
      </c>
      <c r="D45" s="31">
        <f>'Monthly Data'!J45</f>
        <v>164027.82311039325</v>
      </c>
      <c r="E45" s="33">
        <f>'Monthly Data'!AQ45</f>
        <v>58.420833333333356</v>
      </c>
      <c r="F45" s="33">
        <f>'Monthly Data'!AZ45</f>
        <v>199.80416666666667</v>
      </c>
      <c r="G45" s="33">
        <f>'Monthly Data'!AD45</f>
        <v>807274.5</v>
      </c>
      <c r="H45" s="8">
        <f>'Monthly Data'!BU45</f>
        <v>31</v>
      </c>
      <c r="I45" s="18">
        <f>'Monthly Data'!BX45</f>
        <v>0</v>
      </c>
      <c r="K45" s="18">
        <f>'GS&lt;50 Predicted Monthly'!$V$8</f>
        <v>-2135516.9462582301</v>
      </c>
      <c r="L45" s="18">
        <f>E45*'GS&lt;50 Predicted Monthly'!$V$9</f>
        <v>110174.01640975998</v>
      </c>
      <c r="M45" s="18">
        <f>F45*'GS&lt;50 Predicted Monthly'!$V$10</f>
        <v>741847.78724374506</v>
      </c>
      <c r="N45" s="18">
        <f>G45*'GS&lt;50 Predicted Monthly'!$V$11</f>
        <v>1945139.9207782699</v>
      </c>
      <c r="O45" s="18">
        <f>H45*'GS&lt;50 Predicted Monthly'!$V$12</f>
        <v>1722828.0010148797</v>
      </c>
      <c r="P45" s="18">
        <f>I45*'GS&lt;50 Predicted Monthly'!$V$13</f>
        <v>0</v>
      </c>
      <c r="Q45" s="18">
        <f>SUM(K45:P45)</f>
        <v>2384472.7791884243</v>
      </c>
      <c r="R45" s="18">
        <f>Q45-D45</f>
        <v>2220444.9560780311</v>
      </c>
      <c r="S45" s="35">
        <f>ABS(R45/D45)</f>
        <v>13.53700191816627</v>
      </c>
    </row>
    <row r="46" spans="1:20">
      <c r="A46" s="541">
        <f>'Monthly Data'!A46</f>
        <v>43709</v>
      </c>
      <c r="B46">
        <f t="shared" si="2"/>
        <v>2019</v>
      </c>
      <c r="C46">
        <f t="shared" si="3"/>
        <v>9</v>
      </c>
      <c r="D46" s="31">
        <f>'Monthly Data'!J46</f>
        <v>165831.07280039872</v>
      </c>
      <c r="E46" s="33">
        <f>'Monthly Data'!AQ46</f>
        <v>189.70000000000007</v>
      </c>
      <c r="F46" s="33">
        <f>'Monthly Data'!AZ46</f>
        <v>66.591666666666669</v>
      </c>
      <c r="G46" s="33">
        <f>'Monthly Data'!AD46</f>
        <v>807274.5</v>
      </c>
      <c r="H46" s="8">
        <f>'Monthly Data'!BU46</f>
        <v>30</v>
      </c>
      <c r="I46" s="18">
        <f>'Monthly Data'!BX46</f>
        <v>0</v>
      </c>
      <c r="K46" s="18">
        <f>'GS&lt;50 Predicted Monthly'!$V$8</f>
        <v>-2135516.9462582301</v>
      </c>
      <c r="L46" s="18">
        <f>E46*'GS&lt;50 Predicted Monthly'!$V$9</f>
        <v>357749.27744836692</v>
      </c>
      <c r="M46" s="18">
        <f>F46*'GS&lt;50 Predicted Monthly'!$V$10</f>
        <v>247246.49835734017</v>
      </c>
      <c r="N46" s="18">
        <f>G46*'GS&lt;50 Predicted Monthly'!$V$11</f>
        <v>1945139.9207782699</v>
      </c>
      <c r="O46" s="18">
        <f>H46*'GS&lt;50 Predicted Monthly'!$V$12</f>
        <v>1667252.9042079481</v>
      </c>
      <c r="P46" s="18">
        <f>I46*'GS&lt;50 Predicted Monthly'!$V$13</f>
        <v>0</v>
      </c>
      <c r="Q46" s="18">
        <f>SUM(K46:P46)</f>
        <v>2081871.654533695</v>
      </c>
      <c r="R46" s="18">
        <f>Q46-D46</f>
        <v>1916040.5817332962</v>
      </c>
      <c r="S46" s="35">
        <f>ABS(R46/D46)</f>
        <v>11.554171057190974</v>
      </c>
    </row>
    <row r="47" spans="1:20">
      <c r="A47" s="541">
        <f>'Monthly Data'!A47</f>
        <v>43739</v>
      </c>
      <c r="B47">
        <f t="shared" si="2"/>
        <v>2019</v>
      </c>
      <c r="C47">
        <f t="shared" si="3"/>
        <v>10</v>
      </c>
      <c r="D47" s="31">
        <f>'Monthly Data'!J47</f>
        <v>167634.32249040419</v>
      </c>
      <c r="E47" s="33">
        <f>'Monthly Data'!AQ47</f>
        <v>396.53333333333319</v>
      </c>
      <c r="F47" s="33">
        <f>'Monthly Data'!AZ47</f>
        <v>0.59166666666666856</v>
      </c>
      <c r="G47" s="33">
        <f>'Monthly Data'!AD47</f>
        <v>807274.5</v>
      </c>
      <c r="H47" s="8">
        <f>'Monthly Data'!BU47</f>
        <v>31</v>
      </c>
      <c r="I47" s="18">
        <f>'Monthly Data'!BX47</f>
        <v>0</v>
      </c>
      <c r="K47" s="18">
        <f>'GS&lt;50 Predicted Monthly'!$V$8</f>
        <v>-2135516.9462582301</v>
      </c>
      <c r="L47" s="18">
        <f>E47*'GS&lt;50 Predicted Monthly'!$V$9</f>
        <v>747809.77060723421</v>
      </c>
      <c r="M47" s="18">
        <f>F47*'GS&lt;50 Predicted Monthly'!$V$10</f>
        <v>2196.7840549832572</v>
      </c>
      <c r="N47" s="18">
        <f>G47*'GS&lt;50 Predicted Monthly'!$V$11</f>
        <v>1945139.9207782699</v>
      </c>
      <c r="O47" s="18">
        <f>H47*'GS&lt;50 Predicted Monthly'!$V$12</f>
        <v>1722828.0010148797</v>
      </c>
      <c r="P47" s="18">
        <f>I47*'GS&lt;50 Predicted Monthly'!$V$13</f>
        <v>0</v>
      </c>
      <c r="Q47" s="18">
        <f>SUM(K47:P47)</f>
        <v>2282457.530197137</v>
      </c>
      <c r="R47" s="18">
        <f>Q47-D47</f>
        <v>2114823.2077067327</v>
      </c>
      <c r="S47" s="35">
        <f>ABS(R47/D47)</f>
        <v>12.615693351388648</v>
      </c>
    </row>
    <row r="48" spans="1:20">
      <c r="A48" s="541">
        <f>'Monthly Data'!A48</f>
        <v>43770</v>
      </c>
      <c r="B48">
        <f t="shared" si="2"/>
        <v>2019</v>
      </c>
      <c r="C48">
        <f t="shared" si="3"/>
        <v>11</v>
      </c>
      <c r="D48" s="31">
        <f>'Monthly Data'!J48</f>
        <v>169437.57218040962</v>
      </c>
      <c r="E48" s="33">
        <f>'Monthly Data'!AQ48</f>
        <v>682.0916666666667</v>
      </c>
      <c r="F48" s="33">
        <f>'Monthly Data'!AZ48</f>
        <v>0</v>
      </c>
      <c r="G48" s="33">
        <f>'Monthly Data'!AD48</f>
        <v>807274.5</v>
      </c>
      <c r="H48" s="8">
        <f>'Monthly Data'!BU48</f>
        <v>30</v>
      </c>
      <c r="I48" s="18">
        <f>'Monthly Data'!BX48</f>
        <v>0</v>
      </c>
      <c r="K48" s="18">
        <f>'GS&lt;50 Predicted Monthly'!$V$8</f>
        <v>-2135516.9462582301</v>
      </c>
      <c r="L48" s="18">
        <f>E48*'GS&lt;50 Predicted Monthly'!$V$9</f>
        <v>1286335.2709728638</v>
      </c>
      <c r="M48" s="18">
        <f>F48*'GS&lt;50 Predicted Monthly'!$V$10</f>
        <v>0</v>
      </c>
      <c r="N48" s="18">
        <f>G48*'GS&lt;50 Predicted Monthly'!$V$11</f>
        <v>1945139.9207782699</v>
      </c>
      <c r="O48" s="18">
        <f>H48*'GS&lt;50 Predicted Monthly'!$V$12</f>
        <v>1667252.9042079481</v>
      </c>
      <c r="P48" s="18">
        <f>I48*'GS&lt;50 Predicted Monthly'!$V$13</f>
        <v>0</v>
      </c>
      <c r="Q48" s="18">
        <f>SUM(K48:P48)</f>
        <v>2763211.1497008516</v>
      </c>
      <c r="R48" s="18">
        <f>Q48-D48</f>
        <v>2593773.5775204422</v>
      </c>
      <c r="S48" s="35">
        <f>ABS(R48/D48)</f>
        <v>15.308137056866626</v>
      </c>
    </row>
    <row r="49" spans="1:20">
      <c r="A49" s="541">
        <f>'Monthly Data'!A49</f>
        <v>43800</v>
      </c>
      <c r="B49">
        <f t="shared" si="2"/>
        <v>2019</v>
      </c>
      <c r="C49">
        <f t="shared" si="3"/>
        <v>12</v>
      </c>
      <c r="D49" s="31">
        <f>'Monthly Data'!J49</f>
        <v>30938448.821870416</v>
      </c>
      <c r="E49" s="33">
        <f>'Monthly Data'!AQ49</f>
        <v>811.69166666666661</v>
      </c>
      <c r="F49" s="33">
        <f>'Monthly Data'!AZ49</f>
        <v>0</v>
      </c>
      <c r="G49" s="33">
        <f>'Monthly Data'!AD49</f>
        <v>807274.5</v>
      </c>
      <c r="H49" s="8">
        <f>'Monthly Data'!BU49</f>
        <v>31</v>
      </c>
      <c r="I49" s="18">
        <f>'Monthly Data'!BX49</f>
        <v>0</v>
      </c>
      <c r="K49" s="18">
        <f>'GS&lt;50 Predicted Monthly'!$V$8</f>
        <v>-2135516.9462582301</v>
      </c>
      <c r="L49" s="18">
        <f>E49*'GS&lt;50 Predicted Monthly'!$V$9</f>
        <v>1530743.8442849792</v>
      </c>
      <c r="M49" s="18">
        <f>F49*'GS&lt;50 Predicted Monthly'!$V$10</f>
        <v>0</v>
      </c>
      <c r="N49" s="18">
        <f>G49*'GS&lt;50 Predicted Monthly'!$V$11</f>
        <v>1945139.9207782699</v>
      </c>
      <c r="O49" s="18">
        <f>H49*'GS&lt;50 Predicted Monthly'!$V$12</f>
        <v>1722828.0010148797</v>
      </c>
      <c r="P49" s="18">
        <f>I49*'GS&lt;50 Predicted Monthly'!$V$13</f>
        <v>0</v>
      </c>
      <c r="Q49" s="18">
        <f>SUM(K49:P49)</f>
        <v>3063194.8198198983</v>
      </c>
      <c r="R49" s="18">
        <f>Q49-D49</f>
        <v>-27875254.002050519</v>
      </c>
      <c r="S49" s="35">
        <f>ABS(R49/D49)</f>
        <v>0.9009906787034998</v>
      </c>
      <c r="T49" s="31">
        <f>SUM(Q38:Q49)</f>
        <v>31498651.436810296</v>
      </c>
    </row>
    <row r="50" spans="1:20">
      <c r="A50" s="541">
        <f>'Monthly Data'!A50</f>
        <v>43831</v>
      </c>
      <c r="B50">
        <f t="shared" si="2"/>
        <v>2020</v>
      </c>
      <c r="C50">
        <f t="shared" si="3"/>
        <v>1</v>
      </c>
      <c r="D50" s="31">
        <f>'Monthly Data'!J50</f>
        <v>3010167.2574951407</v>
      </c>
      <c r="E50" s="33">
        <f>'Monthly Data'!AQ50</f>
        <v>851.48333333333335</v>
      </c>
      <c r="F50" s="33">
        <f>'Monthly Data'!AZ50</f>
        <v>0</v>
      </c>
      <c r="G50" s="33">
        <f>'Monthly Data'!AD50</f>
        <v>769942</v>
      </c>
      <c r="H50" s="8">
        <f>'Monthly Data'!BU50</f>
        <v>31</v>
      </c>
      <c r="I50" s="18">
        <f>'Monthly Data'!BX50</f>
        <v>0</v>
      </c>
      <c r="K50" s="18">
        <f>'GS&lt;50 Predicted Monthly'!$V$8</f>
        <v>-2135516.9462582301</v>
      </c>
      <c r="L50" s="18">
        <f>E50*'GS&lt;50 Predicted Monthly'!$V$9</f>
        <v>1605785.699838307</v>
      </c>
      <c r="M50" s="18">
        <f>F50*'GS&lt;50 Predicted Monthly'!$V$10</f>
        <v>0</v>
      </c>
      <c r="N50" s="18">
        <f>G50*'GS&lt;50 Predicted Monthly'!$V$11</f>
        <v>1855186.7064844272</v>
      </c>
      <c r="O50" s="18">
        <f>H50*'GS&lt;50 Predicted Monthly'!$V$12</f>
        <v>1722828.0010148797</v>
      </c>
      <c r="P50" s="18">
        <f>I50*'GS&lt;50 Predicted Monthly'!$V$13</f>
        <v>0</v>
      </c>
      <c r="Q50" s="18">
        <f>SUM(K50:P50)</f>
        <v>3048283.4610793837</v>
      </c>
      <c r="R50" s="18">
        <f>Q50-D50</f>
        <v>38116.203584243078</v>
      </c>
      <c r="S50" s="35">
        <f>ABS(R50/D50)</f>
        <v>1.2662486939666212E-2</v>
      </c>
      <c r="T50" s="31">
        <f>T49-SUM(D38:D49)</f>
        <v>-1204431.9460943267</v>
      </c>
    </row>
    <row r="51" spans="1:20">
      <c r="A51" s="541">
        <f>'Monthly Data'!A51</f>
        <v>43862</v>
      </c>
      <c r="B51">
        <f t="shared" si="2"/>
        <v>2020</v>
      </c>
      <c r="C51">
        <f t="shared" si="3"/>
        <v>2</v>
      </c>
      <c r="D51" s="31">
        <f>'Monthly Data'!J51</f>
        <v>2813125.8986844411</v>
      </c>
      <c r="E51" s="33">
        <f>'Monthly Data'!AQ51</f>
        <v>804.35833333333335</v>
      </c>
      <c r="F51" s="33">
        <f>'Monthly Data'!AZ51</f>
        <v>0</v>
      </c>
      <c r="G51" s="33">
        <f>'Monthly Data'!AD51</f>
        <v>769942</v>
      </c>
      <c r="H51" s="8">
        <f>'Monthly Data'!BU51</f>
        <v>28</v>
      </c>
      <c r="I51" s="18">
        <f>'Monthly Data'!BX51</f>
        <v>0</v>
      </c>
      <c r="K51" s="18">
        <f>'GS&lt;50 Predicted Monthly'!$V$8</f>
        <v>-2135516.9462582301</v>
      </c>
      <c r="L51" s="18">
        <f>E51*'GS&lt;50 Predicted Monthly'!$V$9</f>
        <v>1516914.1410625859</v>
      </c>
      <c r="M51" s="18">
        <f>F51*'GS&lt;50 Predicted Monthly'!$V$10</f>
        <v>0</v>
      </c>
      <c r="N51" s="18">
        <f>G51*'GS&lt;50 Predicted Monthly'!$V$11</f>
        <v>1855186.7064844272</v>
      </c>
      <c r="O51" s="18">
        <f>H51*'GS&lt;50 Predicted Monthly'!$V$12</f>
        <v>1556102.7105940848</v>
      </c>
      <c r="P51" s="18">
        <f>I51*'GS&lt;50 Predicted Monthly'!$V$13</f>
        <v>0</v>
      </c>
      <c r="Q51" s="18">
        <f>SUM(K51:P51)</f>
        <v>2792686.6118828678</v>
      </c>
      <c r="R51" s="18">
        <f>Q51-D51</f>
        <v>-20439.286801573355</v>
      </c>
      <c r="S51" s="35">
        <f>ABS(R51/D51)</f>
        <v>7.2656850555930649E-3</v>
      </c>
      <c r="T51" s="73">
        <f>T50/T49</f>
        <v>-3.8237571805591342E-2</v>
      </c>
    </row>
    <row r="52" spans="1:20">
      <c r="A52" s="541">
        <f>'Monthly Data'!A52</f>
        <v>43891</v>
      </c>
      <c r="B52">
        <f t="shared" si="2"/>
        <v>2020</v>
      </c>
      <c r="C52">
        <f t="shared" si="3"/>
        <v>3</v>
      </c>
      <c r="D52" s="31">
        <f>'Monthly Data'!J52</f>
        <v>2549801.539873742</v>
      </c>
      <c r="E52" s="33">
        <f>'Monthly Data'!AQ52</f>
        <v>659.47500000000002</v>
      </c>
      <c r="F52" s="33">
        <f>'Monthly Data'!AZ52</f>
        <v>0</v>
      </c>
      <c r="G52" s="33">
        <f>'Monthly Data'!AD52</f>
        <v>769942</v>
      </c>
      <c r="H52" s="8">
        <f>'Monthly Data'!BU52</f>
        <v>31</v>
      </c>
      <c r="I52" s="18">
        <f>'Monthly Data'!BX52</f>
        <v>0.5</v>
      </c>
      <c r="K52" s="18">
        <f>'GS&lt;50 Predicted Monthly'!$V$8</f>
        <v>-2135516.9462582301</v>
      </c>
      <c r="L52" s="18">
        <f>E52*'GS&lt;50 Predicted Monthly'!$V$9</f>
        <v>1243683.2089892551</v>
      </c>
      <c r="M52" s="18">
        <f>F52*'GS&lt;50 Predicted Monthly'!$V$10</f>
        <v>0</v>
      </c>
      <c r="N52" s="18">
        <f>G52*'GS&lt;50 Predicted Monthly'!$V$11</f>
        <v>1855186.7064844272</v>
      </c>
      <c r="O52" s="18">
        <f>H52*'GS&lt;50 Predicted Monthly'!$V$12</f>
        <v>1722828.0010148797</v>
      </c>
      <c r="P52" s="18">
        <f>I52*'GS&lt;50 Predicted Monthly'!$V$13</f>
        <v>-155664.75371970949</v>
      </c>
      <c r="Q52" s="18">
        <f>SUM(K52:P52)</f>
        <v>2530516.2165106223</v>
      </c>
      <c r="R52" s="18">
        <f>Q52-D52</f>
        <v>-19285.323363119736</v>
      </c>
      <c r="S52" s="35">
        <f>ABS(R52/D52)</f>
        <v>7.563460552335647E-3</v>
      </c>
    </row>
    <row r="53" spans="1:20">
      <c r="A53" s="541">
        <f>'Monthly Data'!A53</f>
        <v>43922</v>
      </c>
      <c r="B53">
        <f t="shared" si="2"/>
        <v>2020</v>
      </c>
      <c r="C53">
        <f t="shared" si="3"/>
        <v>4</v>
      </c>
      <c r="D53" s="31">
        <f>'Monthly Data'!J53</f>
        <v>2013068.1810630427</v>
      </c>
      <c r="E53" s="33">
        <f>'Monthly Data'!AQ53</f>
        <v>492.17083333333346</v>
      </c>
      <c r="F53" s="33">
        <f>'Monthly Data'!AZ53</f>
        <v>0</v>
      </c>
      <c r="G53" s="33">
        <f>'Monthly Data'!AD53</f>
        <v>769942</v>
      </c>
      <c r="H53" s="8">
        <f>'Monthly Data'!BU53</f>
        <v>30</v>
      </c>
      <c r="I53" s="18">
        <f>'Monthly Data'!BX53</f>
        <v>1</v>
      </c>
      <c r="K53" s="18">
        <f>'GS&lt;50 Predicted Monthly'!$V$8</f>
        <v>-2135516.9462582301</v>
      </c>
      <c r="L53" s="18">
        <f>E53*'GS&lt;50 Predicted Monthly'!$V$9</f>
        <v>928169.530870641</v>
      </c>
      <c r="M53" s="18">
        <f>F53*'GS&lt;50 Predicted Monthly'!$V$10</f>
        <v>0</v>
      </c>
      <c r="N53" s="18">
        <f>G53*'GS&lt;50 Predicted Monthly'!$V$11</f>
        <v>1855186.7064844272</v>
      </c>
      <c r="O53" s="18">
        <f>H53*'GS&lt;50 Predicted Monthly'!$V$12</f>
        <v>1667252.9042079481</v>
      </c>
      <c r="P53" s="18">
        <f>I53*'GS&lt;50 Predicted Monthly'!$V$13</f>
        <v>-311329.50743941899</v>
      </c>
      <c r="Q53" s="18">
        <f>SUM(K53:P53)</f>
        <v>2003762.6878653674</v>
      </c>
      <c r="R53" s="18">
        <f>Q53-D53</f>
        <v>-9305.4931976753287</v>
      </c>
      <c r="S53" s="35">
        <f>ABS(R53/D53)</f>
        <v>4.6225424877369865E-3</v>
      </c>
    </row>
    <row r="54" spans="1:20">
      <c r="A54" s="541">
        <f>'Monthly Data'!A54</f>
        <v>43952</v>
      </c>
      <c r="B54">
        <f t="shared" si="2"/>
        <v>2020</v>
      </c>
      <c r="C54">
        <f t="shared" si="3"/>
        <v>5</v>
      </c>
      <c r="D54" s="31">
        <f>'Monthly Data'!J54</f>
        <v>1942219.8222523434</v>
      </c>
      <c r="E54" s="33">
        <f>'Monthly Data'!AQ54</f>
        <v>278.21250000000003</v>
      </c>
      <c r="F54" s="33">
        <f>'Monthly Data'!AZ54</f>
        <v>84.133333333333326</v>
      </c>
      <c r="G54" s="33">
        <f>'Monthly Data'!AD54</f>
        <v>769942</v>
      </c>
      <c r="H54" s="8">
        <f>'Monthly Data'!BU54</f>
        <v>31</v>
      </c>
      <c r="I54" s="18">
        <f>'Monthly Data'!BX54</f>
        <v>1</v>
      </c>
      <c r="K54" s="18">
        <f>'GS&lt;50 Predicted Monthly'!$V$8</f>
        <v>-2135516.9462582301</v>
      </c>
      <c r="L54" s="18">
        <f>E54*'GS&lt;50 Predicted Monthly'!$V$9</f>
        <v>524672.22378547047</v>
      </c>
      <c r="M54" s="18">
        <f>F54*'GS&lt;50 Predicted Monthly'!$V$10</f>
        <v>312376.50449451961</v>
      </c>
      <c r="N54" s="18">
        <f>G54*'GS&lt;50 Predicted Monthly'!$V$11</f>
        <v>1855186.7064844272</v>
      </c>
      <c r="O54" s="18">
        <f>H54*'GS&lt;50 Predicted Monthly'!$V$12</f>
        <v>1722828.0010148797</v>
      </c>
      <c r="P54" s="18">
        <f>I54*'GS&lt;50 Predicted Monthly'!$V$13</f>
        <v>-311329.50743941899</v>
      </c>
      <c r="Q54" s="18">
        <f>SUM(K54:P54)</f>
        <v>1968216.9820816477</v>
      </c>
      <c r="R54" s="18">
        <f>Q54-D54</f>
        <v>25997.159829304321</v>
      </c>
      <c r="S54" s="35">
        <f>ABS(R54/D54)</f>
        <v>1.3385281898295152E-2</v>
      </c>
    </row>
    <row r="55" spans="1:20">
      <c r="A55" s="541">
        <f>'Monthly Data'!A55</f>
        <v>43983</v>
      </c>
      <c r="B55">
        <f t="shared" si="2"/>
        <v>2020</v>
      </c>
      <c r="C55">
        <f t="shared" si="3"/>
        <v>6</v>
      </c>
      <c r="D55" s="31">
        <f>'Monthly Data'!J55</f>
        <v>2049006.4634416441</v>
      </c>
      <c r="E55" s="33">
        <f>'Monthly Data'!AQ55</f>
        <v>92.391666666666652</v>
      </c>
      <c r="F55" s="33">
        <f>'Monthly Data'!AZ55</f>
        <v>179.51249999999999</v>
      </c>
      <c r="G55" s="33">
        <f>'Monthly Data'!AD55</f>
        <v>769942</v>
      </c>
      <c r="H55" s="8">
        <f>'Monthly Data'!BU55</f>
        <v>30</v>
      </c>
      <c r="I55" s="18">
        <f>'Monthly Data'!BX55</f>
        <v>0.5</v>
      </c>
      <c r="K55" s="18">
        <f>'GS&lt;50 Predicted Monthly'!$V$8</f>
        <v>-2135516.9462582301</v>
      </c>
      <c r="L55" s="18">
        <f>E55*'GS&lt;50 Predicted Monthly'!$V$9</f>
        <v>174238.54503031285</v>
      </c>
      <c r="M55" s="18">
        <f>F55*'GS&lt;50 Predicted Monthly'!$V$10</f>
        <v>666507.37634396728</v>
      </c>
      <c r="N55" s="18">
        <f>G55*'GS&lt;50 Predicted Monthly'!$V$11</f>
        <v>1855186.7064844272</v>
      </c>
      <c r="O55" s="18">
        <f>H55*'GS&lt;50 Predicted Monthly'!$V$12</f>
        <v>1667252.9042079481</v>
      </c>
      <c r="P55" s="18">
        <f>I55*'GS&lt;50 Predicted Monthly'!$V$13</f>
        <v>-155664.75371970949</v>
      </c>
      <c r="Q55" s="18">
        <f>SUM(K55:P55)</f>
        <v>2072003.8320887156</v>
      </c>
      <c r="R55" s="18">
        <f>Q55-D55</f>
        <v>22997.368647071533</v>
      </c>
      <c r="S55" s="35">
        <f>ABS(R55/D55)</f>
        <v>1.1223668181330996E-2</v>
      </c>
    </row>
    <row r="56" spans="1:20">
      <c r="A56" s="541">
        <f>'Monthly Data'!A56</f>
        <v>44013</v>
      </c>
      <c r="B56">
        <f t="shared" si="2"/>
        <v>2020</v>
      </c>
      <c r="C56">
        <f t="shared" si="3"/>
        <v>7</v>
      </c>
      <c r="D56" s="31">
        <f>'Monthly Data'!J56</f>
        <v>2479208.1046309448</v>
      </c>
      <c r="E56" s="33">
        <f>'Monthly Data'!AQ56</f>
        <v>3.850000000000005</v>
      </c>
      <c r="F56" s="33">
        <f>'Monthly Data'!AZ56</f>
        <v>321.12500000000011</v>
      </c>
      <c r="G56" s="33">
        <f>'Monthly Data'!AD56</f>
        <v>769942</v>
      </c>
      <c r="H56" s="8">
        <f>'Monthly Data'!BU56</f>
        <v>31</v>
      </c>
      <c r="I56" s="18">
        <f>'Monthly Data'!BX56</f>
        <v>0.5</v>
      </c>
      <c r="K56" s="18">
        <f>'GS&lt;50 Predicted Monthly'!$V$8</f>
        <v>-2135516.9462582301</v>
      </c>
      <c r="L56" s="18">
        <f>E56*'GS&lt;50 Predicted Monthly'!$V$9</f>
        <v>7260.5941917565306</v>
      </c>
      <c r="M56" s="18">
        <f>F56*'GS&lt;50 Predicted Monthly'!$V$10</f>
        <v>1192296.8106870363</v>
      </c>
      <c r="N56" s="18">
        <f>G56*'GS&lt;50 Predicted Monthly'!$V$11</f>
        <v>1855186.7064844272</v>
      </c>
      <c r="O56" s="18">
        <f>H56*'GS&lt;50 Predicted Monthly'!$V$12</f>
        <v>1722828.0010148797</v>
      </c>
      <c r="P56" s="18">
        <f>I56*'GS&lt;50 Predicted Monthly'!$V$13</f>
        <v>-155664.75371970949</v>
      </c>
      <c r="Q56" s="18">
        <f>SUM(K56:P56)</f>
        <v>2486390.4124001605</v>
      </c>
      <c r="R56" s="18">
        <f>Q56-D56</f>
        <v>7182.3077692156658</v>
      </c>
      <c r="S56" s="35">
        <f>ABS(R56/D56)</f>
        <v>2.8970168965645683E-3</v>
      </c>
    </row>
    <row r="57" spans="1:20">
      <c r="A57" s="541">
        <f>'Monthly Data'!A57</f>
        <v>44044</v>
      </c>
      <c r="B57">
        <f t="shared" si="2"/>
        <v>2020</v>
      </c>
      <c r="C57">
        <f t="shared" si="3"/>
        <v>8</v>
      </c>
      <c r="D57" s="31">
        <f>'Monthly Data'!J57</f>
        <v>2169068.7458202457</v>
      </c>
      <c r="E57" s="33">
        <f>'Monthly Data'!AQ57</f>
        <v>79.675000000000011</v>
      </c>
      <c r="F57" s="33">
        <f>'Monthly Data'!AZ57</f>
        <v>178.70833333333334</v>
      </c>
      <c r="G57" s="33">
        <f>'Monthly Data'!AD57</f>
        <v>769942</v>
      </c>
      <c r="H57" s="8">
        <f>'Monthly Data'!BU57</f>
        <v>31</v>
      </c>
      <c r="I57" s="18">
        <f>'Monthly Data'!BX57</f>
        <v>0.5</v>
      </c>
      <c r="K57" s="18">
        <f>'GS&lt;50 Predicted Monthly'!$V$8</f>
        <v>-2135516.9462582301</v>
      </c>
      <c r="L57" s="18">
        <f>E57*'GS&lt;50 Predicted Monthly'!$V$9</f>
        <v>150256.58239693529</v>
      </c>
      <c r="M57" s="18">
        <f>F57*'GS&lt;50 Predicted Monthly'!$V$10</f>
        <v>663521.60646641976</v>
      </c>
      <c r="N57" s="18">
        <f>G57*'GS&lt;50 Predicted Monthly'!$V$11</f>
        <v>1855186.7064844272</v>
      </c>
      <c r="O57" s="18">
        <f>H57*'GS&lt;50 Predicted Monthly'!$V$12</f>
        <v>1722828.0010148797</v>
      </c>
      <c r="P57" s="18">
        <f>I57*'GS&lt;50 Predicted Monthly'!$V$13</f>
        <v>-155664.75371970949</v>
      </c>
      <c r="Q57" s="18">
        <f>SUM(K57:P57)</f>
        <v>2100611.1963847224</v>
      </c>
      <c r="R57" s="18">
        <f>Q57-D57</f>
        <v>-68457.549435523339</v>
      </c>
      <c r="S57" s="35">
        <f>ABS(R57/D57)</f>
        <v>3.1560802103409467E-2</v>
      </c>
    </row>
    <row r="58" spans="1:20">
      <c r="A58" s="541">
        <f>'Monthly Data'!A58</f>
        <v>44075</v>
      </c>
      <c r="B58">
        <f t="shared" si="2"/>
        <v>2020</v>
      </c>
      <c r="C58">
        <f t="shared" si="3"/>
        <v>9</v>
      </c>
      <c r="D58" s="31">
        <f>'Monthly Data'!J58</f>
        <v>1937707.3870095464</v>
      </c>
      <c r="E58" s="33">
        <f>'Monthly Data'!AQ58</f>
        <v>206.67499999999998</v>
      </c>
      <c r="F58" s="33">
        <f>'Monthly Data'!AZ58</f>
        <v>68.32916666666668</v>
      </c>
      <c r="G58" s="33">
        <f>'Monthly Data'!AD58</f>
        <v>769942</v>
      </c>
      <c r="H58" s="8">
        <f>'Monthly Data'!BU58</f>
        <v>30</v>
      </c>
      <c r="I58" s="18">
        <f>'Monthly Data'!BX58</f>
        <v>0.5</v>
      </c>
      <c r="K58" s="18">
        <f>'GS&lt;50 Predicted Monthly'!$V$8</f>
        <v>-2135516.9462582301</v>
      </c>
      <c r="L58" s="18">
        <f>E58*'GS&lt;50 Predicted Monthly'!$V$9</f>
        <v>389761.89729383867</v>
      </c>
      <c r="M58" s="18">
        <f>F58*'GS&lt;50 Predicted Monthly'!$V$10</f>
        <v>253697.61773007273</v>
      </c>
      <c r="N58" s="18">
        <f>G58*'GS&lt;50 Predicted Monthly'!$V$11</f>
        <v>1855186.7064844272</v>
      </c>
      <c r="O58" s="18">
        <f>H58*'GS&lt;50 Predicted Monthly'!$V$12</f>
        <v>1667252.9042079481</v>
      </c>
      <c r="P58" s="18">
        <f>I58*'GS&lt;50 Predicted Monthly'!$V$13</f>
        <v>-155664.75371970949</v>
      </c>
      <c r="Q58" s="18">
        <f>SUM(K58:P58)</f>
        <v>1874717.425738347</v>
      </c>
      <c r="R58" s="18">
        <f>Q58-D58</f>
        <v>-62989.961271199398</v>
      </c>
      <c r="S58" s="35">
        <f>ABS(R58/D58)</f>
        <v>3.2507468203654563E-2</v>
      </c>
    </row>
    <row r="59" spans="1:20">
      <c r="A59" s="541">
        <f>'Monthly Data'!A59</f>
        <v>44105</v>
      </c>
      <c r="B59">
        <f t="shared" si="2"/>
        <v>2020</v>
      </c>
      <c r="C59">
        <f t="shared" si="3"/>
        <v>10</v>
      </c>
      <c r="D59" s="31">
        <f>'Monthly Data'!J59</f>
        <v>2079800.0281988471</v>
      </c>
      <c r="E59" s="33">
        <f>'Monthly Data'!AQ59</f>
        <v>432.26666666666665</v>
      </c>
      <c r="F59" s="33">
        <f>'Monthly Data'!AZ59</f>
        <v>4.1500000000000021</v>
      </c>
      <c r="G59" s="33">
        <f>'Monthly Data'!AD59</f>
        <v>769942</v>
      </c>
      <c r="H59" s="8">
        <f>'Monthly Data'!BU59</f>
        <v>31</v>
      </c>
      <c r="I59" s="18">
        <f>'Monthly Data'!BX59</f>
        <v>0.5</v>
      </c>
      <c r="K59" s="18">
        <f>'GS&lt;50 Predicted Monthly'!$V$8</f>
        <v>-2135516.9462582301</v>
      </c>
      <c r="L59" s="18">
        <f>E59*'GS&lt;50 Predicted Monthly'!$V$9</f>
        <v>815198.14267271489</v>
      </c>
      <c r="M59" s="18">
        <f>F59*'GS&lt;50 Predicted Monthly'!$V$10</f>
        <v>15408.429005375481</v>
      </c>
      <c r="N59" s="18">
        <f>G59*'GS&lt;50 Predicted Monthly'!$V$11</f>
        <v>1855186.7064844272</v>
      </c>
      <c r="O59" s="18">
        <f>H59*'GS&lt;50 Predicted Monthly'!$V$12</f>
        <v>1722828.0010148797</v>
      </c>
      <c r="P59" s="18">
        <f>I59*'GS&lt;50 Predicted Monthly'!$V$13</f>
        <v>-155664.75371970949</v>
      </c>
      <c r="Q59" s="18">
        <f>SUM(K59:P59)</f>
        <v>2117439.579199458</v>
      </c>
      <c r="R59" s="18">
        <f>Q59-D59</f>
        <v>37639.551000610925</v>
      </c>
      <c r="S59" s="35">
        <f>ABS(R59/D59)</f>
        <v>1.8097677897046482E-2</v>
      </c>
    </row>
    <row r="60" spans="1:20">
      <c r="A60" s="541">
        <f>'Monthly Data'!A60</f>
        <v>44136</v>
      </c>
      <c r="B60">
        <f t="shared" si="2"/>
        <v>2020</v>
      </c>
      <c r="C60">
        <f t="shared" si="3"/>
        <v>11</v>
      </c>
      <c r="D60" s="31">
        <f>'Monthly Data'!J60</f>
        <v>2308536.669388148</v>
      </c>
      <c r="E60" s="33">
        <f>'Monthly Data'!AQ60</f>
        <v>513.82916666666665</v>
      </c>
      <c r="F60" s="33">
        <f>'Monthly Data'!AZ60</f>
        <v>5.0749999999999975</v>
      </c>
      <c r="G60" s="33">
        <f>'Monthly Data'!AD60</f>
        <v>769942</v>
      </c>
      <c r="H60" s="8">
        <f>'Monthly Data'!BU60</f>
        <v>30</v>
      </c>
      <c r="I60" s="18">
        <f>'Monthly Data'!BX60</f>
        <v>0.5</v>
      </c>
      <c r="K60" s="18">
        <f>'GS&lt;50 Predicted Monthly'!$V$8</f>
        <v>-2135516.9462582301</v>
      </c>
      <c r="L60" s="18">
        <f>E60*'GS&lt;50 Predicted Monthly'!$V$9</f>
        <v>969014.30209223204</v>
      </c>
      <c r="M60" s="18">
        <f>F60*'GS&lt;50 Predicted Monthly'!$V$10</f>
        <v>18842.837880067586</v>
      </c>
      <c r="N60" s="18">
        <f>G60*'GS&lt;50 Predicted Monthly'!$V$11</f>
        <v>1855186.7064844272</v>
      </c>
      <c r="O60" s="18">
        <f>H60*'GS&lt;50 Predicted Monthly'!$V$12</f>
        <v>1667252.9042079481</v>
      </c>
      <c r="P60" s="18">
        <f>I60*'GS&lt;50 Predicted Monthly'!$V$13</f>
        <v>-155664.75371970949</v>
      </c>
      <c r="Q60" s="18">
        <f>SUM(K60:P60)</f>
        <v>2219115.0506867352</v>
      </c>
      <c r="R60" s="18">
        <f>Q60-D60</f>
        <v>-89421.618701412808</v>
      </c>
      <c r="S60" s="35">
        <f>ABS(R60/D60)</f>
        <v>3.8735195280702649E-2</v>
      </c>
    </row>
    <row r="61" spans="1:20">
      <c r="A61" s="541">
        <f>'Monthly Data'!A61</f>
        <v>44166</v>
      </c>
      <c r="B61">
        <f t="shared" si="2"/>
        <v>2020</v>
      </c>
      <c r="C61">
        <f t="shared" si="3"/>
        <v>12</v>
      </c>
      <c r="D61" s="31">
        <f>'Monthly Data'!J61</f>
        <v>2757605.3105774485</v>
      </c>
      <c r="E61" s="33">
        <f>'Monthly Data'!AQ61</f>
        <v>775.91666666666674</v>
      </c>
      <c r="F61" s="33">
        <f>'Monthly Data'!AZ61</f>
        <v>0</v>
      </c>
      <c r="G61" s="33">
        <f>'Monthly Data'!AD61</f>
        <v>769942</v>
      </c>
      <c r="H61" s="8">
        <f>'Monthly Data'!BU61</f>
        <v>31</v>
      </c>
      <c r="I61" s="18">
        <f>'Monthly Data'!BX61</f>
        <v>0.5</v>
      </c>
      <c r="K61" s="18">
        <f>'GS&lt;50 Predicted Monthly'!$V$8</f>
        <v>-2135516.9462582301</v>
      </c>
      <c r="L61" s="18">
        <f>E61*'GS&lt;50 Predicted Monthly'!$V$9</f>
        <v>1463276.8943602808</v>
      </c>
      <c r="M61" s="18">
        <f>F61*'GS&lt;50 Predicted Monthly'!$V$10</f>
        <v>0</v>
      </c>
      <c r="N61" s="18">
        <f>G61*'GS&lt;50 Predicted Monthly'!$V$11</f>
        <v>1855186.7064844272</v>
      </c>
      <c r="O61" s="18">
        <f>H61*'GS&lt;50 Predicted Monthly'!$V$12</f>
        <v>1722828.0010148797</v>
      </c>
      <c r="P61" s="18">
        <f>I61*'GS&lt;50 Predicted Monthly'!$V$13</f>
        <v>-155664.75371970949</v>
      </c>
      <c r="Q61" s="18">
        <f>SUM(K61:P61)</f>
        <v>2750109.9018816482</v>
      </c>
      <c r="R61" s="18">
        <f>Q61-D61</f>
        <v>-7495.4086958002299</v>
      </c>
      <c r="S61" s="35">
        <f>ABS(R61/D61)</f>
        <v>2.7180861115438872E-3</v>
      </c>
    </row>
    <row r="62" spans="1:20">
      <c r="A62" s="541">
        <f>'Monthly Data'!A62</f>
        <v>44197</v>
      </c>
      <c r="B62">
        <f t="shared" si="2"/>
        <v>2021</v>
      </c>
      <c r="C62">
        <f t="shared" si="3"/>
        <v>1</v>
      </c>
      <c r="D62" s="31">
        <f>'Monthly Data'!J62</f>
        <v>2771093.6241201404</v>
      </c>
      <c r="E62" s="33">
        <f>'Monthly Data'!AQ62</f>
        <v>852.97499999999991</v>
      </c>
      <c r="F62" s="33">
        <f>'Monthly Data'!AZ62</f>
        <v>0</v>
      </c>
      <c r="G62" s="33">
        <f>'Monthly Data'!AD62</f>
        <v>817265.5</v>
      </c>
      <c r="H62" s="8">
        <f>'Monthly Data'!BU62</f>
        <v>31</v>
      </c>
      <c r="I62" s="18">
        <f>'Monthly Data'!BX62</f>
        <v>0.5</v>
      </c>
      <c r="K62" s="18">
        <f>'GS&lt;50 Predicted Monthly'!$V$8</f>
        <v>-2135516.9462582301</v>
      </c>
      <c r="L62" s="18">
        <f>E62*'GS&lt;50 Predicted Monthly'!$V$9</f>
        <v>1608598.7871983163</v>
      </c>
      <c r="M62" s="18">
        <f>F62*'GS&lt;50 Predicted Monthly'!$V$10</f>
        <v>0</v>
      </c>
      <c r="N62" s="18">
        <f>G62*'GS&lt;50 Predicted Monthly'!$V$11</f>
        <v>1969213.3839540493</v>
      </c>
      <c r="O62" s="18">
        <f>H62*'GS&lt;50 Predicted Monthly'!$V$12</f>
        <v>1722828.0010148797</v>
      </c>
      <c r="P62" s="18">
        <f>I62*'GS&lt;50 Predicted Monthly'!$V$13</f>
        <v>-155664.75371970949</v>
      </c>
      <c r="Q62" s="18">
        <f>SUM(K62:P62)</f>
        <v>3009458.4721893058</v>
      </c>
      <c r="R62" s="18">
        <f>Q62-D62</f>
        <v>238364.84806916537</v>
      </c>
      <c r="S62" s="35">
        <f>ABS(R62/D62)</f>
        <v>8.6018330811485813E-2</v>
      </c>
    </row>
    <row r="63" spans="1:20">
      <c r="A63" s="541">
        <f>'Monthly Data'!A63</f>
        <v>44228</v>
      </c>
      <c r="B63">
        <f t="shared" si="2"/>
        <v>2021</v>
      </c>
      <c r="C63">
        <f t="shared" si="3"/>
        <v>2</v>
      </c>
      <c r="D63" s="31">
        <f>'Monthly Data'!J63</f>
        <v>2684641.5361313201</v>
      </c>
      <c r="E63" s="33">
        <f>'Monthly Data'!AQ63</f>
        <v>819.91666666666652</v>
      </c>
      <c r="F63" s="33">
        <f>'Monthly Data'!AZ63</f>
        <v>0</v>
      </c>
      <c r="G63" s="33">
        <f>'Monthly Data'!AD63</f>
        <v>817265.5</v>
      </c>
      <c r="H63" s="8">
        <f>'Monthly Data'!BU63</f>
        <v>28</v>
      </c>
      <c r="I63" s="18">
        <f>'Monthly Data'!BX63</f>
        <v>0.5</v>
      </c>
      <c r="K63" s="18">
        <f>'GS&lt;50 Predicted Monthly'!$V$8</f>
        <v>-2135516.9462582301</v>
      </c>
      <c r="L63" s="18">
        <f>E63*'GS&lt;50 Predicted Monthly'!$V$9</f>
        <v>1546255.1136946406</v>
      </c>
      <c r="M63" s="18">
        <f>F63*'GS&lt;50 Predicted Monthly'!$V$10</f>
        <v>0</v>
      </c>
      <c r="N63" s="18">
        <f>G63*'GS&lt;50 Predicted Monthly'!$V$11</f>
        <v>1969213.3839540493</v>
      </c>
      <c r="O63" s="18">
        <f>H63*'GS&lt;50 Predicted Monthly'!$V$12</f>
        <v>1556102.7105940848</v>
      </c>
      <c r="P63" s="18">
        <f>I63*'GS&lt;50 Predicted Monthly'!$V$13</f>
        <v>-155664.75371970949</v>
      </c>
      <c r="Q63" s="18">
        <f>SUM(K63:P63)</f>
        <v>2780389.5082648355</v>
      </c>
      <c r="R63" s="18">
        <f>Q63-D63</f>
        <v>95747.972133515403</v>
      </c>
      <c r="S63" s="35">
        <f>ABS(R63/D63)</f>
        <v>3.5665086323402491E-2</v>
      </c>
    </row>
    <row r="64" spans="1:20">
      <c r="A64" s="541">
        <f>'Monthly Data'!A64</f>
        <v>44256</v>
      </c>
      <c r="B64">
        <f t="shared" si="2"/>
        <v>2021</v>
      </c>
      <c r="C64">
        <f t="shared" si="3"/>
        <v>3</v>
      </c>
      <c r="D64" s="31">
        <f>'Monthly Data'!J64</f>
        <v>2687386.4481424992</v>
      </c>
      <c r="E64" s="33">
        <f>'Monthly Data'!AQ64</f>
        <v>651.65416666666704</v>
      </c>
      <c r="F64" s="33">
        <f>'Monthly Data'!AZ64</f>
        <v>0</v>
      </c>
      <c r="G64" s="33">
        <f>'Monthly Data'!AD64</f>
        <v>817265.5</v>
      </c>
      <c r="H64" s="8">
        <f>'Monthly Data'!BU64</f>
        <v>31</v>
      </c>
      <c r="I64" s="18">
        <f>'Monthly Data'!BX64</f>
        <v>0.5</v>
      </c>
      <c r="K64" s="18">
        <f>'GS&lt;50 Predicted Monthly'!$V$8</f>
        <v>-2135516.9462582301</v>
      </c>
      <c r="L64" s="18">
        <f>E64*'GS&lt;50 Predicted Monthly'!$V$9</f>
        <v>1228934.14481401</v>
      </c>
      <c r="M64" s="18">
        <f>F64*'GS&lt;50 Predicted Monthly'!$V$10</f>
        <v>0</v>
      </c>
      <c r="N64" s="18">
        <f>G64*'GS&lt;50 Predicted Monthly'!$V$11</f>
        <v>1969213.3839540493</v>
      </c>
      <c r="O64" s="18">
        <f>H64*'GS&lt;50 Predicted Monthly'!$V$12</f>
        <v>1722828.0010148797</v>
      </c>
      <c r="P64" s="18">
        <f>I64*'GS&lt;50 Predicted Monthly'!$V$13</f>
        <v>-155664.75371970949</v>
      </c>
      <c r="Q64" s="18">
        <f>SUM(K64:P64)</f>
        <v>2629793.8298049993</v>
      </c>
      <c r="R64" s="18">
        <f>Q64-D64</f>
        <v>-57592.618337499909</v>
      </c>
      <c r="S64" s="35">
        <f>ABS(R64/D64)</f>
        <v>2.1430716961941772E-2</v>
      </c>
    </row>
    <row r="65" spans="1:22">
      <c r="A65" s="541">
        <f>'Monthly Data'!A65</f>
        <v>44287</v>
      </c>
      <c r="B65">
        <f t="shared" si="2"/>
        <v>2021</v>
      </c>
      <c r="C65">
        <f t="shared" si="3"/>
        <v>4</v>
      </c>
      <c r="D65" s="31">
        <f>'Monthly Data'!J65</f>
        <v>2030798.3601536788</v>
      </c>
      <c r="E65" s="33">
        <f>'Monthly Data'!AQ65</f>
        <v>381.19583333333338</v>
      </c>
      <c r="F65" s="33">
        <f>'Monthly Data'!AZ65</f>
        <v>9.0875000000000004</v>
      </c>
      <c r="G65" s="33">
        <f>'Monthly Data'!AD65</f>
        <v>817265.5</v>
      </c>
      <c r="H65" s="8">
        <f>'Monthly Data'!BU65</f>
        <v>30</v>
      </c>
      <c r="I65" s="18">
        <f>'Monthly Data'!BX65</f>
        <v>0.5</v>
      </c>
      <c r="K65" s="18">
        <f>'GS&lt;50 Predicted Monthly'!$V$8</f>
        <v>-2135516.9462582301</v>
      </c>
      <c r="L65" s="18">
        <f>E65*'GS&lt;50 Predicted Monthly'!$V$9</f>
        <v>718885.26062903565</v>
      </c>
      <c r="M65" s="18">
        <f>F65*'GS&lt;50 Predicted Monthly'!$V$10</f>
        <v>33740.746647313157</v>
      </c>
      <c r="N65" s="18">
        <f>G65*'GS&lt;50 Predicted Monthly'!$V$11</f>
        <v>1969213.3839540493</v>
      </c>
      <c r="O65" s="18">
        <f>H65*'GS&lt;50 Predicted Monthly'!$V$12</f>
        <v>1667252.9042079481</v>
      </c>
      <c r="P65" s="18">
        <f>I65*'GS&lt;50 Predicted Monthly'!$V$13</f>
        <v>-155664.75371970949</v>
      </c>
      <c r="Q65" s="18">
        <f>SUM(K65:P65)</f>
        <v>2097910.595460407</v>
      </c>
      <c r="R65" s="18">
        <f>Q65-D65</f>
        <v>67112.235306728166</v>
      </c>
      <c r="S65" s="35">
        <f>ABS(R65/D65)</f>
        <v>3.3047217598525885E-2</v>
      </c>
    </row>
    <row r="66" spans="1:22">
      <c r="A66" s="541">
        <f>'Monthly Data'!A66</f>
        <v>44317</v>
      </c>
      <c r="B66">
        <f t="shared" si="2"/>
        <v>2021</v>
      </c>
      <c r="C66">
        <f t="shared" si="3"/>
        <v>5</v>
      </c>
      <c r="D66" s="31">
        <f>'Monthly Data'!J66</f>
        <v>2061848.2721648582</v>
      </c>
      <c r="E66" s="33">
        <f>'Monthly Data'!AQ66</f>
        <v>251.67499999999995</v>
      </c>
      <c r="F66" s="33">
        <f>'Monthly Data'!AZ66</f>
        <v>79.041666666666686</v>
      </c>
      <c r="G66" s="33">
        <f>'Monthly Data'!AD66</f>
        <v>817265.5</v>
      </c>
      <c r="H66" s="8">
        <f>'Monthly Data'!BU66</f>
        <v>31</v>
      </c>
      <c r="I66" s="18">
        <f>'Monthly Data'!BX66</f>
        <v>0.5</v>
      </c>
      <c r="K66" s="18">
        <f>'GS&lt;50 Predicted Monthly'!$V$8</f>
        <v>-2135516.9462582301</v>
      </c>
      <c r="L66" s="18">
        <f>E66*'GS&lt;50 Predicted Monthly'!$V$9</f>
        <v>474625.98524943431</v>
      </c>
      <c r="M66" s="18">
        <f>F66*'GS&lt;50 Predicted Monthly'!$V$10</f>
        <v>293471.78537346667</v>
      </c>
      <c r="N66" s="18">
        <f>G66*'GS&lt;50 Predicted Monthly'!$V$11</f>
        <v>1969213.3839540493</v>
      </c>
      <c r="O66" s="18">
        <f>H66*'GS&lt;50 Predicted Monthly'!$V$12</f>
        <v>1722828.0010148797</v>
      </c>
      <c r="P66" s="18">
        <f>I66*'GS&lt;50 Predicted Monthly'!$V$13</f>
        <v>-155664.75371970949</v>
      </c>
      <c r="Q66" s="18">
        <f>SUM(K66:P66)</f>
        <v>2168957.4556138907</v>
      </c>
      <c r="R66" s="18">
        <f>Q66-D66</f>
        <v>107109.18344903248</v>
      </c>
      <c r="S66" s="35">
        <f>ABS(R66/D66)</f>
        <v>5.194814036271065E-2</v>
      </c>
    </row>
    <row r="67" spans="1:22">
      <c r="A67" s="541">
        <f>'Monthly Data'!A67</f>
        <v>44348</v>
      </c>
      <c r="B67">
        <f t="shared" si="2"/>
        <v>2021</v>
      </c>
      <c r="C67">
        <f t="shared" si="3"/>
        <v>6</v>
      </c>
      <c r="D67" s="31">
        <f>'Monthly Data'!J67</f>
        <v>2202367.1841760376</v>
      </c>
      <c r="E67" s="33">
        <f>'Monthly Data'!AQ67</f>
        <v>55.149999999999991</v>
      </c>
      <c r="F67" s="33">
        <f>'Monthly Data'!AZ67</f>
        <v>216.09166666666664</v>
      </c>
      <c r="G67" s="33">
        <f>'Monthly Data'!AD67</f>
        <v>817265.5</v>
      </c>
      <c r="H67" s="8">
        <f>'Monthly Data'!BU67</f>
        <v>30</v>
      </c>
      <c r="I67" s="18">
        <f>'Monthly Data'!BX67</f>
        <v>0.5</v>
      </c>
      <c r="K67" s="18">
        <f>'GS&lt;50 Predicted Monthly'!$V$8</f>
        <v>-2135516.9462582301</v>
      </c>
      <c r="L67" s="18">
        <f>E67*'GS&lt;50 Predicted Monthly'!$V$9</f>
        <v>104005.65446113561</v>
      </c>
      <c r="M67" s="18">
        <f>F67*'GS&lt;50 Predicted Monthly'!$V$10</f>
        <v>802321.22999676981</v>
      </c>
      <c r="N67" s="18">
        <f>G67*'GS&lt;50 Predicted Monthly'!$V$11</f>
        <v>1969213.3839540493</v>
      </c>
      <c r="O67" s="18">
        <f>H67*'GS&lt;50 Predicted Monthly'!$V$12</f>
        <v>1667252.9042079481</v>
      </c>
      <c r="P67" s="18">
        <f>I67*'GS&lt;50 Predicted Monthly'!$V$13</f>
        <v>-155664.75371970949</v>
      </c>
      <c r="Q67" s="18">
        <f>SUM(K67:P67)</f>
        <v>2251611.472641963</v>
      </c>
      <c r="R67" s="18">
        <f>Q67-D67</f>
        <v>49244.288465925492</v>
      </c>
      <c r="S67" s="35">
        <f>ABS(R67/D67)</f>
        <v>2.2359708598886089E-2</v>
      </c>
    </row>
    <row r="68" spans="1:22">
      <c r="A68" s="541">
        <f>'Monthly Data'!A68</f>
        <v>44378</v>
      </c>
      <c r="B68">
        <f t="shared" si="2"/>
        <v>2021</v>
      </c>
      <c r="C68">
        <f t="shared" si="3"/>
        <v>7</v>
      </c>
      <c r="D68" s="31">
        <f>'Monthly Data'!J68</f>
        <v>2304019.0961872172</v>
      </c>
      <c r="E68" s="33">
        <f>'Monthly Data'!AQ68</f>
        <v>58.799999999999976</v>
      </c>
      <c r="F68" s="33">
        <f>'Monthly Data'!AZ68</f>
        <v>205.77500000000006</v>
      </c>
      <c r="G68" s="33">
        <f>'Monthly Data'!AD68</f>
        <v>817265.5</v>
      </c>
      <c r="H68" s="8">
        <f>'Monthly Data'!BU68</f>
        <v>31</v>
      </c>
      <c r="I68" s="18">
        <f>'Monthly Data'!BX68</f>
        <v>0.5</v>
      </c>
      <c r="K68" s="18">
        <f>'GS&lt;50 Predicted Monthly'!$V$8</f>
        <v>-2135516.9462582301</v>
      </c>
      <c r="L68" s="18">
        <f>E68*'GS&lt;50 Predicted Monthly'!$V$9</f>
        <v>110889.074928645</v>
      </c>
      <c r="M68" s="18">
        <f>F68*'GS&lt;50 Predicted Monthly'!$V$10</f>
        <v>764016.74182678049</v>
      </c>
      <c r="N68" s="18">
        <f>G68*'GS&lt;50 Predicted Monthly'!$V$11</f>
        <v>1969213.3839540493</v>
      </c>
      <c r="O68" s="18">
        <f>H68*'GS&lt;50 Predicted Monthly'!$V$12</f>
        <v>1722828.0010148797</v>
      </c>
      <c r="P68" s="18">
        <f>I68*'GS&lt;50 Predicted Monthly'!$V$13</f>
        <v>-155664.75371970949</v>
      </c>
      <c r="Q68" s="18">
        <f>SUM(K68:P68)</f>
        <v>2275765.5017464152</v>
      </c>
      <c r="R68" s="18">
        <f>Q68-D68</f>
        <v>-28253.594440802</v>
      </c>
      <c r="S68" s="35">
        <f>ABS(R68/D68)</f>
        <v>1.2262743172379595E-2</v>
      </c>
    </row>
    <row r="69" spans="1:22">
      <c r="A69" s="541">
        <f>'Monthly Data'!A69</f>
        <v>44409</v>
      </c>
      <c r="B69">
        <f t="shared" si="2"/>
        <v>2021</v>
      </c>
      <c r="C69">
        <f t="shared" si="3"/>
        <v>8</v>
      </c>
      <c r="D69" s="31">
        <f>'Monthly Data'!J69</f>
        <v>2586724.0081983968</v>
      </c>
      <c r="E69" s="33">
        <f>'Monthly Data'!AQ69</f>
        <v>27.104166666666682</v>
      </c>
      <c r="F69" s="33">
        <f>'Monthly Data'!AZ69</f>
        <v>284.10416666666663</v>
      </c>
      <c r="G69" s="33">
        <f>'Monthly Data'!AD69</f>
        <v>817265.5</v>
      </c>
      <c r="H69" s="8">
        <f>'Monthly Data'!BU69</f>
        <v>31</v>
      </c>
      <c r="I69" s="18">
        <f>'Monthly Data'!BX69</f>
        <v>0.5</v>
      </c>
      <c r="K69" s="18">
        <f>'GS&lt;50 Predicted Monthly'!$V$8</f>
        <v>-2135516.9462582301</v>
      </c>
      <c r="L69" s="18">
        <f>E69*'GS&lt;50 Predicted Monthly'!$V$9</f>
        <v>51114.897421402813</v>
      </c>
      <c r="M69" s="18">
        <f>F69*'GS&lt;50 Predicted Monthly'!$V$10</f>
        <v>1054843.104148119</v>
      </c>
      <c r="N69" s="18">
        <f>G69*'GS&lt;50 Predicted Monthly'!$V$11</f>
        <v>1969213.3839540493</v>
      </c>
      <c r="O69" s="18">
        <f>H69*'GS&lt;50 Predicted Monthly'!$V$12</f>
        <v>1722828.0010148797</v>
      </c>
      <c r="P69" s="18">
        <f>I69*'GS&lt;50 Predicted Monthly'!$V$13</f>
        <v>-155664.75371970949</v>
      </c>
      <c r="Q69" s="18">
        <f>SUM(K69:P69)</f>
        <v>2506817.6865605111</v>
      </c>
      <c r="R69" s="18">
        <f>Q69-D69</f>
        <v>-79906.321637885645</v>
      </c>
      <c r="S69" s="35">
        <f>ABS(R69/D69)</f>
        <v>3.0890934396027372E-2</v>
      </c>
    </row>
    <row r="70" spans="1:22">
      <c r="A70" s="541">
        <f>'Monthly Data'!A70</f>
        <v>44440</v>
      </c>
      <c r="B70">
        <f t="shared" si="2"/>
        <v>2021</v>
      </c>
      <c r="C70">
        <f t="shared" si="3"/>
        <v>9</v>
      </c>
      <c r="D70" s="31">
        <f>'Monthly Data'!J70</f>
        <v>2084247.9202095759</v>
      </c>
      <c r="E70" s="33">
        <f>'Monthly Data'!AQ70</f>
        <v>164.45000000000005</v>
      </c>
      <c r="F70" s="33">
        <f>'Monthly Data'!AZ70</f>
        <v>83.741666666666646</v>
      </c>
      <c r="G70" s="33">
        <f>'Monthly Data'!AD70</f>
        <v>817265.5</v>
      </c>
      <c r="H70" s="8">
        <f>'Monthly Data'!BU70</f>
        <v>30</v>
      </c>
      <c r="I70" s="18">
        <f>'Monthly Data'!BX70</f>
        <v>0.5</v>
      </c>
      <c r="K70" s="18">
        <f>'GS&lt;50 Predicted Monthly'!$V$8</f>
        <v>-2135516.9462582301</v>
      </c>
      <c r="L70" s="18">
        <f>E70*'GS&lt;50 Predicted Monthly'!$V$9</f>
        <v>310131.0947621715</v>
      </c>
      <c r="M70" s="18">
        <f>F70*'GS&lt;50 Predicted Monthly'!$V$10</f>
        <v>310922.29533136165</v>
      </c>
      <c r="N70" s="18">
        <f>G70*'GS&lt;50 Predicted Monthly'!$V$11</f>
        <v>1969213.3839540493</v>
      </c>
      <c r="O70" s="18">
        <f>H70*'GS&lt;50 Predicted Monthly'!$V$12</f>
        <v>1667252.9042079481</v>
      </c>
      <c r="P70" s="18">
        <f>I70*'GS&lt;50 Predicted Monthly'!$V$13</f>
        <v>-155664.75371970949</v>
      </c>
      <c r="Q70" s="18">
        <f>SUM(K70:P70)</f>
        <v>1966337.9782775913</v>
      </c>
      <c r="R70" s="18">
        <f>Q70-D70</f>
        <v>-117909.94193198462</v>
      </c>
      <c r="S70" s="35">
        <f>ABS(R70/D70)</f>
        <v>5.6571936950825172E-2</v>
      </c>
    </row>
    <row r="71" spans="1:22">
      <c r="A71" s="541">
        <f>'Monthly Data'!A71</f>
        <v>44470</v>
      </c>
      <c r="B71">
        <f t="shared" si="2"/>
        <v>2021</v>
      </c>
      <c r="C71">
        <f t="shared" si="3"/>
        <v>10</v>
      </c>
      <c r="D71" s="31">
        <f>'Monthly Data'!J71</f>
        <v>2150223.8322207555</v>
      </c>
      <c r="E71" s="33">
        <f>'Monthly Data'!AQ71</f>
        <v>294.72916666666663</v>
      </c>
      <c r="F71" s="33">
        <f>'Monthly Data'!AZ71</f>
        <v>38.133333333333326</v>
      </c>
      <c r="G71" s="33">
        <f>'Monthly Data'!AD71</f>
        <v>817265.5</v>
      </c>
      <c r="H71" s="8">
        <f>'Monthly Data'!BU71</f>
        <v>31</v>
      </c>
      <c r="I71" s="18">
        <f>'Monthly Data'!BX71</f>
        <v>0.5</v>
      </c>
      <c r="K71" s="18">
        <f>'GS&lt;50 Predicted Monthly'!$V$8</f>
        <v>-2135516.9462582301</v>
      </c>
      <c r="L71" s="18">
        <f>E71*'GS&lt;50 Predicted Monthly'!$V$9</f>
        <v>555820.48717954266</v>
      </c>
      <c r="M71" s="18">
        <f>F71*'GS&lt;50 Predicted Monthly'!$V$10</f>
        <v>141584.27937469509</v>
      </c>
      <c r="N71" s="18">
        <f>G71*'GS&lt;50 Predicted Monthly'!$V$11</f>
        <v>1969213.3839540493</v>
      </c>
      <c r="O71" s="18">
        <f>H71*'GS&lt;50 Predicted Monthly'!$V$12</f>
        <v>1722828.0010148797</v>
      </c>
      <c r="P71" s="18">
        <f>I71*'GS&lt;50 Predicted Monthly'!$V$13</f>
        <v>-155664.75371970949</v>
      </c>
      <c r="Q71" s="18">
        <f>SUM(K71:P71)</f>
        <v>2098264.4515452273</v>
      </c>
      <c r="R71" s="18">
        <f>Q71-D71</f>
        <v>-51959.380675528198</v>
      </c>
      <c r="S71" s="35">
        <f>ABS(R71/D71)</f>
        <v>2.4164638070197763E-2</v>
      </c>
    </row>
    <row r="72" spans="1:22">
      <c r="A72" s="541">
        <f>'Monthly Data'!A72</f>
        <v>44501</v>
      </c>
      <c r="B72">
        <f t="shared" ref="B72:B121" si="4">YEAR(A72)</f>
        <v>2021</v>
      </c>
      <c r="C72">
        <f t="shared" ref="C72:C121" si="5">MONTH(A72)</f>
        <v>11</v>
      </c>
      <c r="D72" s="31">
        <f>'Monthly Data'!J72</f>
        <v>2496393.7442319351</v>
      </c>
      <c r="E72" s="33">
        <f>'Monthly Data'!AQ72</f>
        <v>584.32083333333333</v>
      </c>
      <c r="F72" s="33">
        <f>'Monthly Data'!AZ72</f>
        <v>0</v>
      </c>
      <c r="G72" s="33">
        <f>'Monthly Data'!AD72</f>
        <v>817265.5</v>
      </c>
      <c r="H72" s="8">
        <f>'Monthly Data'!BU72</f>
        <v>30</v>
      </c>
      <c r="I72" s="18">
        <f>'Monthly Data'!BX72</f>
        <v>0.5</v>
      </c>
      <c r="K72" s="18">
        <f>'GS&lt;50 Predicted Monthly'!$V$8</f>
        <v>-2135516.9462582301</v>
      </c>
      <c r="L72" s="18">
        <f>E72*'GS&lt;50 Predicted Monthly'!$V$9</f>
        <v>1101952.3243174884</v>
      </c>
      <c r="M72" s="18">
        <f>F72*'GS&lt;50 Predicted Monthly'!$V$10</f>
        <v>0</v>
      </c>
      <c r="N72" s="18">
        <f>G72*'GS&lt;50 Predicted Monthly'!$V$11</f>
        <v>1969213.3839540493</v>
      </c>
      <c r="O72" s="18">
        <f>H72*'GS&lt;50 Predicted Monthly'!$V$12</f>
        <v>1667252.9042079481</v>
      </c>
      <c r="P72" s="18">
        <f>I72*'GS&lt;50 Predicted Monthly'!$V$13</f>
        <v>-155664.75371970949</v>
      </c>
      <c r="Q72" s="18">
        <f>SUM(K72:P72)</f>
        <v>2447236.9125015461</v>
      </c>
      <c r="R72" s="18">
        <f>Q72-D72</f>
        <v>-49156.831730389036</v>
      </c>
      <c r="S72" s="35">
        <f>ABS(R72/D72)</f>
        <v>1.9691137203002848E-2</v>
      </c>
    </row>
    <row r="73" spans="1:22">
      <c r="A73" s="541">
        <f>'Monthly Data'!A73</f>
        <v>44531</v>
      </c>
      <c r="B73">
        <f t="shared" si="4"/>
        <v>2021</v>
      </c>
      <c r="C73">
        <f t="shared" si="5"/>
        <v>12</v>
      </c>
      <c r="D73" s="31">
        <f>'Monthly Data'!J73</f>
        <v>2949612.3062431142</v>
      </c>
      <c r="E73" s="33">
        <f>'Monthly Data'!AQ73</f>
        <v>764.20624999999995</v>
      </c>
      <c r="F73" s="33">
        <f>'Monthly Data'!AZ73</f>
        <v>0</v>
      </c>
      <c r="G73" s="33">
        <f>'Monthly Data'!AD73</f>
        <v>817265.5</v>
      </c>
      <c r="H73" s="8">
        <f>'Monthly Data'!BU73</f>
        <v>31</v>
      </c>
      <c r="I73" s="18">
        <f>'Monthly Data'!BX73</f>
        <v>0.5</v>
      </c>
      <c r="K73" s="18">
        <f>'GS&lt;50 Predicted Monthly'!$V$8</f>
        <v>-2135516.9462582301</v>
      </c>
      <c r="L73" s="18">
        <f>E73*'GS&lt;50 Predicted Monthly'!$V$9</f>
        <v>1441192.5870270212</v>
      </c>
      <c r="M73" s="18">
        <f>F73*'GS&lt;50 Predicted Monthly'!$V$10</f>
        <v>0</v>
      </c>
      <c r="N73" s="18">
        <f>G73*'GS&lt;50 Predicted Monthly'!$V$11</f>
        <v>1969213.3839540493</v>
      </c>
      <c r="O73" s="18">
        <f>H73*'GS&lt;50 Predicted Monthly'!$V$12</f>
        <v>1722828.0010148797</v>
      </c>
      <c r="P73" s="18">
        <f>I73*'GS&lt;50 Predicted Monthly'!$V$13</f>
        <v>-155664.75371970949</v>
      </c>
      <c r="Q73" s="18">
        <f>SUM(K73:P73)</f>
        <v>2842052.2720180107</v>
      </c>
      <c r="R73" s="18">
        <f>Q73-D73</f>
        <v>-107560.03422510345</v>
      </c>
      <c r="S73" s="35">
        <f>ABS(R73/D73)</f>
        <v>3.6465820947872762E-2</v>
      </c>
    </row>
    <row r="74" spans="1:22">
      <c r="A74" s="541">
        <f>'Monthly Data'!A74</f>
        <v>44562</v>
      </c>
      <c r="B74">
        <f t="shared" si="4"/>
        <v>2022</v>
      </c>
      <c r="C74">
        <f t="shared" si="5"/>
        <v>1</v>
      </c>
      <c r="D74" s="31">
        <f>'Monthly Data'!J74</f>
        <v>3512426.4695312781</v>
      </c>
      <c r="E74" s="33">
        <f>'Monthly Data'!AQ74</f>
        <v>1118.6333333333332</v>
      </c>
      <c r="F74" s="33">
        <f>'Monthly Data'!AZ74</f>
        <v>0</v>
      </c>
      <c r="G74" s="33">
        <f>'Monthly Data'!AD74</f>
        <v>850461.9</v>
      </c>
      <c r="H74" s="8">
        <f>'Monthly Data'!BU74</f>
        <v>31</v>
      </c>
      <c r="I74" s="18">
        <f>'Monthly Data'!BX74</f>
        <v>0.25</v>
      </c>
      <c r="K74" s="18">
        <f>'GS&lt;50 Predicted Monthly'!$V$8</f>
        <v>-2135516.9462582301</v>
      </c>
      <c r="L74" s="18">
        <f>E74*'GS&lt;50 Predicted Monthly'!$V$9</f>
        <v>2109595.5020013601</v>
      </c>
      <c r="M74" s="18">
        <f>F74*'GS&lt;50 Predicted Monthly'!$V$10</f>
        <v>0</v>
      </c>
      <c r="N74" s="18">
        <f>G74*'GS&lt;50 Predicted Monthly'!$V$11</f>
        <v>2049200.6037487087</v>
      </c>
      <c r="O74" s="18">
        <f>H74*'GS&lt;50 Predicted Monthly'!$V$12</f>
        <v>1722828.0010148797</v>
      </c>
      <c r="P74" s="18">
        <f>I74*'GS&lt;50 Predicted Monthly'!$V$13</f>
        <v>-77832.376859854747</v>
      </c>
      <c r="Q74" s="18">
        <f>SUM(K74:P74)</f>
        <v>3668274.7836468634</v>
      </c>
      <c r="R74" s="18">
        <f>Q74-D74</f>
        <v>155848.31411558529</v>
      </c>
      <c r="S74" s="35">
        <f>ABS(R74/D74)</f>
        <v>4.4370555645078809E-2</v>
      </c>
    </row>
    <row r="75" spans="1:22">
      <c r="A75" s="541">
        <f>'Monthly Data'!A75</f>
        <v>44593</v>
      </c>
      <c r="B75">
        <f t="shared" si="4"/>
        <v>2022</v>
      </c>
      <c r="C75">
        <f t="shared" si="5"/>
        <v>2</v>
      </c>
      <c r="D75" s="31">
        <f>'Monthly Data'!J75</f>
        <v>3065402.7801112318</v>
      </c>
      <c r="E75" s="33">
        <f>'Monthly Data'!AQ75</f>
        <v>841.76666666666654</v>
      </c>
      <c r="F75" s="33">
        <f>'Monthly Data'!AZ75</f>
        <v>0</v>
      </c>
      <c r="G75" s="33">
        <f>'Monthly Data'!AD75</f>
        <v>850461.9</v>
      </c>
      <c r="H75" s="8">
        <f>'Monthly Data'!BU75</f>
        <v>29</v>
      </c>
      <c r="I75" s="18">
        <f>'Monthly Data'!BX75</f>
        <v>0.25</v>
      </c>
      <c r="K75" s="18">
        <f>'GS&lt;50 Predicted Monthly'!$V$8</f>
        <v>-2135516.9462582301</v>
      </c>
      <c r="L75" s="18">
        <f>E75*'GS&lt;50 Predicted Monthly'!$V$9</f>
        <v>1587461.3430686356</v>
      </c>
      <c r="M75" s="18">
        <f>F75*'GS&lt;50 Predicted Monthly'!$V$10</f>
        <v>0</v>
      </c>
      <c r="N75" s="18">
        <f>G75*'GS&lt;50 Predicted Monthly'!$V$11</f>
        <v>2049200.6037487087</v>
      </c>
      <c r="O75" s="18">
        <f>H75*'GS&lt;50 Predicted Monthly'!$V$12</f>
        <v>1611677.8074010164</v>
      </c>
      <c r="P75" s="18">
        <f>I75*'GS&lt;50 Predicted Monthly'!$V$13</f>
        <v>-77832.376859854747</v>
      </c>
      <c r="Q75" s="18">
        <f>SUM(K75:P75)</f>
        <v>3034990.4311002754</v>
      </c>
      <c r="R75" s="18">
        <f>Q75-D75</f>
        <v>-30412.349010956474</v>
      </c>
      <c r="S75" s="35">
        <f>ABS(R75/D75)</f>
        <v>9.9211592056600555E-3</v>
      </c>
    </row>
    <row r="76" spans="1:22">
      <c r="A76" s="541">
        <f>'Monthly Data'!A76</f>
        <v>44621</v>
      </c>
      <c r="B76">
        <f t="shared" si="4"/>
        <v>2022</v>
      </c>
      <c r="C76">
        <f t="shared" si="5"/>
        <v>3</v>
      </c>
      <c r="D76" s="31">
        <f>'Monthly Data'!J76</f>
        <v>2990160.0906911851</v>
      </c>
      <c r="E76" s="33">
        <f>'Monthly Data'!AQ76</f>
        <v>704.6583333333333</v>
      </c>
      <c r="F76" s="33">
        <f>'Monthly Data'!AZ76</f>
        <v>0</v>
      </c>
      <c r="G76" s="33">
        <f>'Monthly Data'!AD76</f>
        <v>850461.9</v>
      </c>
      <c r="H76" s="8">
        <f>'Monthly Data'!BU76</f>
        <v>31</v>
      </c>
      <c r="I76" s="18">
        <f>'Monthly Data'!BX76</f>
        <v>0.25</v>
      </c>
      <c r="K76" s="18">
        <f>'GS&lt;50 Predicted Monthly'!$V$8</f>
        <v>-2135516.9462582301</v>
      </c>
      <c r="L76" s="18">
        <f>E76*'GS&lt;50 Predicted Monthly'!$V$9</f>
        <v>1328893.0395254104</v>
      </c>
      <c r="M76" s="18">
        <f>F76*'GS&lt;50 Predicted Monthly'!$V$10</f>
        <v>0</v>
      </c>
      <c r="N76" s="18">
        <f>G76*'GS&lt;50 Predicted Monthly'!$V$11</f>
        <v>2049200.6037487087</v>
      </c>
      <c r="O76" s="18">
        <f>H76*'GS&lt;50 Predicted Monthly'!$V$12</f>
        <v>1722828.0010148797</v>
      </c>
      <c r="P76" s="18">
        <f>I76*'GS&lt;50 Predicted Monthly'!$V$13</f>
        <v>-77832.376859854747</v>
      </c>
      <c r="Q76" s="18">
        <f>SUM(K76:P76)</f>
        <v>2887572.321170914</v>
      </c>
      <c r="R76" s="18">
        <f>Q76-D76</f>
        <v>-102587.7695202711</v>
      </c>
      <c r="S76" s="35">
        <f>ABS(R76/D76)</f>
        <v>3.4308453864942599E-2</v>
      </c>
      <c r="U76" s="18"/>
      <c r="V76" s="35"/>
    </row>
    <row r="77" spans="1:22">
      <c r="A77" s="541">
        <f>'Monthly Data'!A77</f>
        <v>44652</v>
      </c>
      <c r="B77">
        <f t="shared" si="4"/>
        <v>2022</v>
      </c>
      <c r="C77">
        <f t="shared" si="5"/>
        <v>4</v>
      </c>
      <c r="D77" s="31">
        <f>'Monthly Data'!J77</f>
        <v>2398890.4012711388</v>
      </c>
      <c r="E77" s="33">
        <f>'Monthly Data'!AQ77</f>
        <v>461.22083333333347</v>
      </c>
      <c r="F77" s="33">
        <f>'Monthly Data'!AZ77</f>
        <v>0</v>
      </c>
      <c r="G77" s="33">
        <f>'Monthly Data'!AD77</f>
        <v>850461.9</v>
      </c>
      <c r="H77" s="8">
        <f>'Monthly Data'!BU77</f>
        <v>30</v>
      </c>
      <c r="I77" s="18">
        <f>'Monthly Data'!BX77</f>
        <v>0.25</v>
      </c>
      <c r="K77" s="18">
        <f>'GS&lt;50 Predicted Monthly'!$V$8</f>
        <v>-2135516.9462582301</v>
      </c>
      <c r="L77" s="18">
        <f>E77*'GS&lt;50 Predicted Monthly'!$V$9</f>
        <v>869801.89704340347</v>
      </c>
      <c r="M77" s="18">
        <f>F77*'GS&lt;50 Predicted Monthly'!$V$10</f>
        <v>0</v>
      </c>
      <c r="N77" s="18">
        <f>G77*'GS&lt;50 Predicted Monthly'!$V$11</f>
        <v>2049200.6037487087</v>
      </c>
      <c r="O77" s="18">
        <f>H77*'GS&lt;50 Predicted Monthly'!$V$12</f>
        <v>1667252.9042079481</v>
      </c>
      <c r="P77" s="18">
        <f>I77*'GS&lt;50 Predicted Monthly'!$V$13</f>
        <v>-77832.376859854747</v>
      </c>
      <c r="Q77" s="18">
        <f>SUM(K77:P77)</f>
        <v>2372906.0818819753</v>
      </c>
      <c r="R77" s="18">
        <f>Q77-D77</f>
        <v>-25984.319389163516</v>
      </c>
      <c r="S77" s="35">
        <f>ABS(R77/D77)</f>
        <v>1.0831807645482588E-2</v>
      </c>
      <c r="U77" s="18"/>
      <c r="V77" s="35"/>
    </row>
    <row r="78" spans="1:22">
      <c r="A78" s="541">
        <f>'Monthly Data'!A78</f>
        <v>44682</v>
      </c>
      <c r="B78">
        <f t="shared" si="4"/>
        <v>2022</v>
      </c>
      <c r="C78">
        <f t="shared" si="5"/>
        <v>5</v>
      </c>
      <c r="D78" s="31">
        <f>'Monthly Data'!J78</f>
        <v>2192493.7118510921</v>
      </c>
      <c r="E78" s="33">
        <f>'Monthly Data'!AQ78</f>
        <v>173.55833333333337</v>
      </c>
      <c r="F78" s="33">
        <f>'Monthly Data'!AZ78</f>
        <v>105.25833333333331</v>
      </c>
      <c r="G78" s="33">
        <f>'Monthly Data'!AD78</f>
        <v>850461.9</v>
      </c>
      <c r="H78" s="8">
        <f>'Monthly Data'!BU78</f>
        <v>31</v>
      </c>
      <c r="I78" s="18">
        <f>'Monthly Data'!BX78</f>
        <v>0.25</v>
      </c>
      <c r="K78" s="18">
        <f>'GS&lt;50 Predicted Monthly'!$V$8</f>
        <v>-2135516.9462582301</v>
      </c>
      <c r="L78" s="18">
        <f>E78*'GS&lt;50 Predicted Monthly'!$V$9</f>
        <v>327308.21478725778</v>
      </c>
      <c r="M78" s="18">
        <f>F78*'GS&lt;50 Predicted Monthly'!$V$10</f>
        <v>390810.9774435694</v>
      </c>
      <c r="N78" s="18">
        <f>G78*'GS&lt;50 Predicted Monthly'!$V$11</f>
        <v>2049200.6037487087</v>
      </c>
      <c r="O78" s="18">
        <f>H78*'GS&lt;50 Predicted Monthly'!$V$12</f>
        <v>1722828.0010148797</v>
      </c>
      <c r="P78" s="18">
        <f>I78*'GS&lt;50 Predicted Monthly'!$V$13</f>
        <v>-77832.376859854747</v>
      </c>
      <c r="Q78" s="18">
        <f>SUM(K78:P78)</f>
        <v>2276798.4738763305</v>
      </c>
      <c r="R78" s="18">
        <f>Q78-D78</f>
        <v>84304.76202523848</v>
      </c>
      <c r="S78" s="35">
        <f>ABS(R78/D78)</f>
        <v>3.8451541078337294E-2</v>
      </c>
      <c r="U78" s="18"/>
      <c r="V78" s="35"/>
    </row>
    <row r="79" spans="1:22">
      <c r="A79" s="541">
        <f>'Monthly Data'!A79</f>
        <v>44713</v>
      </c>
      <c r="B79">
        <f t="shared" si="4"/>
        <v>2022</v>
      </c>
      <c r="C79">
        <f t="shared" si="5"/>
        <v>6</v>
      </c>
      <c r="D79" s="31">
        <f>'Monthly Data'!J79</f>
        <v>2254321.0224310458</v>
      </c>
      <c r="E79" s="33">
        <f>'Monthly Data'!AQ79</f>
        <v>101.1375</v>
      </c>
      <c r="F79" s="33">
        <f>'Monthly Data'!AZ79</f>
        <v>152.1875</v>
      </c>
      <c r="G79" s="33">
        <f>'Monthly Data'!AD79</f>
        <v>850461.9</v>
      </c>
      <c r="H79" s="8">
        <f>'Monthly Data'!BU79</f>
        <v>30</v>
      </c>
      <c r="I79" s="18">
        <f>'Monthly Data'!BX79</f>
        <v>0.25</v>
      </c>
      <c r="K79" s="18">
        <f>'GS&lt;50 Predicted Monthly'!$V$8</f>
        <v>-2135516.9462582301</v>
      </c>
      <c r="L79" s="18">
        <f>E79*'GS&lt;50 Predicted Monthly'!$V$9</f>
        <v>190732.03768020135</v>
      </c>
      <c r="M79" s="18">
        <f>F79*'GS&lt;50 Predicted Monthly'!$V$10</f>
        <v>565053.08174833248</v>
      </c>
      <c r="N79" s="18">
        <f>G79*'GS&lt;50 Predicted Monthly'!$V$11</f>
        <v>2049200.6037487087</v>
      </c>
      <c r="O79" s="18">
        <f>H79*'GS&lt;50 Predicted Monthly'!$V$12</f>
        <v>1667252.9042079481</v>
      </c>
      <c r="P79" s="18">
        <f>I79*'GS&lt;50 Predicted Monthly'!$V$13</f>
        <v>-77832.376859854747</v>
      </c>
      <c r="Q79" s="18">
        <f>SUM(K79:P79)</f>
        <v>2258889.3042671056</v>
      </c>
      <c r="R79" s="18">
        <f>Q79-D79</f>
        <v>4568.2818360598758</v>
      </c>
      <c r="S79" s="35">
        <f>ABS(R79/D79)</f>
        <v>2.0264557667716149E-3</v>
      </c>
      <c r="U79" s="18"/>
      <c r="V79" s="35"/>
    </row>
    <row r="80" spans="1:22">
      <c r="A80" s="541">
        <f>'Monthly Data'!A80</f>
        <v>44743</v>
      </c>
      <c r="B80">
        <f t="shared" si="4"/>
        <v>2022</v>
      </c>
      <c r="C80">
        <f t="shared" si="5"/>
        <v>7</v>
      </c>
      <c r="D80" s="31">
        <f>'Monthly Data'!J80</f>
        <v>2434782.333010999</v>
      </c>
      <c r="E80" s="33">
        <f>'Monthly Data'!AQ80</f>
        <v>24.766666666666666</v>
      </c>
      <c r="F80" s="33">
        <f>'Monthly Data'!AZ80</f>
        <v>248.86874999999998</v>
      </c>
      <c r="G80" s="33">
        <f>'Monthly Data'!AD80</f>
        <v>850461.9</v>
      </c>
      <c r="H80" s="8">
        <f>'Monthly Data'!BU80</f>
        <v>31</v>
      </c>
      <c r="I80" s="18">
        <f>'Monthly Data'!BX80</f>
        <v>0.25</v>
      </c>
      <c r="K80" s="18">
        <f>'GS&lt;50 Predicted Monthly'!$V$8</f>
        <v>-2135516.9462582301</v>
      </c>
      <c r="L80" s="18">
        <f>E80*'GS&lt;50 Predicted Monthly'!$V$9</f>
        <v>46706.679519264893</v>
      </c>
      <c r="M80" s="18">
        <f>F80*'GS&lt;50 Predicted Monthly'!$V$10</f>
        <v>924018.42554976791</v>
      </c>
      <c r="N80" s="18">
        <f>G80*'GS&lt;50 Predicted Monthly'!$V$11</f>
        <v>2049200.6037487087</v>
      </c>
      <c r="O80" s="18">
        <f>H80*'GS&lt;50 Predicted Monthly'!$V$12</f>
        <v>1722828.0010148797</v>
      </c>
      <c r="P80" s="18">
        <f>I80*'GS&lt;50 Predicted Monthly'!$V$13</f>
        <v>-77832.376859854747</v>
      </c>
      <c r="Q80" s="18">
        <f>SUM(K80:P80)</f>
        <v>2529404.3867145362</v>
      </c>
      <c r="R80" s="18">
        <f>Q80-D80</f>
        <v>94622.053703537211</v>
      </c>
      <c r="S80" s="35">
        <f>ABS(R80/D80)</f>
        <v>3.8862633599990787E-2</v>
      </c>
      <c r="U80" s="18"/>
      <c r="V80" s="35"/>
    </row>
    <row r="81" spans="1:26">
      <c r="A81" s="541">
        <f>'Monthly Data'!A81</f>
        <v>44774</v>
      </c>
      <c r="B81">
        <f t="shared" si="4"/>
        <v>2022</v>
      </c>
      <c r="C81">
        <f t="shared" si="5"/>
        <v>8</v>
      </c>
      <c r="D81" s="31">
        <f>'Monthly Data'!J81</f>
        <v>2456843.6435909523</v>
      </c>
      <c r="E81" s="33">
        <f>'Monthly Data'!AQ81</f>
        <v>43.374999999999986</v>
      </c>
      <c r="F81" s="33">
        <f>'Monthly Data'!AZ81</f>
        <v>223.74166666666665</v>
      </c>
      <c r="G81" s="33">
        <f>'Monthly Data'!AD81</f>
        <v>850461.9</v>
      </c>
      <c r="H81" s="8">
        <f>'Monthly Data'!BU81</f>
        <v>31</v>
      </c>
      <c r="I81" s="18">
        <f>'Monthly Data'!BX81</f>
        <v>0.25</v>
      </c>
      <c r="K81" s="18">
        <f>'GS&lt;50 Predicted Monthly'!$V$8</f>
        <v>-2135516.9462582301</v>
      </c>
      <c r="L81" s="18">
        <f>E81*'GS&lt;50 Predicted Monthly'!$V$9</f>
        <v>81799.551446088051</v>
      </c>
      <c r="M81" s="18">
        <f>F81*'GS&lt;50 Predicted Monthly'!$V$10</f>
        <v>830724.71960908838</v>
      </c>
      <c r="N81" s="18">
        <f>G81*'GS&lt;50 Predicted Monthly'!$V$11</f>
        <v>2049200.6037487087</v>
      </c>
      <c r="O81" s="18">
        <f>H81*'GS&lt;50 Predicted Monthly'!$V$12</f>
        <v>1722828.0010148797</v>
      </c>
      <c r="P81" s="18">
        <f>I81*'GS&lt;50 Predicted Monthly'!$V$13</f>
        <v>-77832.376859854747</v>
      </c>
      <c r="Q81" s="18">
        <f>SUM(K81:P81)</f>
        <v>2471203.5527006797</v>
      </c>
      <c r="R81" s="18">
        <f>Q81-D81</f>
        <v>14359.90910972748</v>
      </c>
      <c r="S81" s="35">
        <f>ABS(R81/D81)</f>
        <v>5.8448608022685818E-3</v>
      </c>
      <c r="U81" s="18"/>
      <c r="V81" s="35"/>
    </row>
    <row r="82" spans="1:26">
      <c r="A82" s="541">
        <f>'Monthly Data'!A82</f>
        <v>44805</v>
      </c>
      <c r="B82">
        <f t="shared" si="4"/>
        <v>2022</v>
      </c>
      <c r="C82">
        <f t="shared" si="5"/>
        <v>9</v>
      </c>
      <c r="D82" s="31">
        <f>'Monthly Data'!J82</f>
        <v>2148681.954170906</v>
      </c>
      <c r="E82" s="33">
        <f>'Monthly Data'!AQ82</f>
        <v>186.05</v>
      </c>
      <c r="F82" s="33">
        <f>'Monthly Data'!AZ82</f>
        <v>74.350000000000023</v>
      </c>
      <c r="G82" s="33">
        <f>'Monthly Data'!AD82</f>
        <v>850461.9</v>
      </c>
      <c r="H82" s="8">
        <f>'Monthly Data'!BU82</f>
        <v>30</v>
      </c>
      <c r="I82" s="18">
        <f>'Monthly Data'!BX82</f>
        <v>0.25</v>
      </c>
      <c r="K82" s="18">
        <f>'GS&lt;50 Predicted Monthly'!$V$8</f>
        <v>-2135516.9462582301</v>
      </c>
      <c r="L82" s="18">
        <f>E82*'GS&lt;50 Predicted Monthly'!$V$9</f>
        <v>350865.85698085738</v>
      </c>
      <c r="M82" s="18">
        <f>F82*'GS&lt;50 Predicted Monthly'!$V$10</f>
        <v>276052.21603606426</v>
      </c>
      <c r="N82" s="18">
        <f>G82*'GS&lt;50 Predicted Monthly'!$V$11</f>
        <v>2049200.6037487087</v>
      </c>
      <c r="O82" s="18">
        <f>H82*'GS&lt;50 Predicted Monthly'!$V$12</f>
        <v>1667252.9042079481</v>
      </c>
      <c r="P82" s="18">
        <f>I82*'GS&lt;50 Predicted Monthly'!$V$13</f>
        <v>-77832.376859854747</v>
      </c>
      <c r="Q82" s="18">
        <f>SUM(K82:P82)</f>
        <v>2130022.2578554936</v>
      </c>
      <c r="R82" s="18">
        <f>Q82-D82</f>
        <v>-18659.69631541241</v>
      </c>
      <c r="S82" s="35">
        <f>ABS(R82/D82)</f>
        <v>8.6842523525602327E-3</v>
      </c>
      <c r="U82" s="18"/>
      <c r="V82" s="35"/>
    </row>
    <row r="83" spans="1:26">
      <c r="A83" s="541">
        <f>'Monthly Data'!A83</f>
        <v>44835</v>
      </c>
      <c r="B83">
        <f t="shared" si="4"/>
        <v>2022</v>
      </c>
      <c r="C83">
        <f t="shared" si="5"/>
        <v>10</v>
      </c>
      <c r="D83" s="31">
        <f>'Monthly Data'!J83</f>
        <v>2255916.2647508592</v>
      </c>
      <c r="E83" s="33">
        <f>'Monthly Data'!AQ83</f>
        <v>386.60833333333323</v>
      </c>
      <c r="F83" s="33">
        <f>'Monthly Data'!AZ83</f>
        <v>7.2291666666666661</v>
      </c>
      <c r="G83" s="33">
        <f>'Monthly Data'!AD83</f>
        <v>850461.9</v>
      </c>
      <c r="H83" s="8">
        <f>'Monthly Data'!BU83</f>
        <v>31</v>
      </c>
      <c r="I83" s="18">
        <f>'Monthly Data'!BX83</f>
        <v>0.25</v>
      </c>
      <c r="K83" s="18">
        <f>'GS&lt;50 Predicted Monthly'!$V$8</f>
        <v>-2135516.9462582301</v>
      </c>
      <c r="L83" s="18">
        <f>E83*'GS&lt;50 Predicted Monthly'!$V$9</f>
        <v>729092.52454147232</v>
      </c>
      <c r="M83" s="18">
        <f>F83*'GS&lt;50 Predicted Monthly'!$V$10</f>
        <v>26840.988277436187</v>
      </c>
      <c r="N83" s="18">
        <f>G83*'GS&lt;50 Predicted Monthly'!$V$11</f>
        <v>2049200.6037487087</v>
      </c>
      <c r="O83" s="18">
        <f>H83*'GS&lt;50 Predicted Monthly'!$V$12</f>
        <v>1722828.0010148797</v>
      </c>
      <c r="P83" s="18">
        <f>I83*'GS&lt;50 Predicted Monthly'!$V$13</f>
        <v>-77832.376859854747</v>
      </c>
      <c r="Q83" s="18">
        <f>SUM(K83:P83)</f>
        <v>2314612.7944644121</v>
      </c>
      <c r="R83" s="18">
        <f>Q83-D83</f>
        <v>58696.529713552911</v>
      </c>
      <c r="S83" s="35">
        <f>ABS(R83/D83)</f>
        <v>2.6018931035117692E-2</v>
      </c>
      <c r="U83" s="18"/>
      <c r="V83" s="35"/>
    </row>
    <row r="84" spans="1:26">
      <c r="A84" s="541">
        <f>'Monthly Data'!A84</f>
        <v>44866</v>
      </c>
      <c r="B84">
        <f t="shared" si="4"/>
        <v>2022</v>
      </c>
      <c r="C84">
        <f t="shared" si="5"/>
        <v>11</v>
      </c>
      <c r="D84" s="31">
        <f>'Monthly Data'!J84</f>
        <v>2549219.5753308129</v>
      </c>
      <c r="E84" s="33">
        <f>'Monthly Data'!AQ84</f>
        <v>510.11250000000007</v>
      </c>
      <c r="F84" s="33">
        <f>'Monthly Data'!AZ84</f>
        <v>15.083333333333337</v>
      </c>
      <c r="G84" s="33">
        <f>'Monthly Data'!AD84</f>
        <v>850461.9</v>
      </c>
      <c r="H84" s="8">
        <f>'Monthly Data'!BU84</f>
        <v>30</v>
      </c>
      <c r="I84" s="18">
        <f>'Monthly Data'!BX84</f>
        <v>0.25</v>
      </c>
      <c r="K84" s="18">
        <f>'GS&lt;50 Predicted Monthly'!$V$8</f>
        <v>-2135516.9462582301</v>
      </c>
      <c r="L84" s="18">
        <f>E84*'GS&lt;50 Predicted Monthly'!$V$9</f>
        <v>962005.15704997373</v>
      </c>
      <c r="M84" s="18">
        <f>F84*'GS&lt;50 Predicted Monthly'!$V$10</f>
        <v>56002.52309182653</v>
      </c>
      <c r="N84" s="18">
        <f>G84*'GS&lt;50 Predicted Monthly'!$V$11</f>
        <v>2049200.6037487087</v>
      </c>
      <c r="O84" s="18">
        <f>H84*'GS&lt;50 Predicted Monthly'!$V$12</f>
        <v>1667252.9042079481</v>
      </c>
      <c r="P84" s="18">
        <f>I84*'GS&lt;50 Predicted Monthly'!$V$13</f>
        <v>-77832.376859854747</v>
      </c>
      <c r="Q84" s="18">
        <f>SUM(K84:P84)</f>
        <v>2521111.8649803721</v>
      </c>
      <c r="R84" s="18">
        <f>Q84-D84</f>
        <v>-28107.710350440815</v>
      </c>
      <c r="S84" s="35">
        <f>ABS(R84/D84)</f>
        <v>1.1026006006874974E-2</v>
      </c>
      <c r="U84" s="18"/>
      <c r="V84" s="35"/>
    </row>
    <row r="85" spans="1:26">
      <c r="A85" s="541">
        <f>'Monthly Data'!A85</f>
        <v>44896</v>
      </c>
      <c r="B85">
        <f t="shared" si="4"/>
        <v>2022</v>
      </c>
      <c r="C85">
        <f t="shared" si="5"/>
        <v>12</v>
      </c>
      <c r="D85" s="31">
        <f>'Monthly Data'!J85</f>
        <v>2940389.8859107662</v>
      </c>
      <c r="E85" s="33">
        <f>'Monthly Data'!AQ85</f>
        <v>723.45416666666654</v>
      </c>
      <c r="F85" s="33">
        <f>'Monthly Data'!AZ85</f>
        <v>0</v>
      </c>
      <c r="G85" s="33">
        <f>'Monthly Data'!AD85</f>
        <v>850461.9</v>
      </c>
      <c r="H85" s="8">
        <f>'Monthly Data'!BU85</f>
        <v>31</v>
      </c>
      <c r="I85" s="18">
        <f>'Monthly Data'!BX85</f>
        <v>0.25</v>
      </c>
      <c r="K85" s="18">
        <f>'GS&lt;50 Predicted Monthly'!$V$8</f>
        <v>-2135516.9462582301</v>
      </c>
      <c r="L85" s="18">
        <f>E85*'GS&lt;50 Predicted Monthly'!$V$9</f>
        <v>1364339.5118187151</v>
      </c>
      <c r="M85" s="18">
        <f>F85*'GS&lt;50 Predicted Monthly'!$V$10</f>
        <v>0</v>
      </c>
      <c r="N85" s="18">
        <f>G85*'GS&lt;50 Predicted Monthly'!$V$11</f>
        <v>2049200.6037487087</v>
      </c>
      <c r="O85" s="18">
        <f>H85*'GS&lt;50 Predicted Monthly'!$V$12</f>
        <v>1722828.0010148797</v>
      </c>
      <c r="P85" s="18">
        <f>I85*'GS&lt;50 Predicted Monthly'!$V$13</f>
        <v>-77832.376859854747</v>
      </c>
      <c r="Q85" s="18">
        <f>SUM(K85:P85)</f>
        <v>2923018.7934642183</v>
      </c>
      <c r="R85" s="18">
        <f>Q85-D85</f>
        <v>-17371.092446547933</v>
      </c>
      <c r="S85" s="35">
        <f>ABS(R85/D85)</f>
        <v>5.9077513937126581E-3</v>
      </c>
      <c r="U85" s="18"/>
      <c r="V85" s="35"/>
    </row>
    <row r="86" spans="1:26">
      <c r="A86" s="541">
        <f>'Monthly Data'!A86</f>
        <v>44927</v>
      </c>
      <c r="B86">
        <f t="shared" si="4"/>
        <v>2023</v>
      </c>
      <c r="C86">
        <f t="shared" si="5"/>
        <v>1</v>
      </c>
      <c r="D86" s="31">
        <f>'Monthly Data'!J86</f>
        <v>3128498.5438320525</v>
      </c>
      <c r="E86" s="33">
        <f>'Monthly Data'!AQ86</f>
        <v>821.78333333333342</v>
      </c>
      <c r="F86" s="33">
        <f>'Monthly Data'!AZ86</f>
        <v>0</v>
      </c>
      <c r="G86" s="33">
        <f>'Monthly Data'!AD86</f>
        <v>865859.6</v>
      </c>
      <c r="H86" s="8">
        <f>'Monthly Data'!BU86</f>
        <v>31</v>
      </c>
      <c r="I86" s="18">
        <f>'Monthly Data'!BX86</f>
        <v>0</v>
      </c>
      <c r="K86" s="18">
        <f>'GS&lt;50 Predicted Monthly'!$V$8</f>
        <v>-2135516.9462582301</v>
      </c>
      <c r="L86" s="18">
        <f>E86*'GS&lt;50 Predicted Monthly'!$V$9</f>
        <v>1549775.401787614</v>
      </c>
      <c r="M86" s="18">
        <f>F86*'GS&lt;50 Predicted Monthly'!$V$10</f>
        <v>0</v>
      </c>
      <c r="N86" s="18">
        <f>G86*'GS&lt;50 Predicted Monthly'!$V$11</f>
        <v>2086301.5910314329</v>
      </c>
      <c r="O86" s="18">
        <f>H86*'GS&lt;50 Predicted Monthly'!$V$12</f>
        <v>1722828.0010148797</v>
      </c>
      <c r="P86" s="18">
        <f>I86*'GS&lt;50 Predicted Monthly'!$V$13</f>
        <v>0</v>
      </c>
      <c r="Q86" s="18">
        <f>SUM(K86:P86)</f>
        <v>3223388.0475756964</v>
      </c>
      <c r="R86" s="18">
        <f>Q86-D86</f>
        <v>94889.503743643872</v>
      </c>
      <c r="S86" s="35">
        <f>ABS(R86/D86)</f>
        <v>3.0330684964109043E-2</v>
      </c>
      <c r="U86" s="18"/>
      <c r="V86" s="35"/>
    </row>
    <row r="87" spans="1:26">
      <c r="A87" s="541">
        <f>'Monthly Data'!A87</f>
        <v>44958</v>
      </c>
      <c r="B87">
        <f t="shared" si="4"/>
        <v>2023</v>
      </c>
      <c r="C87">
        <f t="shared" si="5"/>
        <v>2</v>
      </c>
      <c r="D87" s="31">
        <f>'Monthly Data'!J87</f>
        <v>2958044.9926468567</v>
      </c>
      <c r="E87" s="33">
        <f>'Monthly Data'!AQ87</f>
        <v>793.05833333333328</v>
      </c>
      <c r="F87" s="33">
        <f>'Monthly Data'!AZ87</f>
        <v>0</v>
      </c>
      <c r="G87" s="33">
        <f>'Monthly Data'!AD87</f>
        <v>865859.6</v>
      </c>
      <c r="H87" s="8">
        <f>'Monthly Data'!BU87</f>
        <v>28</v>
      </c>
      <c r="I87" s="18">
        <f>'Monthly Data'!BX87</f>
        <v>0</v>
      </c>
      <c r="K87" s="18">
        <f>'GS&lt;50 Predicted Monthly'!$V$8</f>
        <v>-2135516.9462582301</v>
      </c>
      <c r="L87" s="18">
        <f>E87*'GS&lt;50 Predicted Monthly'!$V$9</f>
        <v>1495603.8256426251</v>
      </c>
      <c r="M87" s="18">
        <f>F87*'GS&lt;50 Predicted Monthly'!$V$10</f>
        <v>0</v>
      </c>
      <c r="N87" s="18">
        <f>G87*'GS&lt;50 Predicted Monthly'!$V$11</f>
        <v>2086301.5910314329</v>
      </c>
      <c r="O87" s="18">
        <f>H87*'GS&lt;50 Predicted Monthly'!$V$12</f>
        <v>1556102.7105940848</v>
      </c>
      <c r="P87" s="18">
        <f>I87*'GS&lt;50 Predicted Monthly'!$V$13</f>
        <v>0</v>
      </c>
      <c r="Q87" s="18">
        <f>SUM(K87:P87)</f>
        <v>3002491.1810099129</v>
      </c>
      <c r="R87" s="18">
        <f>Q87-D87</f>
        <v>44446.188363056164</v>
      </c>
      <c r="S87" s="35">
        <f>ABS(R87/D87)</f>
        <v>1.5025528169294594E-2</v>
      </c>
      <c r="U87" s="18"/>
      <c r="V87" s="35"/>
    </row>
    <row r="88" spans="1:26">
      <c r="A88" s="541">
        <f>'Monthly Data'!A88</f>
        <v>44986</v>
      </c>
      <c r="B88">
        <f t="shared" si="4"/>
        <v>2023</v>
      </c>
      <c r="C88">
        <f t="shared" si="5"/>
        <v>3</v>
      </c>
      <c r="D88" s="31">
        <f>'Monthly Data'!J88</f>
        <v>2961710.4414616609</v>
      </c>
      <c r="E88" s="33">
        <f>'Monthly Data'!AQ88</f>
        <v>690.10000000000025</v>
      </c>
      <c r="F88" s="33">
        <f>'Monthly Data'!AZ88</f>
        <v>0</v>
      </c>
      <c r="G88" s="33">
        <f>'Monthly Data'!AD88</f>
        <v>865859.6</v>
      </c>
      <c r="H88" s="8">
        <f>'Monthly Data'!BU88</f>
        <v>31</v>
      </c>
      <c r="I88" s="18">
        <f>'Monthly Data'!BX88</f>
        <v>0</v>
      </c>
      <c r="K88" s="18">
        <f>'GS&lt;50 Predicted Monthly'!$V$8</f>
        <v>-2135516.9462582301</v>
      </c>
      <c r="L88" s="18">
        <f>E88*'GS&lt;50 Predicted Monthly'!$V$9</f>
        <v>1301437.9355145914</v>
      </c>
      <c r="M88" s="18">
        <f>F88*'GS&lt;50 Predicted Monthly'!$V$10</f>
        <v>0</v>
      </c>
      <c r="N88" s="18">
        <f>G88*'GS&lt;50 Predicted Monthly'!$V$11</f>
        <v>2086301.5910314329</v>
      </c>
      <c r="O88" s="18">
        <f>H88*'GS&lt;50 Predicted Monthly'!$V$12</f>
        <v>1722828.0010148797</v>
      </c>
      <c r="P88" s="18">
        <f>I88*'GS&lt;50 Predicted Monthly'!$V$13</f>
        <v>0</v>
      </c>
      <c r="Q88" s="18">
        <f>SUM(K88:P88)</f>
        <v>2975050.5813026736</v>
      </c>
      <c r="R88" s="18">
        <f>Q88-D88</f>
        <v>13340.139841012657</v>
      </c>
      <c r="S88" s="35">
        <f>ABS(R88/D88)</f>
        <v>4.5042012393450058E-3</v>
      </c>
      <c r="V88" s="35"/>
    </row>
    <row r="89" spans="1:26">
      <c r="A89" s="541">
        <f>'Monthly Data'!A89</f>
        <v>45017</v>
      </c>
      <c r="B89">
        <f t="shared" si="4"/>
        <v>2023</v>
      </c>
      <c r="C89">
        <f t="shared" si="5"/>
        <v>4</v>
      </c>
      <c r="D89" s="31">
        <f>'Monthly Data'!J89</f>
        <v>2410896.8902764646</v>
      </c>
      <c r="E89" s="33">
        <f>'Monthly Data'!AQ89</f>
        <v>420.70833333333337</v>
      </c>
      <c r="F89" s="33">
        <f>'Monthly Data'!AZ89</f>
        <v>7.1333333333333417</v>
      </c>
      <c r="G89" s="33">
        <f>'Monthly Data'!AD89</f>
        <v>865859.6</v>
      </c>
      <c r="H89" s="8">
        <f>'Monthly Data'!BU89</f>
        <v>30</v>
      </c>
      <c r="I89" s="18">
        <f>'Monthly Data'!BX89</f>
        <v>0</v>
      </c>
      <c r="K89" s="18">
        <f>'GS&lt;50 Predicted Monthly'!$V$8</f>
        <v>-2135516.9462582301</v>
      </c>
      <c r="L89" s="18">
        <f>E89*'GS&lt;50 Predicted Monthly'!$V$9</f>
        <v>793400.64452560176</v>
      </c>
      <c r="M89" s="18">
        <f>F89*'GS&lt;50 Predicted Monthly'!$V$10</f>
        <v>26485.171141769919</v>
      </c>
      <c r="N89" s="18">
        <f>G89*'GS&lt;50 Predicted Monthly'!$V$11</f>
        <v>2086301.5910314329</v>
      </c>
      <c r="O89" s="18">
        <f>H89*'GS&lt;50 Predicted Monthly'!$V$12</f>
        <v>1667252.9042079481</v>
      </c>
      <c r="P89" s="18">
        <f>I89*'GS&lt;50 Predicted Monthly'!$V$13</f>
        <v>0</v>
      </c>
      <c r="Q89" s="18">
        <f>SUM(K89:P89)</f>
        <v>2437923.3646485228</v>
      </c>
      <c r="R89" s="18">
        <f>Q89-D89</f>
        <v>27026.474372058176</v>
      </c>
      <c r="S89" s="35">
        <f>ABS(R89/D89)</f>
        <v>1.1210132826941003E-2</v>
      </c>
      <c r="U89" s="18"/>
      <c r="V89" s="35"/>
    </row>
    <row r="90" spans="1:26">
      <c r="A90" s="541">
        <f>'Monthly Data'!A90</f>
        <v>45047</v>
      </c>
      <c r="B90">
        <f t="shared" si="4"/>
        <v>2023</v>
      </c>
      <c r="C90">
        <f t="shared" si="5"/>
        <v>5</v>
      </c>
      <c r="D90" s="31">
        <f>'Monthly Data'!J90</f>
        <v>2314837.3390912688</v>
      </c>
      <c r="E90" s="33">
        <f>'Monthly Data'!AQ90</f>
        <v>234.95208333333341</v>
      </c>
      <c r="F90" s="33">
        <f>'Monthly Data'!AZ90</f>
        <v>64.672916666666652</v>
      </c>
      <c r="G90" s="33">
        <f>'Monthly Data'!AD90</f>
        <v>865859.6</v>
      </c>
      <c r="H90" s="8">
        <f>'Monthly Data'!BU90</f>
        <v>31</v>
      </c>
      <c r="I90" s="18">
        <f>'Monthly Data'!BX90</f>
        <v>0</v>
      </c>
      <c r="K90" s="18">
        <f>'GS&lt;50 Predicted Monthly'!$V$8</f>
        <v>-2135516.9462582301</v>
      </c>
      <c r="L90" s="18">
        <f>E90*'GS&lt;50 Predicted Monthly'!$V$9</f>
        <v>443088.76145223237</v>
      </c>
      <c r="M90" s="18">
        <f>F90*'GS&lt;50 Predicted Monthly'!$V$10</f>
        <v>240122.4204888909</v>
      </c>
      <c r="N90" s="18">
        <f>G90*'GS&lt;50 Predicted Monthly'!$V$11</f>
        <v>2086301.5910314329</v>
      </c>
      <c r="O90" s="18">
        <f>H90*'GS&lt;50 Predicted Monthly'!$V$12</f>
        <v>1722828.0010148797</v>
      </c>
      <c r="P90" s="18">
        <f>I90*'GS&lt;50 Predicted Monthly'!$V$13</f>
        <v>0</v>
      </c>
      <c r="Q90" s="18">
        <f>SUM(K90:P90)</f>
        <v>2356823.8277292056</v>
      </c>
      <c r="R90" s="18">
        <f>Q90-D90</f>
        <v>41986.488637936767</v>
      </c>
      <c r="S90" s="35">
        <f>ABS(R90/D90)</f>
        <v>1.8137986600138101E-2</v>
      </c>
      <c r="U90" s="18"/>
      <c r="V90" s="35"/>
      <c r="X90" s="18"/>
      <c r="Y90" s="18"/>
      <c r="Z90" s="73"/>
    </row>
    <row r="91" spans="1:26">
      <c r="A91" s="541">
        <f>'Monthly Data'!A91</f>
        <v>45078</v>
      </c>
      <c r="B91">
        <f t="shared" si="4"/>
        <v>2023</v>
      </c>
      <c r="C91">
        <f t="shared" si="5"/>
        <v>6</v>
      </c>
      <c r="D91" s="31">
        <f>'Monthly Data'!J91</f>
        <v>2409548.787906073</v>
      </c>
      <c r="E91" s="33">
        <f>'Monthly Data'!AQ91</f>
        <v>79.324999999999989</v>
      </c>
      <c r="F91" s="33">
        <f>'Monthly Data'!AZ91</f>
        <v>176.22499999999999</v>
      </c>
      <c r="G91" s="33">
        <f>'Monthly Data'!AD91</f>
        <v>865859.6</v>
      </c>
      <c r="H91" s="8">
        <f>'Monthly Data'!BU91</f>
        <v>30</v>
      </c>
      <c r="I91" s="18">
        <f>'Monthly Data'!BX91</f>
        <v>0</v>
      </c>
      <c r="K91" s="18">
        <f>'GS&lt;50 Predicted Monthly'!$V$8</f>
        <v>-2135516.9462582301</v>
      </c>
      <c r="L91" s="18">
        <f>E91*'GS&lt;50 Predicted Monthly'!$V$9</f>
        <v>149596.52837950285</v>
      </c>
      <c r="M91" s="18">
        <f>F91*'GS&lt;50 Predicted Monthly'!$V$10</f>
        <v>654301.30155958864</v>
      </c>
      <c r="N91" s="18">
        <f>G91*'GS&lt;50 Predicted Monthly'!$V$11</f>
        <v>2086301.5910314329</v>
      </c>
      <c r="O91" s="18">
        <f>H91*'GS&lt;50 Predicted Monthly'!$V$12</f>
        <v>1667252.9042079481</v>
      </c>
      <c r="P91" s="18">
        <f>I91*'GS&lt;50 Predicted Monthly'!$V$13</f>
        <v>0</v>
      </c>
      <c r="Q91" s="18">
        <f>SUM(K91:P91)</f>
        <v>2421935.3789202422</v>
      </c>
      <c r="R91" s="18">
        <f>Q91-D91</f>
        <v>12386.591014169157</v>
      </c>
      <c r="S91" s="35">
        <f>ABS(R91/D91)</f>
        <v>5.1406267747470067E-3</v>
      </c>
      <c r="U91" s="18"/>
      <c r="V91" s="35"/>
      <c r="X91" s="18"/>
      <c r="Y91" s="18"/>
      <c r="Z91" s="73"/>
    </row>
    <row r="92" spans="1:26">
      <c r="A92" s="541">
        <f>'Monthly Data'!A92</f>
        <v>45108</v>
      </c>
      <c r="B92">
        <f t="shared" si="4"/>
        <v>2023</v>
      </c>
      <c r="C92">
        <f t="shared" si="5"/>
        <v>7</v>
      </c>
      <c r="D92" s="31">
        <f>'Monthly Data'!J92</f>
        <v>2678974.2367208768</v>
      </c>
      <c r="E92" s="33">
        <f>'Monthly Data'!AQ92</f>
        <v>27.016666666666673</v>
      </c>
      <c r="F92" s="33">
        <f>'Monthly Data'!AZ92</f>
        <v>255.62083333333328</v>
      </c>
      <c r="G92" s="33">
        <f>'Monthly Data'!AD92</f>
        <v>865859.6</v>
      </c>
      <c r="H92" s="8">
        <f>'Monthly Data'!BU92</f>
        <v>31</v>
      </c>
      <c r="I92" s="18">
        <f>'Monthly Data'!BX92</f>
        <v>0</v>
      </c>
      <c r="K92" s="18">
        <f>'GS&lt;50 Predicted Monthly'!$V$8</f>
        <v>-2135516.9462582301</v>
      </c>
      <c r="L92" s="18">
        <f>E92*'GS&lt;50 Predicted Monthly'!$V$9</f>
        <v>50949.883917044688</v>
      </c>
      <c r="M92" s="18">
        <f>F92*'GS&lt;50 Predicted Monthly'!$V$10</f>
        <v>949088.06330399564</v>
      </c>
      <c r="N92" s="18">
        <f>G92*'GS&lt;50 Predicted Monthly'!$V$11</f>
        <v>2086301.5910314329</v>
      </c>
      <c r="O92" s="18">
        <f>H92*'GS&lt;50 Predicted Monthly'!$V$12</f>
        <v>1722828.0010148797</v>
      </c>
      <c r="P92" s="18">
        <f>I92*'GS&lt;50 Predicted Monthly'!$V$13</f>
        <v>0</v>
      </c>
      <c r="Q92" s="18">
        <f>SUM(K92:P92)</f>
        <v>2673650.5930091226</v>
      </c>
      <c r="R92" s="18">
        <f>Q92-D92</f>
        <v>-5323.6437117541209</v>
      </c>
      <c r="S92" s="35">
        <f>ABS(R92/D92)</f>
        <v>1.9871948146356114E-3</v>
      </c>
      <c r="U92" s="18"/>
      <c r="V92" s="35"/>
      <c r="X92" s="18"/>
      <c r="Y92" s="18"/>
      <c r="Z92" s="73"/>
    </row>
    <row r="93" spans="1:26">
      <c r="A93" s="541">
        <f>'Monthly Data'!A93</f>
        <v>45139</v>
      </c>
      <c r="B93">
        <f t="shared" si="4"/>
        <v>2023</v>
      </c>
      <c r="C93">
        <f t="shared" si="5"/>
        <v>8</v>
      </c>
      <c r="D93" s="31">
        <f>'Monthly Data'!J93</f>
        <v>2408674.685535681</v>
      </c>
      <c r="E93" s="33">
        <f>'Monthly Data'!AQ93</f>
        <v>78.083333333333329</v>
      </c>
      <c r="F93" s="33">
        <f>'Monthly Data'!AZ93</f>
        <v>170.83333333333337</v>
      </c>
      <c r="G93" s="33">
        <f>'Monthly Data'!AD93</f>
        <v>865859.6</v>
      </c>
      <c r="H93" s="8">
        <f>'Monthly Data'!BU93</f>
        <v>31</v>
      </c>
      <c r="I93" s="18">
        <f>'Monthly Data'!BX93</f>
        <v>0</v>
      </c>
      <c r="K93" s="18">
        <f>'GS&lt;50 Predicted Monthly'!$V$8</f>
        <v>-2135516.9462582301</v>
      </c>
      <c r="L93" s="18">
        <f>E93*'GS&lt;50 Predicted Monthly'!$V$9</f>
        <v>147254.90817480217</v>
      </c>
      <c r="M93" s="18">
        <f>F93*'GS&lt;50 Predicted Monthly'!$V$10</f>
        <v>634282.72010079771</v>
      </c>
      <c r="N93" s="18">
        <f>G93*'GS&lt;50 Predicted Monthly'!$V$11</f>
        <v>2086301.5910314329</v>
      </c>
      <c r="O93" s="18">
        <f>H93*'GS&lt;50 Predicted Monthly'!$V$12</f>
        <v>1722828.0010148797</v>
      </c>
      <c r="P93" s="18">
        <f>I93*'GS&lt;50 Predicted Monthly'!$V$13</f>
        <v>0</v>
      </c>
      <c r="Q93" s="18">
        <f>SUM(K93:P93)</f>
        <v>2455150.2740636822</v>
      </c>
      <c r="R93" s="18">
        <f>Q93-D93</f>
        <v>46475.588528001215</v>
      </c>
      <c r="S93" s="35">
        <f>ABS(R93/D93)</f>
        <v>1.9295087380247534E-2</v>
      </c>
      <c r="U93" s="18"/>
      <c r="V93" s="35"/>
      <c r="X93" s="18"/>
      <c r="Y93" s="18"/>
      <c r="Z93" s="73"/>
    </row>
    <row r="94" spans="1:26">
      <c r="A94" s="541">
        <f>'Monthly Data'!A94</f>
        <v>45170</v>
      </c>
      <c r="B94">
        <f t="shared" si="4"/>
        <v>2023</v>
      </c>
      <c r="C94">
        <f t="shared" si="5"/>
        <v>9</v>
      </c>
      <c r="D94" s="31">
        <f>'Monthly Data'!J94</f>
        <v>2316057.1343504852</v>
      </c>
      <c r="E94" s="33">
        <f>'Monthly Data'!AQ94</f>
        <v>162.20833333333331</v>
      </c>
      <c r="F94" s="33">
        <f>'Monthly Data'!AZ94</f>
        <v>103.32083333333338</v>
      </c>
      <c r="G94" s="33">
        <f>'Monthly Data'!AD94</f>
        <v>865859.6</v>
      </c>
      <c r="H94" s="8">
        <f>'Monthly Data'!BU94</f>
        <v>30</v>
      </c>
      <c r="I94" s="18">
        <f>'Monthly Data'!BX94</f>
        <v>0</v>
      </c>
      <c r="K94" s="18">
        <f>'GS&lt;50 Predicted Monthly'!$V$8</f>
        <v>-2135516.9462582301</v>
      </c>
      <c r="L94" s="18">
        <f>E94*'GS&lt;50 Predicted Monthly'!$V$9</f>
        <v>305903.60593623522</v>
      </c>
      <c r="M94" s="18">
        <f>F94*'GS&lt;50 Predicted Monthly'!$V$10</f>
        <v>383617.28317901184</v>
      </c>
      <c r="N94" s="18">
        <f>G94*'GS&lt;50 Predicted Monthly'!$V$11</f>
        <v>2086301.5910314329</v>
      </c>
      <c r="O94" s="18">
        <f>H94*'GS&lt;50 Predicted Monthly'!$V$12</f>
        <v>1667252.9042079481</v>
      </c>
      <c r="P94" s="18">
        <f>I94*'GS&lt;50 Predicted Monthly'!$V$13</f>
        <v>0</v>
      </c>
      <c r="Q94" s="18">
        <f>SUM(K94:P94)</f>
        <v>2307558.438096398</v>
      </c>
      <c r="R94" s="18">
        <f>Q94-D94</f>
        <v>-8498.6962540871464</v>
      </c>
      <c r="S94" s="35">
        <f>ABS(R94/D94)</f>
        <v>3.669467444493989E-3</v>
      </c>
      <c r="U94" s="18"/>
      <c r="V94" s="35"/>
      <c r="X94" s="18"/>
      <c r="Y94" s="18"/>
      <c r="Z94" s="73"/>
    </row>
    <row r="95" spans="1:26">
      <c r="A95" s="541">
        <f>'Monthly Data'!A95</f>
        <v>45200</v>
      </c>
      <c r="B95">
        <f t="shared" si="4"/>
        <v>2023</v>
      </c>
      <c r="C95">
        <f t="shared" si="5"/>
        <v>10</v>
      </c>
      <c r="D95" s="31">
        <f>'Monthly Data'!J95</f>
        <v>2359883.5831652894</v>
      </c>
      <c r="E95" s="33">
        <f>'Monthly Data'!AQ95</f>
        <v>308.94999999999993</v>
      </c>
      <c r="F95" s="33">
        <f>'Monthly Data'!AZ95</f>
        <v>46.733333333333334</v>
      </c>
      <c r="G95" s="33">
        <f>'Monthly Data'!AD95</f>
        <v>865859.6</v>
      </c>
      <c r="H95" s="8">
        <f>'Monthly Data'!BU95</f>
        <v>31</v>
      </c>
      <c r="I95" s="18">
        <f>'Monthly Data'!BX95</f>
        <v>0</v>
      </c>
      <c r="K95" s="18">
        <f>'GS&lt;50 Predicted Monthly'!$V$8</f>
        <v>-2135516.9462582301</v>
      </c>
      <c r="L95" s="18">
        <f>E95*'GS&lt;50 Predicted Monthly'!$V$9</f>
        <v>582639.1105306953</v>
      </c>
      <c r="M95" s="18">
        <f>F95*'GS&lt;50 Predicted Monthly'!$V$10</f>
        <v>173514.99972318404</v>
      </c>
      <c r="N95" s="18">
        <f>G95*'GS&lt;50 Predicted Monthly'!$V$11</f>
        <v>2086301.5910314329</v>
      </c>
      <c r="O95" s="18">
        <f>H95*'GS&lt;50 Predicted Monthly'!$V$12</f>
        <v>1722828.0010148797</v>
      </c>
      <c r="P95" s="18">
        <f>I95*'GS&lt;50 Predicted Monthly'!$V$13</f>
        <v>0</v>
      </c>
      <c r="Q95" s="18">
        <f>SUM(K95:P95)</f>
        <v>2429766.7560419617</v>
      </c>
      <c r="R95" s="18">
        <f>Q95-D95</f>
        <v>69883.172876672354</v>
      </c>
      <c r="S95" s="35">
        <f>ABS(R95/D95)</f>
        <v>2.9612974714175823E-2</v>
      </c>
      <c r="U95" s="18"/>
      <c r="V95" s="35"/>
      <c r="X95" s="18"/>
      <c r="Y95" s="18"/>
      <c r="Z95" s="73"/>
    </row>
    <row r="96" spans="1:26">
      <c r="A96" s="541">
        <f>'Monthly Data'!A96</f>
        <v>45231</v>
      </c>
      <c r="B96">
        <f t="shared" si="4"/>
        <v>2023</v>
      </c>
      <c r="C96">
        <f t="shared" si="5"/>
        <v>11</v>
      </c>
      <c r="D96" s="31">
        <f>'Monthly Data'!J96</f>
        <v>2726100.0319800931</v>
      </c>
      <c r="E96" s="33">
        <f>'Monthly Data'!AQ96</f>
        <v>616.27291666666667</v>
      </c>
      <c r="F96" s="33">
        <f>'Monthly Data'!AZ96</f>
        <v>0</v>
      </c>
      <c r="G96" s="33">
        <f>'Monthly Data'!AD96</f>
        <v>865859.6</v>
      </c>
      <c r="H96" s="8">
        <f>'Monthly Data'!BU96</f>
        <v>30</v>
      </c>
      <c r="I96" s="18">
        <f>'Monthly Data'!BX96</f>
        <v>0</v>
      </c>
      <c r="K96" s="18">
        <f>'GS&lt;50 Predicted Monthly'!$V$8</f>
        <v>-2135516.9462582301</v>
      </c>
      <c r="L96" s="18">
        <f>E96*'GS&lt;50 Predicted Monthly'!$V$9</f>
        <v>1162209.7556589223</v>
      </c>
      <c r="M96" s="18">
        <f>F96*'GS&lt;50 Predicted Monthly'!$V$10</f>
        <v>0</v>
      </c>
      <c r="N96" s="18">
        <f>G96*'GS&lt;50 Predicted Monthly'!$V$11</f>
        <v>2086301.5910314329</v>
      </c>
      <c r="O96" s="18">
        <f>H96*'GS&lt;50 Predicted Monthly'!$V$12</f>
        <v>1667252.9042079481</v>
      </c>
      <c r="P96" s="18">
        <f>I96*'GS&lt;50 Predicted Monthly'!$V$13</f>
        <v>0</v>
      </c>
      <c r="Q96" s="18">
        <f>SUM(K96:P96)</f>
        <v>2780247.3046400733</v>
      </c>
      <c r="R96" s="18">
        <f>Q96-D96</f>
        <v>54147.272659980226</v>
      </c>
      <c r="S96" s="35">
        <f>ABS(R96/D96)</f>
        <v>1.9862540634890256E-2</v>
      </c>
      <c r="U96" s="18"/>
      <c r="V96" s="35"/>
      <c r="X96" s="18"/>
      <c r="Y96" s="18"/>
      <c r="Z96" s="73"/>
    </row>
    <row r="97" spans="1:26">
      <c r="A97" s="541">
        <f>'Monthly Data'!A97</f>
        <v>45261</v>
      </c>
      <c r="B97">
        <f t="shared" si="4"/>
        <v>2023</v>
      </c>
      <c r="C97">
        <f t="shared" si="5"/>
        <v>12</v>
      </c>
      <c r="D97" s="31">
        <f>'Monthly Data'!J97</f>
        <v>3054970.4807948973</v>
      </c>
      <c r="E97" s="33">
        <f>'Monthly Data'!AQ97</f>
        <v>713.16250000000014</v>
      </c>
      <c r="F97" s="33">
        <f>'Monthly Data'!AZ97</f>
        <v>0</v>
      </c>
      <c r="G97" s="33">
        <f>'Monthly Data'!AD97</f>
        <v>865859.6</v>
      </c>
      <c r="H97" s="8">
        <f>'Monthly Data'!BU97</f>
        <v>31</v>
      </c>
      <c r="I97" s="18">
        <f>'Monthly Data'!BX97</f>
        <v>0</v>
      </c>
      <c r="K97" s="18">
        <f>'GS&lt;50 Predicted Monthly'!$V$8</f>
        <v>-2135516.9462582301</v>
      </c>
      <c r="L97" s="18">
        <f>E97*'GS&lt;50 Predicted Monthly'!$V$9</f>
        <v>1344930.7805918341</v>
      </c>
      <c r="M97" s="18">
        <f>F97*'GS&lt;50 Predicted Monthly'!$V$10</f>
        <v>0</v>
      </c>
      <c r="N97" s="18">
        <f>G97*'GS&lt;50 Predicted Monthly'!$V$11</f>
        <v>2086301.5910314329</v>
      </c>
      <c r="O97" s="18">
        <f>H97*'GS&lt;50 Predicted Monthly'!$V$12</f>
        <v>1722828.0010148797</v>
      </c>
      <c r="P97" s="18">
        <f>I97*'GS&lt;50 Predicted Monthly'!$V$13</f>
        <v>0</v>
      </c>
      <c r="Q97" s="18">
        <f>SUM(K97:P97)</f>
        <v>3018543.4263799163</v>
      </c>
      <c r="R97" s="18">
        <f>Q97-D97</f>
        <v>-36427.054414981045</v>
      </c>
      <c r="S97" s="35">
        <f>ABS(R97/D97)</f>
        <v>1.1923864614725442E-2</v>
      </c>
      <c r="U97" s="18"/>
      <c r="V97" s="35"/>
      <c r="X97" s="18"/>
      <c r="Y97" s="18"/>
      <c r="Z97" s="73"/>
    </row>
    <row r="98" spans="1:26">
      <c r="A98" s="541">
        <f>'Monthly Data'!A98</f>
        <v>45292</v>
      </c>
      <c r="B98">
        <f t="shared" si="4"/>
        <v>2024</v>
      </c>
      <c r="C98">
        <f t="shared" si="5"/>
        <v>1</v>
      </c>
      <c r="D98" s="31">
        <f>'Monthly Data'!J98</f>
        <v>3455439.2672890546</v>
      </c>
      <c r="E98" s="33">
        <f>'Monthly Data'!AQ98</f>
        <v>829.07916666666677</v>
      </c>
      <c r="F98" s="33">
        <f>'Monthly Data'!AZ98</f>
        <v>0</v>
      </c>
      <c r="G98" s="33">
        <f>'Monthly Data'!AD98</f>
        <v>876619.7</v>
      </c>
      <c r="H98" s="8">
        <f>'Monthly Data'!BU98</f>
        <v>31</v>
      </c>
      <c r="I98" s="18">
        <f>'Monthly Data'!BX98</f>
        <v>0</v>
      </c>
      <c r="K98" s="18">
        <f>'GS&lt;50 Predicted Monthly'!$V$8</f>
        <v>-2135516.9462582301</v>
      </c>
      <c r="L98" s="18">
        <f>E98*'GS&lt;50 Predicted Monthly'!$V$9</f>
        <v>1563534.3849367111</v>
      </c>
      <c r="M98" s="18">
        <f>F98*'GS&lt;50 Predicted Monthly'!$V$10</f>
        <v>0</v>
      </c>
      <c r="N98" s="18">
        <f>G98*'GS&lt;50 Predicted Monthly'!$V$11</f>
        <v>2112228.2121021668</v>
      </c>
      <c r="O98" s="18">
        <f>H98*'GS&lt;50 Predicted Monthly'!$V$12</f>
        <v>1722828.0010148797</v>
      </c>
      <c r="P98" s="18">
        <f>I98*'GS&lt;50 Predicted Monthly'!$V$13</f>
        <v>0</v>
      </c>
      <c r="Q98" s="18">
        <f>SUM(K98:P98)</f>
        <v>3263073.6517955274</v>
      </c>
      <c r="R98" s="18">
        <f>Q98-D98</f>
        <v>-192365.61549352715</v>
      </c>
      <c r="S98" s="35">
        <f>ABS(R98/D98)</f>
        <v>5.5670379541772848E-2</v>
      </c>
      <c r="U98" s="18"/>
      <c r="V98" s="35"/>
      <c r="X98" s="18"/>
      <c r="Y98" s="18"/>
      <c r="Z98" s="73"/>
    </row>
    <row r="99" spans="1:26">
      <c r="A99" s="541">
        <f>'Monthly Data'!A99</f>
        <v>45323</v>
      </c>
      <c r="B99">
        <f t="shared" si="4"/>
        <v>2024</v>
      </c>
      <c r="C99">
        <f t="shared" si="5"/>
        <v>2</v>
      </c>
      <c r="D99" s="31">
        <f>'Monthly Data'!J99</f>
        <v>2840878.0346191321</v>
      </c>
      <c r="E99" s="33">
        <f>'Monthly Data'!AQ99</f>
        <v>711.87916666666661</v>
      </c>
      <c r="F99" s="33">
        <f>'Monthly Data'!AZ99</f>
        <v>0</v>
      </c>
      <c r="G99" s="33">
        <f>'Monthly Data'!AD99</f>
        <v>876619.7</v>
      </c>
      <c r="H99" s="8">
        <f>'Monthly Data'!BU99</f>
        <v>28</v>
      </c>
      <c r="I99" s="18">
        <f>'Monthly Data'!BX99</f>
        <v>0</v>
      </c>
      <c r="K99" s="18">
        <f>'GS&lt;50 Predicted Monthly'!$V$8</f>
        <v>-2135516.9462582301</v>
      </c>
      <c r="L99" s="18">
        <f>E99*'GS&lt;50 Predicted Monthly'!$V$9</f>
        <v>1342510.5825279148</v>
      </c>
      <c r="M99" s="18">
        <f>F99*'GS&lt;50 Predicted Monthly'!$V$10</f>
        <v>0</v>
      </c>
      <c r="N99" s="18">
        <f>G99*'GS&lt;50 Predicted Monthly'!$V$11</f>
        <v>2112228.2121021668</v>
      </c>
      <c r="O99" s="18">
        <f>H99*'GS&lt;50 Predicted Monthly'!$V$12</f>
        <v>1556102.7105940848</v>
      </c>
      <c r="P99" s="18">
        <f>I99*'GS&lt;50 Predicted Monthly'!$V$13</f>
        <v>0</v>
      </c>
      <c r="Q99" s="18">
        <f>SUM(K99:P99)</f>
        <v>2875324.5589659363</v>
      </c>
      <c r="R99" s="18">
        <f>Q99-D99</f>
        <v>34446.524346804246</v>
      </c>
      <c r="S99" s="35">
        <f>ABS(R99/D99)</f>
        <v>1.2125309121699899E-2</v>
      </c>
      <c r="U99" s="18"/>
      <c r="V99" s="35"/>
      <c r="X99" s="18"/>
      <c r="Y99" s="18"/>
      <c r="Z99" s="73"/>
    </row>
    <row r="100" spans="1:26">
      <c r="A100" s="541">
        <f>'Monthly Data'!A100</f>
        <v>45352</v>
      </c>
      <c r="B100">
        <f t="shared" si="4"/>
        <v>2024</v>
      </c>
      <c r="C100">
        <f t="shared" si="5"/>
        <v>3</v>
      </c>
      <c r="D100" s="31">
        <f>'Monthly Data'!J100</f>
        <v>2906094.8019492091</v>
      </c>
      <c r="E100" s="33">
        <f>'Monthly Data'!AQ100</f>
        <v>596.57916666666665</v>
      </c>
      <c r="F100" s="33">
        <f>'Monthly Data'!AZ100</f>
        <v>0</v>
      </c>
      <c r="G100" s="33">
        <f>'Monthly Data'!AD100</f>
        <v>876619.7</v>
      </c>
      <c r="H100" s="8">
        <f>'Monthly Data'!BU100</f>
        <v>31</v>
      </c>
      <c r="I100" s="18">
        <f>'Monthly Data'!BX100</f>
        <v>0</v>
      </c>
      <c r="K100" s="18">
        <f>'GS&lt;50 Predicted Monthly'!$V$8</f>
        <v>-2135516.9462582301</v>
      </c>
      <c r="L100" s="18">
        <f>E100*'GS&lt;50 Predicted Monthly'!$V$9</f>
        <v>1125069.9304994664</v>
      </c>
      <c r="M100" s="18">
        <f>F100*'GS&lt;50 Predicted Monthly'!$V$10</f>
        <v>0</v>
      </c>
      <c r="N100" s="18">
        <f>G100*'GS&lt;50 Predicted Monthly'!$V$11</f>
        <v>2112228.2121021668</v>
      </c>
      <c r="O100" s="18">
        <f>H100*'GS&lt;50 Predicted Monthly'!$V$12</f>
        <v>1722828.0010148797</v>
      </c>
      <c r="P100" s="18">
        <f>I100*'GS&lt;50 Predicted Monthly'!$V$13</f>
        <v>0</v>
      </c>
      <c r="Q100" s="18">
        <f>SUM(K100:P100)</f>
        <v>2824609.1973582827</v>
      </c>
      <c r="R100" s="18">
        <f>Q100-D100</f>
        <v>-81485.604590926319</v>
      </c>
      <c r="S100" s="35">
        <f>ABS(R100/D100)</f>
        <v>2.8039554847375029E-2</v>
      </c>
      <c r="U100" s="18"/>
    </row>
    <row r="101" spans="1:26">
      <c r="A101" s="541">
        <f>'Monthly Data'!A101</f>
        <v>45383</v>
      </c>
      <c r="B101">
        <f t="shared" si="4"/>
        <v>2024</v>
      </c>
      <c r="C101">
        <f t="shared" si="5"/>
        <v>4</v>
      </c>
      <c r="D101" s="31">
        <f>'Monthly Data'!J101</f>
        <v>2316820.5692792865</v>
      </c>
      <c r="E101" s="33">
        <f>'Monthly Data'!AQ101</f>
        <v>417.11249999999995</v>
      </c>
      <c r="F101" s="33">
        <f>'Monthly Data'!AZ101</f>
        <v>0.7333333333333325</v>
      </c>
      <c r="G101" s="33">
        <f>'Monthly Data'!AD101</f>
        <v>876619.7</v>
      </c>
      <c r="H101" s="8">
        <f>'Monthly Data'!BU101</f>
        <v>30</v>
      </c>
      <c r="I101" s="18">
        <f>'Monthly Data'!BX101</f>
        <v>0</v>
      </c>
      <c r="K101" s="18">
        <f>'GS&lt;50 Predicted Monthly'!$V$8</f>
        <v>-2135516.9462582301</v>
      </c>
      <c r="L101" s="18">
        <f>E101*'GS&lt;50 Predicted Monthly'!$V$9</f>
        <v>786619.37527507578</v>
      </c>
      <c r="M101" s="18">
        <f>F101*'GS&lt;50 Predicted Monthly'!$V$10</f>
        <v>2722.7746033595181</v>
      </c>
      <c r="N101" s="18">
        <f>G101*'GS&lt;50 Predicted Monthly'!$V$11</f>
        <v>2112228.2121021668</v>
      </c>
      <c r="O101" s="18">
        <f>H101*'GS&lt;50 Predicted Monthly'!$V$12</f>
        <v>1667252.9042079481</v>
      </c>
      <c r="P101" s="18">
        <f>I101*'GS&lt;50 Predicted Monthly'!$V$13</f>
        <v>0</v>
      </c>
      <c r="Q101" s="18">
        <f>SUM(K101:P101)</f>
        <v>2433306.3199303206</v>
      </c>
      <c r="R101" s="18">
        <f>Q101-D101</f>
        <v>116485.75065103406</v>
      </c>
      <c r="S101" s="35">
        <f>ABS(R101/D101)</f>
        <v>5.0278278860097607E-2</v>
      </c>
      <c r="Z101" s="61"/>
    </row>
    <row r="102" spans="1:26">
      <c r="A102" s="541">
        <f>'Monthly Data'!A102</f>
        <v>45413</v>
      </c>
      <c r="B102">
        <f t="shared" si="4"/>
        <v>2024</v>
      </c>
      <c r="C102">
        <f t="shared" si="5"/>
        <v>5</v>
      </c>
      <c r="D102" s="31">
        <f>'Monthly Data'!J102</f>
        <v>2431046.3366093636</v>
      </c>
      <c r="E102" s="33">
        <f>'Monthly Data'!AQ102</f>
        <v>162.30416666666667</v>
      </c>
      <c r="F102" s="33">
        <f>'Monthly Data'!AZ102</f>
        <v>96.229166666666686</v>
      </c>
      <c r="G102" s="33">
        <f>'Monthly Data'!AD102</f>
        <v>876619.7</v>
      </c>
      <c r="H102" s="8">
        <f>'Monthly Data'!BU102</f>
        <v>31</v>
      </c>
      <c r="I102" s="18">
        <f>'Monthly Data'!BX102</f>
        <v>0</v>
      </c>
      <c r="K102" s="18">
        <f>'GS&lt;50 Predicted Monthly'!$V$8</f>
        <v>-2135516.9462582301</v>
      </c>
      <c r="L102" s="18">
        <f>E102*'GS&lt;50 Predicted Monthly'!$V$9</f>
        <v>306084.33501243702</v>
      </c>
      <c r="M102" s="18">
        <f>F102*'GS&lt;50 Predicted Monthly'!$V$10</f>
        <v>357286.81513970543</v>
      </c>
      <c r="N102" s="18">
        <f>G102*'GS&lt;50 Predicted Monthly'!$V$11</f>
        <v>2112228.2121021668</v>
      </c>
      <c r="O102" s="18">
        <f>H102*'GS&lt;50 Predicted Monthly'!$V$12</f>
        <v>1722828.0010148797</v>
      </c>
      <c r="P102" s="18">
        <f>I102*'GS&lt;50 Predicted Monthly'!$V$13</f>
        <v>0</v>
      </c>
      <c r="Q102" s="18">
        <f>SUM(K102:P102)</f>
        <v>2362910.4170109592</v>
      </c>
      <c r="R102" s="18">
        <f>Q102-D102</f>
        <v>-68135.919598404318</v>
      </c>
      <c r="S102" s="35">
        <f>ABS(R102/D102)</f>
        <v>2.80274047320032E-2</v>
      </c>
    </row>
    <row r="103" spans="1:26">
      <c r="A103" s="541">
        <f>'Monthly Data'!A103</f>
        <v>45444</v>
      </c>
      <c r="B103">
        <f t="shared" si="4"/>
        <v>2024</v>
      </c>
      <c r="C103">
        <f t="shared" si="5"/>
        <v>6</v>
      </c>
      <c r="D103" s="31">
        <f>'Monthly Data'!J103</f>
        <v>2461796.103939441</v>
      </c>
      <c r="E103" s="33">
        <f>'Monthly Data'!AQ103</f>
        <v>82.241666666666674</v>
      </c>
      <c r="F103" s="33">
        <f>'Monthly Data'!AZ103</f>
        <v>187.28333333333333</v>
      </c>
      <c r="G103" s="33">
        <f>'Monthly Data'!AD103</f>
        <v>876619.7</v>
      </c>
      <c r="H103" s="8">
        <f>'Monthly Data'!BU103</f>
        <v>30</v>
      </c>
      <c r="I103" s="18">
        <f>'Monthly Data'!BX103</f>
        <v>0</v>
      </c>
      <c r="K103" s="18">
        <f>'GS&lt;50 Predicted Monthly'!$V$8</f>
        <v>-2135516.9462582301</v>
      </c>
      <c r="L103" s="18">
        <f>E103*'GS&lt;50 Predicted Monthly'!$V$9</f>
        <v>155096.97852477297</v>
      </c>
      <c r="M103" s="18">
        <f>F103*'GS&lt;50 Predicted Monthly'!$V$10</f>
        <v>695359.5049534305</v>
      </c>
      <c r="N103" s="18">
        <f>G103*'GS&lt;50 Predicted Monthly'!$V$11</f>
        <v>2112228.2121021668</v>
      </c>
      <c r="O103" s="18">
        <f>H103*'GS&lt;50 Predicted Monthly'!$V$12</f>
        <v>1667252.9042079481</v>
      </c>
      <c r="P103" s="18">
        <f>I103*'GS&lt;50 Predicted Monthly'!$V$13</f>
        <v>0</v>
      </c>
      <c r="Q103" s="18">
        <f>SUM(K103:P103)</f>
        <v>2494420.6535300883</v>
      </c>
      <c r="R103" s="18">
        <f>Q103-D103</f>
        <v>32624.549590647221</v>
      </c>
      <c r="S103" s="35">
        <f>ABS(R103/D103)</f>
        <v>1.3252336185941811E-2</v>
      </c>
    </row>
    <row r="104" spans="1:26">
      <c r="A104" s="541">
        <f>'Monthly Data'!A104</f>
        <v>45474</v>
      </c>
      <c r="B104">
        <f t="shared" si="4"/>
        <v>2024</v>
      </c>
      <c r="C104">
        <f t="shared" si="5"/>
        <v>7</v>
      </c>
      <c r="D104" s="31">
        <f>'Monthly Data'!J104</f>
        <v>2743681.8712695185</v>
      </c>
      <c r="E104" s="33">
        <f>'Monthly Data'!AQ104</f>
        <v>17.166666666666668</v>
      </c>
      <c r="F104" s="33">
        <f>'Monthly Data'!AZ104</f>
        <v>274.14166666666665</v>
      </c>
      <c r="G104" s="33">
        <f>'Monthly Data'!AD104</f>
        <v>876619.7</v>
      </c>
      <c r="H104" s="8">
        <f>'Monthly Data'!BU104</f>
        <v>31</v>
      </c>
      <c r="I104" s="18">
        <f>'Monthly Data'!BX104</f>
        <v>0</v>
      </c>
      <c r="K104" s="18">
        <f>'GS&lt;50 Predicted Monthly'!$V$8</f>
        <v>-2135516.9462582301</v>
      </c>
      <c r="L104" s="18">
        <f>E104*'GS&lt;50 Predicted Monthly'!$V$9</f>
        <v>32374.0779978754</v>
      </c>
      <c r="M104" s="18">
        <f>F104*'GS&lt;50 Predicted Monthly'!$V$10</f>
        <v>1017853.5923490701</v>
      </c>
      <c r="N104" s="18">
        <f>G104*'GS&lt;50 Predicted Monthly'!$V$11</f>
        <v>2112228.2121021668</v>
      </c>
      <c r="O104" s="18">
        <f>H104*'GS&lt;50 Predicted Monthly'!$V$12</f>
        <v>1722828.0010148797</v>
      </c>
      <c r="P104" s="18">
        <f>I104*'GS&lt;50 Predicted Monthly'!$V$13</f>
        <v>0</v>
      </c>
      <c r="Q104" s="18">
        <f>SUM(K104:P104)</f>
        <v>2749766.9372057617</v>
      </c>
      <c r="R104" s="18">
        <f>Q104-D104</f>
        <v>6085.0659362431616</v>
      </c>
      <c r="S104" s="35">
        <f>ABS(R104/D104)</f>
        <v>2.2178467554722602E-3</v>
      </c>
    </row>
    <row r="105" spans="1:26">
      <c r="A105" s="541">
        <f>'Monthly Data'!A105</f>
        <v>45505</v>
      </c>
      <c r="B105">
        <f t="shared" si="4"/>
        <v>2024</v>
      </c>
      <c r="C105">
        <f t="shared" si="5"/>
        <v>8</v>
      </c>
      <c r="D105" s="31">
        <f>'Monthly Data'!J105</f>
        <v>2609738.6385995955</v>
      </c>
      <c r="E105" s="33">
        <f>'Monthly Data'!AQ105</f>
        <v>63.7</v>
      </c>
      <c r="F105" s="33">
        <f>'Monthly Data'!AZ105</f>
        <v>212.65</v>
      </c>
      <c r="G105" s="33">
        <f>'Monthly Data'!AD105</f>
        <v>876619.7</v>
      </c>
      <c r="H105" s="8">
        <f>'Monthly Data'!BU105</f>
        <v>31</v>
      </c>
      <c r="I105" s="18">
        <f>'Monthly Data'!BX105</f>
        <v>0</v>
      </c>
      <c r="K105" s="18">
        <f>'GS&lt;50 Predicted Monthly'!$V$8</f>
        <v>-2135516.9462582301</v>
      </c>
      <c r="L105" s="18">
        <f>E105*'GS&lt;50 Predicted Monthly'!$V$9</f>
        <v>120129.83117269882</v>
      </c>
      <c r="M105" s="18">
        <f>F105*'GS&lt;50 Predicted Monthly'!$V$10</f>
        <v>789542.75373327581</v>
      </c>
      <c r="N105" s="18">
        <f>G105*'GS&lt;50 Predicted Monthly'!$V$11</f>
        <v>2112228.2121021668</v>
      </c>
      <c r="O105" s="18">
        <f>H105*'GS&lt;50 Predicted Monthly'!$V$12</f>
        <v>1722828.0010148797</v>
      </c>
      <c r="P105" s="18">
        <f>I105*'GS&lt;50 Predicted Monthly'!$V$13</f>
        <v>0</v>
      </c>
      <c r="Q105" s="18">
        <f>SUM(K105:P105)</f>
        <v>2609211.8517647907</v>
      </c>
      <c r="R105" s="18">
        <f>Q105-D105</f>
        <v>-526.78683480480686</v>
      </c>
      <c r="S105" s="35">
        <f>ABS(R105/D105)</f>
        <v>2.0185424969892176E-4</v>
      </c>
    </row>
    <row r="106" spans="1:26">
      <c r="A106" s="541">
        <f>'Monthly Data'!A106</f>
        <v>45536</v>
      </c>
      <c r="B106">
        <f t="shared" si="4"/>
        <v>2024</v>
      </c>
      <c r="C106">
        <f t="shared" si="5"/>
        <v>9</v>
      </c>
      <c r="D106" s="31">
        <f>'Monthly Data'!J106</f>
        <v>2334104.405929673</v>
      </c>
      <c r="E106" s="33">
        <f>'Monthly Data'!AQ106</f>
        <v>120.98333333333333</v>
      </c>
      <c r="F106" s="33">
        <f>'Monthly Data'!AZ106</f>
        <v>127.19583333333331</v>
      </c>
      <c r="G106" s="33">
        <f>'Monthly Data'!AD106</f>
        <v>876619.7</v>
      </c>
      <c r="H106" s="8">
        <f>'Monthly Data'!BU106</f>
        <v>30</v>
      </c>
      <c r="I106" s="18">
        <f>'Monthly Data'!BX106</f>
        <v>0</v>
      </c>
      <c r="K106" s="18">
        <f>'GS&lt;50 Predicted Monthly'!$V$8</f>
        <v>-2135516.9462582301</v>
      </c>
      <c r="L106" s="18">
        <f>E106*'GS&lt;50 Predicted Monthly'!$V$9</f>
        <v>228158.67202580342</v>
      </c>
      <c r="M106" s="18">
        <f>F106*'GS&lt;50 Predicted Monthly'!$V$10</f>
        <v>472262.16089065961</v>
      </c>
      <c r="N106" s="18">
        <f>G106*'GS&lt;50 Predicted Monthly'!$V$11</f>
        <v>2112228.2121021668</v>
      </c>
      <c r="O106" s="18">
        <f>H106*'GS&lt;50 Predicted Monthly'!$V$12</f>
        <v>1667252.9042079481</v>
      </c>
      <c r="P106" s="18">
        <f>I106*'GS&lt;50 Predicted Monthly'!$V$13</f>
        <v>0</v>
      </c>
      <c r="Q106" s="18">
        <f>SUM(K106:P106)</f>
        <v>2344385.0029683476</v>
      </c>
      <c r="R106" s="18">
        <f>Q106-D106</f>
        <v>10280.597038674634</v>
      </c>
      <c r="S106" s="35">
        <f>ABS(R106/D106)</f>
        <v>4.404514644913613E-3</v>
      </c>
    </row>
    <row r="107" spans="1:26">
      <c r="A107" s="541">
        <f>'Monthly Data'!A107</f>
        <v>45566</v>
      </c>
      <c r="B107">
        <f t="shared" si="4"/>
        <v>2024</v>
      </c>
      <c r="C107">
        <f t="shared" si="5"/>
        <v>10</v>
      </c>
      <c r="D107" s="31">
        <f>'Monthly Data'!J107</f>
        <v>2395002.17325975</v>
      </c>
      <c r="E107" s="33">
        <f>'Monthly Data'!AQ107</f>
        <v>360.05833333333328</v>
      </c>
      <c r="F107" s="33">
        <f>'Monthly Data'!AZ107</f>
        <v>20.145833333333339</v>
      </c>
      <c r="G107" s="33">
        <f>'Monthly Data'!AD107</f>
        <v>876619.7</v>
      </c>
      <c r="H107" s="8">
        <f>'Monthly Data'!BU107</f>
        <v>31</v>
      </c>
      <c r="I107" s="18">
        <f>'Monthly Data'!BX107</f>
        <v>0</v>
      </c>
      <c r="K107" s="18">
        <f>'GS&lt;50 Predicted Monthly'!$V$8</f>
        <v>-2135516.9462582301</v>
      </c>
      <c r="L107" s="18">
        <f>E107*'GS&lt;50 Predicted Monthly'!$V$9</f>
        <v>679022.71264767088</v>
      </c>
      <c r="M107" s="18">
        <f>F107*'GS&lt;50 Predicted Monthly'!$V$10</f>
        <v>74798.950041155054</v>
      </c>
      <c r="N107" s="18">
        <f>G107*'GS&lt;50 Predicted Monthly'!$V$11</f>
        <v>2112228.2121021668</v>
      </c>
      <c r="O107" s="18">
        <f>H107*'GS&lt;50 Predicted Monthly'!$V$12</f>
        <v>1722828.0010148797</v>
      </c>
      <c r="P107" s="18">
        <f>I107*'GS&lt;50 Predicted Monthly'!$V$13</f>
        <v>0</v>
      </c>
      <c r="Q107" s="18">
        <f>SUM(K107:P107)</f>
        <v>2453360.9295476424</v>
      </c>
      <c r="R107" s="18">
        <f>Q107-D107</f>
        <v>58358.756287892349</v>
      </c>
      <c r="S107" s="35">
        <f>ABS(R107/D107)</f>
        <v>2.4366890744179318E-2</v>
      </c>
    </row>
    <row r="108" spans="1:26">
      <c r="A108" s="541">
        <f>'Monthly Data'!A108</f>
        <v>45597</v>
      </c>
      <c r="B108">
        <f t="shared" si="4"/>
        <v>2024</v>
      </c>
      <c r="C108">
        <f t="shared" si="5"/>
        <v>11</v>
      </c>
      <c r="D108" s="31">
        <f>'Monthly Data'!J108</f>
        <v>2598939.9405898275</v>
      </c>
      <c r="E108" s="33">
        <f>'Monthly Data'!AQ108</f>
        <v>506.44583333333338</v>
      </c>
      <c r="F108" s="33">
        <f>'Monthly Data'!AZ108</f>
        <v>2.6374999999999975</v>
      </c>
      <c r="G108" s="33">
        <f>'Monthly Data'!AD108</f>
        <v>876619.7</v>
      </c>
      <c r="H108" s="8">
        <f>'Monthly Data'!BU108</f>
        <v>30</v>
      </c>
      <c r="I108" s="18">
        <f>'Monthly Data'!BX108</f>
        <v>0</v>
      </c>
      <c r="K108" s="18">
        <f>'GS&lt;50 Predicted Monthly'!$V$8</f>
        <v>-2135516.9462582301</v>
      </c>
      <c r="L108" s="18">
        <f>E108*'GS&lt;50 Predicted Monthly'!$V$9</f>
        <v>955090.30543877708</v>
      </c>
      <c r="M108" s="18">
        <f>F108*'GS&lt;50 Predicted Monthly'!$V$10</f>
        <v>9792.7063859464506</v>
      </c>
      <c r="N108" s="18">
        <f>G108*'GS&lt;50 Predicted Monthly'!$V$11</f>
        <v>2112228.2121021668</v>
      </c>
      <c r="O108" s="18">
        <f>H108*'GS&lt;50 Predicted Monthly'!$V$12</f>
        <v>1667252.9042079481</v>
      </c>
      <c r="P108" s="18">
        <f>I108*'GS&lt;50 Predicted Monthly'!$V$13</f>
        <v>0</v>
      </c>
      <c r="Q108" s="18">
        <f>SUM(K108:P108)</f>
        <v>2608847.1818766082</v>
      </c>
      <c r="R108" s="18">
        <f>Q108-D108</f>
        <v>9907.2412867806852</v>
      </c>
      <c r="S108" s="35">
        <f>ABS(R108/D108)</f>
        <v>3.812031641074493E-3</v>
      </c>
    </row>
    <row r="109" spans="1:26">
      <c r="A109" s="541">
        <f>'Monthly Data'!A109</f>
        <v>45627</v>
      </c>
      <c r="B109">
        <f t="shared" si="4"/>
        <v>2024</v>
      </c>
      <c r="C109">
        <f t="shared" si="5"/>
        <v>12</v>
      </c>
      <c r="D109" s="31">
        <f>'Monthly Data'!J109</f>
        <v>3229266.7079199045</v>
      </c>
      <c r="E109" s="33">
        <f>'Monthly Data'!AQ109</f>
        <v>796.64791666666656</v>
      </c>
      <c r="F109" s="33">
        <f>'Monthly Data'!AZ109</f>
        <v>0</v>
      </c>
      <c r="G109" s="33">
        <f>'Monthly Data'!AD109</f>
        <v>876619.7</v>
      </c>
      <c r="H109" s="8">
        <f>'Monthly Data'!BU109</f>
        <v>31</v>
      </c>
      <c r="I109" s="18">
        <f>'Monthly Data'!BX109</f>
        <v>0</v>
      </c>
      <c r="K109" s="18">
        <f>'GS&lt;50 Predicted Monthly'!$V$8</f>
        <v>-2135516.9462582301</v>
      </c>
      <c r="L109" s="18">
        <f>E109*'GS&lt;50 Predicted Monthly'!$V$9</f>
        <v>1502373.3082142682</v>
      </c>
      <c r="M109" s="18">
        <f>F109*'GS&lt;50 Predicted Monthly'!$V$10</f>
        <v>0</v>
      </c>
      <c r="N109" s="18">
        <f>G109*'GS&lt;50 Predicted Monthly'!$V$11</f>
        <v>2112228.2121021668</v>
      </c>
      <c r="O109" s="18">
        <f>H109*'GS&lt;50 Predicted Monthly'!$V$12</f>
        <v>1722828.0010148797</v>
      </c>
      <c r="P109" s="18">
        <f>I109*'GS&lt;50 Predicted Monthly'!$V$13</f>
        <v>0</v>
      </c>
      <c r="Q109" s="18">
        <f>SUM(K109:P109)</f>
        <v>3201912.5750730848</v>
      </c>
      <c r="R109" s="18">
        <f>Q109-D109</f>
        <v>-27354.132846819703</v>
      </c>
      <c r="S109" s="35">
        <f>ABS(R109/D109)</f>
        <v>8.4706948421858774E-3</v>
      </c>
    </row>
    <row r="110" spans="1:26">
      <c r="A110" s="541">
        <f>'Monthly Data'!A110</f>
        <v>45658</v>
      </c>
      <c r="B110">
        <f t="shared" si="4"/>
        <v>2025</v>
      </c>
      <c r="C110">
        <f t="shared" si="5"/>
        <v>1</v>
      </c>
      <c r="D110" s="31">
        <f>'Monthly Data'!J110</f>
        <v>3521304.201942143</v>
      </c>
      <c r="E110" s="33">
        <f>'Monthly Data'!AQ110</f>
        <v>930.57291666666663</v>
      </c>
      <c r="F110" s="33">
        <f>'Monthly Data'!AZ110</f>
        <v>0</v>
      </c>
      <c r="G110" s="33">
        <f>'Monthly Data'!AD110</f>
        <v>887796.60117499996</v>
      </c>
      <c r="H110" s="8">
        <f>'Monthly Data'!BU110</f>
        <v>31</v>
      </c>
      <c r="I110" s="18">
        <f>'Monthly Data'!BX110</f>
        <v>0</v>
      </c>
      <c r="K110" s="18">
        <f>'GS&lt;50 Predicted Monthly'!$V$8</f>
        <v>-2135516.9462582301</v>
      </c>
      <c r="L110" s="18">
        <f>E110*'GS&lt;50 Predicted Monthly'!$V$9</f>
        <v>1754938.2633132273</v>
      </c>
      <c r="M110" s="18">
        <f>F110*'GS&lt;50 Predicted Monthly'!$V$10</f>
        <v>0</v>
      </c>
      <c r="N110" s="18">
        <f>G110*'GS&lt;50 Predicted Monthly'!$V$11</f>
        <v>2139159.1218064697</v>
      </c>
      <c r="O110" s="18">
        <f>H110*'GS&lt;50 Predicted Monthly'!$V$12</f>
        <v>1722828.0010148797</v>
      </c>
      <c r="P110" s="18">
        <f>I110*'GS&lt;50 Predicted Monthly'!$V$13</f>
        <v>0</v>
      </c>
      <c r="Q110" s="18">
        <f>SUM(K110:P110)</f>
        <v>3481408.4398763468</v>
      </c>
      <c r="R110" s="18">
        <f>Q110-D110</f>
        <v>-39895.762065796182</v>
      </c>
      <c r="S110" s="35">
        <f>ABS(R110/D110)</f>
        <v>1.1329825478807551E-2</v>
      </c>
    </row>
    <row r="111" spans="1:26">
      <c r="A111" s="541">
        <f>'Monthly Data'!A111</f>
        <v>45689</v>
      </c>
      <c r="B111">
        <f t="shared" si="4"/>
        <v>2025</v>
      </c>
      <c r="C111">
        <f t="shared" si="5"/>
        <v>2</v>
      </c>
      <c r="D111" s="31">
        <f>'Monthly Data'!J111</f>
        <v>3248937.8305204986</v>
      </c>
      <c r="E111" s="33">
        <f>'Monthly Data'!AQ111</f>
        <v>851.05000000000007</v>
      </c>
      <c r="F111" s="33">
        <f>'Monthly Data'!AZ111</f>
        <v>0</v>
      </c>
      <c r="G111" s="33">
        <f>'Monthly Data'!AD111</f>
        <v>887796.60117499996</v>
      </c>
      <c r="H111" s="8">
        <f>'Monthly Data'!BU111</f>
        <v>28</v>
      </c>
      <c r="I111" s="18">
        <f>'Monthly Data'!BX111</f>
        <v>0</v>
      </c>
      <c r="K111" s="18">
        <f>'GS&lt;50 Predicted Monthly'!$V$8</f>
        <v>-2135516.9462582301</v>
      </c>
      <c r="L111" s="18">
        <f>E111*'GS&lt;50 Predicted Monthly'!$V$9</f>
        <v>1604968.4901024385</v>
      </c>
      <c r="M111" s="18">
        <f>F111*'GS&lt;50 Predicted Monthly'!$V$10</f>
        <v>0</v>
      </c>
      <c r="N111" s="18">
        <f>G111*'GS&lt;50 Predicted Monthly'!$V$11</f>
        <v>2139159.1218064697</v>
      </c>
      <c r="O111" s="18">
        <f>H111*'GS&lt;50 Predicted Monthly'!$V$12</f>
        <v>1556102.7105940848</v>
      </c>
      <c r="P111" s="18">
        <f>I111*'GS&lt;50 Predicted Monthly'!$V$13</f>
        <v>0</v>
      </c>
      <c r="Q111" s="18">
        <f>SUM(K111:P111)</f>
        <v>3164713.3762447629</v>
      </c>
      <c r="R111" s="18">
        <f>Q111-D111</f>
        <v>-84224.454275735654</v>
      </c>
      <c r="S111" s="35">
        <f>ABS(R111/D111)</f>
        <v>2.5923689116034088E-2</v>
      </c>
    </row>
    <row r="112" spans="1:26">
      <c r="A112" s="541">
        <f>'Monthly Data'!A112</f>
        <v>45717</v>
      </c>
      <c r="B112">
        <f t="shared" si="4"/>
        <v>2025</v>
      </c>
      <c r="C112">
        <f t="shared" si="5"/>
        <v>3</v>
      </c>
      <c r="D112" s="31">
        <f>'Monthly Data'!J112</f>
        <v>3122756.4590988536</v>
      </c>
      <c r="E112" s="33">
        <f>'Monthly Data'!AQ112</f>
        <v>682.18333333333362</v>
      </c>
      <c r="F112" s="33">
        <f>'Monthly Data'!AZ112</f>
        <v>0</v>
      </c>
      <c r="G112" s="33">
        <f>'Monthly Data'!AD112</f>
        <v>887796.60117499996</v>
      </c>
      <c r="H112" s="8">
        <f>'Monthly Data'!BU112</f>
        <v>31</v>
      </c>
      <c r="I112" s="18">
        <f>'Monthly Data'!BX112</f>
        <v>0</v>
      </c>
      <c r="K112" s="18">
        <f>'GS&lt;50 Predicted Monthly'!$V$8</f>
        <v>-2135516.9462582301</v>
      </c>
      <c r="L112" s="18">
        <f>E112*'GS&lt;50 Predicted Monthly'!$V$9</f>
        <v>1286508.1422631443</v>
      </c>
      <c r="M112" s="18">
        <f>F112*'GS&lt;50 Predicted Monthly'!$V$10</f>
        <v>0</v>
      </c>
      <c r="N112" s="18">
        <f>G112*'GS&lt;50 Predicted Monthly'!$V$11</f>
        <v>2139159.1218064697</v>
      </c>
      <c r="O112" s="18">
        <f>H112*'GS&lt;50 Predicted Monthly'!$V$12</f>
        <v>1722828.0010148797</v>
      </c>
      <c r="P112" s="18">
        <f>I112*'GS&lt;50 Predicted Monthly'!$V$13</f>
        <v>0</v>
      </c>
      <c r="Q112" s="18">
        <f>SUM(K112:P112)</f>
        <v>3012978.3188262638</v>
      </c>
      <c r="R112" s="18">
        <f>Q112-D112</f>
        <v>-109778.14027258987</v>
      </c>
      <c r="S112" s="35">
        <f>ABS(R112/D112)</f>
        <v>3.5154243281677169E-2</v>
      </c>
    </row>
    <row r="113" spans="1:19">
      <c r="A113" s="541">
        <f>'Monthly Data'!A113</f>
        <v>45748</v>
      </c>
      <c r="B113">
        <f t="shared" si="4"/>
        <v>2025</v>
      </c>
      <c r="C113">
        <f t="shared" si="5"/>
        <v>4</v>
      </c>
      <c r="D113" s="31">
        <f>'Monthly Data'!J113</f>
        <v>2652049.0876772087</v>
      </c>
      <c r="E113" s="33">
        <f>'Monthly Data'!AQ113</f>
        <v>479.43541666666664</v>
      </c>
      <c r="F113" s="33">
        <f>'Monthly Data'!AZ113</f>
        <v>4.6874999999999982</v>
      </c>
      <c r="G113" s="33">
        <f>'Monthly Data'!AD113</f>
        <v>887796.60117499996</v>
      </c>
      <c r="H113" s="8">
        <f>'Monthly Data'!BU113</f>
        <v>30</v>
      </c>
      <c r="I113" s="18">
        <f>'Monthly Data'!BX113</f>
        <v>0</v>
      </c>
      <c r="K113" s="18">
        <f>'GS&lt;50 Predicted Monthly'!$V$8</f>
        <v>-2135516.9462582301</v>
      </c>
      <c r="L113" s="18">
        <f>E113*'GS&lt;50 Predicted Monthly'!$V$9</f>
        <v>904152.2082006149</v>
      </c>
      <c r="M113" s="18">
        <f>F113*'GS&lt;50 Predicted Monthly'!$V$10</f>
        <v>17404.099027156026</v>
      </c>
      <c r="N113" s="18">
        <f>G113*'GS&lt;50 Predicted Monthly'!$V$11</f>
        <v>2139159.1218064697</v>
      </c>
      <c r="O113" s="18">
        <f>H113*'GS&lt;50 Predicted Monthly'!$V$12</f>
        <v>1667252.9042079481</v>
      </c>
      <c r="P113" s="18">
        <f>I113*'GS&lt;50 Predicted Monthly'!$V$13</f>
        <v>0</v>
      </c>
      <c r="Q113" s="18">
        <f>SUM(K113:P113)</f>
        <v>2592451.386983959</v>
      </c>
      <c r="R113" s="18">
        <f>Q113-D113</f>
        <v>-59597.700693249702</v>
      </c>
      <c r="S113" s="35">
        <f>ABS(R113/D113)</f>
        <v>2.2472321862431369E-2</v>
      </c>
    </row>
    <row r="114" spans="1:19">
      <c r="A114" s="541">
        <f>'Monthly Data'!A114</f>
        <v>45778</v>
      </c>
      <c r="B114">
        <f t="shared" si="4"/>
        <v>2025</v>
      </c>
      <c r="C114">
        <f t="shared" si="5"/>
        <v>5</v>
      </c>
      <c r="D114" s="31">
        <f>'Monthly Data'!J114</f>
        <v>2377775.7162555638</v>
      </c>
      <c r="E114" s="33">
        <f>'Monthly Data'!AQ114</f>
        <v>237.32916666666665</v>
      </c>
      <c r="F114" s="33">
        <f>'Monthly Data'!AZ114</f>
        <v>62.020833333333329</v>
      </c>
      <c r="G114" s="33">
        <f>'Monthly Data'!AD114</f>
        <v>887796.60117499996</v>
      </c>
      <c r="H114" s="8">
        <f>'Monthly Data'!BU114</f>
        <v>31</v>
      </c>
      <c r="I114" s="18">
        <f>'Monthly Data'!BX114</f>
        <v>0</v>
      </c>
      <c r="K114" s="18">
        <f>'GS&lt;50 Predicted Monthly'!$V$8</f>
        <v>-2135516.9462582301</v>
      </c>
      <c r="L114" s="18">
        <f>E114*'GS&lt;50 Predicted Monthly'!$V$9</f>
        <v>447571.62832062732</v>
      </c>
      <c r="M114" s="18">
        <f>F114*'GS&lt;50 Predicted Monthly'!$V$10</f>
        <v>230275.56801708223</v>
      </c>
      <c r="N114" s="18">
        <f>G114*'GS&lt;50 Predicted Monthly'!$V$11</f>
        <v>2139159.1218064697</v>
      </c>
      <c r="O114" s="18">
        <f>H114*'GS&lt;50 Predicted Monthly'!$V$12</f>
        <v>1722828.0010148797</v>
      </c>
      <c r="P114" s="18">
        <f>I114*'GS&lt;50 Predicted Monthly'!$V$13</f>
        <v>0</v>
      </c>
      <c r="Q114" s="18">
        <f>SUM(K114:P114)</f>
        <v>2404317.3729008287</v>
      </c>
      <c r="R114" s="18">
        <f>Q114-D114</f>
        <v>26541.656645264942</v>
      </c>
      <c r="S114" s="35">
        <f>ABS(R114/D114)</f>
        <v>1.1162388640700644E-2</v>
      </c>
    </row>
    <row r="115" spans="1:19">
      <c r="A115" s="541">
        <f>'Monthly Data'!A115</f>
        <v>45809</v>
      </c>
      <c r="B115">
        <f t="shared" si="4"/>
        <v>2025</v>
      </c>
      <c r="C115">
        <f t="shared" si="5"/>
        <v>6</v>
      </c>
      <c r="D115" s="31">
        <f>'Monthly Data'!J115</f>
        <v>2523449.3448339188</v>
      </c>
      <c r="E115" s="33">
        <f>'Monthly Data'!AQ115</f>
        <v>85.787499999999994</v>
      </c>
      <c r="F115" s="33">
        <f>'Monthly Data'!AZ115</f>
        <v>191.33749999999998</v>
      </c>
      <c r="G115" s="33">
        <f>'Monthly Data'!AD115</f>
        <v>887796.60117499996</v>
      </c>
      <c r="H115" s="8">
        <f>'Monthly Data'!BU115</f>
        <v>30</v>
      </c>
      <c r="I115" s="18">
        <f>'Monthly Data'!BX115</f>
        <v>0</v>
      </c>
      <c r="K115" s="18">
        <f>'GS&lt;50 Predicted Monthly'!$V$8</f>
        <v>-2135516.9462582301</v>
      </c>
      <c r="L115" s="18">
        <f>E115*'GS&lt;50 Predicted Monthly'!$V$9</f>
        <v>161783.95434423702</v>
      </c>
      <c r="M115" s="18">
        <f>F115*'GS&lt;50 Predicted Monthly'!$V$10</f>
        <v>710412.1168231396</v>
      </c>
      <c r="N115" s="18">
        <f>G115*'GS&lt;50 Predicted Monthly'!$V$11</f>
        <v>2139159.1218064697</v>
      </c>
      <c r="O115" s="18">
        <f>H115*'GS&lt;50 Predicted Monthly'!$V$12</f>
        <v>1667252.9042079481</v>
      </c>
      <c r="P115" s="18">
        <f>I115*'GS&lt;50 Predicted Monthly'!$V$13</f>
        <v>0</v>
      </c>
      <c r="Q115" s="18">
        <f>SUM(K115:P115)</f>
        <v>2543091.1509235641</v>
      </c>
      <c r="R115" s="18">
        <f>Q115-D115</f>
        <v>19641.806089645252</v>
      </c>
      <c r="S115" s="35">
        <f>ABS(R115/D115)</f>
        <v>7.7837132454655952E-3</v>
      </c>
    </row>
    <row r="116" spans="1:19">
      <c r="A116" s="541">
        <f>'Monthly Data'!A116</f>
        <v>45839</v>
      </c>
      <c r="B116">
        <f t="shared" si="4"/>
        <v>2025</v>
      </c>
      <c r="C116">
        <f t="shared" si="5"/>
        <v>7</v>
      </c>
      <c r="D116" s="31">
        <f>'Monthly Data'!J116</f>
        <v>2937793.9734122739</v>
      </c>
      <c r="E116" s="33">
        <f>'Monthly Data'!AQ116</f>
        <v>23.716666666666676</v>
      </c>
      <c r="F116" s="33">
        <f>'Monthly Data'!AZ116</f>
        <v>285.84375000000006</v>
      </c>
      <c r="G116" s="33">
        <f>'Monthly Data'!AD116</f>
        <v>887796.60117499996</v>
      </c>
      <c r="H116" s="8">
        <f>'Monthly Data'!BU116</f>
        <v>31</v>
      </c>
      <c r="I116" s="18">
        <f>'Monthly Data'!BX116</f>
        <v>0</v>
      </c>
      <c r="K116" s="18">
        <f>'GS&lt;50 Predicted Monthly'!$V$8</f>
        <v>-2135516.9462582301</v>
      </c>
      <c r="L116" s="18">
        <f>E116*'GS&lt;50 Predicted Monthly'!$V$9</f>
        <v>44726.517466967678</v>
      </c>
      <c r="M116" s="18">
        <f>F116*'GS&lt;50 Predicted Monthly'!$V$10</f>
        <v>1061301.958675975</v>
      </c>
      <c r="N116" s="18">
        <f>G116*'GS&lt;50 Predicted Monthly'!$V$11</f>
        <v>2139159.1218064697</v>
      </c>
      <c r="O116" s="18">
        <f>H116*'GS&lt;50 Predicted Monthly'!$V$12</f>
        <v>1722828.0010148797</v>
      </c>
      <c r="P116" s="18">
        <f>I116*'GS&lt;50 Predicted Monthly'!$V$13</f>
        <v>0</v>
      </c>
      <c r="Q116" s="18">
        <f>SUM(K116:P116)</f>
        <v>2832498.652706062</v>
      </c>
      <c r="R116" s="18">
        <f>Q116-D116</f>
        <v>-105295.32070621196</v>
      </c>
      <c r="S116" s="35">
        <f>ABS(R116/D116)</f>
        <v>3.5841628670750698E-2</v>
      </c>
    </row>
    <row r="117" spans="1:19">
      <c r="A117" s="541">
        <f>'Monthly Data'!A117</f>
        <v>45870</v>
      </c>
      <c r="B117">
        <f t="shared" si="4"/>
        <v>2025</v>
      </c>
      <c r="C117">
        <f t="shared" si="5"/>
        <v>8</v>
      </c>
      <c r="D117" s="31">
        <f>'Monthly Data'!J117</f>
        <v>2631549.601990629</v>
      </c>
      <c r="E117" s="33">
        <f>'Monthly Data'!AQ117</f>
        <v>67.597916666666677</v>
      </c>
      <c r="F117" s="33">
        <f>'Monthly Data'!AZ117</f>
        <v>218.76041666666663</v>
      </c>
      <c r="G117" s="33">
        <f>'Monthly Data'!AD117</f>
        <v>887796.60117499996</v>
      </c>
      <c r="H117" s="8">
        <f>'Monthly Data'!BU117</f>
        <v>31</v>
      </c>
      <c r="I117" s="18">
        <f>'Monthly Data'!BX117</f>
        <v>0</v>
      </c>
      <c r="K117" s="18">
        <f>'GS&lt;50 Predicted Monthly'!$V$8</f>
        <v>-2135516.9462582301</v>
      </c>
      <c r="L117" s="18">
        <f>E117*'GS&lt;50 Predicted Monthly'!$V$9</f>
        <v>127480.78990255621</v>
      </c>
      <c r="M117" s="18">
        <f>F117*'GS&lt;50 Predicted Monthly'!$V$10</f>
        <v>812229.96370956383</v>
      </c>
      <c r="N117" s="18">
        <f>G117*'GS&lt;50 Predicted Monthly'!$V$11</f>
        <v>2139159.1218064697</v>
      </c>
      <c r="O117" s="18">
        <f>H117*'GS&lt;50 Predicted Monthly'!$V$12</f>
        <v>1722828.0010148797</v>
      </c>
      <c r="P117" s="18">
        <f>I117*'GS&lt;50 Predicted Monthly'!$V$13</f>
        <v>0</v>
      </c>
      <c r="Q117" s="18">
        <f>SUM(K117:P117)</f>
        <v>2666180.9301752392</v>
      </c>
      <c r="R117" s="18">
        <f>Q117-D117</f>
        <v>34631.328184610233</v>
      </c>
      <c r="S117" s="35">
        <f>ABS(R117/D117)</f>
        <v>1.3160051461091006E-2</v>
      </c>
    </row>
    <row r="118" spans="1:19">
      <c r="A118" s="541">
        <f>'Monthly Data'!A118</f>
        <v>45901</v>
      </c>
      <c r="B118">
        <f t="shared" si="4"/>
        <v>2025</v>
      </c>
      <c r="C118">
        <f t="shared" si="5"/>
        <v>9</v>
      </c>
      <c r="D118" s="31">
        <f>'Monthly Data'!J118</f>
        <v>2310858.2305689845</v>
      </c>
      <c r="E118" s="33">
        <f>'Monthly Data'!AQ118</f>
        <v>178.70416666666671</v>
      </c>
      <c r="F118" s="33">
        <f>'Monthly Data'!AZ118</f>
        <v>73.020833333333343</v>
      </c>
      <c r="G118" s="33">
        <f>'Monthly Data'!AD118</f>
        <v>887796.60117499996</v>
      </c>
      <c r="H118" s="8">
        <f>'Monthly Data'!BU118</f>
        <v>30</v>
      </c>
      <c r="I118" s="18">
        <f>'Monthly Data'!BX118</f>
        <v>0</v>
      </c>
      <c r="K118" s="18">
        <f>'GS&lt;50 Predicted Monthly'!$V$8</f>
        <v>-2135516.9462582301</v>
      </c>
      <c r="L118" s="18">
        <f>E118*'GS&lt;50 Predicted Monthly'!$V$9</f>
        <v>337012.58040069859</v>
      </c>
      <c r="M118" s="18">
        <f>F118*'GS&lt;50 Predicted Monthly'!$V$10</f>
        <v>271117.18706747511</v>
      </c>
      <c r="N118" s="18">
        <f>G118*'GS&lt;50 Predicted Monthly'!$V$11</f>
        <v>2139159.1218064697</v>
      </c>
      <c r="O118" s="18">
        <f>H118*'GS&lt;50 Predicted Monthly'!$V$12</f>
        <v>1667252.9042079481</v>
      </c>
      <c r="P118" s="18">
        <f>I118*'GS&lt;50 Predicted Monthly'!$V$13</f>
        <v>0</v>
      </c>
      <c r="Q118" s="18">
        <f>SUM(K118:P118)</f>
        <v>2279024.8472243613</v>
      </c>
      <c r="R118" s="18">
        <f>Q118-D118</f>
        <v>-31833.38334462326</v>
      </c>
      <c r="S118" s="35">
        <f>ABS(R118/D118)</f>
        <v>1.3775567416260398E-2</v>
      </c>
    </row>
    <row r="119" spans="1:19">
      <c r="A119" s="541">
        <f>'Monthly Data'!A119</f>
        <v>45931</v>
      </c>
      <c r="B119">
        <f t="shared" si="4"/>
        <v>2025</v>
      </c>
      <c r="C119">
        <f t="shared" si="5"/>
        <v>10</v>
      </c>
      <c r="D119" s="31">
        <f>'Monthly Data'!J119</f>
        <v>2422413.8591473396</v>
      </c>
      <c r="E119" s="33">
        <f>'Monthly Data'!AQ119</f>
        <v>347.06666666666666</v>
      </c>
      <c r="F119" s="33">
        <f>'Monthly Data'!AZ119</f>
        <v>37.666666666666671</v>
      </c>
      <c r="G119" s="33">
        <f>'Monthly Data'!AD119</f>
        <v>887796.60117499996</v>
      </c>
      <c r="H119" s="8">
        <f>'Monthly Data'!BU119</f>
        <v>31</v>
      </c>
      <c r="I119" s="18">
        <f>'Monthly Data'!BX119</f>
        <v>0</v>
      </c>
      <c r="K119" s="18">
        <f>'GS&lt;50 Predicted Monthly'!$V$8</f>
        <v>-2135516.9462582301</v>
      </c>
      <c r="L119" s="18">
        <f>E119*'GS&lt;50 Predicted Monthly'!$V$9</f>
        <v>654522.13614345365</v>
      </c>
      <c r="M119" s="18">
        <f>F119*'GS&lt;50 Predicted Monthly'!$V$10</f>
        <v>139851.6046271027</v>
      </c>
      <c r="N119" s="18">
        <f>G119*'GS&lt;50 Predicted Monthly'!$V$11</f>
        <v>2139159.1218064697</v>
      </c>
      <c r="O119" s="18">
        <f>H119*'GS&lt;50 Predicted Monthly'!$V$12</f>
        <v>1722828.0010148797</v>
      </c>
      <c r="P119" s="18">
        <f>I119*'GS&lt;50 Predicted Monthly'!$V$13</f>
        <v>0</v>
      </c>
      <c r="Q119" s="18">
        <f>SUM(K119:P119)</f>
        <v>2520843.9173336755</v>
      </c>
      <c r="R119" s="18">
        <f>Q119-D119</f>
        <v>98430.058186335955</v>
      </c>
      <c r="S119" s="35">
        <f>ABS(R119/D119)</f>
        <v>4.0633047823208104E-2</v>
      </c>
    </row>
    <row r="120" spans="1:19">
      <c r="A120" s="541">
        <f>'Monthly Data'!A120</f>
        <v>45962</v>
      </c>
      <c r="B120">
        <f t="shared" si="4"/>
        <v>2025</v>
      </c>
      <c r="C120">
        <f t="shared" si="5"/>
        <v>11</v>
      </c>
      <c r="D120" s="31">
        <f>'Monthly Data'!J120</f>
        <v>2843005.4877256947</v>
      </c>
      <c r="E120" s="33">
        <f>'Monthly Data'!AQ120</f>
        <v>607.22916666666652</v>
      </c>
      <c r="F120" s="33">
        <f>'Monthly Data'!AZ120</f>
        <v>0</v>
      </c>
      <c r="G120" s="33">
        <f>'Monthly Data'!AD120</f>
        <v>887796.60117499996</v>
      </c>
      <c r="H120" s="8">
        <f>'Monthly Data'!BU120</f>
        <v>30</v>
      </c>
      <c r="I120" s="18">
        <f>'Monthly Data'!BX120</f>
        <v>0</v>
      </c>
      <c r="K120" s="18">
        <f>'GS&lt;50 Predicted Monthly'!$V$8</f>
        <v>-2135516.9462582301</v>
      </c>
      <c r="L120" s="18">
        <f>E120*'GS&lt;50 Predicted Monthly'!$V$9</f>
        <v>1145154.4313156237</v>
      </c>
      <c r="M120" s="18">
        <f>F120*'GS&lt;50 Predicted Monthly'!$V$10</f>
        <v>0</v>
      </c>
      <c r="N120" s="18">
        <f>G120*'GS&lt;50 Predicted Monthly'!$V$11</f>
        <v>2139159.1218064697</v>
      </c>
      <c r="O120" s="18">
        <f>H120*'GS&lt;50 Predicted Monthly'!$V$12</f>
        <v>1667252.9042079481</v>
      </c>
      <c r="P120" s="18">
        <f>I120*'GS&lt;50 Predicted Monthly'!$V$13</f>
        <v>0</v>
      </c>
      <c r="Q120" s="18">
        <f>SUM(K120:P120)</f>
        <v>2816049.5110718114</v>
      </c>
      <c r="R120" s="18">
        <f>Q120-D120</f>
        <v>-26955.976653883234</v>
      </c>
      <c r="S120" s="35">
        <f>ABS(R120/D120)</f>
        <v>9.4815070777253679E-3</v>
      </c>
    </row>
    <row r="121" spans="1:19" ht="13.9" customHeight="1">
      <c r="A121" s="541">
        <f>'Monthly Data'!A121</f>
        <v>45992</v>
      </c>
      <c r="B121">
        <f t="shared" si="4"/>
        <v>2025</v>
      </c>
      <c r="C121">
        <f t="shared" si="5"/>
        <v>12</v>
      </c>
      <c r="D121" s="31">
        <f>'Monthly Data'!J121</f>
        <v>3449857.1163040497</v>
      </c>
      <c r="E121" s="33">
        <f>'Monthly Data'!AQ121</f>
        <v>915.94583333333321</v>
      </c>
      <c r="F121" s="33">
        <f>'Monthly Data'!AZ121</f>
        <v>0</v>
      </c>
      <c r="G121" s="33">
        <f>'Monthly Data'!AD121</f>
        <v>887796.60117499996</v>
      </c>
      <c r="H121" s="8">
        <f>'Monthly Data'!BU121</f>
        <v>31</v>
      </c>
      <c r="I121" s="18">
        <f>'Monthly Data'!BX121</f>
        <v>0</v>
      </c>
      <c r="K121" s="18">
        <f>'GS&lt;50 Predicted Monthly'!$V$8</f>
        <v>-2135516.9462582301</v>
      </c>
      <c r="L121" s="18">
        <f>E121*'GS&lt;50 Predicted Monthly'!$V$9</f>
        <v>1727353.5058346975</v>
      </c>
      <c r="M121" s="18">
        <f>F121*'GS&lt;50 Predicted Monthly'!$V$10</f>
        <v>0</v>
      </c>
      <c r="N121" s="18">
        <f>G121*'GS&lt;50 Predicted Monthly'!$V$11</f>
        <v>2139159.1218064697</v>
      </c>
      <c r="O121" s="18">
        <f>H121*'GS&lt;50 Predicted Monthly'!$V$12</f>
        <v>1722828.0010148797</v>
      </c>
      <c r="P121" s="18">
        <f>I121*'GS&lt;50 Predicted Monthly'!$V$13</f>
        <v>0</v>
      </c>
      <c r="Q121" s="18">
        <f>SUM(K121:P121)</f>
        <v>3453823.6823978168</v>
      </c>
      <c r="R121" s="18">
        <f>Q121-D121</f>
        <v>3966.5660937670618</v>
      </c>
      <c r="S121" s="35">
        <f>ABS(R121/D121)</f>
        <v>1.1497769212008931E-3</v>
      </c>
    </row>
    <row r="122" spans="1:19">
      <c r="A122" s="9"/>
      <c r="S122" s="36">
        <f>AVERAGE(S50:S121)</f>
        <v>2.0547851926964553E-2</v>
      </c>
    </row>
    <row r="123" spans="1:19">
      <c r="A123" s="9"/>
    </row>
    <row r="124" spans="1:19">
      <c r="A124" s="9"/>
    </row>
    <row r="125" spans="1:19">
      <c r="A125" s="9"/>
    </row>
    <row r="126" spans="1:19">
      <c r="A126" s="9"/>
    </row>
    <row r="127" spans="1:19">
      <c r="A127" s="9"/>
    </row>
    <row r="128" spans="1:19">
      <c r="A128" s="9"/>
    </row>
    <row r="129" spans="1:1">
      <c r="A129" s="9"/>
    </row>
    <row r="130" spans="1:1">
      <c r="A130" s="9"/>
    </row>
    <row r="131" spans="1:1">
      <c r="A131" s="9"/>
    </row>
    <row r="132" spans="1:1">
      <c r="A132" s="9"/>
    </row>
    <row r="133" spans="1:1">
      <c r="A133" s="9"/>
    </row>
    <row r="134" spans="1:1">
      <c r="A134" s="9"/>
    </row>
    <row r="135" spans="1:1">
      <c r="A135" s="9"/>
    </row>
    <row r="136" spans="1:1">
      <c r="A136" s="9"/>
    </row>
    <row r="137" spans="1:1">
      <c r="A137" s="9"/>
    </row>
    <row r="138" spans="1:1">
      <c r="A138" s="9"/>
    </row>
    <row r="139" spans="1:1">
      <c r="A139" s="9"/>
    </row>
    <row r="140" spans="1:1">
      <c r="A140" s="9"/>
    </row>
    <row r="141" spans="1:1">
      <c r="A141" s="9"/>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7"/>
  <dimension ref="A1:U141"/>
  <sheetViews>
    <sheetView topLeftCell="H22" workbookViewId="0">
      <selection activeCell="P24" sqref="P24"/>
    </sheetView>
  </sheetViews>
  <sheetFormatPr defaultColWidth="9.33203125" defaultRowHeight="13.15"/>
  <cols>
    <col min="1" max="1" width="10.5" bestFit="1" customWidth="1"/>
    <col min="4" max="4" width="20.1640625" bestFit="1" customWidth="1"/>
    <col min="8" max="8" width="14.6640625" bestFit="1" customWidth="1"/>
    <col min="9" max="9" width="12.83203125" bestFit="1" customWidth="1"/>
    <col min="10" max="10" width="13.83203125" bestFit="1" customWidth="1"/>
    <col min="11" max="11" width="18.1640625" customWidth="1"/>
    <col min="12" max="12" width="13.83203125" customWidth="1"/>
    <col min="15" max="15" width="13.83203125" bestFit="1" customWidth="1"/>
    <col min="16" max="16" width="13.5" customWidth="1"/>
    <col min="17" max="17" width="13.83203125" bestFit="1" customWidth="1"/>
    <col min="18" max="18" width="12.83203125" bestFit="1" customWidth="1"/>
    <col min="19" max="19" width="12.6640625" bestFit="1" customWidth="1"/>
    <col min="20" max="20" width="18" bestFit="1" customWidth="1"/>
    <col min="21" max="21" width="12.83203125" bestFit="1" customWidth="1"/>
  </cols>
  <sheetData>
    <row r="1" spans="1:21">
      <c r="A1" s="266" t="str">
        <f>'Monthly Data'!A1</f>
        <v>Date</v>
      </c>
      <c r="B1" s="258" t="s">
        <v>27</v>
      </c>
      <c r="C1" s="258" t="s">
        <v>28</v>
      </c>
      <c r="D1" s="267" t="str">
        <f>'Monthly Data'!N1</f>
        <v>GS_gt_50_NoCDM</v>
      </c>
      <c r="E1" s="268" t="str">
        <f>'Monthly Data'!AQ1</f>
        <v>HDD20</v>
      </c>
      <c r="F1" s="268" t="str">
        <f>'Monthly Data'!BB1</f>
        <v>CDD10</v>
      </c>
      <c r="H1" s="258" t="s">
        <v>187</v>
      </c>
      <c r="I1" s="268" t="str">
        <f>E1</f>
        <v>HDD20</v>
      </c>
      <c r="J1" s="268" t="str">
        <f>F1</f>
        <v>CDD10</v>
      </c>
      <c r="K1" s="258" t="s">
        <v>188</v>
      </c>
      <c r="L1" s="258" t="s">
        <v>189</v>
      </c>
    </row>
    <row r="2" spans="1:21">
      <c r="A2" s="541">
        <f>'Monthly Data'!A2</f>
        <v>42370</v>
      </c>
      <c r="B2">
        <f t="shared" ref="B2:B10" si="0">YEAR(A2)</f>
        <v>2016</v>
      </c>
      <c r="C2">
        <f t="shared" ref="C2:C10" si="1">MONTH(A2)</f>
        <v>1</v>
      </c>
      <c r="D2" s="31">
        <f>'Monthly Data'!N2</f>
        <v>15958.100961538461</v>
      </c>
      <c r="E2" s="33">
        <f>'Monthly Data'!AQ2</f>
        <v>887.26875000000007</v>
      </c>
      <c r="F2" s="33">
        <f>'Monthly Data'!BB2</f>
        <v>0</v>
      </c>
      <c r="H2" s="18">
        <f>'GS&gt;50 Predicted Monthly'!$P$9</f>
        <v>4197710.1274672803</v>
      </c>
      <c r="I2" s="18">
        <f>E2*'GS&gt;50 Predicted Monthly'!$P$10</f>
        <v>3082319.2120857132</v>
      </c>
      <c r="J2" s="18">
        <f>F2*'GS&gt;50 Predicted Monthly'!$P$11</f>
        <v>0</v>
      </c>
      <c r="K2" s="18">
        <f>SUM(H2:J2)</f>
        <v>7280029.339552993</v>
      </c>
      <c r="L2" s="18">
        <f>K2-D2</f>
        <v>7264071.2385914549</v>
      </c>
      <c r="M2" s="35">
        <f>ABS(L2/D2)</f>
        <v>455.19647081435392</v>
      </c>
    </row>
    <row r="3" spans="1:21">
      <c r="A3" s="541">
        <f>'Monthly Data'!A3</f>
        <v>42401</v>
      </c>
      <c r="B3">
        <f t="shared" si="0"/>
        <v>2016</v>
      </c>
      <c r="C3">
        <f t="shared" si="1"/>
        <v>2</v>
      </c>
      <c r="D3" s="31">
        <f>'Monthly Data'!N3</f>
        <v>18085.847756410258</v>
      </c>
      <c r="E3" s="33">
        <f>'Monthly Data'!AQ3</f>
        <v>864.28750000000002</v>
      </c>
      <c r="F3" s="33">
        <f>'Monthly Data'!BB3</f>
        <v>0</v>
      </c>
      <c r="H3" s="18">
        <f>'GS&gt;50 Predicted Monthly'!$P$9</f>
        <v>4197710.1274672803</v>
      </c>
      <c r="I3" s="18">
        <f>E3*'GS&gt;50 Predicted Monthly'!$P$10</f>
        <v>3002483.7074624011</v>
      </c>
      <c r="J3" s="18">
        <f>F3*'GS&gt;50 Predicted Monthly'!$P$11</f>
        <v>0</v>
      </c>
      <c r="K3" s="18">
        <f>SUM(H3:J3)</f>
        <v>7200193.8349296814</v>
      </c>
      <c r="L3" s="18">
        <f>K3-D3</f>
        <v>7182107.9871732714</v>
      </c>
      <c r="M3" s="35">
        <f>ABS(L3/D3)</f>
        <v>397.11204494838682</v>
      </c>
    </row>
    <row r="4" spans="1:21">
      <c r="A4" s="541">
        <f>'Monthly Data'!A4</f>
        <v>42430</v>
      </c>
      <c r="B4">
        <f t="shared" si="0"/>
        <v>2016</v>
      </c>
      <c r="C4">
        <f t="shared" si="1"/>
        <v>3</v>
      </c>
      <c r="D4" s="31">
        <f>'Monthly Data'!N4</f>
        <v>20213.594551282051</v>
      </c>
      <c r="E4" s="33">
        <f>'Monthly Data'!AQ4</f>
        <v>694.14374999999995</v>
      </c>
      <c r="F4" s="33">
        <f>'Monthly Data'!BB4</f>
        <v>0</v>
      </c>
      <c r="H4" s="18">
        <f>'GS&gt;50 Predicted Monthly'!$P$9</f>
        <v>4197710.1274672803</v>
      </c>
      <c r="I4" s="18">
        <f>E4*'GS&gt;50 Predicted Monthly'!$P$10</f>
        <v>2411414.3731245147</v>
      </c>
      <c r="J4" s="18">
        <f>F4*'GS&gt;50 Predicted Monthly'!$P$11</f>
        <v>0</v>
      </c>
      <c r="K4" s="18">
        <f>SUM(H4:J4)</f>
        <v>6609124.500591795</v>
      </c>
      <c r="L4" s="18">
        <f>K4-D4</f>
        <v>6588910.906040513</v>
      </c>
      <c r="M4" s="35">
        <f>ABS(L4/D4)</f>
        <v>325.96433500852078</v>
      </c>
      <c r="O4" t="s">
        <v>215</v>
      </c>
    </row>
    <row r="5" spans="1:21">
      <c r="A5" s="541">
        <f>'Monthly Data'!A5</f>
        <v>42461</v>
      </c>
      <c r="B5">
        <f t="shared" si="0"/>
        <v>2016</v>
      </c>
      <c r="C5">
        <f t="shared" si="1"/>
        <v>4</v>
      </c>
      <c r="D5" s="31">
        <f>'Monthly Data'!N5</f>
        <v>22341.341346153844</v>
      </c>
      <c r="E5" s="33">
        <f>'Monthly Data'!AQ5</f>
        <v>544.44166666666672</v>
      </c>
      <c r="F5" s="33">
        <f>'Monthly Data'!BB5</f>
        <v>0</v>
      </c>
      <c r="H5" s="18">
        <f>'GS&gt;50 Predicted Monthly'!$P$9</f>
        <v>4197710.1274672803</v>
      </c>
      <c r="I5" s="18">
        <f>E5*'GS&gt;50 Predicted Monthly'!$P$10</f>
        <v>1891358.180964485</v>
      </c>
      <c r="J5" s="18">
        <f>F5*'GS&gt;50 Predicted Monthly'!$P$11</f>
        <v>0</v>
      </c>
      <c r="K5" s="18">
        <f>SUM(H5:J5)</f>
        <v>6089068.3084317651</v>
      </c>
      <c r="L5" s="18">
        <f>K5-D5</f>
        <v>6066726.9670856111</v>
      </c>
      <c r="M5" s="35">
        <f>ABS(L5/D5)</f>
        <v>271.54712302580811</v>
      </c>
      <c r="O5" t="s">
        <v>216</v>
      </c>
    </row>
    <row r="6" spans="1:21">
      <c r="A6" s="541">
        <f>'Monthly Data'!A6</f>
        <v>42491</v>
      </c>
      <c r="B6">
        <f t="shared" si="0"/>
        <v>2016</v>
      </c>
      <c r="C6">
        <f t="shared" si="1"/>
        <v>5</v>
      </c>
      <c r="D6" s="31">
        <f>'Monthly Data'!N6</f>
        <v>24469.088141025641</v>
      </c>
      <c r="E6" s="33">
        <f>'Monthly Data'!AQ6</f>
        <v>215.85833333333335</v>
      </c>
      <c r="F6" s="33">
        <f>'Monthly Data'!BB6</f>
        <v>131.05416666666662</v>
      </c>
      <c r="H6" s="18">
        <f>'GS&gt;50 Predicted Monthly'!$P$9</f>
        <v>4197710.1274672803</v>
      </c>
      <c r="I6" s="18">
        <f>E6*'GS&gt;50 Predicted Monthly'!$P$10</f>
        <v>749879.09573298413</v>
      </c>
      <c r="J6" s="18">
        <f>F6*'GS&gt;50 Predicted Monthly'!$P$11</f>
        <v>864801.46384203888</v>
      </c>
      <c r="K6" s="18">
        <f>SUM(H6:J6)</f>
        <v>5812390.6870423034</v>
      </c>
      <c r="L6" s="18">
        <f>K6-D6</f>
        <v>5787921.5989012774</v>
      </c>
      <c r="M6" s="35">
        <f>ABS(L6/D6)</f>
        <v>236.54014262987866</v>
      </c>
      <c r="O6" t="s">
        <v>217</v>
      </c>
    </row>
    <row r="7" spans="1:21">
      <c r="A7" s="541">
        <f>'Monthly Data'!A7</f>
        <v>42522</v>
      </c>
      <c r="B7">
        <f t="shared" si="0"/>
        <v>2016</v>
      </c>
      <c r="C7">
        <f t="shared" si="1"/>
        <v>6</v>
      </c>
      <c r="D7" s="31">
        <f>'Monthly Data'!N7</f>
        <v>26596.834935897437</v>
      </c>
      <c r="E7" s="33">
        <f>'Monthly Data'!AQ7</f>
        <v>99.395833333333343</v>
      </c>
      <c r="F7" s="33">
        <f>'Monthly Data'!BB7</f>
        <v>220.87916666666666</v>
      </c>
      <c r="H7" s="18">
        <f>'GS&gt;50 Predicted Monthly'!$P$9</f>
        <v>4197710.1274672803</v>
      </c>
      <c r="I7" s="18">
        <f>E7*'GS&gt;50 Predicted Monthly'!$P$10</f>
        <v>345295.2520694579</v>
      </c>
      <c r="J7" s="18">
        <f>F7*'GS&gt;50 Predicted Monthly'!$P$11</f>
        <v>1457539.5160948189</v>
      </c>
      <c r="K7" s="18">
        <f>SUM(H7:J7)</f>
        <v>6000544.8956315573</v>
      </c>
      <c r="L7" s="18">
        <f>K7-D7</f>
        <v>5973948.0606956603</v>
      </c>
      <c r="M7" s="35">
        <f>ABS(L7/D7)</f>
        <v>224.61123946115455</v>
      </c>
    </row>
    <row r="8" spans="1:21">
      <c r="A8" s="541">
        <f>'Monthly Data'!A8</f>
        <v>42552</v>
      </c>
      <c r="B8">
        <f t="shared" si="0"/>
        <v>2016</v>
      </c>
      <c r="C8">
        <f t="shared" si="1"/>
        <v>7</v>
      </c>
      <c r="D8" s="31">
        <f>'Monthly Data'!N8</f>
        <v>28724.58173076923</v>
      </c>
      <c r="E8" s="33">
        <f>'Monthly Data'!AQ8</f>
        <v>31.595833333333335</v>
      </c>
      <c r="F8" s="33">
        <f>'Monthly Data'!BB8</f>
        <v>320.39583333333326</v>
      </c>
      <c r="H8" s="18">
        <f>'GS&gt;50 Predicted Monthly'!$P$9</f>
        <v>4197710.1274672803</v>
      </c>
      <c r="I8" s="18">
        <f>E8*'GS&gt;50 Predicted Monthly'!$P$10</f>
        <v>109762.05811958497</v>
      </c>
      <c r="J8" s="18">
        <f>F8*'GS&gt;50 Predicted Monthly'!$P$11</f>
        <v>2114231.029222446</v>
      </c>
      <c r="K8" s="18">
        <f>SUM(H8:J8)</f>
        <v>6421703.2148093116</v>
      </c>
      <c r="L8" s="18">
        <f>K8-D8</f>
        <v>6392978.6330785425</v>
      </c>
      <c r="M8" s="35">
        <f>ABS(L8/D8)</f>
        <v>222.56124364138276</v>
      </c>
      <c r="P8" t="s">
        <v>193</v>
      </c>
      <c r="Q8" t="s">
        <v>194</v>
      </c>
      <c r="R8" t="s">
        <v>195</v>
      </c>
      <c r="S8" t="s">
        <v>196</v>
      </c>
    </row>
    <row r="9" spans="1:21">
      <c r="A9" s="541">
        <f>'Monthly Data'!A9</f>
        <v>42583</v>
      </c>
      <c r="B9">
        <f t="shared" si="0"/>
        <v>2016</v>
      </c>
      <c r="C9">
        <f t="shared" si="1"/>
        <v>8</v>
      </c>
      <c r="D9" s="31">
        <f>'Monthly Data'!N9</f>
        <v>30852.328525641024</v>
      </c>
      <c r="E9" s="33">
        <f>'Monthly Data'!AQ9</f>
        <v>19.462499999999999</v>
      </c>
      <c r="F9" s="33">
        <f>'Monthly Data'!BB9</f>
        <v>336.35833333333329</v>
      </c>
      <c r="H9" s="18">
        <f>'GS&gt;50 Predicted Monthly'!$P$9</f>
        <v>4197710.1274672803</v>
      </c>
      <c r="I9" s="18">
        <f>E9*'GS&gt;50 Predicted Monthly'!$P$10</f>
        <v>67611.57503317701</v>
      </c>
      <c r="J9" s="18">
        <f>F9*'GS&gt;50 Predicted Monthly'!$P$11</f>
        <v>2219564.5238963678</v>
      </c>
      <c r="K9" s="18">
        <f>SUM(H9:J9)</f>
        <v>6484886.2263968252</v>
      </c>
      <c r="L9" s="18">
        <f>K9-D9</f>
        <v>6454033.8978711842</v>
      </c>
      <c r="M9" s="35">
        <f>ABS(L9/D9)</f>
        <v>209.19114395230523</v>
      </c>
      <c r="O9" t="s">
        <v>187</v>
      </c>
      <c r="P9" s="18">
        <v>4197710.1274672803</v>
      </c>
      <c r="Q9" s="297">
        <v>750865.45088407199</v>
      </c>
      <c r="R9" s="297">
        <v>5.59049577061361</v>
      </c>
      <c r="S9" s="298">
        <v>4.2050205693048399E-7</v>
      </c>
    </row>
    <row r="10" spans="1:21">
      <c r="A10" s="541">
        <f>'Monthly Data'!A10</f>
        <v>42614</v>
      </c>
      <c r="B10">
        <f t="shared" si="0"/>
        <v>2016</v>
      </c>
      <c r="C10">
        <f t="shared" si="1"/>
        <v>9</v>
      </c>
      <c r="D10" s="31">
        <f>'Monthly Data'!N10</f>
        <v>32980.07532051282</v>
      </c>
      <c r="E10" s="33">
        <f>'Monthly Data'!AQ10</f>
        <v>150.00416666666666</v>
      </c>
      <c r="F10" s="33">
        <f>'Monthly Data'!BB10</f>
        <v>159.27499999999998</v>
      </c>
      <c r="H10" s="18">
        <f>'GS&gt;50 Predicted Monthly'!$P$9</f>
        <v>4197710.1274672803</v>
      </c>
      <c r="I10" s="18">
        <f>E10*'GS&gt;50 Predicted Monthly'!$P$10</f>
        <v>521105.61181104812</v>
      </c>
      <c r="J10" s="18">
        <f>F10*'GS&gt;50 Predicted Monthly'!$P$11</f>
        <v>1051025.3634574059</v>
      </c>
      <c r="K10" s="18">
        <f>SUM(H10:J10)</f>
        <v>5769841.1027357345</v>
      </c>
      <c r="L10" s="18">
        <f>K10-D10</f>
        <v>5736861.0274152216</v>
      </c>
      <c r="M10" s="35">
        <f>ABS(L10/D10)</f>
        <v>173.94930034762629</v>
      </c>
      <c r="O10" t="s">
        <v>68</v>
      </c>
      <c r="P10" s="18">
        <v>3473.9409137149401</v>
      </c>
      <c r="Q10" s="297">
        <v>429.603144190953</v>
      </c>
      <c r="R10" s="297">
        <v>8.0863954575034906</v>
      </c>
      <c r="S10" s="298">
        <v>1.38928055599766E-11</v>
      </c>
    </row>
    <row r="11" spans="1:21">
      <c r="A11" s="541">
        <f>'Monthly Data'!A11</f>
        <v>42644</v>
      </c>
      <c r="B11">
        <f t="shared" ref="B11:B74" si="2">YEAR(A11)</f>
        <v>2016</v>
      </c>
      <c r="C11">
        <f t="shared" ref="C11:C74" si="3">MONTH(A11)</f>
        <v>10</v>
      </c>
      <c r="D11" s="31">
        <f>'Monthly Data'!N11</f>
        <v>35107.822115384617</v>
      </c>
      <c r="E11" s="33">
        <f>'Monthly Data'!AQ11</f>
        <v>371.38749999999993</v>
      </c>
      <c r="F11" s="33">
        <f>'Monthly Data'!BB11</f>
        <v>41.08750000000002</v>
      </c>
      <c r="H11" s="18">
        <f>'GS&gt;50 Predicted Monthly'!$P$9</f>
        <v>4197710.1274672803</v>
      </c>
      <c r="I11" s="18">
        <f>E11*'GS&gt;50 Predicted Monthly'!$P$10</f>
        <v>1290178.231092307</v>
      </c>
      <c r="J11" s="18">
        <f>F11*'GS&gt;50 Predicted Monthly'!$P$11</f>
        <v>271128.58026090841</v>
      </c>
      <c r="K11" s="18">
        <f>SUM(H11:J11)</f>
        <v>5759016.9388204953</v>
      </c>
      <c r="L11" s="18">
        <f>K11-D11</f>
        <v>5723909.1167051103</v>
      </c>
      <c r="M11" s="35">
        <f>ABS(L11/D11)</f>
        <v>163.03800041748624</v>
      </c>
      <c r="O11" t="s">
        <v>79</v>
      </c>
      <c r="P11" s="18">
        <v>6598.8093765964904</v>
      </c>
      <c r="Q11" s="297">
        <v>910.99275303247896</v>
      </c>
      <c r="R11" s="297">
        <v>7.2435366303745203</v>
      </c>
      <c r="S11" s="298">
        <v>4.8058424419290902E-10</v>
      </c>
    </row>
    <row r="12" spans="1:21">
      <c r="A12" s="541">
        <f>'Monthly Data'!A12</f>
        <v>42675</v>
      </c>
      <c r="B12">
        <f t="shared" si="2"/>
        <v>2016</v>
      </c>
      <c r="C12">
        <f t="shared" si="3"/>
        <v>11</v>
      </c>
      <c r="D12" s="31">
        <f>'Monthly Data'!N12</f>
        <v>37235.568910256407</v>
      </c>
      <c r="E12" s="33">
        <f>'Monthly Data'!AQ12</f>
        <v>532.77083333333348</v>
      </c>
      <c r="F12" s="33">
        <f>'Monthly Data'!BB12</f>
        <v>0</v>
      </c>
      <c r="H12" s="18">
        <f>'GS&gt;50 Predicted Monthly'!$P$9</f>
        <v>4197710.1274672803</v>
      </c>
      <c r="I12" s="18">
        <f>E12*'GS&gt;50 Predicted Monthly'!$P$10</f>
        <v>1850814.3955506706</v>
      </c>
      <c r="J12" s="18">
        <f>F12*'GS&gt;50 Predicted Monthly'!$P$11</f>
        <v>0</v>
      </c>
      <c r="K12" s="18">
        <f>SUM(H12:J12)</f>
        <v>6048524.5230179504</v>
      </c>
      <c r="L12" s="18">
        <f>K12-D12</f>
        <v>6011288.9541076943</v>
      </c>
      <c r="M12" s="35">
        <f>ABS(L12/D12)</f>
        <v>161.43942821434658</v>
      </c>
      <c r="P12" s="18"/>
      <c r="Q12" s="297"/>
      <c r="R12" s="297"/>
      <c r="S12" s="298"/>
      <c r="U12" s="278"/>
    </row>
    <row r="13" spans="1:21">
      <c r="A13" s="541">
        <f>'Monthly Data'!A13</f>
        <v>42705</v>
      </c>
      <c r="B13">
        <f t="shared" si="2"/>
        <v>2016</v>
      </c>
      <c r="C13">
        <f t="shared" si="3"/>
        <v>12</v>
      </c>
      <c r="D13" s="31">
        <f>'Monthly Data'!N13</f>
        <v>75087416.315705135</v>
      </c>
      <c r="E13" s="33">
        <f>'Monthly Data'!AQ13</f>
        <v>812.63333333333298</v>
      </c>
      <c r="F13" s="33">
        <f>'Monthly Data'!BB13</f>
        <v>0</v>
      </c>
      <c r="H13" s="18">
        <f>'GS&gt;50 Predicted Monthly'!$P$9</f>
        <v>4197710.1274672803</v>
      </c>
      <c r="I13" s="18">
        <f>E13*'GS&gt;50 Predicted Monthly'!$P$10</f>
        <v>2823040.1845152164</v>
      </c>
      <c r="J13" s="18">
        <f>F13*'GS&gt;50 Predicted Monthly'!$P$11</f>
        <v>0</v>
      </c>
      <c r="K13" s="18">
        <f>SUM(H13:J13)</f>
        <v>7020750.3119824966</v>
      </c>
      <c r="L13" s="18">
        <f>K13-D13</f>
        <v>-68066666.003722638</v>
      </c>
      <c r="M13" s="35">
        <f>ABS(L13/D13)</f>
        <v>0.90649897604062257</v>
      </c>
      <c r="O13" t="s">
        <v>198</v>
      </c>
      <c r="P13" s="20"/>
      <c r="Q13" s="20"/>
      <c r="R13" s="297"/>
      <c r="S13" s="298"/>
      <c r="U13" s="278"/>
    </row>
    <row r="14" spans="1:21">
      <c r="A14" s="541">
        <f>'Monthly Data'!A14</f>
        <v>42736</v>
      </c>
      <c r="B14">
        <f t="shared" si="2"/>
        <v>2017</v>
      </c>
      <c r="C14">
        <f t="shared" si="3"/>
        <v>1</v>
      </c>
      <c r="D14" s="31">
        <f>'Monthly Data'!N14</f>
        <v>55821.970352564102</v>
      </c>
      <c r="E14" s="33">
        <f>'Monthly Data'!AQ14</f>
        <v>835.17083333333335</v>
      </c>
      <c r="F14" s="33">
        <f>'Monthly Data'!BB14</f>
        <v>0</v>
      </c>
      <c r="H14" s="18">
        <f>'GS&gt;50 Predicted Monthly'!$P$9</f>
        <v>4197710.1274672803</v>
      </c>
      <c r="I14" s="18">
        <f>E14*'GS&gt;50 Predicted Monthly'!$P$10</f>
        <v>2901334.1278580679</v>
      </c>
      <c r="J14" s="18">
        <f>F14*'GS&gt;50 Predicted Monthly'!$P$11</f>
        <v>0</v>
      </c>
      <c r="K14" s="18">
        <f>SUM(H14:J14)</f>
        <v>7099044.2553253481</v>
      </c>
      <c r="L14" s="18">
        <f>K14-D14</f>
        <v>7043222.2849727841</v>
      </c>
      <c r="M14" s="35">
        <f>ABS(L14/D14)</f>
        <v>126.17294302742691</v>
      </c>
      <c r="O14" t="s">
        <v>199</v>
      </c>
      <c r="P14" s="537">
        <v>15550803150224.199</v>
      </c>
      <c r="Q14" t="s">
        <v>200</v>
      </c>
      <c r="R14" s="18">
        <v>474735.67245247302</v>
      </c>
      <c r="S14" s="298"/>
    </row>
    <row r="15" spans="1:21">
      <c r="A15" s="541">
        <f>'Monthly Data'!A15</f>
        <v>42767</v>
      </c>
      <c r="B15">
        <f t="shared" si="2"/>
        <v>2017</v>
      </c>
      <c r="C15">
        <f t="shared" si="3"/>
        <v>2</v>
      </c>
      <c r="D15" s="31">
        <f>'Monthly Data'!N15</f>
        <v>59576.805288461539</v>
      </c>
      <c r="E15" s="33">
        <f>'Monthly Data'!AQ15</f>
        <v>738.8125</v>
      </c>
      <c r="F15" s="33">
        <f>'Monthly Data'!BB15</f>
        <v>0</v>
      </c>
      <c r="H15" s="18">
        <f>'GS&gt;50 Predicted Monthly'!$P$9</f>
        <v>4197710.1274672803</v>
      </c>
      <c r="I15" s="18">
        <f>E15*'GS&gt;50 Predicted Monthly'!$P$10</f>
        <v>2566590.9713140191</v>
      </c>
      <c r="J15" s="18">
        <f>F15*'GS&gt;50 Predicted Monthly'!$P$11</f>
        <v>0</v>
      </c>
      <c r="K15" s="18">
        <f>SUM(H15:J15)</f>
        <v>6764301.0987812988</v>
      </c>
      <c r="L15" s="18">
        <f>K15-D15</f>
        <v>6704724.2934928369</v>
      </c>
      <c r="M15" s="35">
        <f>ABS(L15/D15)</f>
        <v>112.53917126018447</v>
      </c>
      <c r="O15" t="s">
        <v>201</v>
      </c>
      <c r="P15" s="538">
        <v>0.68890613899026698</v>
      </c>
      <c r="Q15" t="s">
        <v>202</v>
      </c>
      <c r="R15" s="538">
        <v>0.67988892562766601</v>
      </c>
      <c r="S15" s="298"/>
    </row>
    <row r="16" spans="1:21">
      <c r="A16" s="541">
        <f>'Monthly Data'!A16</f>
        <v>42795</v>
      </c>
      <c r="B16">
        <f t="shared" si="2"/>
        <v>2017</v>
      </c>
      <c r="C16">
        <f t="shared" si="3"/>
        <v>3</v>
      </c>
      <c r="D16" s="31">
        <f>'Monthly Data'!N16</f>
        <v>63331.640224358969</v>
      </c>
      <c r="E16" s="33">
        <f>'Monthly Data'!AQ16</f>
        <v>818.92500000000018</v>
      </c>
      <c r="F16" s="33">
        <f>'Monthly Data'!BB16</f>
        <v>0</v>
      </c>
      <c r="H16" s="18">
        <f>'GS&gt;50 Predicted Monthly'!$P$9</f>
        <v>4197710.1274672803</v>
      </c>
      <c r="I16" s="18">
        <f>E16*'GS&gt;50 Predicted Monthly'!$P$10</f>
        <v>2844897.0627640081</v>
      </c>
      <c r="J16" s="18">
        <f>F16*'GS&gt;50 Predicted Monthly'!$P$11</f>
        <v>0</v>
      </c>
      <c r="K16" s="18">
        <f>SUM(H16:J16)</f>
        <v>7042607.1902312879</v>
      </c>
      <c r="L16" s="18">
        <f>K16-D16</f>
        <v>6979275.5500069289</v>
      </c>
      <c r="M16" s="35">
        <f>ABS(L16/D16)</f>
        <v>110.20203369567113</v>
      </c>
      <c r="O16" t="s">
        <v>218</v>
      </c>
      <c r="P16" s="13">
        <v>44.896057590899296</v>
      </c>
      <c r="Q16" t="s">
        <v>204</v>
      </c>
      <c r="R16" s="32">
        <v>3.2485938381109202E-13</v>
      </c>
    </row>
    <row r="17" spans="1:18">
      <c r="A17" s="541">
        <f>'Monthly Data'!A17</f>
        <v>42826</v>
      </c>
      <c r="B17">
        <f t="shared" si="2"/>
        <v>2017</v>
      </c>
      <c r="C17">
        <f t="shared" si="3"/>
        <v>4</v>
      </c>
      <c r="D17" s="31">
        <f>'Monthly Data'!N17</f>
        <v>67086.475160256407</v>
      </c>
      <c r="E17" s="33">
        <f>'Monthly Data'!AQ17</f>
        <v>427.46041666666662</v>
      </c>
      <c r="F17" s="33">
        <f>'Monthly Data'!BB17</f>
        <v>13.695833333333335</v>
      </c>
      <c r="H17" s="18">
        <f>'GS&gt;50 Predicted Monthly'!$P$9</f>
        <v>4197710.1274672803</v>
      </c>
      <c r="I17" s="18">
        <f>E17*'GS&gt;50 Predicted Monthly'!$P$10</f>
        <v>1484972.2304519687</v>
      </c>
      <c r="J17" s="18">
        <f>F17*'GS&gt;50 Predicted Monthly'!$P$11</f>
        <v>90376.193420302778</v>
      </c>
      <c r="K17" s="18">
        <f>SUM(H17:J17)</f>
        <v>5773058.5513395518</v>
      </c>
      <c r="L17" s="18">
        <f>K17-D17</f>
        <v>5705972.0761792958</v>
      </c>
      <c r="M17" s="35">
        <f>ABS(L17/D17)</f>
        <v>85.053985360668449</v>
      </c>
      <c r="O17" t="s">
        <v>205</v>
      </c>
      <c r="P17" s="538">
        <v>0.29815218886276601</v>
      </c>
      <c r="Q17" t="s">
        <v>206</v>
      </c>
      <c r="R17" s="538">
        <v>1.33544101716941</v>
      </c>
    </row>
    <row r="18" spans="1:18">
      <c r="A18" s="541">
        <f>'Monthly Data'!A18</f>
        <v>42856</v>
      </c>
      <c r="B18">
        <f t="shared" si="2"/>
        <v>2017</v>
      </c>
      <c r="C18">
        <f t="shared" si="3"/>
        <v>5</v>
      </c>
      <c r="D18" s="31">
        <f>'Monthly Data'!N18</f>
        <v>70841.310096153844</v>
      </c>
      <c r="E18" s="33">
        <f>'Monthly Data'!AQ18</f>
        <v>278.46250000000009</v>
      </c>
      <c r="F18" s="33">
        <f>'Monthly Data'!BB18</f>
        <v>86.966666666666654</v>
      </c>
      <c r="H18" s="18">
        <f>'GS&gt;50 Predicted Monthly'!$P$9</f>
        <v>4197710.1274672803</v>
      </c>
      <c r="I18" s="18">
        <f>E18*'GS&gt;50 Predicted Monthly'!$P$10</f>
        <v>967362.27168534684</v>
      </c>
      <c r="J18" s="18">
        <f>F18*'GS&gt;50 Predicted Monthly'!$P$11</f>
        <v>573876.45545134135</v>
      </c>
      <c r="K18" s="18">
        <f>SUM(H18:J18)</f>
        <v>5738948.8546039686</v>
      </c>
      <c r="L18" s="18">
        <f>K18-D18</f>
        <v>5668107.5445078146</v>
      </c>
      <c r="M18" s="35">
        <f>ABS(L18/D18)</f>
        <v>80.011331478969225</v>
      </c>
    </row>
    <row r="19" spans="1:18">
      <c r="A19" s="541">
        <f>'Monthly Data'!A19</f>
        <v>42887</v>
      </c>
      <c r="B19">
        <f t="shared" si="2"/>
        <v>2017</v>
      </c>
      <c r="C19">
        <f t="shared" si="3"/>
        <v>6</v>
      </c>
      <c r="D19" s="31">
        <f>'Monthly Data'!N19</f>
        <v>74596.145032051281</v>
      </c>
      <c r="E19" s="33">
        <f>'Monthly Data'!AQ19</f>
        <v>107.97500000000002</v>
      </c>
      <c r="F19" s="33">
        <f>'Monthly Data'!BB19</f>
        <v>207.56666666666672</v>
      </c>
      <c r="H19" s="18">
        <f>'GS&gt;50 Predicted Monthly'!$P$9</f>
        <v>4197710.1274672803</v>
      </c>
      <c r="I19" s="18">
        <f>E19*'GS&gt;50 Predicted Monthly'!$P$10</f>
        <v>375098.77015837072</v>
      </c>
      <c r="J19" s="18">
        <f>F19*'GS&gt;50 Predicted Monthly'!$P$11</f>
        <v>1369692.8662688786</v>
      </c>
      <c r="K19" s="18">
        <f>SUM(H19:J19)</f>
        <v>5942501.76389453</v>
      </c>
      <c r="L19" s="18">
        <f>K19-D19</f>
        <v>5867905.618862479</v>
      </c>
      <c r="M19" s="35">
        <f>ABS(L19/D19)</f>
        <v>78.662317152464794</v>
      </c>
      <c r="O19" t="s">
        <v>207</v>
      </c>
    </row>
    <row r="20" spans="1:18">
      <c r="A20" s="541">
        <f>'Monthly Data'!A20</f>
        <v>42917</v>
      </c>
      <c r="B20">
        <f t="shared" si="2"/>
        <v>2017</v>
      </c>
      <c r="C20">
        <f t="shared" si="3"/>
        <v>7</v>
      </c>
      <c r="D20" s="31">
        <f>'Monthly Data'!N20</f>
        <v>78350.979967948719</v>
      </c>
      <c r="E20" s="33">
        <f>'Monthly Data'!AQ20</f>
        <v>38.441666666666649</v>
      </c>
      <c r="F20" s="33">
        <f>'Monthly Data'!BB20</f>
        <v>286.87500000000006</v>
      </c>
      <c r="H20" s="18">
        <f>'GS&gt;50 Predicted Monthly'!$P$9</f>
        <v>4197710.1274672803</v>
      </c>
      <c r="I20" s="18">
        <f>E20*'GS&gt;50 Predicted Monthly'!$P$10</f>
        <v>133544.07862472508</v>
      </c>
      <c r="J20" s="18">
        <f>F20*'GS&gt;50 Predicted Monthly'!$P$11</f>
        <v>1893033.4399111185</v>
      </c>
      <c r="K20" s="18">
        <f>SUM(H20:J20)</f>
        <v>6224287.6460031243</v>
      </c>
      <c r="L20" s="18">
        <f>K20-D20</f>
        <v>6145936.6660351753</v>
      </c>
      <c r="M20" s="35">
        <f>ABS(L20/D20)</f>
        <v>78.4410950386238</v>
      </c>
      <c r="O20" t="s">
        <v>208</v>
      </c>
      <c r="P20" s="18">
        <v>5801181.7732121302</v>
      </c>
      <c r="Q20" t="s">
        <v>209</v>
      </c>
      <c r="R20" s="18">
        <v>838740.87538013898</v>
      </c>
    </row>
    <row r="21" spans="1:18">
      <c r="A21" s="541">
        <f>'Monthly Data'!A21</f>
        <v>42948</v>
      </c>
      <c r="B21">
        <f t="shared" si="2"/>
        <v>2017</v>
      </c>
      <c r="C21">
        <f t="shared" si="3"/>
        <v>8</v>
      </c>
      <c r="D21" s="31">
        <f>'Monthly Data'!N21</f>
        <v>82105.814903846156</v>
      </c>
      <c r="E21" s="33">
        <f>'Monthly Data'!AQ21</f>
        <v>86.879166666666663</v>
      </c>
      <c r="F21" s="33">
        <f>'Monthly Data'!BB21</f>
        <v>226.02083333333337</v>
      </c>
      <c r="H21" s="18">
        <f>'GS&gt;50 Predicted Monthly'!$P$9</f>
        <v>4197710.1274672803</v>
      </c>
      <c r="I21" s="18">
        <f>E21*'GS&gt;50 Predicted Monthly'!$P$10</f>
        <v>301813.09163279255</v>
      </c>
      <c r="J21" s="18">
        <f>F21*'GS&gt;50 Predicted Monthly'!$P$11</f>
        <v>1491468.3943061528</v>
      </c>
      <c r="K21" s="18">
        <f>SUM(H21:J21)</f>
        <v>5990991.613406226</v>
      </c>
      <c r="L21" s="18">
        <f>K21-D21</f>
        <v>5908885.79850238</v>
      </c>
      <c r="M21" s="35">
        <f>ABS(L21/D21)</f>
        <v>71.966715212829399</v>
      </c>
      <c r="P21" s="298"/>
      <c r="R21" s="298"/>
    </row>
    <row r="22" spans="1:18">
      <c r="A22" s="541">
        <f>'Monthly Data'!A22</f>
        <v>42979</v>
      </c>
      <c r="B22">
        <f t="shared" si="2"/>
        <v>2017</v>
      </c>
      <c r="C22">
        <f t="shared" si="3"/>
        <v>9</v>
      </c>
      <c r="D22" s="31">
        <f>'Monthly Data'!N22</f>
        <v>85860.649839743593</v>
      </c>
      <c r="E22" s="33">
        <f>'Monthly Data'!AQ22</f>
        <v>140.68333333333331</v>
      </c>
      <c r="F22" s="33">
        <f>'Monthly Data'!BB22</f>
        <v>174.6541666666667</v>
      </c>
      <c r="H22" s="18">
        <f>'GS&gt;50 Predicted Monthly'!$P$9</f>
        <v>4197710.1274672803</v>
      </c>
      <c r="I22" s="18">
        <f>E22*'GS&gt;50 Predicted Monthly'!$P$10</f>
        <v>488725.5875444634</v>
      </c>
      <c r="J22" s="18">
        <f>F22*'GS&gt;50 Predicted Monthly'!$P$11</f>
        <v>1152509.5526616464</v>
      </c>
      <c r="K22" s="18">
        <f>SUM(H22:J22)</f>
        <v>5838945.26767339</v>
      </c>
      <c r="L22" s="18">
        <f>K22-D22</f>
        <v>5753084.617833646</v>
      </c>
      <c r="M22" s="35">
        <f>ABS(L22/D22)</f>
        <v>67.004904208989927</v>
      </c>
    </row>
    <row r="23" spans="1:18">
      <c r="A23" s="541">
        <f>'Monthly Data'!A23</f>
        <v>43009</v>
      </c>
      <c r="B23">
        <f t="shared" si="2"/>
        <v>2017</v>
      </c>
      <c r="C23">
        <f t="shared" si="3"/>
        <v>10</v>
      </c>
      <c r="D23" s="31">
        <f>'Monthly Data'!N23</f>
        <v>89615.484775641031</v>
      </c>
      <c r="E23" s="33">
        <f>'Monthly Data'!AQ23</f>
        <v>297.41041666666666</v>
      </c>
      <c r="F23" s="33">
        <f>'Monthly Data'!BB23</f>
        <v>62.229166666666664</v>
      </c>
      <c r="H23" s="18">
        <f>'GS&gt;50 Predicted Monthly'!$P$9</f>
        <v>4197710.1274672803</v>
      </c>
      <c r="I23" s="18">
        <f>E23*'GS&gt;50 Predicted Monthly'!$P$10</f>
        <v>1033186.214623341</v>
      </c>
      <c r="J23" s="18">
        <f>F23*'GS&gt;50 Predicted Monthly'!$P$11</f>
        <v>410638.40849778574</v>
      </c>
      <c r="K23" s="18">
        <f>SUM(H23:J23)</f>
        <v>5641534.7505884077</v>
      </c>
      <c r="L23" s="18">
        <f>K23-D23</f>
        <v>5551919.2658127667</v>
      </c>
      <c r="M23" s="35">
        <f>ABS(L23/D23)</f>
        <v>61.95267792962796</v>
      </c>
    </row>
    <row r="24" spans="1:18">
      <c r="A24" s="541">
        <f>'Monthly Data'!A24</f>
        <v>43040</v>
      </c>
      <c r="B24">
        <f t="shared" si="2"/>
        <v>2017</v>
      </c>
      <c r="C24">
        <f t="shared" si="3"/>
        <v>11</v>
      </c>
      <c r="D24" s="31">
        <f>'Monthly Data'!N24</f>
        <v>93370.319711538468</v>
      </c>
      <c r="E24" s="33">
        <f>'Monthly Data'!AQ24</f>
        <v>625.73333333333346</v>
      </c>
      <c r="F24" s="33">
        <f>'Monthly Data'!BB24</f>
        <v>0</v>
      </c>
      <c r="H24" s="18">
        <f>'GS&gt;50 Predicted Monthly'!$P$9</f>
        <v>4197710.1274672803</v>
      </c>
      <c r="I24" s="18">
        <f>E24*'GS&gt;50 Predicted Monthly'!$P$10</f>
        <v>2173760.6277418956</v>
      </c>
      <c r="J24" s="18">
        <f>F24*'GS&gt;50 Predicted Monthly'!$P$11</f>
        <v>0</v>
      </c>
      <c r="K24" s="18">
        <f>SUM(H24:J24)</f>
        <v>6371470.7552091759</v>
      </c>
      <c r="L24" s="18">
        <f>K24-D24</f>
        <v>6278100.4354976378</v>
      </c>
      <c r="M24" s="35">
        <f>ABS(L24/D24)</f>
        <v>67.238716274008922</v>
      </c>
      <c r="P24" s="18"/>
      <c r="R24" s="18"/>
    </row>
    <row r="25" spans="1:18">
      <c r="A25" s="541">
        <f>'Monthly Data'!A25</f>
        <v>43070</v>
      </c>
      <c r="B25">
        <f t="shared" si="2"/>
        <v>2017</v>
      </c>
      <c r="C25">
        <f t="shared" si="3"/>
        <v>12</v>
      </c>
      <c r="D25" s="31">
        <f>'Monthly Data'!N25</f>
        <v>70926474.15464744</v>
      </c>
      <c r="E25" s="33">
        <f>'Monthly Data'!AQ25</f>
        <v>954.57499999999993</v>
      </c>
      <c r="F25" s="33">
        <f>'Monthly Data'!BB25</f>
        <v>0</v>
      </c>
      <c r="H25" s="18">
        <f>'GS&gt;50 Predicted Monthly'!$P$9</f>
        <v>4197710.1274672803</v>
      </c>
      <c r="I25" s="18">
        <f>E25*'GS&gt;50 Predicted Monthly'!$P$10</f>
        <v>3316137.1477094386</v>
      </c>
      <c r="J25" s="18">
        <f>F25*'GS&gt;50 Predicted Monthly'!$P$11</f>
        <v>0</v>
      </c>
      <c r="K25" s="18">
        <f>SUM(H25:J25)</f>
        <v>7513847.2751767188</v>
      </c>
      <c r="L25" s="18">
        <f>K25-D25</f>
        <v>-63412626.879470721</v>
      </c>
      <c r="M25" s="35">
        <f>ABS(L25/D25)</f>
        <v>0.89406145780215163</v>
      </c>
    </row>
    <row r="26" spans="1:18">
      <c r="A26" s="541">
        <f>'Monthly Data'!A26</f>
        <v>43101</v>
      </c>
      <c r="B26">
        <f t="shared" si="2"/>
        <v>2018</v>
      </c>
      <c r="C26">
        <f t="shared" si="3"/>
        <v>1</v>
      </c>
      <c r="D26" s="31">
        <f>'Monthly Data'!N26</f>
        <v>100126.09152892765</v>
      </c>
      <c r="E26" s="33">
        <f>'Monthly Data'!AQ26</f>
        <v>963.85000000000014</v>
      </c>
      <c r="F26" s="33">
        <f>'Monthly Data'!BB26</f>
        <v>0</v>
      </c>
      <c r="H26" s="18">
        <f>'GS&gt;50 Predicted Monthly'!$P$9</f>
        <v>4197710.1274672803</v>
      </c>
      <c r="I26" s="18">
        <f>E26*'GS&gt;50 Predicted Monthly'!$P$10</f>
        <v>3348357.9496841454</v>
      </c>
      <c r="J26" s="18">
        <f>F26*'GS&gt;50 Predicted Monthly'!$P$11</f>
        <v>0</v>
      </c>
      <c r="K26" s="18">
        <f>SUM(H26:J26)</f>
        <v>7546068.0771514252</v>
      </c>
      <c r="L26" s="18">
        <f>K26-D26</f>
        <v>7445941.9856224973</v>
      </c>
      <c r="M26" s="35">
        <f>ABS(L26/D26)</f>
        <v>74.365651069794069</v>
      </c>
    </row>
    <row r="27" spans="1:18">
      <c r="A27" s="541">
        <f>'Monthly Data'!A27</f>
        <v>43132</v>
      </c>
      <c r="B27">
        <f t="shared" si="2"/>
        <v>2018</v>
      </c>
      <c r="C27">
        <f t="shared" si="3"/>
        <v>2</v>
      </c>
      <c r="D27" s="31">
        <f>'Monthly Data'!N27</f>
        <v>103279.762066118</v>
      </c>
      <c r="E27" s="33">
        <f>'Monthly Data'!AQ27</f>
        <v>754.27916666666658</v>
      </c>
      <c r="F27" s="33">
        <f>'Monthly Data'!BB27</f>
        <v>0</v>
      </c>
      <c r="H27" s="18">
        <f>'GS&gt;50 Predicted Monthly'!$P$9</f>
        <v>4197710.1274672803</v>
      </c>
      <c r="I27" s="18">
        <f>E27*'GS&gt;50 Predicted Monthly'!$P$10</f>
        <v>2620321.2574461433</v>
      </c>
      <c r="J27" s="18">
        <f>F27*'GS&gt;50 Predicted Monthly'!$P$11</f>
        <v>0</v>
      </c>
      <c r="K27" s="18">
        <f>SUM(H27:J27)</f>
        <v>6818031.384913424</v>
      </c>
      <c r="L27" s="18">
        <f>K27-D27</f>
        <v>6714751.6228473056</v>
      </c>
      <c r="M27" s="35">
        <f>ABS(L27/D27)</f>
        <v>65.015173239348016</v>
      </c>
    </row>
    <row r="28" spans="1:18">
      <c r="A28" s="541">
        <f>'Monthly Data'!A28</f>
        <v>43160</v>
      </c>
      <c r="B28">
        <f t="shared" si="2"/>
        <v>2018</v>
      </c>
      <c r="C28">
        <f t="shared" si="3"/>
        <v>3</v>
      </c>
      <c r="D28" s="31">
        <f>'Monthly Data'!N28</f>
        <v>106433.43260330835</v>
      </c>
      <c r="E28" s="33">
        <f>'Monthly Data'!AQ28</f>
        <v>711.45</v>
      </c>
      <c r="F28" s="33">
        <f>'Monthly Data'!BB28</f>
        <v>0</v>
      </c>
      <c r="H28" s="18">
        <f>'GS&gt;50 Predicted Monthly'!$P$9</f>
        <v>4197710.1274672803</v>
      </c>
      <c r="I28" s="18">
        <f>E28*'GS&gt;50 Predicted Monthly'!$P$10</f>
        <v>2471535.2630624943</v>
      </c>
      <c r="J28" s="18">
        <f>F28*'GS&gt;50 Predicted Monthly'!$P$11</f>
        <v>0</v>
      </c>
      <c r="K28" s="18">
        <f>SUM(H28:J28)</f>
        <v>6669245.3905297741</v>
      </c>
      <c r="L28" s="18">
        <f>K28-D28</f>
        <v>6562811.9579264661</v>
      </c>
      <c r="M28" s="35">
        <f>ABS(L28/D28)</f>
        <v>61.661188570201851</v>
      </c>
    </row>
    <row r="29" spans="1:18">
      <c r="A29" s="541">
        <f>'Monthly Data'!A29</f>
        <v>43191</v>
      </c>
      <c r="B29">
        <f t="shared" si="2"/>
        <v>2018</v>
      </c>
      <c r="C29">
        <f t="shared" si="3"/>
        <v>4</v>
      </c>
      <c r="D29" s="31">
        <f>'Monthly Data'!N29</f>
        <v>109587.1031404987</v>
      </c>
      <c r="E29" s="33">
        <f>'Monthly Data'!AQ29</f>
        <v>561.15416666666681</v>
      </c>
      <c r="F29" s="33">
        <f>'Monthly Data'!BB29</f>
        <v>0</v>
      </c>
      <c r="H29" s="18">
        <f>'GS&gt;50 Predicted Monthly'!$P$9</f>
        <v>4197710.1274672803</v>
      </c>
      <c r="I29" s="18">
        <f>E29*'GS&gt;50 Predicted Monthly'!$P$10</f>
        <v>1949416.4184849462</v>
      </c>
      <c r="J29" s="18">
        <f>F29*'GS&gt;50 Predicted Monthly'!$P$11</f>
        <v>0</v>
      </c>
      <c r="K29" s="18">
        <f>SUM(H29:J29)</f>
        <v>6147126.545952227</v>
      </c>
      <c r="L29" s="18">
        <f>K29-D29</f>
        <v>6037539.4428117285</v>
      </c>
      <c r="M29" s="35">
        <f>ABS(L29/D29)</f>
        <v>55.093521680841953</v>
      </c>
    </row>
    <row r="30" spans="1:18">
      <c r="A30" s="541">
        <f>'Monthly Data'!A30</f>
        <v>43221</v>
      </c>
      <c r="B30">
        <f t="shared" si="2"/>
        <v>2018</v>
      </c>
      <c r="C30">
        <f t="shared" si="3"/>
        <v>5</v>
      </c>
      <c r="D30" s="31">
        <f>'Monthly Data'!N30</f>
        <v>112740.77367768905</v>
      </c>
      <c r="E30" s="33">
        <f>'Monthly Data'!AQ30</f>
        <v>189.08749999999998</v>
      </c>
      <c r="F30" s="33">
        <f>'Monthly Data'!BB30</f>
        <v>138.58750000000001</v>
      </c>
      <c r="H30" s="18">
        <f>'GS&gt;50 Predicted Monthly'!$P$9</f>
        <v>4197710.1274672803</v>
      </c>
      <c r="I30" s="18">
        <f>E30*'GS&gt;50 Predicted Monthly'!$P$10</f>
        <v>656878.80252207362</v>
      </c>
      <c r="J30" s="18">
        <f>F30*'GS&gt;50 Predicted Monthly'!$P$11</f>
        <v>914512.49447906611</v>
      </c>
      <c r="K30" s="18">
        <f>SUM(H30:J30)</f>
        <v>5769101.4244684195</v>
      </c>
      <c r="L30" s="18">
        <f>K30-D30</f>
        <v>5656360.6507907305</v>
      </c>
      <c r="M30" s="35">
        <f>ABS(L30/D30)</f>
        <v>50.171384019072967</v>
      </c>
    </row>
    <row r="31" spans="1:18">
      <c r="A31" s="541">
        <f>'Monthly Data'!A31</f>
        <v>43252</v>
      </c>
      <c r="B31">
        <f t="shared" si="2"/>
        <v>2018</v>
      </c>
      <c r="C31">
        <f t="shared" si="3"/>
        <v>6</v>
      </c>
      <c r="D31" s="31">
        <f>'Monthly Data'!N31</f>
        <v>115894.4442148794</v>
      </c>
      <c r="E31" s="33">
        <f>'Monthly Data'!AQ31</f>
        <v>109.22083333333332</v>
      </c>
      <c r="F31" s="33">
        <f>'Monthly Data'!BB31</f>
        <v>204.52916666666664</v>
      </c>
      <c r="H31" s="18">
        <f>'GS&gt;50 Predicted Monthly'!$P$9</f>
        <v>4197710.1274672803</v>
      </c>
      <c r="I31" s="18">
        <f>E31*'GS&gt;50 Predicted Monthly'!$P$10</f>
        <v>379426.72154670715</v>
      </c>
      <c r="J31" s="18">
        <f>F31*'GS&gt;50 Predicted Monthly'!$P$11</f>
        <v>1349648.9827874661</v>
      </c>
      <c r="K31" s="18">
        <f>SUM(H31:J31)</f>
        <v>5926785.8318014536</v>
      </c>
      <c r="L31" s="18">
        <f>K31-D31</f>
        <v>5810891.3875865741</v>
      </c>
      <c r="M31" s="35">
        <f>ABS(L31/D31)</f>
        <v>50.139516410403807</v>
      </c>
    </row>
    <row r="32" spans="1:18">
      <c r="A32" s="541">
        <f>'Monthly Data'!A32</f>
        <v>43282</v>
      </c>
      <c r="B32">
        <f t="shared" si="2"/>
        <v>2018</v>
      </c>
      <c r="C32">
        <f t="shared" si="3"/>
        <v>7</v>
      </c>
      <c r="D32" s="31">
        <f>'Monthly Data'!N32</f>
        <v>119048.11475206976</v>
      </c>
      <c r="E32" s="33">
        <f>'Monthly Data'!AQ32</f>
        <v>15.241666666666678</v>
      </c>
      <c r="F32" s="33">
        <f>'Monthly Data'!BB32</f>
        <v>356.87916666666678</v>
      </c>
      <c r="H32" s="18">
        <f>'GS&gt;50 Predicted Monthly'!$P$9</f>
        <v>4197710.1274672803</v>
      </c>
      <c r="I32" s="18">
        <f>E32*'GS&gt;50 Predicted Monthly'!$P$10</f>
        <v>52948.649426538585</v>
      </c>
      <c r="J32" s="18">
        <f>F32*'GS&gt;50 Predicted Monthly'!$P$11</f>
        <v>2354977.5913119423</v>
      </c>
      <c r="K32" s="18">
        <f>SUM(H32:J32)</f>
        <v>6605636.3682057615</v>
      </c>
      <c r="L32" s="18">
        <f>K32-D32</f>
        <v>6486588.2534536915</v>
      </c>
      <c r="M32" s="35">
        <f>ABS(L32/D32)</f>
        <v>54.487114449167841</v>
      </c>
    </row>
    <row r="33" spans="1:13">
      <c r="A33" s="541">
        <f>'Monthly Data'!A33</f>
        <v>43313</v>
      </c>
      <c r="B33">
        <f t="shared" si="2"/>
        <v>2018</v>
      </c>
      <c r="C33">
        <f t="shared" si="3"/>
        <v>8</v>
      </c>
      <c r="D33" s="31">
        <f>'Monthly Data'!N33</f>
        <v>122201.78528926011</v>
      </c>
      <c r="E33" s="33">
        <f>'Monthly Data'!AQ33</f>
        <v>25.450000000000003</v>
      </c>
      <c r="F33" s="33">
        <f>'Monthly Data'!BB33</f>
        <v>319.05000000000013</v>
      </c>
      <c r="H33" s="18">
        <f>'GS&gt;50 Predicted Monthly'!$P$9</f>
        <v>4197710.1274672803</v>
      </c>
      <c r="I33" s="18">
        <f>E33*'GS&gt;50 Predicted Monthly'!$P$10</f>
        <v>88411.796254045228</v>
      </c>
      <c r="J33" s="18">
        <f>F33*'GS&gt;50 Predicted Monthly'!$P$11</f>
        <v>2105350.131603111</v>
      </c>
      <c r="K33" s="18">
        <f>SUM(H33:J33)</f>
        <v>6391472.0553244371</v>
      </c>
      <c r="L33" s="18">
        <f>K33-D33</f>
        <v>6269270.2700351765</v>
      </c>
      <c r="M33" s="35">
        <f>ABS(L33/D33)</f>
        <v>51.30260785630405</v>
      </c>
    </row>
    <row r="34" spans="1:13">
      <c r="A34" s="541">
        <f>'Monthly Data'!A34</f>
        <v>43344</v>
      </c>
      <c r="B34">
        <f t="shared" si="2"/>
        <v>2018</v>
      </c>
      <c r="C34">
        <f t="shared" si="3"/>
        <v>9</v>
      </c>
      <c r="D34" s="31">
        <f>'Monthly Data'!N34</f>
        <v>125355.45582645046</v>
      </c>
      <c r="E34" s="33">
        <f>'Monthly Data'!AQ34</f>
        <v>165.60416666666669</v>
      </c>
      <c r="F34" s="33">
        <f>'Monthly Data'!BB34</f>
        <v>161.10416666666669</v>
      </c>
      <c r="H34" s="18">
        <f>'GS&gt;50 Predicted Monthly'!$P$9</f>
        <v>4197710.1274672803</v>
      </c>
      <c r="I34" s="18">
        <f>E34*'GS&gt;50 Predicted Monthly'!$P$10</f>
        <v>575299.09006500128</v>
      </c>
      <c r="J34" s="18">
        <f>F34*'GS&gt;50 Predicted Monthly'!$P$11</f>
        <v>1063095.6856087639</v>
      </c>
      <c r="K34" s="18">
        <f>SUM(H34:J34)</f>
        <v>5836104.9031410459</v>
      </c>
      <c r="L34" s="18">
        <f>K34-D34</f>
        <v>5710749.4473145958</v>
      </c>
      <c r="M34" s="35">
        <f>ABS(L34/D34)</f>
        <v>45.556449136293651</v>
      </c>
    </row>
    <row r="35" spans="1:13">
      <c r="A35" s="541">
        <f>'Monthly Data'!A35</f>
        <v>43374</v>
      </c>
      <c r="B35">
        <f t="shared" si="2"/>
        <v>2018</v>
      </c>
      <c r="C35">
        <f t="shared" si="3"/>
        <v>10</v>
      </c>
      <c r="D35" s="31">
        <f>'Monthly Data'!N35</f>
        <v>128509.12636364081</v>
      </c>
      <c r="E35" s="33">
        <f>'Monthly Data'!AQ35</f>
        <v>439.75416666666661</v>
      </c>
      <c r="F35" s="33">
        <f>'Monthly Data'!BB35</f>
        <v>22.083333333333336</v>
      </c>
      <c r="H35" s="18">
        <f>'GS&gt;50 Predicted Monthly'!$P$9</f>
        <v>4197710.1274672803</v>
      </c>
      <c r="I35" s="18">
        <f>E35*'GS&gt;50 Predicted Monthly'!$P$10</f>
        <v>1527679.9915599518</v>
      </c>
      <c r="J35" s="18">
        <f>F35*'GS&gt;50 Predicted Monthly'!$P$11</f>
        <v>145723.70706650586</v>
      </c>
      <c r="K35" s="18">
        <f>SUM(H35:J35)</f>
        <v>5871113.826093738</v>
      </c>
      <c r="L35" s="18">
        <f>K35-D35</f>
        <v>5742604.6997300973</v>
      </c>
      <c r="M35" s="35">
        <f>ABS(L35/D35)</f>
        <v>44.686357010009658</v>
      </c>
    </row>
    <row r="36" spans="1:13">
      <c r="A36" s="541">
        <f>'Monthly Data'!A36</f>
        <v>43405</v>
      </c>
      <c r="B36">
        <f t="shared" si="2"/>
        <v>2018</v>
      </c>
      <c r="C36">
        <f t="shared" si="3"/>
        <v>11</v>
      </c>
      <c r="D36" s="31">
        <f>'Monthly Data'!N36</f>
        <v>131662.79690083116</v>
      </c>
      <c r="E36" s="33">
        <f>'Monthly Data'!AQ36</f>
        <v>681.23333333333335</v>
      </c>
      <c r="F36" s="33">
        <f>'Monthly Data'!BB36</f>
        <v>0</v>
      </c>
      <c r="H36" s="18">
        <f>'GS&gt;50 Predicted Monthly'!$P$9</f>
        <v>4197710.1274672803</v>
      </c>
      <c r="I36" s="18">
        <f>E36*'GS&gt;50 Predicted Monthly'!$P$10</f>
        <v>2366564.3484530742</v>
      </c>
      <c r="J36" s="18">
        <f>F36*'GS&gt;50 Predicted Monthly'!$P$11</f>
        <v>0</v>
      </c>
      <c r="K36" s="18">
        <f>SUM(H36:J36)</f>
        <v>6564274.4759203549</v>
      </c>
      <c r="L36" s="18">
        <f>K36-D36</f>
        <v>6432611.6790195238</v>
      </c>
      <c r="M36" s="35">
        <f>ABS(L36/D36)</f>
        <v>48.85671450428466</v>
      </c>
    </row>
    <row r="37" spans="1:13">
      <c r="A37" s="541">
        <f>'Monthly Data'!A37</f>
        <v>43435</v>
      </c>
      <c r="B37">
        <f t="shared" si="2"/>
        <v>2018</v>
      </c>
      <c r="C37">
        <f t="shared" si="3"/>
        <v>12</v>
      </c>
      <c r="D37" s="31">
        <f>'Monthly Data'!N37</f>
        <v>71637155.467438027</v>
      </c>
      <c r="E37" s="33">
        <f>'Monthly Data'!AQ37</f>
        <v>855.4000000000002</v>
      </c>
      <c r="F37" s="33">
        <f>'Monthly Data'!BB37</f>
        <v>0</v>
      </c>
      <c r="H37" s="18">
        <f>'GS&gt;50 Predicted Monthly'!$P$9</f>
        <v>4197710.1274672803</v>
      </c>
      <c r="I37" s="18">
        <f>E37*'GS&gt;50 Predicted Monthly'!$P$10</f>
        <v>2971609.0575917605</v>
      </c>
      <c r="J37" s="18">
        <f>F37*'GS&gt;50 Predicted Monthly'!$P$11</f>
        <v>0</v>
      </c>
      <c r="K37" s="18">
        <f>SUM(H37:J37)</f>
        <v>7169319.1850590408</v>
      </c>
      <c r="L37" s="18">
        <f>K37-D37</f>
        <v>-64467836.282378986</v>
      </c>
      <c r="M37" s="35">
        <f>ABS(L37/D37)</f>
        <v>0.89992177748713398</v>
      </c>
    </row>
    <row r="38" spans="1:13">
      <c r="A38" s="541">
        <f>'Monthly Data'!A38</f>
        <v>43466</v>
      </c>
      <c r="B38">
        <f t="shared" si="2"/>
        <v>2019</v>
      </c>
      <c r="C38">
        <f t="shared" si="3"/>
        <v>1</v>
      </c>
      <c r="D38" s="31">
        <f>'Monthly Data'!N38</f>
        <v>128861.79026130038</v>
      </c>
      <c r="E38" s="33">
        <f>'Monthly Data'!AQ38</f>
        <v>1054.7000000000003</v>
      </c>
      <c r="F38" s="33">
        <f>'Monthly Data'!BB38</f>
        <v>0</v>
      </c>
      <c r="H38" s="18">
        <f>'GS&gt;50 Predicted Monthly'!$P$9</f>
        <v>4197710.1274672803</v>
      </c>
      <c r="I38" s="18">
        <f>E38*'GS&gt;50 Predicted Monthly'!$P$10</f>
        <v>3663965.4816951482</v>
      </c>
      <c r="J38" s="18">
        <f>F38*'GS&gt;50 Predicted Monthly'!$P$11</f>
        <v>0</v>
      </c>
      <c r="K38" s="18">
        <f>SUM(H38:J38)</f>
        <v>7861675.6091624284</v>
      </c>
      <c r="L38" s="18">
        <f>K38-D38</f>
        <v>7732813.8189011281</v>
      </c>
      <c r="M38" s="35">
        <f>ABS(L38/D38)</f>
        <v>60.008585968120279</v>
      </c>
    </row>
    <row r="39" spans="1:13">
      <c r="A39" s="541">
        <f>'Monthly Data'!A39</f>
        <v>43497</v>
      </c>
      <c r="B39">
        <f t="shared" si="2"/>
        <v>2019</v>
      </c>
      <c r="C39">
        <f t="shared" si="3"/>
        <v>2</v>
      </c>
      <c r="D39" s="31">
        <f>'Monthly Data'!N39</f>
        <v>130380.52503167716</v>
      </c>
      <c r="E39" s="33">
        <f>'Monthly Data'!AQ39</f>
        <v>858.87708333333342</v>
      </c>
      <c r="F39" s="33">
        <f>'Monthly Data'!BB39</f>
        <v>0</v>
      </c>
      <c r="H39" s="18">
        <f>'GS&gt;50 Predicted Monthly'!$P$9</f>
        <v>4197710.1274672803</v>
      </c>
      <c r="I39" s="18">
        <f>E39*'GS&gt;50 Predicted Monthly'!$P$10</f>
        <v>2983688.2396438229</v>
      </c>
      <c r="J39" s="18">
        <f>F39*'GS&gt;50 Predicted Monthly'!$P$11</f>
        <v>0</v>
      </c>
      <c r="K39" s="18">
        <f>SUM(H39:J39)</f>
        <v>7181398.3671111036</v>
      </c>
      <c r="L39" s="18">
        <f>K39-D39</f>
        <v>7051017.8420794262</v>
      </c>
      <c r="M39" s="35">
        <f>ABS(L39/D39)</f>
        <v>54.080299495391017</v>
      </c>
    </row>
    <row r="40" spans="1:13">
      <c r="A40" s="541">
        <f>'Monthly Data'!A40</f>
        <v>43525</v>
      </c>
      <c r="B40">
        <f t="shared" si="2"/>
        <v>2019</v>
      </c>
      <c r="C40">
        <f t="shared" si="3"/>
        <v>3</v>
      </c>
      <c r="D40" s="31">
        <f>'Monthly Data'!N40</f>
        <v>131899.25980205394</v>
      </c>
      <c r="E40" s="33">
        <f>'Monthly Data'!AQ40</f>
        <v>773.79166666666663</v>
      </c>
      <c r="F40" s="33">
        <f>'Monthly Data'!BB40</f>
        <v>0</v>
      </c>
      <c r="H40" s="18">
        <f>'GS&gt;50 Predicted Monthly'!$P$9</f>
        <v>4197710.1274672803</v>
      </c>
      <c r="I40" s="18">
        <f>E40*'GS&gt;50 Predicted Monthly'!$P$10</f>
        <v>2688106.5295250062</v>
      </c>
      <c r="J40" s="18">
        <f>F40*'GS&gt;50 Predicted Monthly'!$P$11</f>
        <v>0</v>
      </c>
      <c r="K40" s="18">
        <f>SUM(H40:J40)</f>
        <v>6885816.6569922864</v>
      </c>
      <c r="L40" s="18">
        <f>K40-D40</f>
        <v>6753917.3971902328</v>
      </c>
      <c r="M40" s="35">
        <f>ABS(L40/D40)</f>
        <v>51.205119781006232</v>
      </c>
    </row>
    <row r="41" spans="1:13">
      <c r="A41" s="541">
        <f>'Monthly Data'!A41</f>
        <v>43556</v>
      </c>
      <c r="B41">
        <f t="shared" si="2"/>
        <v>2019</v>
      </c>
      <c r="C41">
        <f t="shared" si="3"/>
        <v>4</v>
      </c>
      <c r="D41" s="31">
        <f>'Monthly Data'!N41</f>
        <v>133417.9945724307</v>
      </c>
      <c r="E41" s="33">
        <f>'Monthly Data'!AQ41</f>
        <v>501.13749999999999</v>
      </c>
      <c r="F41" s="33">
        <f>'Monthly Data'!BB41</f>
        <v>0</v>
      </c>
      <c r="H41" s="18">
        <f>'GS&gt;50 Predicted Monthly'!$P$9</f>
        <v>4197710.1274672803</v>
      </c>
      <c r="I41" s="18">
        <f>E41*'GS&gt;50 Predicted Monthly'!$P$10</f>
        <v>1740922.0646468208</v>
      </c>
      <c r="J41" s="18">
        <f>F41*'GS&gt;50 Predicted Monthly'!$P$11</f>
        <v>0</v>
      </c>
      <c r="K41" s="18">
        <f>SUM(H41:J41)</f>
        <v>5938632.1921141008</v>
      </c>
      <c r="L41" s="18">
        <f>K41-D41</f>
        <v>5805214.1975416699</v>
      </c>
      <c r="M41" s="35">
        <f>ABS(L41/D41)</f>
        <v>43.511478463949651</v>
      </c>
    </row>
    <row r="42" spans="1:13">
      <c r="A42" s="541">
        <f>'Monthly Data'!A42</f>
        <v>43586</v>
      </c>
      <c r="B42">
        <f t="shared" si="2"/>
        <v>2019</v>
      </c>
      <c r="C42">
        <f t="shared" si="3"/>
        <v>5</v>
      </c>
      <c r="D42" s="31">
        <f>'Monthly Data'!N42</f>
        <v>134936.72934280749</v>
      </c>
      <c r="E42" s="33">
        <f>'Monthly Data'!AQ42</f>
        <v>307.42916666666667</v>
      </c>
      <c r="F42" s="33">
        <f>'Monthly Data'!BB42</f>
        <v>40.208333333333343</v>
      </c>
      <c r="H42" s="18">
        <f>'GS&gt;50 Predicted Monthly'!$P$9</f>
        <v>4197710.1274672803</v>
      </c>
      <c r="I42" s="18">
        <f>E42*'GS&gt;50 Predicted Monthly'!$P$10</f>
        <v>1067990.7601526226</v>
      </c>
      <c r="J42" s="18">
        <f>F42*'GS&gt;50 Predicted Monthly'!$P$11</f>
        <v>265327.12701731728</v>
      </c>
      <c r="K42" s="18">
        <f>SUM(H42:J42)</f>
        <v>5531028.0146372207</v>
      </c>
      <c r="L42" s="18">
        <f>K42-D42</f>
        <v>5396091.2852944136</v>
      </c>
      <c r="M42" s="35">
        <f>ABS(L42/D42)</f>
        <v>39.989788633349889</v>
      </c>
    </row>
    <row r="43" spans="1:13">
      <c r="A43" s="541">
        <f>'Monthly Data'!A43</f>
        <v>43617</v>
      </c>
      <c r="B43">
        <f t="shared" si="2"/>
        <v>2019</v>
      </c>
      <c r="C43">
        <f t="shared" si="3"/>
        <v>6</v>
      </c>
      <c r="D43" s="31">
        <f>'Monthly Data'!N43</f>
        <v>136455.46411318425</v>
      </c>
      <c r="E43" s="33">
        <f>'Monthly Data'!AQ43</f>
        <v>114.8875</v>
      </c>
      <c r="F43" s="33">
        <f>'Monthly Data'!BB43</f>
        <v>188.9291666666667</v>
      </c>
      <c r="H43" s="18">
        <f>'GS&gt;50 Predicted Monthly'!$P$9</f>
        <v>4197710.1274672803</v>
      </c>
      <c r="I43" s="18">
        <f>E43*'GS&gt;50 Predicted Monthly'!$P$10</f>
        <v>399112.38672442519</v>
      </c>
      <c r="J43" s="18">
        <f>F43*'GS&gt;50 Predicted Monthly'!$P$11</f>
        <v>1246707.5565125614</v>
      </c>
      <c r="K43" s="18">
        <f>SUM(H43:J43)</f>
        <v>5843530.0707042674</v>
      </c>
      <c r="L43" s="18">
        <f>K43-D43</f>
        <v>5707074.6065910831</v>
      </c>
      <c r="M43" s="35">
        <f>ABS(L43/D43)</f>
        <v>41.823716211593378</v>
      </c>
    </row>
    <row r="44" spans="1:13">
      <c r="A44" s="541">
        <f>'Monthly Data'!A44</f>
        <v>43647</v>
      </c>
      <c r="B44">
        <f t="shared" si="2"/>
        <v>2019</v>
      </c>
      <c r="C44">
        <f t="shared" si="3"/>
        <v>7</v>
      </c>
      <c r="D44" s="31">
        <f>'Monthly Data'!N44</f>
        <v>137974.19888356104</v>
      </c>
      <c r="E44" s="33">
        <f>'Monthly Data'!AQ44</f>
        <v>14.054166666666667</v>
      </c>
      <c r="F44" s="33">
        <f>'Monthly Data'!BB44</f>
        <v>352.4375</v>
      </c>
      <c r="H44" s="18">
        <f>'GS&gt;50 Predicted Monthly'!$P$9</f>
        <v>4197710.1274672803</v>
      </c>
      <c r="I44" s="18">
        <f>E44*'GS&gt;50 Predicted Monthly'!$P$10</f>
        <v>48823.344591502057</v>
      </c>
      <c r="J44" s="18">
        <f>F44*'GS&gt;50 Predicted Monthly'!$P$11</f>
        <v>2325667.8796642255</v>
      </c>
      <c r="K44" s="18">
        <f>SUM(H44:J44)</f>
        <v>6572201.3517230079</v>
      </c>
      <c r="L44" s="18">
        <f>K44-D44</f>
        <v>6434227.1528394464</v>
      </c>
      <c r="M44" s="35">
        <f>ABS(L44/D44)</f>
        <v>46.633553265052178</v>
      </c>
    </row>
    <row r="45" spans="1:13">
      <c r="A45" s="541">
        <f>'Monthly Data'!A45</f>
        <v>43678</v>
      </c>
      <c r="B45">
        <f t="shared" si="2"/>
        <v>2019</v>
      </c>
      <c r="C45">
        <f t="shared" si="3"/>
        <v>8</v>
      </c>
      <c r="D45" s="31">
        <f>'Monthly Data'!N45</f>
        <v>139492.9336539378</v>
      </c>
      <c r="E45" s="33">
        <f>'Monthly Data'!AQ45</f>
        <v>58.420833333333356</v>
      </c>
      <c r="F45" s="33">
        <f>'Monthly Data'!BB45</f>
        <v>261.80416666666673</v>
      </c>
      <c r="H45" s="18">
        <f>'GS&gt;50 Predicted Monthly'!$P$9</f>
        <v>4197710.1274672803</v>
      </c>
      <c r="I45" s="18">
        <f>E45*'GS&gt;50 Predicted Monthly'!$P$10</f>
        <v>202950.52312998832</v>
      </c>
      <c r="J45" s="18">
        <f>F45*'GS&gt;50 Predicted Monthly'!$P$11</f>
        <v>1727595.7898320309</v>
      </c>
      <c r="K45" s="18">
        <f>SUM(H45:J45)</f>
        <v>6128256.4404293001</v>
      </c>
      <c r="L45" s="18">
        <f>K45-D45</f>
        <v>5988763.5067753624</v>
      </c>
      <c r="M45" s="35">
        <f>ABS(L45/D45)</f>
        <v>42.932379081170062</v>
      </c>
    </row>
    <row r="46" spans="1:13">
      <c r="A46" s="541">
        <f>'Monthly Data'!A46</f>
        <v>43709</v>
      </c>
      <c r="B46">
        <f t="shared" si="2"/>
        <v>2019</v>
      </c>
      <c r="C46">
        <f t="shared" si="3"/>
        <v>9</v>
      </c>
      <c r="D46" s="31">
        <f>'Monthly Data'!N46</f>
        <v>141011.66842431459</v>
      </c>
      <c r="E46" s="33">
        <f>'Monthly Data'!AQ46</f>
        <v>189.70000000000007</v>
      </c>
      <c r="F46" s="33">
        <f>'Monthly Data'!BB46</f>
        <v>116.52916666666667</v>
      </c>
      <c r="H46" s="18">
        <f>'GS&gt;50 Predicted Monthly'!$P$9</f>
        <v>4197710.1274672803</v>
      </c>
      <c r="I46" s="18">
        <f>E46*'GS&gt;50 Predicted Monthly'!$P$10</f>
        <v>659006.59133172443</v>
      </c>
      <c r="J46" s="18">
        <f>F46*'GS&gt;50 Predicted Monthly'!$P$11</f>
        <v>768953.75764697522</v>
      </c>
      <c r="K46" s="18">
        <f>SUM(H46:J46)</f>
        <v>5625670.4764459794</v>
      </c>
      <c r="L46" s="18">
        <f>K46-D46</f>
        <v>5484658.8080216646</v>
      </c>
      <c r="M46" s="35">
        <f>ABS(L46/D46)</f>
        <v>38.895070665485065</v>
      </c>
    </row>
    <row r="47" spans="1:13">
      <c r="A47" s="541">
        <f>'Monthly Data'!A47</f>
        <v>43739</v>
      </c>
      <c r="B47">
        <f t="shared" si="2"/>
        <v>2019</v>
      </c>
      <c r="C47">
        <f t="shared" si="3"/>
        <v>10</v>
      </c>
      <c r="D47" s="31">
        <f>'Monthly Data'!N47</f>
        <v>142530.40319469135</v>
      </c>
      <c r="E47" s="33">
        <f>'Monthly Data'!AQ47</f>
        <v>396.53333333333319</v>
      </c>
      <c r="F47" s="33">
        <f>'Monthly Data'!BB47</f>
        <v>6.7208333333333332</v>
      </c>
      <c r="H47" s="18">
        <f>'GS&gt;50 Predicted Monthly'!$P$9</f>
        <v>4197710.1274672803</v>
      </c>
      <c r="I47" s="18">
        <f>E47*'GS&gt;50 Predicted Monthly'!$P$10</f>
        <v>1377533.3703184305</v>
      </c>
      <c r="J47" s="18">
        <f>F47*'GS&gt;50 Predicted Monthly'!$P$11</f>
        <v>44349.498018542246</v>
      </c>
      <c r="K47" s="18">
        <f>SUM(H47:J47)</f>
        <v>5619592.995804253</v>
      </c>
      <c r="L47" s="18">
        <f>K47-D47</f>
        <v>5477062.592609562</v>
      </c>
      <c r="M47" s="35">
        <f>ABS(L47/D47)</f>
        <v>38.4273282741514</v>
      </c>
    </row>
    <row r="48" spans="1:13">
      <c r="A48" s="541">
        <f>'Monthly Data'!A48</f>
        <v>43770</v>
      </c>
      <c r="B48">
        <f t="shared" si="2"/>
        <v>2019</v>
      </c>
      <c r="C48">
        <f t="shared" si="3"/>
        <v>11</v>
      </c>
      <c r="D48" s="31">
        <f>'Monthly Data'!N48</f>
        <v>144049.13796506813</v>
      </c>
      <c r="E48" s="33">
        <f>'Monthly Data'!AQ48</f>
        <v>682.0916666666667</v>
      </c>
      <c r="F48" s="33">
        <f>'Monthly Data'!BB48</f>
        <v>0</v>
      </c>
      <c r="H48" s="18">
        <f>'GS&gt;50 Predicted Monthly'!$P$9</f>
        <v>4197710.1274672803</v>
      </c>
      <c r="I48" s="18">
        <f>E48*'GS&gt;50 Predicted Monthly'!$P$10</f>
        <v>2369546.1477373466</v>
      </c>
      <c r="J48" s="18">
        <f>F48*'GS&gt;50 Predicted Monthly'!$P$11</f>
        <v>0</v>
      </c>
      <c r="K48" s="18">
        <f>SUM(H48:J48)</f>
        <v>6567256.2752046268</v>
      </c>
      <c r="L48" s="18">
        <f>K48-D48</f>
        <v>6423207.1372395586</v>
      </c>
      <c r="M48" s="35">
        <f>ABS(L48/D48)</f>
        <v>44.590389279505331</v>
      </c>
    </row>
    <row r="49" spans="1:13">
      <c r="A49" s="541">
        <f>'Monthly Data'!A49</f>
        <v>43800</v>
      </c>
      <c r="B49">
        <f t="shared" si="2"/>
        <v>2019</v>
      </c>
      <c r="C49">
        <f t="shared" si="3"/>
        <v>12</v>
      </c>
      <c r="D49" s="31">
        <f>'Monthly Data'!N49</f>
        <v>73677719.872735441</v>
      </c>
      <c r="E49" s="33">
        <f>'Monthly Data'!AQ49</f>
        <v>811.69166666666661</v>
      </c>
      <c r="F49" s="33">
        <f>'Monthly Data'!BB49</f>
        <v>0</v>
      </c>
      <c r="H49" s="18">
        <f>'GS&gt;50 Predicted Monthly'!$P$9</f>
        <v>4197710.1274672803</v>
      </c>
      <c r="I49" s="18">
        <f>E49*'GS&gt;50 Predicted Monthly'!$P$10</f>
        <v>2819768.8901548022</v>
      </c>
      <c r="J49" s="18">
        <f>F49*'GS&gt;50 Predicted Monthly'!$P$11</f>
        <v>0</v>
      </c>
      <c r="K49" s="18">
        <f>SUM(H49:J49)</f>
        <v>7017479.0176220825</v>
      </c>
      <c r="L49" s="18">
        <f>K49-D49</f>
        <v>-66660240.855113357</v>
      </c>
      <c r="M49" s="35">
        <f>ABS(L49/D49)</f>
        <v>0.90475439481917364</v>
      </c>
    </row>
    <row r="50" spans="1:13">
      <c r="A50" s="541">
        <f>'Monthly Data'!A50</f>
        <v>43831</v>
      </c>
      <c r="B50">
        <f t="shared" si="2"/>
        <v>2020</v>
      </c>
      <c r="C50">
        <f t="shared" si="3"/>
        <v>1</v>
      </c>
      <c r="D50" s="31">
        <f>'Monthly Data'!N50</f>
        <v>6576915.9627391547</v>
      </c>
      <c r="E50" s="33">
        <f>'Monthly Data'!AQ50</f>
        <v>851.48333333333335</v>
      </c>
      <c r="F50" s="33">
        <f>'Monthly Data'!BB50</f>
        <v>0</v>
      </c>
      <c r="H50" s="18">
        <f>'GS&gt;50 Predicted Monthly'!$P$9</f>
        <v>4197710.1274672803</v>
      </c>
      <c r="I50" s="18">
        <f>E50*'GS&gt;50 Predicted Monthly'!$P$10</f>
        <v>2958002.789013043</v>
      </c>
      <c r="J50" s="18">
        <f>F50*'GS&gt;50 Predicted Monthly'!$P$11</f>
        <v>0</v>
      </c>
      <c r="K50" s="18">
        <f>SUM(H50:J50)</f>
        <v>7155712.9164803233</v>
      </c>
      <c r="L50" s="18">
        <f>K50-D50</f>
        <v>578796.9537411686</v>
      </c>
      <c r="M50" s="35">
        <f>ABS(L50/D50)</f>
        <v>8.8004310381991135E-2</v>
      </c>
    </row>
    <row r="51" spans="1:13">
      <c r="A51" s="541">
        <f>'Monthly Data'!A51</f>
        <v>43862</v>
      </c>
      <c r="B51">
        <f t="shared" si="2"/>
        <v>2020</v>
      </c>
      <c r="C51">
        <f t="shared" si="3"/>
        <v>2</v>
      </c>
      <c r="D51" s="31">
        <f>'Monthly Data'!N51</f>
        <v>6044045.580237926</v>
      </c>
      <c r="E51" s="33">
        <f>'Monthly Data'!AQ51</f>
        <v>804.35833333333335</v>
      </c>
      <c r="F51" s="33">
        <f>'Monthly Data'!BB51</f>
        <v>0</v>
      </c>
      <c r="H51" s="18">
        <f>'GS&gt;50 Predicted Monthly'!$P$9</f>
        <v>4197710.1274672803</v>
      </c>
      <c r="I51" s="18">
        <f>E51*'GS&gt;50 Predicted Monthly'!$P$10</f>
        <v>2794293.3234542264</v>
      </c>
      <c r="J51" s="18">
        <f>F51*'GS&gt;50 Predicted Monthly'!$P$11</f>
        <v>0</v>
      </c>
      <c r="K51" s="18">
        <f>SUM(H51:J51)</f>
        <v>6992003.4509215066</v>
      </c>
      <c r="L51" s="18">
        <f>K51-D51</f>
        <v>947957.87068358064</v>
      </c>
      <c r="M51" s="35">
        <f>ABS(L51/D51)</f>
        <v>0.15684161512333664</v>
      </c>
    </row>
    <row r="52" spans="1:13">
      <c r="A52" s="541">
        <f>'Monthly Data'!A52</f>
        <v>43891</v>
      </c>
      <c r="B52">
        <f t="shared" si="2"/>
        <v>2020</v>
      </c>
      <c r="C52">
        <f t="shared" si="3"/>
        <v>3</v>
      </c>
      <c r="D52" s="31">
        <f>'Monthly Data'!N52</f>
        <v>5746554.1977366973</v>
      </c>
      <c r="E52" s="33">
        <f>'Monthly Data'!AQ52</f>
        <v>659.47500000000002</v>
      </c>
      <c r="F52" s="33">
        <f>'Monthly Data'!BB52</f>
        <v>0</v>
      </c>
      <c r="H52" s="18">
        <f>'GS&gt;50 Predicted Monthly'!$P$9</f>
        <v>4197710.1274672803</v>
      </c>
      <c r="I52" s="18">
        <f>E52*'GS&gt;50 Predicted Monthly'!$P$10</f>
        <v>2290977.1840721602</v>
      </c>
      <c r="J52" s="18">
        <f>F52*'GS&gt;50 Predicted Monthly'!$P$11</f>
        <v>0</v>
      </c>
      <c r="K52" s="18">
        <f>SUM(H52:J52)</f>
        <v>6488687.3115394404</v>
      </c>
      <c r="L52" s="18">
        <f>K52-D52</f>
        <v>742133.11380274314</v>
      </c>
      <c r="M52" s="35">
        <f>ABS(L52/D52)</f>
        <v>0.12914402061935398</v>
      </c>
    </row>
    <row r="53" spans="1:13">
      <c r="A53" s="541">
        <f>'Monthly Data'!A53</f>
        <v>43922</v>
      </c>
      <c r="B53">
        <f t="shared" si="2"/>
        <v>2020</v>
      </c>
      <c r="C53">
        <f t="shared" si="3"/>
        <v>4</v>
      </c>
      <c r="D53" s="31">
        <f>'Monthly Data'!N53</f>
        <v>5135085.8152354676</v>
      </c>
      <c r="E53" s="33">
        <f>'Monthly Data'!AQ53</f>
        <v>492.17083333333346</v>
      </c>
      <c r="F53" s="33">
        <f>'Monthly Data'!BB53</f>
        <v>0.77083333333333393</v>
      </c>
      <c r="H53" s="18">
        <f>'GS&gt;50 Predicted Monthly'!$P$9</f>
        <v>4197710.1274672803</v>
      </c>
      <c r="I53" s="18">
        <f>E53*'GS&gt;50 Predicted Monthly'!$P$10</f>
        <v>1709772.3944538438</v>
      </c>
      <c r="J53" s="18">
        <f>F53*'GS&gt;50 Predicted Monthly'!$P$11</f>
        <v>5086.582227793132</v>
      </c>
      <c r="K53" s="18">
        <f>SUM(H53:J53)</f>
        <v>5912569.1041489178</v>
      </c>
      <c r="L53" s="18">
        <f>K53-D53</f>
        <v>777483.2889134502</v>
      </c>
      <c r="M53" s="35">
        <f>ABS(L53/D53)</f>
        <v>0.15140609463754384</v>
      </c>
    </row>
    <row r="54" spans="1:13">
      <c r="A54" s="541">
        <f>'Monthly Data'!A54</f>
        <v>43952</v>
      </c>
      <c r="B54">
        <f t="shared" si="2"/>
        <v>2020</v>
      </c>
      <c r="C54">
        <f t="shared" si="3"/>
        <v>5</v>
      </c>
      <c r="D54" s="31">
        <f>'Monthly Data'!N54</f>
        <v>4880397.4327342389</v>
      </c>
      <c r="E54" s="33">
        <f>'Monthly Data'!AQ54</f>
        <v>278.21250000000003</v>
      </c>
      <c r="F54" s="33">
        <f>'Monthly Data'!BB54</f>
        <v>114.84583333333335</v>
      </c>
      <c r="H54" s="18">
        <f>'GS&gt;50 Predicted Monthly'!$P$9</f>
        <v>4197710.1274672803</v>
      </c>
      <c r="I54" s="18">
        <f>E54*'GS&gt;50 Predicted Monthly'!$P$10</f>
        <v>966493.78645691788</v>
      </c>
      <c r="J54" s="18">
        <f>F54*'GS&gt;50 Predicted Monthly'!$P$11</f>
        <v>757845.76186303783</v>
      </c>
      <c r="K54" s="18">
        <f>SUM(H54:J54)</f>
        <v>5922049.6757872365</v>
      </c>
      <c r="L54" s="18">
        <f>K54-D54</f>
        <v>1041652.2430529976</v>
      </c>
      <c r="M54" s="35">
        <f>ABS(L54/D54)</f>
        <v>0.21343594602897181</v>
      </c>
    </row>
    <row r="55" spans="1:13">
      <c r="A55" s="541">
        <f>'Monthly Data'!A55</f>
        <v>43983</v>
      </c>
      <c r="B55">
        <f t="shared" si="2"/>
        <v>2020</v>
      </c>
      <c r="C55">
        <f t="shared" si="3"/>
        <v>6</v>
      </c>
      <c r="D55" s="31">
        <f>'Monthly Data'!N55</f>
        <v>5172414.0502330102</v>
      </c>
      <c r="E55" s="33">
        <f>'Monthly Data'!AQ55</f>
        <v>92.391666666666652</v>
      </c>
      <c r="F55" s="33">
        <f>'Monthly Data'!BB55</f>
        <v>233.53749999999999</v>
      </c>
      <c r="H55" s="18">
        <f>'GS&gt;50 Predicted Monthly'!$P$9</f>
        <v>4197710.1274672803</v>
      </c>
      <c r="I55" s="18">
        <f>E55*'GS&gt;50 Predicted Monthly'!$P$10</f>
        <v>320963.19091964612</v>
      </c>
      <c r="J55" s="18">
        <f>F55*'GS&gt;50 Predicted Monthly'!$P$11</f>
        <v>1541069.4447869027</v>
      </c>
      <c r="K55" s="18">
        <f>SUM(H55:J55)</f>
        <v>6059742.7631738288</v>
      </c>
      <c r="L55" s="18">
        <f>K55-D55</f>
        <v>887328.71294081863</v>
      </c>
      <c r="M55" s="35">
        <f>ABS(L55/D55)</f>
        <v>0.17155020930716977</v>
      </c>
    </row>
    <row r="56" spans="1:13">
      <c r="A56" s="541">
        <f>'Monthly Data'!A56</f>
        <v>44013</v>
      </c>
      <c r="B56">
        <f t="shared" si="2"/>
        <v>2020</v>
      </c>
      <c r="C56">
        <f t="shared" si="3"/>
        <v>7</v>
      </c>
      <c r="D56" s="31">
        <f>'Monthly Data'!N56</f>
        <v>5878605.6677317806</v>
      </c>
      <c r="E56" s="33">
        <f>'Monthly Data'!AQ56</f>
        <v>3.850000000000005</v>
      </c>
      <c r="F56" s="33">
        <f>'Monthly Data'!BB56</f>
        <v>383.12500000000017</v>
      </c>
      <c r="H56" s="18">
        <f>'GS&gt;50 Predicted Monthly'!$P$9</f>
        <v>4197710.1274672803</v>
      </c>
      <c r="I56" s="18">
        <f>E56*'GS&gt;50 Predicted Monthly'!$P$10</f>
        <v>13374.672517802537</v>
      </c>
      <c r="J56" s="18">
        <f>F56*'GS&gt;50 Predicted Monthly'!$P$11</f>
        <v>2528168.8424085313</v>
      </c>
      <c r="K56" s="18">
        <f>SUM(H56:J56)</f>
        <v>6739253.6423936142</v>
      </c>
      <c r="L56" s="18">
        <f>K56-D56</f>
        <v>860647.97466183361</v>
      </c>
      <c r="M56" s="35">
        <f>ABS(L56/D56)</f>
        <v>0.14640342001267601</v>
      </c>
    </row>
    <row r="57" spans="1:13">
      <c r="A57" s="541">
        <f>'Monthly Data'!A57</f>
        <v>44044</v>
      </c>
      <c r="B57">
        <f t="shared" si="2"/>
        <v>2020</v>
      </c>
      <c r="C57">
        <f t="shared" si="3"/>
        <v>8</v>
      </c>
      <c r="D57" s="31">
        <f>'Monthly Data'!N57</f>
        <v>5677799.2852305518</v>
      </c>
      <c r="E57" s="33">
        <f>'Monthly Data'!AQ57</f>
        <v>79.675000000000011</v>
      </c>
      <c r="F57" s="33">
        <f>'Monthly Data'!BB57</f>
        <v>240.70833333333334</v>
      </c>
      <c r="H57" s="18">
        <f>'GS&gt;50 Predicted Monthly'!$P$9</f>
        <v>4197710.1274672803</v>
      </c>
      <c r="I57" s="18">
        <f>E57*'GS&gt;50 Predicted Monthly'!$P$10</f>
        <v>276786.24230023788</v>
      </c>
      <c r="J57" s="18">
        <f>F57*'GS&gt;50 Predicted Monthly'!$P$11</f>
        <v>1588388.4070249137</v>
      </c>
      <c r="K57" s="18">
        <f>SUM(H57:J57)</f>
        <v>6062884.7767924313</v>
      </c>
      <c r="L57" s="18">
        <f>K57-D57</f>
        <v>385085.4915618794</v>
      </c>
      <c r="M57" s="35">
        <f>ABS(L57/D57)</f>
        <v>6.782301948636825E-2</v>
      </c>
    </row>
    <row r="58" spans="1:13">
      <c r="A58" s="541">
        <f>'Monthly Data'!A58</f>
        <v>44075</v>
      </c>
      <c r="B58">
        <f t="shared" si="2"/>
        <v>2020</v>
      </c>
      <c r="C58">
        <f t="shared" si="3"/>
        <v>9</v>
      </c>
      <c r="D58" s="31">
        <f>'Monthly Data'!N58</f>
        <v>4853861.9027293231</v>
      </c>
      <c r="E58" s="33">
        <f>'Monthly Data'!AQ58</f>
        <v>206.67499999999998</v>
      </c>
      <c r="F58" s="33">
        <f>'Monthly Data'!BB58</f>
        <v>109.925</v>
      </c>
      <c r="H58" s="18">
        <f>'GS&gt;50 Predicted Monthly'!$P$9</f>
        <v>4197710.1274672803</v>
      </c>
      <c r="I58" s="18">
        <f>E58*'GS&gt;50 Predicted Monthly'!$P$10</f>
        <v>717976.73834203521</v>
      </c>
      <c r="J58" s="18">
        <f>F58*'GS&gt;50 Predicted Monthly'!$P$11</f>
        <v>725374.12072236917</v>
      </c>
      <c r="K58" s="18">
        <f>SUM(H58:J58)</f>
        <v>5641060.9865316851</v>
      </c>
      <c r="L58" s="18">
        <f>K58-D58</f>
        <v>787199.08380236197</v>
      </c>
      <c r="M58" s="35">
        <f>ABS(L58/D58)</f>
        <v>0.16217995064089494</v>
      </c>
    </row>
    <row r="59" spans="1:13">
      <c r="A59" s="541">
        <f>'Monthly Data'!A59</f>
        <v>44105</v>
      </c>
      <c r="B59">
        <f t="shared" si="2"/>
        <v>2020</v>
      </c>
      <c r="C59">
        <f t="shared" si="3"/>
        <v>10</v>
      </c>
      <c r="D59" s="31">
        <f>'Monthly Data'!N59</f>
        <v>5147410.5202280935</v>
      </c>
      <c r="E59" s="33">
        <f>'Monthly Data'!AQ59</f>
        <v>432.26666666666665</v>
      </c>
      <c r="F59" s="33">
        <f>'Monthly Data'!BB59</f>
        <v>10.033333333333337</v>
      </c>
      <c r="H59" s="18">
        <f>'GS&gt;50 Predicted Monthly'!$P$9</f>
        <v>4197710.1274672803</v>
      </c>
      <c r="I59" s="18">
        <f>E59*'GS&gt;50 Predicted Monthly'!$P$10</f>
        <v>1501668.8589685115</v>
      </c>
      <c r="J59" s="18">
        <f>F59*'GS&gt;50 Predicted Monthly'!$P$11</f>
        <v>66208.054078518137</v>
      </c>
      <c r="K59" s="18">
        <f>SUM(H59:J59)</f>
        <v>5765587.0405143099</v>
      </c>
      <c r="L59" s="18">
        <f>K59-D59</f>
        <v>618176.5202862164</v>
      </c>
      <c r="M59" s="35">
        <f>ABS(L59/D59)</f>
        <v>0.12009466077301012</v>
      </c>
    </row>
    <row r="60" spans="1:13">
      <c r="A60" s="541">
        <f>'Monthly Data'!A60</f>
        <v>44136</v>
      </c>
      <c r="B60">
        <f t="shared" si="2"/>
        <v>2020</v>
      </c>
      <c r="C60">
        <f t="shared" si="3"/>
        <v>11</v>
      </c>
      <c r="D60" s="31">
        <f>'Monthly Data'!N60</f>
        <v>5346134.1377268648</v>
      </c>
      <c r="E60" s="33">
        <f>'Monthly Data'!AQ60</f>
        <v>513.82916666666665</v>
      </c>
      <c r="F60" s="33">
        <f>'Monthly Data'!BB60</f>
        <v>13.40833333333333</v>
      </c>
      <c r="H60" s="18">
        <f>'GS&gt;50 Predicted Monthly'!$P$9</f>
        <v>4197710.1274672803</v>
      </c>
      <c r="I60" s="18">
        <f>E60*'GS&gt;50 Predicted Monthly'!$P$10</f>
        <v>1785012.1647433862</v>
      </c>
      <c r="J60" s="18">
        <f>F60*'GS&gt;50 Predicted Monthly'!$P$11</f>
        <v>88479.035724531248</v>
      </c>
      <c r="K60" s="18">
        <f>SUM(H60:J60)</f>
        <v>6071201.3279351974</v>
      </c>
      <c r="L60" s="18">
        <f>K60-D60</f>
        <v>725067.19020833261</v>
      </c>
      <c r="M60" s="35">
        <f>ABS(L60/D60)</f>
        <v>0.13562457871972244</v>
      </c>
    </row>
    <row r="61" spans="1:13">
      <c r="A61" s="541">
        <f>'Monthly Data'!A61</f>
        <v>44166</v>
      </c>
      <c r="B61">
        <f t="shared" si="2"/>
        <v>2020</v>
      </c>
      <c r="C61">
        <f t="shared" si="3"/>
        <v>12</v>
      </c>
      <c r="D61" s="31">
        <f>'Monthly Data'!N61</f>
        <v>6328103.7552256361</v>
      </c>
      <c r="E61" s="33">
        <f>'Monthly Data'!AQ61</f>
        <v>775.91666666666674</v>
      </c>
      <c r="F61" s="33">
        <f>'Monthly Data'!BB61</f>
        <v>0</v>
      </c>
      <c r="H61" s="18">
        <f>'GS&gt;50 Predicted Monthly'!$P$9</f>
        <v>4197710.1274672803</v>
      </c>
      <c r="I61" s="18">
        <f>E61*'GS&gt;50 Predicted Monthly'!$P$10</f>
        <v>2695488.6539666508</v>
      </c>
      <c r="J61" s="18">
        <f>F61*'GS&gt;50 Predicted Monthly'!$P$11</f>
        <v>0</v>
      </c>
      <c r="K61" s="18">
        <f>SUM(H61:J61)</f>
        <v>6893198.7814339306</v>
      </c>
      <c r="L61" s="18">
        <f>K61-D61</f>
        <v>565095.02620829456</v>
      </c>
      <c r="M61" s="35">
        <f>ABS(L61/D61)</f>
        <v>8.9299266899922292E-2</v>
      </c>
    </row>
    <row r="62" spans="1:13">
      <c r="A62" s="541">
        <f>'Monthly Data'!A62</f>
        <v>44197</v>
      </c>
      <c r="B62">
        <f t="shared" si="2"/>
        <v>2021</v>
      </c>
      <c r="C62">
        <f t="shared" si="3"/>
        <v>1</v>
      </c>
      <c r="D62" s="31">
        <f>'Monthly Data'!N62</f>
        <v>5892807.3511189306</v>
      </c>
      <c r="E62" s="33">
        <f>'Monthly Data'!AQ62</f>
        <v>852.97499999999991</v>
      </c>
      <c r="F62" s="33">
        <f>'Monthly Data'!BB62</f>
        <v>0</v>
      </c>
      <c r="H62" s="18">
        <f>'GS&gt;50 Predicted Monthly'!$P$9</f>
        <v>4197710.1274672803</v>
      </c>
      <c r="I62" s="18">
        <f>E62*'GS&gt;50 Predicted Monthly'!$P$10</f>
        <v>2963184.7508760006</v>
      </c>
      <c r="J62" s="18">
        <f>F62*'GS&gt;50 Predicted Monthly'!$P$11</f>
        <v>0</v>
      </c>
      <c r="K62" s="18">
        <f>SUM(H62:J62)</f>
        <v>7160894.8783432804</v>
      </c>
      <c r="L62" s="18">
        <f>K62-D62</f>
        <v>1268087.5272243498</v>
      </c>
      <c r="M62" s="35">
        <f>ABS(L62/D62)</f>
        <v>0.21519242895044999</v>
      </c>
    </row>
    <row r="63" spans="1:13">
      <c r="A63" s="541">
        <f>'Monthly Data'!A63</f>
        <v>44228</v>
      </c>
      <c r="B63">
        <f t="shared" si="2"/>
        <v>2021</v>
      </c>
      <c r="C63">
        <f t="shared" si="3"/>
        <v>2</v>
      </c>
      <c r="D63" s="31">
        <f>'Monthly Data'!N63</f>
        <v>5662759.9500704687</v>
      </c>
      <c r="E63" s="33">
        <f>'Monthly Data'!AQ63</f>
        <v>819.91666666666652</v>
      </c>
      <c r="F63" s="33">
        <f>'Monthly Data'!BB63</f>
        <v>0</v>
      </c>
      <c r="H63" s="18">
        <f>'GS&gt;50 Predicted Monthly'!$P$9</f>
        <v>4197710.1274672803</v>
      </c>
      <c r="I63" s="18">
        <f>E63*'GS&gt;50 Predicted Monthly'!$P$10</f>
        <v>2848342.0541701075</v>
      </c>
      <c r="J63" s="18">
        <f>F63*'GS&gt;50 Predicted Monthly'!$P$11</f>
        <v>0</v>
      </c>
      <c r="K63" s="18">
        <f>SUM(H63:J63)</f>
        <v>7046052.1816373877</v>
      </c>
      <c r="L63" s="18">
        <f>K63-D63</f>
        <v>1383292.231566919</v>
      </c>
      <c r="M63" s="35">
        <f>ABS(L63/D63)</f>
        <v>0.24427880464007751</v>
      </c>
    </row>
    <row r="64" spans="1:13">
      <c r="A64" s="541">
        <f>'Monthly Data'!A64</f>
        <v>44256</v>
      </c>
      <c r="B64">
        <f t="shared" si="2"/>
        <v>2021</v>
      </c>
      <c r="C64">
        <f t="shared" si="3"/>
        <v>3</v>
      </c>
      <c r="D64" s="31">
        <f>'Monthly Data'!N64</f>
        <v>5830922.5490220068</v>
      </c>
      <c r="E64" s="33">
        <f>'Monthly Data'!AQ64</f>
        <v>651.65416666666704</v>
      </c>
      <c r="F64" s="33">
        <f>'Monthly Data'!BB64</f>
        <v>1.1000000000000032</v>
      </c>
      <c r="H64" s="18">
        <f>'GS&gt;50 Predicted Monthly'!$P$9</f>
        <v>4197710.1274672803</v>
      </c>
      <c r="I64" s="18">
        <f>E64*'GS&gt;50 Predicted Monthly'!$P$10</f>
        <v>2263808.071176149</v>
      </c>
      <c r="J64" s="18">
        <f>F64*'GS&gt;50 Predicted Monthly'!$P$11</f>
        <v>7258.6903142561605</v>
      </c>
      <c r="K64" s="18">
        <f>SUM(H64:J64)</f>
        <v>6468776.8889576858</v>
      </c>
      <c r="L64" s="18">
        <f>K64-D64</f>
        <v>637854.33993567899</v>
      </c>
      <c r="M64" s="35">
        <f>ABS(L64/D64)</f>
        <v>0.10939166736877054</v>
      </c>
    </row>
    <row r="65" spans="1:15">
      <c r="A65" s="541">
        <f>'Monthly Data'!A65</f>
        <v>44287</v>
      </c>
      <c r="B65">
        <f t="shared" si="2"/>
        <v>2021</v>
      </c>
      <c r="C65">
        <f t="shared" si="3"/>
        <v>4</v>
      </c>
      <c r="D65" s="31">
        <f>'Monthly Data'!N65</f>
        <v>4671495.1705421582</v>
      </c>
      <c r="E65" s="33">
        <f>'Monthly Data'!AQ65</f>
        <v>381.19583333333338</v>
      </c>
      <c r="F65" s="33">
        <f>'Monthly Data'!BB65</f>
        <v>27.116666666666667</v>
      </c>
      <c r="H65" s="18">
        <f>'GS&gt;50 Predicted Monthly'!$P$9</f>
        <v>4197710.1274672803</v>
      </c>
      <c r="I65" s="18">
        <f>E65*'GS&gt;50 Predicted Monthly'!$P$10</f>
        <v>1324251.8015543281</v>
      </c>
      <c r="J65" s="18">
        <f>F65*'GS&gt;50 Predicted Monthly'!$P$11</f>
        <v>178937.7142620415</v>
      </c>
      <c r="K65" s="18">
        <f>SUM(H65:J65)</f>
        <v>5700899.6432836493</v>
      </c>
      <c r="L65" s="18">
        <f>K65-D65</f>
        <v>1029404.4727414912</v>
      </c>
      <c r="M65" s="35">
        <f>ABS(L65/D65)</f>
        <v>0.2203586721512166</v>
      </c>
    </row>
    <row r="66" spans="1:15">
      <c r="A66" s="541">
        <f>'Monthly Data'!A66</f>
        <v>44317</v>
      </c>
      <c r="B66">
        <f t="shared" si="2"/>
        <v>2021</v>
      </c>
      <c r="C66">
        <f t="shared" si="3"/>
        <v>5</v>
      </c>
      <c r="D66" s="31">
        <f>'Monthly Data'!N66</f>
        <v>4967977.1562202908</v>
      </c>
      <c r="E66" s="33">
        <f>'Monthly Data'!AQ66</f>
        <v>251.67499999999995</v>
      </c>
      <c r="F66" s="33">
        <f>'Monthly Data'!BB66</f>
        <v>110.03333333333333</v>
      </c>
      <c r="H66" s="18">
        <f>'GS&gt;50 Predicted Monthly'!$P$9</f>
        <v>4197710.1274672803</v>
      </c>
      <c r="I66" s="18">
        <f>E66*'GS&gt;50 Predicted Monthly'!$P$10</f>
        <v>874304.07945920737</v>
      </c>
      <c r="J66" s="18">
        <f>F66*'GS&gt;50 Predicted Monthly'!$P$11</f>
        <v>726088.99173816713</v>
      </c>
      <c r="K66" s="18">
        <f>SUM(H66:J66)</f>
        <v>5798103.198664654</v>
      </c>
      <c r="L66" s="18">
        <f>K66-D66</f>
        <v>830126.04244436324</v>
      </c>
      <c r="M66" s="35">
        <f>ABS(L66/D66)</f>
        <v>0.16709538235395896</v>
      </c>
    </row>
    <row r="67" spans="1:15">
      <c r="A67" s="541">
        <f>'Monthly Data'!A67</f>
        <v>44348</v>
      </c>
      <c r="B67">
        <f t="shared" si="2"/>
        <v>2021</v>
      </c>
      <c r="C67">
        <f t="shared" si="3"/>
        <v>6</v>
      </c>
      <c r="D67" s="31">
        <f>'Monthly Data'!N67</f>
        <v>5386931.1568166604</v>
      </c>
      <c r="E67" s="33">
        <f>'Monthly Data'!AQ67</f>
        <v>55.149999999999991</v>
      </c>
      <c r="F67" s="33">
        <f>'Monthly Data'!BB67</f>
        <v>275.60833333333329</v>
      </c>
      <c r="H67" s="18">
        <f>'GS&gt;50 Predicted Monthly'!$P$9</f>
        <v>4197710.1274672803</v>
      </c>
      <c r="I67" s="18">
        <f>E67*'GS&gt;50 Predicted Monthly'!$P$10</f>
        <v>191587.84139137893</v>
      </c>
      <c r="J67" s="18">
        <f>F67*'GS&gt;50 Predicted Monthly'!$P$11</f>
        <v>1818686.8542681308</v>
      </c>
      <c r="K67" s="18">
        <f>SUM(H67:J67)</f>
        <v>6207984.8231267901</v>
      </c>
      <c r="L67" s="18">
        <f>K67-D67</f>
        <v>821053.66631012969</v>
      </c>
      <c r="M67" s="35">
        <f>ABS(L67/D67)</f>
        <v>0.15241584538743597</v>
      </c>
    </row>
    <row r="68" spans="1:15">
      <c r="A68" s="541">
        <f>'Monthly Data'!A68</f>
        <v>44378</v>
      </c>
      <c r="B68">
        <f t="shared" si="2"/>
        <v>2021</v>
      </c>
      <c r="C68">
        <f t="shared" si="3"/>
        <v>7</v>
      </c>
      <c r="D68" s="31">
        <f>'Monthly Data'!N68</f>
        <v>5505749.9418636365</v>
      </c>
      <c r="E68" s="33">
        <f>'Monthly Data'!AQ68</f>
        <v>58.799999999999976</v>
      </c>
      <c r="F68" s="33">
        <f>'Monthly Data'!BB68</f>
        <v>267.77500000000009</v>
      </c>
      <c r="H68" s="18">
        <f>'GS&gt;50 Predicted Monthly'!$P$9</f>
        <v>4197710.1274672803</v>
      </c>
      <c r="I68" s="18">
        <f>E68*'GS&gt;50 Predicted Monthly'!$P$10</f>
        <v>204267.7257264384</v>
      </c>
      <c r="J68" s="18">
        <f>F68*'GS&gt;50 Predicted Monthly'!$P$11</f>
        <v>1766996.1808181258</v>
      </c>
      <c r="K68" s="18">
        <f>SUM(H68:J68)</f>
        <v>6168974.0340118445</v>
      </c>
      <c r="L68" s="18">
        <f>K68-D68</f>
        <v>663224.09214820806</v>
      </c>
      <c r="M68" s="35">
        <f>ABS(L68/D68)</f>
        <v>0.12046026411503061</v>
      </c>
    </row>
    <row r="69" spans="1:15">
      <c r="A69" s="541">
        <f>'Monthly Data'!A69</f>
        <v>44409</v>
      </c>
      <c r="B69">
        <f t="shared" si="2"/>
        <v>2021</v>
      </c>
      <c r="C69">
        <f t="shared" si="3"/>
        <v>8</v>
      </c>
      <c r="D69" s="31">
        <f>'Monthly Data'!N69</f>
        <v>7520564.8088652845</v>
      </c>
      <c r="E69" s="33">
        <f>'Monthly Data'!AQ69</f>
        <v>27.104166666666682</v>
      </c>
      <c r="F69" s="33">
        <f>'Monthly Data'!BB69</f>
        <v>346.10416666666663</v>
      </c>
      <c r="H69" s="18">
        <f>'GS&gt;50 Predicted Monthly'!$P$9</f>
        <v>4197710.1274672803</v>
      </c>
      <c r="I69" s="18">
        <f>E69*'GS&gt;50 Predicted Monthly'!$P$10</f>
        <v>94158.273515482069</v>
      </c>
      <c r="J69" s="18">
        <f>F69*'GS&gt;50 Predicted Monthly'!$P$11</f>
        <v>2283875.420279114</v>
      </c>
      <c r="K69" s="18">
        <f>SUM(H69:J69)</f>
        <v>6575743.8212618772</v>
      </c>
      <c r="L69" s="18">
        <f>K69-D69</f>
        <v>-944820.98760340735</v>
      </c>
      <c r="M69" s="35">
        <f>ABS(L69/D69)</f>
        <v>0.12563165288990621</v>
      </c>
    </row>
    <row r="70" spans="1:15">
      <c r="A70" s="541">
        <f>'Monthly Data'!A70</f>
        <v>44440</v>
      </c>
      <c r="B70">
        <f t="shared" si="2"/>
        <v>2021</v>
      </c>
      <c r="C70">
        <f t="shared" si="3"/>
        <v>9</v>
      </c>
      <c r="D70" s="31">
        <f>'Monthly Data'!N70</f>
        <v>7138503.3877345817</v>
      </c>
      <c r="E70" s="33">
        <f>'Monthly Data'!AQ70</f>
        <v>164.45000000000005</v>
      </c>
      <c r="F70" s="33">
        <f>'Monthly Data'!BB70</f>
        <v>136.3458333333333</v>
      </c>
      <c r="H70" s="18">
        <f>'GS&gt;50 Predicted Monthly'!$P$9</f>
        <v>4197710.1274672803</v>
      </c>
      <c r="I70" s="18">
        <f>E70*'GS&gt;50 Predicted Monthly'!$P$10</f>
        <v>571289.58326042211</v>
      </c>
      <c r="J70" s="18">
        <f>F70*'GS&gt;50 Predicted Monthly'!$P$11</f>
        <v>899720.16345986212</v>
      </c>
      <c r="K70" s="18">
        <f>SUM(H70:J70)</f>
        <v>5668719.8741875645</v>
      </c>
      <c r="L70" s="18">
        <f>K70-D70</f>
        <v>-1469783.5135470172</v>
      </c>
      <c r="M70" s="35">
        <f>ABS(L70/D70)</f>
        <v>0.20589519031011569</v>
      </c>
    </row>
    <row r="71" spans="1:15">
      <c r="A71" s="541">
        <f>'Monthly Data'!A71</f>
        <v>44470</v>
      </c>
      <c r="B71">
        <f t="shared" si="2"/>
        <v>2021</v>
      </c>
      <c r="C71">
        <f t="shared" si="3"/>
        <v>10</v>
      </c>
      <c r="D71" s="31">
        <f>'Monthly Data'!N71</f>
        <v>5536607.3747515306</v>
      </c>
      <c r="E71" s="33">
        <f>'Monthly Data'!AQ71</f>
        <v>294.72916666666663</v>
      </c>
      <c r="F71" s="33">
        <f>'Monthly Data'!BB71</f>
        <v>70.17916666666666</v>
      </c>
      <c r="H71" s="18">
        <f>'GS&gt;50 Predicted Monthly'!$P$9</f>
        <v>4197710.1274672803</v>
      </c>
      <c r="I71" s="18">
        <f>E71*'GS&gt;50 Predicted Monthly'!$P$10</f>
        <v>1023871.7105484427</v>
      </c>
      <c r="J71" s="18">
        <f>F71*'GS&gt;50 Predicted Monthly'!$P$11</f>
        <v>463098.94304172782</v>
      </c>
      <c r="K71" s="18">
        <f>SUM(H71:J71)</f>
        <v>5684680.7810574509</v>
      </c>
      <c r="L71" s="18">
        <f>K71-D71</f>
        <v>148073.40630592033</v>
      </c>
      <c r="M71" s="35">
        <f>ABS(L71/D71)</f>
        <v>2.6744429626918507E-2</v>
      </c>
    </row>
    <row r="72" spans="1:15">
      <c r="A72" s="541">
        <f>'Monthly Data'!A72</f>
        <v>44501</v>
      </c>
      <c r="B72">
        <f t="shared" si="2"/>
        <v>2021</v>
      </c>
      <c r="C72">
        <f t="shared" si="3"/>
        <v>11</v>
      </c>
      <c r="D72" s="31">
        <f>'Monthly Data'!N72</f>
        <v>5589896.3406343106</v>
      </c>
      <c r="E72" s="33">
        <f>'Monthly Data'!AQ72</f>
        <v>584.32083333333333</v>
      </c>
      <c r="F72" s="33">
        <f>'Monthly Data'!BB72</f>
        <v>0</v>
      </c>
      <c r="H72" s="18">
        <f>'GS&gt;50 Predicted Monthly'!$P$9</f>
        <v>4197710.1274672803</v>
      </c>
      <c r="I72" s="18">
        <f>E72*'GS&gt;50 Predicted Monthly'!$P$10</f>
        <v>2029896.0496526752</v>
      </c>
      <c r="J72" s="18">
        <f>F72*'GS&gt;50 Predicted Monthly'!$P$11</f>
        <v>0</v>
      </c>
      <c r="K72" s="18">
        <f>SUM(H72:J72)</f>
        <v>6227606.1771199554</v>
      </c>
      <c r="L72" s="18">
        <f>K72-D72</f>
        <v>637709.8364856448</v>
      </c>
      <c r="M72" s="35">
        <f>ABS(L72/D72)</f>
        <v>0.11408258715818709</v>
      </c>
    </row>
    <row r="73" spans="1:15">
      <c r="A73" s="541">
        <f>'Monthly Data'!A73</f>
        <v>44531</v>
      </c>
      <c r="B73">
        <f t="shared" si="2"/>
        <v>2021</v>
      </c>
      <c r="C73">
        <f t="shared" si="3"/>
        <v>12</v>
      </c>
      <c r="D73" s="31">
        <f>'Monthly Data'!N73</f>
        <v>6040034.3795858482</v>
      </c>
      <c r="E73" s="33">
        <f>'Monthly Data'!AQ73</f>
        <v>764.20624999999995</v>
      </c>
      <c r="F73" s="33">
        <f>'Monthly Data'!BB73</f>
        <v>0</v>
      </c>
      <c r="H73" s="18">
        <f>'GS&gt;50 Predicted Monthly'!$P$9</f>
        <v>4197710.1274672803</v>
      </c>
      <c r="I73" s="18">
        <f>E73*'GS&gt;50 Predicted Monthly'!$P$10</f>
        <v>2654807.3583916677</v>
      </c>
      <c r="J73" s="18">
        <f>F73*'GS&gt;50 Predicted Monthly'!$P$11</f>
        <v>0</v>
      </c>
      <c r="K73" s="18">
        <f>SUM(H73:J73)</f>
        <v>6852517.485858948</v>
      </c>
      <c r="L73" s="18">
        <f>K73-D73</f>
        <v>812483.10627309978</v>
      </c>
      <c r="M73" s="35">
        <f>ABS(L73/D73)</f>
        <v>0.13451630491030581</v>
      </c>
    </row>
    <row r="74" spans="1:15">
      <c r="A74" s="541">
        <f>'Monthly Data'!A74</f>
        <v>44562</v>
      </c>
      <c r="B74">
        <f t="shared" si="2"/>
        <v>2022</v>
      </c>
      <c r="C74">
        <f t="shared" si="3"/>
        <v>1</v>
      </c>
      <c r="D74" s="31">
        <f>'Monthly Data'!N74</f>
        <v>7168571.6108332537</v>
      </c>
      <c r="E74" s="33">
        <f>'Monthly Data'!AQ74</f>
        <v>1118.6333333333332</v>
      </c>
      <c r="F74" s="33">
        <f>'Monthly Data'!BB74</f>
        <v>0</v>
      </c>
      <c r="H74" s="18">
        <f>'GS&gt;50 Predicted Monthly'!$P$9</f>
        <v>4197710.1274672803</v>
      </c>
      <c r="I74" s="18">
        <f>E74*'GS&gt;50 Predicted Monthly'!$P$10</f>
        <v>3886066.1041119886</v>
      </c>
      <c r="J74" s="18">
        <f>F74*'GS&gt;50 Predicted Monthly'!$P$11</f>
        <v>0</v>
      </c>
      <c r="K74" s="18">
        <f>SUM(H74:J74)</f>
        <v>8083776.2315792684</v>
      </c>
      <c r="L74" s="18">
        <f>K74-D74</f>
        <v>915204.62074601464</v>
      </c>
      <c r="M74" s="35">
        <f>ABS(L74/D74)</f>
        <v>0.1276690351203221</v>
      </c>
    </row>
    <row r="75" spans="1:15">
      <c r="A75" s="541">
        <f>'Monthly Data'!A75</f>
        <v>44593</v>
      </c>
      <c r="B75">
        <f t="shared" ref="B75:B121" si="4">YEAR(A75)</f>
        <v>2022</v>
      </c>
      <c r="C75">
        <f t="shared" ref="C75:C121" si="5">MONTH(A75)</f>
        <v>2</v>
      </c>
      <c r="D75" s="31">
        <f>'Monthly Data'!N75</f>
        <v>6519634.1395640364</v>
      </c>
      <c r="E75" s="33">
        <f>'Monthly Data'!AQ75</f>
        <v>841.76666666666654</v>
      </c>
      <c r="F75" s="33">
        <f>'Monthly Data'!BB75</f>
        <v>0</v>
      </c>
      <c r="H75" s="18">
        <f>'GS&gt;50 Predicted Monthly'!$P$9</f>
        <v>4197710.1274672803</v>
      </c>
      <c r="I75" s="18">
        <f>E75*'GS&gt;50 Predicted Monthly'!$P$10</f>
        <v>2924247.6631347788</v>
      </c>
      <c r="J75" s="18">
        <f>F75*'GS&gt;50 Predicted Monthly'!$P$11</f>
        <v>0</v>
      </c>
      <c r="K75" s="18">
        <f>SUM(H75:J75)</f>
        <v>7121957.7906020591</v>
      </c>
      <c r="L75" s="18">
        <f>K75-D75</f>
        <v>602323.65103802271</v>
      </c>
      <c r="M75" s="35">
        <f>ABS(L75/D75)</f>
        <v>9.2386112187316655E-2</v>
      </c>
    </row>
    <row r="76" spans="1:15">
      <c r="A76" s="541">
        <f>'Monthly Data'!A76</f>
        <v>44621</v>
      </c>
      <c r="B76">
        <f t="shared" si="4"/>
        <v>2022</v>
      </c>
      <c r="C76">
        <f t="shared" si="5"/>
        <v>3</v>
      </c>
      <c r="D76" s="31">
        <f>'Monthly Data'!N76</f>
        <v>6029488.6682948181</v>
      </c>
      <c r="E76" s="33">
        <f>'Monthly Data'!AQ76</f>
        <v>704.6583333333333</v>
      </c>
      <c r="F76" s="33">
        <f>'Monthly Data'!BB76</f>
        <v>0</v>
      </c>
      <c r="H76" s="18">
        <f>'GS&gt;50 Predicted Monthly'!$P$9</f>
        <v>4197710.1274672803</v>
      </c>
      <c r="I76" s="18">
        <f>E76*'GS&gt;50 Predicted Monthly'!$P$10</f>
        <v>2447941.4143568468</v>
      </c>
      <c r="J76" s="18">
        <f>F76*'GS&gt;50 Predicted Monthly'!$P$11</f>
        <v>0</v>
      </c>
      <c r="K76" s="18">
        <f>SUM(H76:J76)</f>
        <v>6645651.5418241266</v>
      </c>
      <c r="L76" s="18">
        <f>K76-D76</f>
        <v>616162.87352930848</v>
      </c>
      <c r="M76" s="35">
        <f>ABS(L76/D76)</f>
        <v>0.10219156340226836</v>
      </c>
      <c r="O76" s="18"/>
    </row>
    <row r="77" spans="1:15">
      <c r="A77" s="541">
        <f>'Monthly Data'!A77</f>
        <v>44652</v>
      </c>
      <c r="B77">
        <f t="shared" si="4"/>
        <v>2022</v>
      </c>
      <c r="C77">
        <f t="shared" si="5"/>
        <v>4</v>
      </c>
      <c r="D77" s="31">
        <f>'Monthly Data'!N77</f>
        <v>5243870.1970255999</v>
      </c>
      <c r="E77" s="33">
        <f>'Monthly Data'!AQ77</f>
        <v>461.22083333333347</v>
      </c>
      <c r="F77" s="33">
        <f>'Monthly Data'!BB77</f>
        <v>0.60416666666666607</v>
      </c>
      <c r="H77" s="18">
        <f>'GS&gt;50 Predicted Monthly'!$P$9</f>
        <v>4197710.1274672803</v>
      </c>
      <c r="I77" s="18">
        <f>E77*'GS&gt;50 Predicted Monthly'!$P$10</f>
        <v>1602253.9231743666</v>
      </c>
      <c r="J77" s="18">
        <f>F77*'GS&gt;50 Predicted Monthly'!$P$11</f>
        <v>3986.7806650270422</v>
      </c>
      <c r="K77" s="18">
        <f>SUM(H77:J77)</f>
        <v>5803950.8313066736</v>
      </c>
      <c r="L77" s="18">
        <f>K77-D77</f>
        <v>560080.6342810737</v>
      </c>
      <c r="M77" s="35">
        <f>ABS(L77/D77)</f>
        <v>0.1068067311427273</v>
      </c>
      <c r="O77" s="18"/>
    </row>
    <row r="78" spans="1:15">
      <c r="A78" s="541">
        <f>'Monthly Data'!A78</f>
        <v>44682</v>
      </c>
      <c r="B78">
        <f t="shared" si="4"/>
        <v>2022</v>
      </c>
      <c r="C78">
        <f t="shared" si="5"/>
        <v>5</v>
      </c>
      <c r="D78" s="31">
        <f>'Monthly Data'!N78</f>
        <v>5283935.7257563816</v>
      </c>
      <c r="E78" s="33">
        <f>'Monthly Data'!AQ78</f>
        <v>173.55833333333337</v>
      </c>
      <c r="F78" s="33">
        <f>'Monthly Data'!BB78</f>
        <v>147.53749999999999</v>
      </c>
      <c r="H78" s="18">
        <f>'GS&gt;50 Predicted Monthly'!$P$9</f>
        <v>4197710.1274672803</v>
      </c>
      <c r="I78" s="18">
        <f>E78*'GS&gt;50 Predicted Monthly'!$P$10</f>
        <v>602931.39508284221</v>
      </c>
      <c r="J78" s="18">
        <f>F78*'GS&gt;50 Predicted Monthly'!$P$11</f>
        <v>973571.83839960466</v>
      </c>
      <c r="K78" s="18">
        <f>SUM(H78:J78)</f>
        <v>5774213.3609497277</v>
      </c>
      <c r="L78" s="18">
        <f>K78-D78</f>
        <v>490277.63519334607</v>
      </c>
      <c r="M78" s="35">
        <f>ABS(L78/D78)</f>
        <v>9.2786449464837897E-2</v>
      </c>
      <c r="O78" s="18"/>
    </row>
    <row r="79" spans="1:15">
      <c r="A79" s="541">
        <f>'Monthly Data'!A79</f>
        <v>44713</v>
      </c>
      <c r="B79">
        <f t="shared" si="4"/>
        <v>2022</v>
      </c>
      <c r="C79">
        <f t="shared" si="5"/>
        <v>6</v>
      </c>
      <c r="D79" s="31">
        <f>'Monthly Data'!N79</f>
        <v>5270216.2544871643</v>
      </c>
      <c r="E79" s="33">
        <f>'Monthly Data'!AQ79</f>
        <v>101.1375</v>
      </c>
      <c r="F79" s="33">
        <f>'Monthly Data'!BB79</f>
        <v>212.1875</v>
      </c>
      <c r="H79" s="18">
        <f>'GS&gt;50 Predicted Monthly'!$P$9</f>
        <v>4197710.1274672803</v>
      </c>
      <c r="I79" s="18">
        <f>E79*'GS&gt;50 Predicted Monthly'!$P$10</f>
        <v>351345.69916084479</v>
      </c>
      <c r="J79" s="18">
        <f>F79*'GS&gt;50 Predicted Monthly'!$P$11</f>
        <v>1400184.8645965678</v>
      </c>
      <c r="K79" s="18">
        <f>SUM(H79:J79)</f>
        <v>5949240.6912246933</v>
      </c>
      <c r="L79" s="18">
        <f>K79-D79</f>
        <v>679024.436737529</v>
      </c>
      <c r="M79" s="35">
        <f>ABS(L79/D79)</f>
        <v>0.12884185466951084</v>
      </c>
      <c r="O79" s="18"/>
    </row>
    <row r="80" spans="1:15">
      <c r="A80" s="541">
        <f>'Monthly Data'!A80</f>
        <v>44743</v>
      </c>
      <c r="B80">
        <f t="shared" si="4"/>
        <v>2022</v>
      </c>
      <c r="C80">
        <f t="shared" si="5"/>
        <v>7</v>
      </c>
      <c r="D80" s="31">
        <f>'Monthly Data'!N80</f>
        <v>5765089.7832179461</v>
      </c>
      <c r="E80" s="33">
        <f>'Monthly Data'!AQ80</f>
        <v>24.766666666666666</v>
      </c>
      <c r="F80" s="33">
        <f>'Monthly Data'!BB80</f>
        <v>310.86875000000009</v>
      </c>
      <c r="H80" s="18">
        <f>'GS&gt;50 Predicted Monthly'!$P$9</f>
        <v>4197710.1274672803</v>
      </c>
      <c r="I80" s="18">
        <f>E80*'GS&gt;50 Predicted Monthly'!$P$10</f>
        <v>86037.93662967335</v>
      </c>
      <c r="J80" s="18">
        <f>F80*'GS&gt;50 Predicted Monthly'!$P$11</f>
        <v>2051363.6223908309</v>
      </c>
      <c r="K80" s="18">
        <f>SUM(H80:J80)</f>
        <v>6335111.6864877846</v>
      </c>
      <c r="L80" s="18">
        <f>K80-D80</f>
        <v>570021.90326983854</v>
      </c>
      <c r="M80" s="35">
        <f>ABS(L80/D80)</f>
        <v>9.8874765997428213E-2</v>
      </c>
      <c r="O80" s="18"/>
    </row>
    <row r="81" spans="1:20">
      <c r="A81" s="541">
        <f>'Monthly Data'!A81</f>
        <v>44774</v>
      </c>
      <c r="B81">
        <f t="shared" si="4"/>
        <v>2022</v>
      </c>
      <c r="C81">
        <f t="shared" si="5"/>
        <v>8</v>
      </c>
      <c r="D81" s="31">
        <f>'Monthly Data'!N81</f>
        <v>5800196.3119487278</v>
      </c>
      <c r="E81" s="33">
        <f>'Monthly Data'!AQ81</f>
        <v>43.374999999999986</v>
      </c>
      <c r="F81" s="33">
        <f>'Monthly Data'!BB81</f>
        <v>285.74166666666667</v>
      </c>
      <c r="H81" s="18">
        <f>'GS&gt;50 Predicted Monthly'!$P$9</f>
        <v>4197710.1274672803</v>
      </c>
      <c r="I81" s="18">
        <f>E81*'GS&gt;50 Predicted Monthly'!$P$10</f>
        <v>150682.18713238547</v>
      </c>
      <c r="J81" s="18">
        <f>F81*'GS&gt;50 Predicted Monthly'!$P$11</f>
        <v>1885554.7892843089</v>
      </c>
      <c r="K81" s="18">
        <f>SUM(H81:J81)</f>
        <v>6233947.1038839743</v>
      </c>
      <c r="L81" s="18">
        <f>K81-D81</f>
        <v>433750.79193524644</v>
      </c>
      <c r="M81" s="35">
        <f>ABS(L81/D81)</f>
        <v>7.4782088158239682E-2</v>
      </c>
      <c r="O81" s="18"/>
    </row>
    <row r="82" spans="1:20">
      <c r="A82" s="541">
        <f>'Monthly Data'!A82</f>
        <v>44805</v>
      </c>
      <c r="B82">
        <f t="shared" si="4"/>
        <v>2022</v>
      </c>
      <c r="C82">
        <f t="shared" si="5"/>
        <v>9</v>
      </c>
      <c r="D82" s="31">
        <f>'Monthly Data'!N82</f>
        <v>5197018.8406795096</v>
      </c>
      <c r="E82" s="33">
        <f>'Monthly Data'!AQ82</f>
        <v>186.05</v>
      </c>
      <c r="F82" s="33">
        <f>'Monthly Data'!BB82</f>
        <v>121.11250000000001</v>
      </c>
      <c r="H82" s="18">
        <f>'GS&gt;50 Predicted Monthly'!$P$9</f>
        <v>4197710.1274672803</v>
      </c>
      <c r="I82" s="18">
        <f>E82*'GS&gt;50 Predicted Monthly'!$P$10</f>
        <v>646326.70699666464</v>
      </c>
      <c r="J82" s="18">
        <f>F82*'GS&gt;50 Predicted Monthly'!$P$11</f>
        <v>799198.30062304251</v>
      </c>
      <c r="K82" s="18">
        <f>SUM(H82:J82)</f>
        <v>5643235.1350869872</v>
      </c>
      <c r="L82" s="18">
        <f>K82-D82</f>
        <v>446216.2944074776</v>
      </c>
      <c r="M82" s="35">
        <f>ABS(L82/D82)</f>
        <v>8.5860049402694663E-2</v>
      </c>
      <c r="O82" s="18"/>
    </row>
    <row r="83" spans="1:20">
      <c r="A83" s="541">
        <f>'Monthly Data'!A83</f>
        <v>44835</v>
      </c>
      <c r="B83">
        <f t="shared" si="4"/>
        <v>2022</v>
      </c>
      <c r="C83">
        <f t="shared" si="5"/>
        <v>10</v>
      </c>
      <c r="D83" s="31">
        <f>'Monthly Data'!N83</f>
        <v>5276473.3694102913</v>
      </c>
      <c r="E83" s="33">
        <f>'Monthly Data'!AQ83</f>
        <v>386.60833333333323</v>
      </c>
      <c r="F83" s="33">
        <f>'Monthly Data'!BB83</f>
        <v>21.991666666666667</v>
      </c>
      <c r="H83" s="18">
        <f>'GS&gt;50 Predicted Monthly'!$P$9</f>
        <v>4197710.1274672803</v>
      </c>
      <c r="I83" s="18">
        <f>E83*'GS&gt;50 Predicted Monthly'!$P$10</f>
        <v>1343054.5067498097</v>
      </c>
      <c r="J83" s="18">
        <f>F83*'GS&gt;50 Predicted Monthly'!$P$11</f>
        <v>145118.81620698448</v>
      </c>
      <c r="K83" s="18">
        <f>SUM(H83:J83)</f>
        <v>5685883.4504240742</v>
      </c>
      <c r="L83" s="18">
        <f>K83-D83</f>
        <v>409410.08101378288</v>
      </c>
      <c r="M83" s="35">
        <f>ABS(L83/D83)</f>
        <v>7.7591613252004213E-2</v>
      </c>
      <c r="O83" s="18"/>
    </row>
    <row r="84" spans="1:20">
      <c r="A84" s="541">
        <f>'Monthly Data'!A84</f>
        <v>44866</v>
      </c>
      <c r="B84">
        <f t="shared" si="4"/>
        <v>2022</v>
      </c>
      <c r="C84">
        <f t="shared" si="5"/>
        <v>11</v>
      </c>
      <c r="D84" s="31">
        <f>'Monthly Data'!N84</f>
        <v>6491309.6581410738</v>
      </c>
      <c r="E84" s="33">
        <f>'Monthly Data'!AQ84</f>
        <v>510.11250000000007</v>
      </c>
      <c r="F84" s="33">
        <f>'Monthly Data'!BB84</f>
        <v>25.875</v>
      </c>
      <c r="H84" s="18">
        <f>'GS&gt;50 Predicted Monthly'!$P$9</f>
        <v>4197710.1274672803</v>
      </c>
      <c r="I84" s="18">
        <f>E84*'GS&gt;50 Predicted Monthly'!$P$10</f>
        <v>1772100.6843474125</v>
      </c>
      <c r="J84" s="18">
        <f>F84*'GS&gt;50 Predicted Monthly'!$P$11</f>
        <v>170744.19261943418</v>
      </c>
      <c r="K84" s="18">
        <f>SUM(H84:J84)</f>
        <v>6140555.0044341274</v>
      </c>
      <c r="L84" s="18">
        <f>K84-D84</f>
        <v>-350754.65370694641</v>
      </c>
      <c r="M84" s="35">
        <f>ABS(L84/D84)</f>
        <v>5.4034497224615924E-2</v>
      </c>
      <c r="O84" s="18"/>
    </row>
    <row r="85" spans="1:20">
      <c r="A85" s="541">
        <f>'Monthly Data'!A85</f>
        <v>44896</v>
      </c>
      <c r="B85">
        <f t="shared" si="4"/>
        <v>2022</v>
      </c>
      <c r="C85">
        <f t="shared" si="5"/>
        <v>12</v>
      </c>
      <c r="D85" s="31">
        <f>'Monthly Data'!N85</f>
        <v>6383842.9468718553</v>
      </c>
      <c r="E85" s="33">
        <f>'Monthly Data'!AQ85</f>
        <v>723.45416666666654</v>
      </c>
      <c r="F85" s="33">
        <f>'Monthly Data'!BB85</f>
        <v>0</v>
      </c>
      <c r="H85" s="18">
        <f>'GS&gt;50 Predicted Monthly'!$P$9</f>
        <v>4197710.1274672803</v>
      </c>
      <c r="I85" s="18">
        <f>E85*'GS&gt;50 Predicted Monthly'!$P$10</f>
        <v>2513237.0287808799</v>
      </c>
      <c r="J85" s="18">
        <f>F85*'GS&gt;50 Predicted Monthly'!$P$11</f>
        <v>0</v>
      </c>
      <c r="K85" s="18">
        <f>SUM(H85:J85)</f>
        <v>6710947.1562481597</v>
      </c>
      <c r="L85" s="18">
        <f>K85-D85</f>
        <v>327104.20937630441</v>
      </c>
      <c r="M85" s="35">
        <f>ABS(L85/D85)</f>
        <v>5.1239388578095992E-2</v>
      </c>
      <c r="O85" s="18"/>
    </row>
    <row r="86" spans="1:20">
      <c r="A86" s="541">
        <f>'Monthly Data'!A86</f>
        <v>44927</v>
      </c>
      <c r="B86">
        <f t="shared" si="4"/>
        <v>2023</v>
      </c>
      <c r="C86">
        <f t="shared" si="5"/>
        <v>1</v>
      </c>
      <c r="D86" s="31">
        <f>'Monthly Data'!N86</f>
        <v>6116806.1173214633</v>
      </c>
      <c r="E86" s="33">
        <f>'Monthly Data'!AQ86</f>
        <v>821.78333333333342</v>
      </c>
      <c r="F86" s="33">
        <f>'Monthly Data'!BB86</f>
        <v>0</v>
      </c>
      <c r="H86" s="18">
        <f>'GS&gt;50 Predicted Monthly'!$P$9</f>
        <v>4197710.1274672803</v>
      </c>
      <c r="I86" s="18">
        <f>E86*'GS&gt;50 Predicted Monthly'!$P$10</f>
        <v>2854826.7438757094</v>
      </c>
      <c r="J86" s="18">
        <f>F86*'GS&gt;50 Predicted Monthly'!$P$11</f>
        <v>0</v>
      </c>
      <c r="K86" s="18">
        <f>SUM(H86:J86)</f>
        <v>7052536.8713429896</v>
      </c>
      <c r="L86" s="18">
        <f>K86-D86</f>
        <v>935730.75402152631</v>
      </c>
      <c r="M86" s="35">
        <f>ABS(L86/D86)</f>
        <v>0.15297701710239606</v>
      </c>
      <c r="O86" s="18"/>
    </row>
    <row r="87" spans="1:20">
      <c r="A87" s="541">
        <f>'Monthly Data'!A87</f>
        <v>44958</v>
      </c>
      <c r="B87">
        <f t="shared" si="4"/>
        <v>2023</v>
      </c>
      <c r="C87">
        <f t="shared" si="5"/>
        <v>2</v>
      </c>
      <c r="D87" s="31">
        <f>'Monthly Data'!N87</f>
        <v>5696520.6104506506</v>
      </c>
      <c r="E87" s="33">
        <f>'Monthly Data'!AQ87</f>
        <v>793.05833333333328</v>
      </c>
      <c r="F87" s="33">
        <f>'Monthly Data'!BB87</f>
        <v>0</v>
      </c>
      <c r="H87" s="18">
        <f>'GS&gt;50 Predicted Monthly'!$P$9</f>
        <v>4197710.1274672803</v>
      </c>
      <c r="I87" s="18">
        <f>E87*'GS&gt;50 Predicted Monthly'!$P$10</f>
        <v>2755037.7911292473</v>
      </c>
      <c r="J87" s="18">
        <f>F87*'GS&gt;50 Predicted Monthly'!$P$11</f>
        <v>0</v>
      </c>
      <c r="K87" s="18">
        <f>SUM(H87:J87)</f>
        <v>6952747.9185965275</v>
      </c>
      <c r="L87" s="18">
        <f>K87-D87</f>
        <v>1256227.308145877</v>
      </c>
      <c r="M87" s="35">
        <f>ABS(L87/D87)</f>
        <v>0.22052536873846176</v>
      </c>
      <c r="O87" s="18"/>
    </row>
    <row r="88" spans="1:20">
      <c r="A88" s="541">
        <f>'Monthly Data'!A88</f>
        <v>44986</v>
      </c>
      <c r="B88">
        <f t="shared" si="4"/>
        <v>2023</v>
      </c>
      <c r="C88">
        <f t="shared" si="5"/>
        <v>3</v>
      </c>
      <c r="D88" s="31">
        <f>'Monthly Data'!N88</f>
        <v>5718312.5835798392</v>
      </c>
      <c r="E88" s="33">
        <f>'Monthly Data'!AQ88</f>
        <v>690.10000000000025</v>
      </c>
      <c r="F88" s="33">
        <f>'Monthly Data'!BB88</f>
        <v>0</v>
      </c>
      <c r="H88" s="18">
        <f>'GS&gt;50 Predicted Monthly'!$P$9</f>
        <v>4197710.1274672803</v>
      </c>
      <c r="I88" s="18">
        <f>E88*'GS&gt;50 Predicted Monthly'!$P$10</f>
        <v>2397366.6245546811</v>
      </c>
      <c r="J88" s="18">
        <f>F88*'GS&gt;50 Predicted Monthly'!$P$11</f>
        <v>0</v>
      </c>
      <c r="K88" s="18">
        <f>SUM(H88:J88)</f>
        <v>6595076.7520219609</v>
      </c>
      <c r="L88" s="18">
        <f>K88-D88</f>
        <v>876764.16844212171</v>
      </c>
      <c r="M88" s="35">
        <f>ABS(L88/D88)</f>
        <v>0.15332568054424903</v>
      </c>
    </row>
    <row r="89" spans="1:20">
      <c r="A89" s="541">
        <f>'Monthly Data'!A89</f>
        <v>45017</v>
      </c>
      <c r="B89">
        <f t="shared" si="4"/>
        <v>2023</v>
      </c>
      <c r="C89">
        <f t="shared" si="5"/>
        <v>4</v>
      </c>
      <c r="D89" s="31">
        <f>'Monthly Data'!N89</f>
        <v>5301267.4367090268</v>
      </c>
      <c r="E89" s="33">
        <f>'Monthly Data'!AQ89</f>
        <v>420.70833333333337</v>
      </c>
      <c r="F89" s="33">
        <f>'Monthly Data'!BB89</f>
        <v>18.508333333333347</v>
      </c>
      <c r="H89" s="18">
        <f>'GS&gt;50 Predicted Monthly'!$P$9</f>
        <v>4197710.1274672803</v>
      </c>
      <c r="I89" s="18">
        <f>E89*'GS&gt;50 Predicted Monthly'!$P$10</f>
        <v>1461515.8919074896</v>
      </c>
      <c r="J89" s="18">
        <f>F89*'GS&gt;50 Predicted Monthly'!$P$11</f>
        <v>122132.96354517346</v>
      </c>
      <c r="K89" s="18">
        <f>SUM(H89:J89)</f>
        <v>5781358.9829199435</v>
      </c>
      <c r="L89" s="18">
        <f>K89-D89</f>
        <v>480091.54621091671</v>
      </c>
      <c r="M89" s="35">
        <f>ABS(L89/D89)</f>
        <v>9.0561653782355242E-2</v>
      </c>
      <c r="O89" s="18"/>
    </row>
    <row r="90" spans="1:20">
      <c r="A90" s="541">
        <f>'Monthly Data'!A90</f>
        <v>45047</v>
      </c>
      <c r="B90">
        <f t="shared" si="4"/>
        <v>2023</v>
      </c>
      <c r="C90">
        <f t="shared" si="5"/>
        <v>5</v>
      </c>
      <c r="D90" s="31">
        <f>'Monthly Data'!N90</f>
        <v>5199018.4498382146</v>
      </c>
      <c r="E90" s="33">
        <f>'Monthly Data'!AQ90</f>
        <v>234.95208333333341</v>
      </c>
      <c r="F90" s="33">
        <f>'Monthly Data'!BB90</f>
        <v>102.08124999999998</v>
      </c>
      <c r="H90" s="18">
        <f>'GS&gt;50 Predicted Monthly'!$P$9</f>
        <v>4197710.1274672803</v>
      </c>
      <c r="I90" s="18">
        <f>E90*'GS&gt;50 Predicted Monthly'!$P$10</f>
        <v>816209.65505422896</v>
      </c>
      <c r="J90" s="18">
        <f>F90*'GS&gt;50 Predicted Monthly'!$P$11</f>
        <v>673614.70967469038</v>
      </c>
      <c r="K90" s="18">
        <f>SUM(H90:J90)</f>
        <v>5687534.4921962004</v>
      </c>
      <c r="L90" s="18">
        <f>K90-D90</f>
        <v>488516.04235798586</v>
      </c>
      <c r="M90" s="35">
        <f>ABS(L90/D90)</f>
        <v>9.3963129208204238E-2</v>
      </c>
      <c r="O90" s="18"/>
      <c r="R90" s="18"/>
      <c r="S90" s="18"/>
      <c r="T90" s="73"/>
    </row>
    <row r="91" spans="1:20">
      <c r="A91" s="541">
        <f>'Monthly Data'!A91</f>
        <v>45078</v>
      </c>
      <c r="B91">
        <f t="shared" si="4"/>
        <v>2023</v>
      </c>
      <c r="C91">
        <f t="shared" si="5"/>
        <v>6</v>
      </c>
      <c r="D91" s="31">
        <f>'Monthly Data'!N91</f>
        <v>5434895.9029674027</v>
      </c>
      <c r="E91" s="33">
        <f>'Monthly Data'!AQ91</f>
        <v>79.324999999999989</v>
      </c>
      <c r="F91" s="33">
        <f>'Monthly Data'!BB91</f>
        <v>236.22500000000002</v>
      </c>
      <c r="H91" s="18">
        <f>'GS&gt;50 Predicted Monthly'!$P$9</f>
        <v>4197710.1274672803</v>
      </c>
      <c r="I91" s="18">
        <f>E91*'GS&gt;50 Predicted Monthly'!$P$10</f>
        <v>275570.36298043758</v>
      </c>
      <c r="J91" s="18">
        <f>F91*'GS&gt;50 Predicted Monthly'!$P$11</f>
        <v>1558803.7449865062</v>
      </c>
      <c r="K91" s="18">
        <f>SUM(H91:J91)</f>
        <v>6032084.2354342239</v>
      </c>
      <c r="L91" s="18">
        <f>K91-D91</f>
        <v>597188.33246682119</v>
      </c>
      <c r="M91" s="35">
        <f>ABS(L91/D91)</f>
        <v>0.10988036259181375</v>
      </c>
      <c r="O91" s="18"/>
      <c r="R91" s="18"/>
      <c r="S91" s="18"/>
      <c r="T91" s="73"/>
    </row>
    <row r="92" spans="1:20">
      <c r="A92" s="541">
        <f>'Monthly Data'!A92</f>
        <v>45108</v>
      </c>
      <c r="B92">
        <f t="shared" si="4"/>
        <v>2023</v>
      </c>
      <c r="C92">
        <f t="shared" si="5"/>
        <v>7</v>
      </c>
      <c r="D92" s="31">
        <f>'Monthly Data'!N92</f>
        <v>5911244.9160965905</v>
      </c>
      <c r="E92" s="33">
        <f>'Monthly Data'!AQ92</f>
        <v>27.016666666666673</v>
      </c>
      <c r="F92" s="33">
        <f>'Monthly Data'!BB92</f>
        <v>317.62083333333328</v>
      </c>
      <c r="H92" s="18">
        <f>'GS&gt;50 Predicted Monthly'!$P$9</f>
        <v>4197710.1274672803</v>
      </c>
      <c r="I92" s="18">
        <f>E92*'GS&gt;50 Predicted Monthly'!$P$10</f>
        <v>93854.303685531981</v>
      </c>
      <c r="J92" s="18">
        <f>F92*'GS&gt;50 Predicted Monthly'!$P$11</f>
        <v>2095919.3332023907</v>
      </c>
      <c r="K92" s="18">
        <f>SUM(H92:J92)</f>
        <v>6387483.7643552031</v>
      </c>
      <c r="L92" s="18">
        <f>K92-D92</f>
        <v>476238.84825861268</v>
      </c>
      <c r="M92" s="35">
        <f>ABS(L92/D92)</f>
        <v>8.0564898768073795E-2</v>
      </c>
      <c r="O92" s="18"/>
      <c r="R92" s="18"/>
      <c r="S92" s="18"/>
      <c r="T92" s="73"/>
    </row>
    <row r="93" spans="1:20">
      <c r="A93" s="541">
        <f>'Monthly Data'!A93</f>
        <v>45139</v>
      </c>
      <c r="B93">
        <f t="shared" si="4"/>
        <v>2023</v>
      </c>
      <c r="C93">
        <f t="shared" si="5"/>
        <v>8</v>
      </c>
      <c r="D93" s="31">
        <f>'Monthly Data'!N93</f>
        <v>5504128.6492257779</v>
      </c>
      <c r="E93" s="33">
        <f>'Monthly Data'!AQ93</f>
        <v>78.083333333333329</v>
      </c>
      <c r="F93" s="33">
        <f>'Monthly Data'!BB93</f>
        <v>232.83333333333337</v>
      </c>
      <c r="H93" s="18">
        <f>'GS&gt;50 Predicted Monthly'!$P$9</f>
        <v>4197710.1274672803</v>
      </c>
      <c r="I93" s="18">
        <f>E93*'GS&gt;50 Predicted Monthly'!$P$10</f>
        <v>271256.88634590822</v>
      </c>
      <c r="J93" s="18">
        <f>F93*'GS&gt;50 Predicted Monthly'!$P$11</f>
        <v>1536422.7831842164</v>
      </c>
      <c r="K93" s="18">
        <f>SUM(H93:J93)</f>
        <v>6005389.7969974047</v>
      </c>
      <c r="L93" s="18">
        <f>K93-D93</f>
        <v>501261.14777162671</v>
      </c>
      <c r="M93" s="35">
        <f>ABS(L93/D93)</f>
        <v>9.1070027558700889E-2</v>
      </c>
      <c r="O93" s="18"/>
      <c r="R93" s="18"/>
      <c r="S93" s="18"/>
      <c r="T93" s="73"/>
    </row>
    <row r="94" spans="1:20">
      <c r="A94" s="541">
        <f>'Monthly Data'!A94</f>
        <v>45170</v>
      </c>
      <c r="B94">
        <f t="shared" si="4"/>
        <v>2023</v>
      </c>
      <c r="C94">
        <f t="shared" si="5"/>
        <v>9</v>
      </c>
      <c r="D94" s="31">
        <f>'Monthly Data'!N94</f>
        <v>5342063.3823549664</v>
      </c>
      <c r="E94" s="33">
        <f>'Monthly Data'!AQ94</f>
        <v>162.20833333333331</v>
      </c>
      <c r="F94" s="33">
        <f>'Monthly Data'!BB94</f>
        <v>154.46666666666673</v>
      </c>
      <c r="H94" s="18">
        <f>'GS&gt;50 Predicted Monthly'!$P$9</f>
        <v>4197710.1274672803</v>
      </c>
      <c r="I94" s="18">
        <f>E94*'GS&gt;50 Predicted Monthly'!$P$10</f>
        <v>563502.16571217752</v>
      </c>
      <c r="J94" s="18">
        <f>F94*'GS&gt;50 Predicted Monthly'!$P$11</f>
        <v>1019296.0883716049</v>
      </c>
      <c r="K94" s="18">
        <f>SUM(H94:J94)</f>
        <v>5780508.3815510627</v>
      </c>
      <c r="L94" s="18">
        <f>K94-D94</f>
        <v>438444.99919609632</v>
      </c>
      <c r="M94" s="35">
        <f>ABS(L94/D94)</f>
        <v>8.207409156624694E-2</v>
      </c>
      <c r="O94" s="18"/>
      <c r="R94" s="18"/>
      <c r="S94" s="18"/>
      <c r="T94" s="73"/>
    </row>
    <row r="95" spans="1:20">
      <c r="A95" s="541">
        <f>'Monthly Data'!A95</f>
        <v>45200</v>
      </c>
      <c r="B95">
        <f t="shared" si="4"/>
        <v>2023</v>
      </c>
      <c r="C95">
        <f t="shared" si="5"/>
        <v>10</v>
      </c>
      <c r="D95" s="31">
        <f>'Monthly Data'!N95</f>
        <v>5340766.1154841539</v>
      </c>
      <c r="E95" s="33">
        <f>'Monthly Data'!AQ95</f>
        <v>308.94999999999993</v>
      </c>
      <c r="F95" s="33">
        <f>'Monthly Data'!BB95</f>
        <v>69.26666666666668</v>
      </c>
      <c r="H95" s="18">
        <f>'GS&gt;50 Predicted Monthly'!$P$9</f>
        <v>4197710.1274672803</v>
      </c>
      <c r="I95" s="18">
        <f>E95*'GS&gt;50 Predicted Monthly'!$P$10</f>
        <v>1073274.0452922306</v>
      </c>
      <c r="J95" s="18">
        <f>F95*'GS&gt;50 Predicted Monthly'!$P$11</f>
        <v>457077.52948558365</v>
      </c>
      <c r="K95" s="18">
        <f>SUM(H95:J95)</f>
        <v>5728061.7022450939</v>
      </c>
      <c r="L95" s="18">
        <f>K95-D95</f>
        <v>387295.58676094003</v>
      </c>
      <c r="M95" s="35">
        <f>ABS(L95/D95)</f>
        <v>7.2516859638934159E-2</v>
      </c>
      <c r="O95" s="18"/>
      <c r="R95" s="18"/>
      <c r="S95" s="18"/>
      <c r="T95" s="73"/>
    </row>
    <row r="96" spans="1:20">
      <c r="A96" s="541">
        <f>'Monthly Data'!A96</f>
        <v>45231</v>
      </c>
      <c r="B96">
        <f t="shared" si="4"/>
        <v>2023</v>
      </c>
      <c r="C96">
        <f t="shared" si="5"/>
        <v>11</v>
      </c>
      <c r="D96" s="31">
        <f>'Monthly Data'!N96</f>
        <v>5612278.8486133423</v>
      </c>
      <c r="E96" s="33">
        <f>'Monthly Data'!AQ96</f>
        <v>616.27291666666667</v>
      </c>
      <c r="F96" s="33">
        <f>'Monthly Data'!BB96</f>
        <v>0</v>
      </c>
      <c r="H96" s="18">
        <f>'GS&gt;50 Predicted Monthly'!$P$9</f>
        <v>4197710.1274672803</v>
      </c>
      <c r="I96" s="18">
        <f>E96*'GS&gt;50 Predicted Monthly'!$P$10</f>
        <v>2140895.699222771</v>
      </c>
      <c r="J96" s="18">
        <f>F96*'GS&gt;50 Predicted Monthly'!$P$11</f>
        <v>0</v>
      </c>
      <c r="K96" s="18">
        <f>SUM(H96:J96)</f>
        <v>6338605.8266900517</v>
      </c>
      <c r="L96" s="18">
        <f>K96-D96</f>
        <v>726326.97807670943</v>
      </c>
      <c r="M96" s="35">
        <f>ABS(L96/D96)</f>
        <v>0.12941747865150485</v>
      </c>
      <c r="O96" s="18"/>
      <c r="R96" s="18"/>
      <c r="S96" s="18"/>
      <c r="T96" s="73"/>
    </row>
    <row r="97" spans="1:20">
      <c r="A97" s="541">
        <f>'Monthly Data'!A97</f>
        <v>45261</v>
      </c>
      <c r="B97">
        <f t="shared" si="4"/>
        <v>2023</v>
      </c>
      <c r="C97">
        <f t="shared" si="5"/>
        <v>12</v>
      </c>
      <c r="D97" s="31">
        <f>'Monthly Data'!N97</f>
        <v>6027285.5817425298</v>
      </c>
      <c r="E97" s="33">
        <f>'Monthly Data'!AQ97</f>
        <v>713.16250000000014</v>
      </c>
      <c r="F97" s="33">
        <f>'Monthly Data'!BB97</f>
        <v>0</v>
      </c>
      <c r="H97" s="18">
        <f>'GS&gt;50 Predicted Monthly'!$P$9</f>
        <v>4197710.1274672803</v>
      </c>
      <c r="I97" s="18">
        <f>E97*'GS&gt;50 Predicted Monthly'!$P$10</f>
        <v>2477484.3868772313</v>
      </c>
      <c r="J97" s="18">
        <f>F97*'GS&gt;50 Predicted Monthly'!$P$11</f>
        <v>0</v>
      </c>
      <c r="K97" s="18">
        <f>SUM(H97:J97)</f>
        <v>6675194.5143445116</v>
      </c>
      <c r="L97" s="18">
        <f>K97-D97</f>
        <v>647908.9326019818</v>
      </c>
      <c r="M97" s="35">
        <f>ABS(L97/D97)</f>
        <v>0.10749597373726348</v>
      </c>
      <c r="O97" s="18"/>
      <c r="R97" s="18"/>
      <c r="S97" s="18"/>
      <c r="T97" s="73"/>
    </row>
    <row r="98" spans="1:20">
      <c r="A98" s="541">
        <f>'Monthly Data'!A98</f>
        <v>45292</v>
      </c>
      <c r="B98">
        <f t="shared" si="4"/>
        <v>2024</v>
      </c>
      <c r="C98">
        <f t="shared" si="5"/>
        <v>1</v>
      </c>
      <c r="D98" s="31">
        <f>'Monthly Data'!N98</f>
        <v>6253607.9586970024</v>
      </c>
      <c r="E98" s="33">
        <f>'Monthly Data'!AQ98</f>
        <v>829.07916666666677</v>
      </c>
      <c r="F98" s="33">
        <f>'Monthly Data'!BB98</f>
        <v>0</v>
      </c>
      <c r="H98" s="18">
        <f>'GS&gt;50 Predicted Monthly'!$P$9</f>
        <v>4197710.1274672803</v>
      </c>
      <c r="I98" s="18">
        <f>E98*'GS&gt;50 Predicted Monthly'!$P$10</f>
        <v>2880172.0377920214</v>
      </c>
      <c r="J98" s="18">
        <f>F98*'GS&gt;50 Predicted Monthly'!$P$11</f>
        <v>0</v>
      </c>
      <c r="K98" s="18">
        <f>SUM(H98:J98)</f>
        <v>7077882.1652593017</v>
      </c>
      <c r="L98" s="18">
        <f>K98-D98</f>
        <v>824274.20656229928</v>
      </c>
      <c r="M98" s="35">
        <f>ABS(L98/D98)</f>
        <v>0.13180778392351358</v>
      </c>
      <c r="O98" s="18"/>
      <c r="R98" s="18"/>
      <c r="S98" s="18"/>
      <c r="T98" s="73"/>
    </row>
    <row r="99" spans="1:20">
      <c r="A99" s="541">
        <f>'Monthly Data'!A99</f>
        <v>45323</v>
      </c>
      <c r="B99">
        <f t="shared" si="4"/>
        <v>2024</v>
      </c>
      <c r="C99">
        <f t="shared" si="5"/>
        <v>2</v>
      </c>
      <c r="D99" s="31">
        <f>'Monthly Data'!N99</f>
        <v>5644985.0132523365</v>
      </c>
      <c r="E99" s="33">
        <f>'Monthly Data'!AQ99</f>
        <v>711.87916666666661</v>
      </c>
      <c r="F99" s="33">
        <f>'Monthly Data'!BB99</f>
        <v>0</v>
      </c>
      <c r="H99" s="18">
        <f>'GS&gt;50 Predicted Monthly'!$P$9</f>
        <v>4197710.1274672803</v>
      </c>
      <c r="I99" s="18">
        <f>E99*'GS&gt;50 Predicted Monthly'!$P$10</f>
        <v>2473026.1627046298</v>
      </c>
      <c r="J99" s="18">
        <f>F99*'GS&gt;50 Predicted Monthly'!$P$11</f>
        <v>0</v>
      </c>
      <c r="K99" s="18">
        <f>SUM(H99:J99)</f>
        <v>6670736.2901719101</v>
      </c>
      <c r="L99" s="18">
        <f>K99-D99</f>
        <v>1025751.2769195735</v>
      </c>
      <c r="M99" s="35">
        <f>ABS(L99/D99)</f>
        <v>0.18171018603441622</v>
      </c>
      <c r="O99" s="18"/>
      <c r="R99" s="18"/>
      <c r="S99" s="18"/>
      <c r="T99" s="73"/>
    </row>
    <row r="100" spans="1:20">
      <c r="A100" s="541">
        <f>'Monthly Data'!A100</f>
        <v>45352</v>
      </c>
      <c r="B100">
        <f t="shared" si="4"/>
        <v>2024</v>
      </c>
      <c r="C100">
        <f t="shared" si="5"/>
        <v>3</v>
      </c>
      <c r="D100" s="31">
        <f>'Monthly Data'!N100</f>
        <v>5687000.0678076707</v>
      </c>
      <c r="E100" s="33">
        <f>'Monthly Data'!AQ100</f>
        <v>596.57916666666665</v>
      </c>
      <c r="F100" s="33">
        <f>'Monthly Data'!BB100</f>
        <v>0</v>
      </c>
      <c r="H100" s="18">
        <f>'GS&gt;50 Predicted Monthly'!$P$9</f>
        <v>4197710.1274672803</v>
      </c>
      <c r="I100" s="18">
        <f>E100*'GS&gt;50 Predicted Monthly'!$P$10</f>
        <v>2072480.7753532974</v>
      </c>
      <c r="J100" s="18">
        <f>F100*'GS&gt;50 Predicted Monthly'!$P$11</f>
        <v>0</v>
      </c>
      <c r="K100" s="18">
        <f>SUM(H100:J100)</f>
        <v>6270190.9028205778</v>
      </c>
      <c r="L100" s="18">
        <f>K100-D100</f>
        <v>583190.83501290716</v>
      </c>
      <c r="M100" s="35">
        <f>ABS(L100/D100)</f>
        <v>0.10254806190598945</v>
      </c>
      <c r="O100" s="18"/>
    </row>
    <row r="101" spans="1:20">
      <c r="A101" s="541">
        <f>'Monthly Data'!A101</f>
        <v>45383</v>
      </c>
      <c r="B101">
        <f t="shared" si="4"/>
        <v>2024</v>
      </c>
      <c r="C101">
        <f t="shared" si="5"/>
        <v>4</v>
      </c>
      <c r="D101" s="31">
        <f>'Monthly Data'!N101</f>
        <v>5089288.1223630048</v>
      </c>
      <c r="E101" s="33">
        <f>'Monthly Data'!AQ101</f>
        <v>417.11249999999995</v>
      </c>
      <c r="F101" s="33">
        <f>'Monthly Data'!BB101</f>
        <v>7.8500000000000032</v>
      </c>
      <c r="H101" s="18">
        <f>'GS&gt;50 Predicted Monthly'!$P$9</f>
        <v>4197710.1274672803</v>
      </c>
      <c r="I101" s="18">
        <f>E101*'GS&gt;50 Predicted Monthly'!$P$10</f>
        <v>1449024.1793719227</v>
      </c>
      <c r="J101" s="18">
        <f>F101*'GS&gt;50 Predicted Monthly'!$P$11</f>
        <v>51800.653606282474</v>
      </c>
      <c r="K101" s="18">
        <f>SUM(H101:J101)</f>
        <v>5698534.960445486</v>
      </c>
      <c r="L101" s="18">
        <f>K101-D101</f>
        <v>609246.83808248118</v>
      </c>
      <c r="M101" s="35">
        <f>ABS(L101/D101)</f>
        <v>0.11971160276923015</v>
      </c>
      <c r="T101" s="61"/>
    </row>
    <row r="102" spans="1:20">
      <c r="A102" s="541">
        <f>'Monthly Data'!A102</f>
        <v>45413</v>
      </c>
      <c r="B102">
        <f t="shared" si="4"/>
        <v>2024</v>
      </c>
      <c r="C102">
        <f t="shared" si="5"/>
        <v>5</v>
      </c>
      <c r="D102" s="31">
        <f>'Monthly Data'!N102</f>
        <v>5269158.176918339</v>
      </c>
      <c r="E102" s="33">
        <f>'Monthly Data'!AQ102</f>
        <v>162.30416666666667</v>
      </c>
      <c r="F102" s="33">
        <f>'Monthly Data'!BB102</f>
        <v>148.82500000000002</v>
      </c>
      <c r="H102" s="18">
        <f>'GS&gt;50 Predicted Monthly'!$P$9</f>
        <v>4197710.1274672803</v>
      </c>
      <c r="I102" s="18">
        <f>E102*'GS&gt;50 Predicted Monthly'!$P$10</f>
        <v>563835.0850497419</v>
      </c>
      <c r="J102" s="18">
        <f>F102*'GS&gt;50 Predicted Monthly'!$P$11</f>
        <v>982067.8054719728</v>
      </c>
      <c r="K102" s="18">
        <f>SUM(H102:J102)</f>
        <v>5743613.0179889947</v>
      </c>
      <c r="L102" s="18">
        <f>K102-D102</f>
        <v>474454.84107065573</v>
      </c>
      <c r="M102" s="35">
        <f>ABS(L102/D102)</f>
        <v>9.0043765083579266E-2</v>
      </c>
    </row>
    <row r="103" spans="1:20">
      <c r="A103" s="541">
        <f>'Monthly Data'!A103</f>
        <v>45444</v>
      </c>
      <c r="B103">
        <f t="shared" si="4"/>
        <v>2024</v>
      </c>
      <c r="C103">
        <f t="shared" si="5"/>
        <v>6</v>
      </c>
      <c r="D103" s="31">
        <f>'Monthly Data'!N103</f>
        <v>5374172.2314736731</v>
      </c>
      <c r="E103" s="33">
        <f>'Monthly Data'!AQ103</f>
        <v>82.241666666666674</v>
      </c>
      <c r="F103" s="33">
        <f>'Monthly Data'!BB103</f>
        <v>245.28333333333333</v>
      </c>
      <c r="H103" s="18">
        <f>'GS&gt;50 Predicted Monthly'!$P$9</f>
        <v>4197710.1274672803</v>
      </c>
      <c r="I103" s="18">
        <f>E103*'GS&gt;50 Predicted Monthly'!$P$10</f>
        <v>285702.69064543955</v>
      </c>
      <c r="J103" s="18">
        <f>F103*'GS&gt;50 Predicted Monthly'!$P$11</f>
        <v>1618577.9599228424</v>
      </c>
      <c r="K103" s="18">
        <f>SUM(H103:J103)</f>
        <v>6101990.7780355625</v>
      </c>
      <c r="L103" s="18">
        <f>K103-D103</f>
        <v>727818.54656188935</v>
      </c>
      <c r="M103" s="35">
        <f>ABS(L103/D103)</f>
        <v>0.13542895821228851</v>
      </c>
    </row>
    <row r="104" spans="1:20">
      <c r="A104" s="541">
        <f>'Monthly Data'!A104</f>
        <v>45474</v>
      </c>
      <c r="B104">
        <f t="shared" si="4"/>
        <v>2024</v>
      </c>
      <c r="C104">
        <f t="shared" si="5"/>
        <v>7</v>
      </c>
      <c r="D104" s="31">
        <f>'Monthly Data'!N104</f>
        <v>5847813.2860290073</v>
      </c>
      <c r="E104" s="33">
        <f>'Monthly Data'!AQ104</f>
        <v>17.166666666666668</v>
      </c>
      <c r="F104" s="33">
        <f>'Monthly Data'!BB104</f>
        <v>336.14166666666665</v>
      </c>
      <c r="H104" s="18">
        <f>'GS&gt;50 Predicted Monthly'!$P$9</f>
        <v>4197710.1274672803</v>
      </c>
      <c r="I104" s="18">
        <f>E104*'GS&gt;50 Predicted Monthly'!$P$10</f>
        <v>59635.985685439809</v>
      </c>
      <c r="J104" s="18">
        <f>F104*'GS&gt;50 Predicted Monthly'!$P$11</f>
        <v>2218134.7818647721</v>
      </c>
      <c r="K104" s="18">
        <f>SUM(H104:J104)</f>
        <v>6475480.8950174917</v>
      </c>
      <c r="L104" s="18">
        <f>K104-D104</f>
        <v>627667.60898848437</v>
      </c>
      <c r="M104" s="35">
        <f>ABS(L104/D104)</f>
        <v>0.10733372942806554</v>
      </c>
    </row>
    <row r="105" spans="1:20">
      <c r="A105" s="541">
        <f>'Monthly Data'!A105</f>
        <v>45505</v>
      </c>
      <c r="B105">
        <f t="shared" si="4"/>
        <v>2024</v>
      </c>
      <c r="C105">
        <f t="shared" si="5"/>
        <v>8</v>
      </c>
      <c r="D105" s="31">
        <f>'Monthly Data'!N105</f>
        <v>5588978.3405843414</v>
      </c>
      <c r="E105" s="33">
        <f>'Monthly Data'!AQ105</f>
        <v>63.7</v>
      </c>
      <c r="F105" s="33">
        <f>'Monthly Data'!BB105</f>
        <v>274.65000000000003</v>
      </c>
      <c r="H105" s="18">
        <f>'GS&gt;50 Predicted Monthly'!$P$9</f>
        <v>4197710.1274672803</v>
      </c>
      <c r="I105" s="18">
        <f>E105*'GS&gt;50 Predicted Monthly'!$P$10</f>
        <v>221290.03620364168</v>
      </c>
      <c r="J105" s="18">
        <f>F105*'GS&gt;50 Predicted Monthly'!$P$11</f>
        <v>1812362.9952822262</v>
      </c>
      <c r="K105" s="18">
        <f>SUM(H105:J105)</f>
        <v>6231363.1589531479</v>
      </c>
      <c r="L105" s="18">
        <f>K105-D105</f>
        <v>642384.8183688065</v>
      </c>
      <c r="M105" s="35">
        <f>ABS(L105/D105)</f>
        <v>0.11493778991844215</v>
      </c>
    </row>
    <row r="106" spans="1:20">
      <c r="A106" s="541">
        <f>'Monthly Data'!A106</f>
        <v>45536</v>
      </c>
      <c r="B106">
        <f t="shared" si="4"/>
        <v>2024</v>
      </c>
      <c r="C106">
        <f t="shared" si="5"/>
        <v>9</v>
      </c>
      <c r="D106" s="31">
        <f>'Monthly Data'!N106</f>
        <v>5358949.3951396765</v>
      </c>
      <c r="E106" s="33">
        <f>'Monthly Data'!AQ106</f>
        <v>120.98333333333333</v>
      </c>
      <c r="F106" s="33">
        <f>'Monthly Data'!BB106</f>
        <v>181.45</v>
      </c>
      <c r="H106" s="18">
        <f>'GS&gt;50 Predicted Monthly'!$P$9</f>
        <v>4197710.1274672803</v>
      </c>
      <c r="I106" s="18">
        <f>E106*'GS&gt;50 Predicted Monthly'!$P$10</f>
        <v>420288.95154427917</v>
      </c>
      <c r="J106" s="18">
        <f>F106*'GS&gt;50 Predicted Monthly'!$P$11</f>
        <v>1197353.9613834331</v>
      </c>
      <c r="K106" s="18">
        <f>SUM(H106:J106)</f>
        <v>5815353.0403949926</v>
      </c>
      <c r="L106" s="18">
        <f>K106-D106</f>
        <v>456403.64525531605</v>
      </c>
      <c r="M106" s="35">
        <f>ABS(L106/D106)</f>
        <v>8.5166627188018124E-2</v>
      </c>
    </row>
    <row r="107" spans="1:20">
      <c r="A107" s="541">
        <f>'Monthly Data'!A107</f>
        <v>45566</v>
      </c>
      <c r="B107">
        <f t="shared" si="4"/>
        <v>2024</v>
      </c>
      <c r="C107">
        <f t="shared" si="5"/>
        <v>10</v>
      </c>
      <c r="D107" s="31">
        <f>'Monthly Data'!N107</f>
        <v>5365372.4496950107</v>
      </c>
      <c r="E107" s="33">
        <f>'Monthly Data'!AQ107</f>
        <v>360.05833333333328</v>
      </c>
      <c r="F107" s="33">
        <f>'Monthly Data'!BB107</f>
        <v>39.741666666666674</v>
      </c>
      <c r="H107" s="18">
        <f>'GS&gt;50 Predicted Monthly'!$P$9</f>
        <v>4197710.1274672803</v>
      </c>
      <c r="I107" s="18">
        <f>E107*'GS&gt;50 Predicted Monthly'!$P$10</f>
        <v>1250821.3754906782</v>
      </c>
      <c r="J107" s="18">
        <f>F107*'GS&gt;50 Predicted Monthly'!$P$11</f>
        <v>262247.68264157226</v>
      </c>
      <c r="K107" s="18">
        <f>SUM(H107:J107)</f>
        <v>5710779.185599531</v>
      </c>
      <c r="L107" s="18">
        <f>K107-D107</f>
        <v>345406.73590452038</v>
      </c>
      <c r="M107" s="35">
        <f>ABS(L107/D107)</f>
        <v>6.4377028648617801E-2</v>
      </c>
    </row>
    <row r="108" spans="1:20">
      <c r="A108" s="541">
        <f>'Monthly Data'!A108</f>
        <v>45597</v>
      </c>
      <c r="B108">
        <f t="shared" si="4"/>
        <v>2024</v>
      </c>
      <c r="C108">
        <f t="shared" si="5"/>
        <v>11</v>
      </c>
      <c r="D108" s="31">
        <f>'Monthly Data'!N108</f>
        <v>5333654.5042503448</v>
      </c>
      <c r="E108" s="33">
        <f>'Monthly Data'!AQ108</f>
        <v>506.44583333333338</v>
      </c>
      <c r="F108" s="33">
        <f>'Monthly Data'!BB108</f>
        <v>6.6374999999999975</v>
      </c>
      <c r="H108" s="18">
        <f>'GS&gt;50 Predicted Monthly'!$P$9</f>
        <v>4197710.1274672803</v>
      </c>
      <c r="I108" s="18">
        <f>E108*'GS&gt;50 Predicted Monthly'!$P$10</f>
        <v>1759362.9009971244</v>
      </c>
      <c r="J108" s="18">
        <f>F108*'GS&gt;50 Predicted Monthly'!$P$11</f>
        <v>43799.597237159192</v>
      </c>
      <c r="K108" s="18">
        <f>SUM(H108:J108)</f>
        <v>6000872.6257015644</v>
      </c>
      <c r="L108" s="18">
        <f>K108-D108</f>
        <v>667218.12145121954</v>
      </c>
      <c r="M108" s="35">
        <f>ABS(L108/D108)</f>
        <v>0.12509586455581609</v>
      </c>
    </row>
    <row r="109" spans="1:20">
      <c r="A109" s="541">
        <f>'Monthly Data'!A109</f>
        <v>45627</v>
      </c>
      <c r="B109">
        <f t="shared" si="4"/>
        <v>2024</v>
      </c>
      <c r="C109">
        <f t="shared" si="5"/>
        <v>12</v>
      </c>
      <c r="D109" s="31">
        <f>'Monthly Data'!N109</f>
        <v>6275377.558805679</v>
      </c>
      <c r="E109" s="33">
        <f>'Monthly Data'!AQ109</f>
        <v>796.64791666666656</v>
      </c>
      <c r="F109" s="33">
        <f>'Monthly Data'!BB109</f>
        <v>0</v>
      </c>
      <c r="H109" s="18">
        <f>'GS&gt;50 Predicted Monthly'!$P$9</f>
        <v>4197710.1274672803</v>
      </c>
      <c r="I109" s="18">
        <f>E109*'GS&gt;50 Predicted Monthly'!$P$10</f>
        <v>2767507.791534103</v>
      </c>
      <c r="J109" s="18">
        <f>F109*'GS&gt;50 Predicted Monthly'!$P$11</f>
        <v>0</v>
      </c>
      <c r="K109" s="18">
        <f>SUM(H109:J109)</f>
        <v>6965217.9190013837</v>
      </c>
      <c r="L109" s="18">
        <f>K109-D109</f>
        <v>689840.36019570474</v>
      </c>
      <c r="M109" s="35">
        <f>ABS(L109/D109)</f>
        <v>0.10992810452141052</v>
      </c>
    </row>
    <row r="110" spans="1:20">
      <c r="A110" s="541">
        <f>'Monthly Data'!A110</f>
        <v>45658</v>
      </c>
      <c r="B110">
        <f t="shared" si="4"/>
        <v>2025</v>
      </c>
      <c r="C110">
        <f t="shared" si="5"/>
        <v>1</v>
      </c>
      <c r="D110" s="31">
        <f>'Monthly Data'!N110</f>
        <v>6397150.1120626032</v>
      </c>
      <c r="E110" s="33">
        <f>'Monthly Data'!AQ110</f>
        <v>930.57291666666663</v>
      </c>
      <c r="F110" s="33">
        <f>'Monthly Data'!BB110</f>
        <v>0</v>
      </c>
      <c r="H110" s="18">
        <f>'GS&gt;50 Predicted Monthly'!$P$9</f>
        <v>4197710.1274672803</v>
      </c>
      <c r="I110" s="18">
        <f>E110*'GS&gt;50 Predicted Monthly'!$P$10</f>
        <v>3232755.3284033765</v>
      </c>
      <c r="J110" s="18">
        <f>F110*'GS&gt;50 Predicted Monthly'!$P$11</f>
        <v>0</v>
      </c>
      <c r="K110" s="18">
        <f>SUM(H110:J110)</f>
        <v>7430465.4558706563</v>
      </c>
      <c r="L110" s="18">
        <f>K110-D110</f>
        <v>1033315.3438080531</v>
      </c>
      <c r="M110" s="35">
        <f>ABS(L110/D110)</f>
        <v>0.1615274498342022</v>
      </c>
    </row>
    <row r="111" spans="1:20">
      <c r="A111" s="541">
        <f>'Monthly Data'!A111</f>
        <v>45689</v>
      </c>
      <c r="B111">
        <f t="shared" si="4"/>
        <v>2025</v>
      </c>
      <c r="C111">
        <f t="shared" si="5"/>
        <v>2</v>
      </c>
      <c r="D111" s="31">
        <f>'Monthly Data'!N111</f>
        <v>6043124.5591707714</v>
      </c>
      <c r="E111" s="33">
        <f>'Monthly Data'!AQ111</f>
        <v>851.05000000000007</v>
      </c>
      <c r="F111" s="33">
        <f>'Monthly Data'!BB111</f>
        <v>0</v>
      </c>
      <c r="H111" s="18">
        <f>'GS&gt;50 Predicted Monthly'!$P$9</f>
        <v>4197710.1274672803</v>
      </c>
      <c r="I111" s="18">
        <f>E111*'GS&gt;50 Predicted Monthly'!$P$10</f>
        <v>2956497.4146170998</v>
      </c>
      <c r="J111" s="18">
        <f>F111*'GS&gt;50 Predicted Monthly'!$P$11</f>
        <v>0</v>
      </c>
      <c r="K111" s="18">
        <f>SUM(H111:J111)</f>
        <v>7154207.5420843801</v>
      </c>
      <c r="L111" s="18">
        <f>K111-D111</f>
        <v>1111082.9829136087</v>
      </c>
      <c r="M111" s="35">
        <f>ABS(L111/D111)</f>
        <v>0.18385902392620379</v>
      </c>
    </row>
    <row r="112" spans="1:20">
      <c r="A112" s="541">
        <f>'Monthly Data'!A112</f>
        <v>45717</v>
      </c>
      <c r="B112">
        <f t="shared" si="4"/>
        <v>2025</v>
      </c>
      <c r="C112">
        <f t="shared" si="5"/>
        <v>3</v>
      </c>
      <c r="D112" s="31">
        <f>'Monthly Data'!N112</f>
        <v>5823009.0062789395</v>
      </c>
      <c r="E112" s="33">
        <f>'Monthly Data'!AQ112</f>
        <v>682.18333333333362</v>
      </c>
      <c r="F112" s="33">
        <f>'Monthly Data'!BB112</f>
        <v>0</v>
      </c>
      <c r="H112" s="18">
        <f>'GS&gt;50 Predicted Monthly'!$P$9</f>
        <v>4197710.1274672803</v>
      </c>
      <c r="I112" s="18">
        <f>E112*'GS&gt;50 Predicted Monthly'!$P$10</f>
        <v>2369864.5923211044</v>
      </c>
      <c r="J112" s="18">
        <f>F112*'GS&gt;50 Predicted Monthly'!$P$11</f>
        <v>0</v>
      </c>
      <c r="K112" s="18">
        <f>SUM(H112:J112)</f>
        <v>6567574.7197883846</v>
      </c>
      <c r="L112" s="18">
        <f>K112-D112</f>
        <v>744565.71350944508</v>
      </c>
      <c r="M112" s="35">
        <f>ABS(L112/D112)</f>
        <v>0.12786614492723286</v>
      </c>
    </row>
    <row r="113" spans="1:13">
      <c r="A113" s="541">
        <f>'Monthly Data'!A113</f>
        <v>45748</v>
      </c>
      <c r="B113">
        <f t="shared" si="4"/>
        <v>2025</v>
      </c>
      <c r="C113">
        <f t="shared" si="5"/>
        <v>4</v>
      </c>
      <c r="D113" s="31">
        <f>'Monthly Data'!N113</f>
        <v>5161102.4533871077</v>
      </c>
      <c r="E113" s="33">
        <f>'Monthly Data'!AQ113</f>
        <v>479.43541666666664</v>
      </c>
      <c r="F113" s="33">
        <f>'Monthly Data'!BB113</f>
        <v>8.80833333333333</v>
      </c>
      <c r="H113" s="18">
        <f>'GS&gt;50 Predicted Monthly'!$P$9</f>
        <v>4197710.1274672803</v>
      </c>
      <c r="I113" s="18">
        <f>E113*'GS&gt;50 Predicted Monthly'!$P$10</f>
        <v>1665530.3094423029</v>
      </c>
      <c r="J113" s="18">
        <f>F113*'GS&gt;50 Predicted Monthly'!$P$11</f>
        <v>58124.512592187399</v>
      </c>
      <c r="K113" s="18">
        <f>SUM(H113:J113)</f>
        <v>5921364.9495017705</v>
      </c>
      <c r="L113" s="18">
        <f>K113-D113</f>
        <v>760262.49611466285</v>
      </c>
      <c r="M113" s="35">
        <f>ABS(L113/D113)</f>
        <v>0.14730622051800596</v>
      </c>
    </row>
    <row r="114" spans="1:13">
      <c r="A114" s="541">
        <f>'Monthly Data'!A114</f>
        <v>45778</v>
      </c>
      <c r="B114">
        <f t="shared" si="4"/>
        <v>2025</v>
      </c>
      <c r="C114">
        <f t="shared" si="5"/>
        <v>5</v>
      </c>
      <c r="D114" s="31">
        <f>'Monthly Data'!N114</f>
        <v>5020546.9004952768</v>
      </c>
      <c r="E114" s="33">
        <f>'Monthly Data'!AQ114</f>
        <v>237.32916666666665</v>
      </c>
      <c r="F114" s="33">
        <f>'Monthly Data'!BB114</f>
        <v>94.225000000000009</v>
      </c>
      <c r="H114" s="18">
        <f>'GS&gt;50 Predicted Monthly'!$P$9</f>
        <v>4197710.1274672803</v>
      </c>
      <c r="I114" s="18">
        <f>E114*'GS&gt;50 Predicted Monthly'!$P$10</f>
        <v>824467.50210120529</v>
      </c>
      <c r="J114" s="18">
        <f>F114*'GS&gt;50 Predicted Monthly'!$P$11</f>
        <v>621772.81350980431</v>
      </c>
      <c r="K114" s="18">
        <f>SUM(H114:J114)</f>
        <v>5643950.4430782897</v>
      </c>
      <c r="L114" s="18">
        <f>K114-D114</f>
        <v>623403.54258301295</v>
      </c>
      <c r="M114" s="35">
        <f>ABS(L114/D114)</f>
        <v>0.12417044496118823</v>
      </c>
    </row>
    <row r="115" spans="1:13">
      <c r="A115" s="541">
        <f>'Monthly Data'!A115</f>
        <v>45809</v>
      </c>
      <c r="B115">
        <f t="shared" si="4"/>
        <v>2025</v>
      </c>
      <c r="C115">
        <f t="shared" si="5"/>
        <v>6</v>
      </c>
      <c r="D115" s="31">
        <f>'Monthly Data'!N115</f>
        <v>5552991.3476034449</v>
      </c>
      <c r="E115" s="33">
        <f>'Monthly Data'!AQ115</f>
        <v>85.787499999999994</v>
      </c>
      <c r="F115" s="33">
        <f>'Monthly Data'!BB115</f>
        <v>248.45</v>
      </c>
      <c r="H115" s="18">
        <f>'GS&gt;50 Predicted Monthly'!$P$9</f>
        <v>4197710.1274672803</v>
      </c>
      <c r="I115" s="18">
        <f>E115*'GS&gt;50 Predicted Monthly'!$P$10</f>
        <v>298020.70613532042</v>
      </c>
      <c r="J115" s="18">
        <f>F115*'GS&gt;50 Predicted Monthly'!$P$11</f>
        <v>1639474.1896153979</v>
      </c>
      <c r="K115" s="18">
        <f>SUM(H115:J115)</f>
        <v>6135205.0232179984</v>
      </c>
      <c r="L115" s="18">
        <f>K115-D115</f>
        <v>582213.6756145535</v>
      </c>
      <c r="M115" s="35">
        <f>ABS(L115/D115)</f>
        <v>0.10484685445545035</v>
      </c>
    </row>
    <row r="116" spans="1:13">
      <c r="A116" s="541">
        <f>'Monthly Data'!A116</f>
        <v>45839</v>
      </c>
      <c r="B116">
        <f t="shared" si="4"/>
        <v>2025</v>
      </c>
      <c r="C116">
        <f t="shared" si="5"/>
        <v>7</v>
      </c>
      <c r="D116" s="31">
        <f>'Monthly Data'!N116</f>
        <v>6041461.7947116131</v>
      </c>
      <c r="E116" s="33">
        <f>'Monthly Data'!AQ116</f>
        <v>23.716666666666676</v>
      </c>
      <c r="F116" s="33">
        <f>'Monthly Data'!BB116</f>
        <v>347.84375000000006</v>
      </c>
      <c r="H116" s="18">
        <f>'GS&gt;50 Predicted Monthly'!$P$9</f>
        <v>4197710.1274672803</v>
      </c>
      <c r="I116" s="18">
        <f>E116*'GS&gt;50 Predicted Monthly'!$P$10</f>
        <v>82390.298670272692</v>
      </c>
      <c r="J116" s="18">
        <f>F116*'GS&gt;50 Predicted Monthly'!$P$11</f>
        <v>2295354.5990904858</v>
      </c>
      <c r="K116" s="18">
        <f>SUM(H116:J116)</f>
        <v>6575455.0252280384</v>
      </c>
      <c r="L116" s="18">
        <f>K116-D116</f>
        <v>533993.23051642533</v>
      </c>
      <c r="M116" s="35">
        <f>ABS(L116/D116)</f>
        <v>8.8388083656153499E-2</v>
      </c>
    </row>
    <row r="117" spans="1:13">
      <c r="A117" s="541">
        <f>'Monthly Data'!A117</f>
        <v>45870</v>
      </c>
      <c r="B117">
        <f t="shared" si="4"/>
        <v>2025</v>
      </c>
      <c r="C117">
        <f t="shared" si="5"/>
        <v>8</v>
      </c>
      <c r="D117" s="31">
        <f>'Monthly Data'!N117</f>
        <v>5593918.2418197813</v>
      </c>
      <c r="E117" s="33">
        <f>'Monthly Data'!AQ117</f>
        <v>67.597916666666677</v>
      </c>
      <c r="F117" s="33">
        <f>'Monthly Data'!BB117</f>
        <v>280.76041666666669</v>
      </c>
      <c r="H117" s="18">
        <f>'GS&gt;50 Predicted Monthly'!$P$9</f>
        <v>4197710.1274672803</v>
      </c>
      <c r="I117" s="18">
        <f>E117*'GS&gt;50 Predicted Monthly'!$P$10</f>
        <v>234831.1683902264</v>
      </c>
      <c r="J117" s="18">
        <f>F117*'GS&gt;50 Predicted Monthly'!$P$11</f>
        <v>1852684.4700771377</v>
      </c>
      <c r="K117" s="18">
        <f>SUM(H117:J117)</f>
        <v>6285225.7659346443</v>
      </c>
      <c r="L117" s="18">
        <f>K117-D117</f>
        <v>691307.52411486302</v>
      </c>
      <c r="M117" s="35">
        <f>ABS(L117/D117)</f>
        <v>0.12358198569058293</v>
      </c>
    </row>
    <row r="118" spans="1:13">
      <c r="A118" s="541">
        <f>'Monthly Data'!A118</f>
        <v>45901</v>
      </c>
      <c r="B118">
        <f t="shared" si="4"/>
        <v>2025</v>
      </c>
      <c r="C118">
        <f t="shared" si="5"/>
        <v>9</v>
      </c>
      <c r="D118" s="31">
        <f>'Monthly Data'!N118</f>
        <v>5145149.6889279494</v>
      </c>
      <c r="E118" s="33">
        <f>'Monthly Data'!AQ118</f>
        <v>178.70416666666671</v>
      </c>
      <c r="F118" s="33">
        <f>'Monthly Data'!BB118</f>
        <v>125.17083333333335</v>
      </c>
      <c r="H118" s="18">
        <f>'GS&gt;50 Predicted Monthly'!$P$9</f>
        <v>4197710.1274672803</v>
      </c>
      <c r="I118" s="18">
        <f>E118*'GS&gt;50 Predicted Monthly'!$P$10</f>
        <v>620807.7160346671</v>
      </c>
      <c r="J118" s="18">
        <f>F118*'GS&gt;50 Predicted Monthly'!$P$11</f>
        <v>825978.46867639665</v>
      </c>
      <c r="K118" s="18">
        <f>SUM(H118:J118)</f>
        <v>5644496.3121783445</v>
      </c>
      <c r="L118" s="18">
        <f>K118-D118</f>
        <v>499346.62325039506</v>
      </c>
      <c r="M118" s="35">
        <f>ABS(L118/D118)</f>
        <v>9.7051913635274545E-2</v>
      </c>
    </row>
    <row r="119" spans="1:13">
      <c r="A119" s="541">
        <f>'Monthly Data'!A119</f>
        <v>45931</v>
      </c>
      <c r="B119">
        <f t="shared" si="4"/>
        <v>2025</v>
      </c>
      <c r="C119">
        <f t="shared" si="5"/>
        <v>10</v>
      </c>
      <c r="D119" s="31">
        <f>'Monthly Data'!N119</f>
        <v>5977730.1360361176</v>
      </c>
      <c r="E119" s="33">
        <f>'Monthly Data'!AQ119</f>
        <v>347.06666666666666</v>
      </c>
      <c r="F119" s="33">
        <f>'Monthly Data'!BB119</f>
        <v>56.94583333333334</v>
      </c>
      <c r="H119" s="18">
        <f>'GS&gt;50 Predicted Monthly'!$P$9</f>
        <v>4197710.1274672803</v>
      </c>
      <c r="I119" s="18">
        <f>E119*'GS&gt;50 Predicted Monthly'!$P$10</f>
        <v>1205689.0931199985</v>
      </c>
      <c r="J119" s="18">
        <f>F119*'GS&gt;50 Predicted Monthly'!$P$11</f>
        <v>375774.69895810104</v>
      </c>
      <c r="K119" s="18">
        <f>SUM(H119:J119)</f>
        <v>5779173.9195453795</v>
      </c>
      <c r="L119" s="18">
        <f>K119-D119</f>
        <v>-198556.21649073809</v>
      </c>
      <c r="M119" s="35">
        <f>ABS(L119/D119)</f>
        <v>3.3215988673319798E-2</v>
      </c>
    </row>
    <row r="120" spans="1:13">
      <c r="A120" s="541">
        <f>'Monthly Data'!A120</f>
        <v>45962</v>
      </c>
      <c r="B120">
        <f t="shared" si="4"/>
        <v>2025</v>
      </c>
      <c r="C120">
        <f t="shared" si="5"/>
        <v>11</v>
      </c>
      <c r="D120" s="31">
        <f>'Monthly Data'!N120</f>
        <v>8021249.5831442866</v>
      </c>
      <c r="E120" s="33">
        <f>'Monthly Data'!AQ120</f>
        <v>607.22916666666652</v>
      </c>
      <c r="F120" s="33">
        <f>'Monthly Data'!BB120</f>
        <v>0</v>
      </c>
      <c r="H120" s="18">
        <f>'GS&gt;50 Predicted Monthly'!$P$9</f>
        <v>4197710.1274672803</v>
      </c>
      <c r="I120" s="18">
        <f>E120*'GS&gt;50 Predicted Monthly'!$P$10</f>
        <v>2109478.2460843609</v>
      </c>
      <c r="J120" s="18">
        <f>F120*'GS&gt;50 Predicted Monthly'!$P$11</f>
        <v>0</v>
      </c>
      <c r="K120" s="18">
        <f>SUM(H120:J120)</f>
        <v>6307188.3735516407</v>
      </c>
      <c r="L120" s="18">
        <f>K120-D120</f>
        <v>-1714061.209592646</v>
      </c>
      <c r="M120" s="35">
        <f>ABS(L120/D120)</f>
        <v>0.21369004814343942</v>
      </c>
    </row>
    <row r="121" spans="1:13">
      <c r="A121" s="541">
        <f>'Monthly Data'!A121</f>
        <v>45992</v>
      </c>
      <c r="B121">
        <f t="shared" si="4"/>
        <v>2025</v>
      </c>
      <c r="C121">
        <f t="shared" si="5"/>
        <v>12</v>
      </c>
      <c r="D121" s="31">
        <f>'Monthly Data'!N121</f>
        <v>10556903.030252455</v>
      </c>
      <c r="E121" s="33">
        <f>'Monthly Data'!AQ121</f>
        <v>915.94583333333321</v>
      </c>
      <c r="F121" s="33">
        <f>'Monthly Data'!BB121</f>
        <v>0</v>
      </c>
      <c r="H121" s="18">
        <f>'GS&gt;50 Predicted Monthly'!$P$9</f>
        <v>4197710.1274672803</v>
      </c>
      <c r="I121" s="18">
        <f>E121*'GS&gt;50 Predicted Monthly'!$P$10</f>
        <v>3181941.7051633918</v>
      </c>
      <c r="J121" s="18">
        <f>F121*'GS&gt;50 Predicted Monthly'!$P$11</f>
        <v>0</v>
      </c>
      <c r="K121" s="18">
        <f>SUM(H121:J121)</f>
        <v>7379651.8326306716</v>
      </c>
      <c r="L121" s="18">
        <f>K121-D121</f>
        <v>-3177251.1976217832</v>
      </c>
      <c r="M121" s="35">
        <f>ABS(L121/D121)</f>
        <v>0.30096432528714845</v>
      </c>
    </row>
    <row r="122" spans="1:13">
      <c r="A122" s="9"/>
      <c r="M122" s="36">
        <f>AVERAGE(M50:M121)</f>
        <v>0.12527590276221101</v>
      </c>
    </row>
    <row r="123" spans="1:13">
      <c r="A123" s="9"/>
    </row>
    <row r="124" spans="1:13">
      <c r="A124" s="9"/>
    </row>
    <row r="125" spans="1:13">
      <c r="A125" s="9"/>
    </row>
    <row r="126" spans="1:13">
      <c r="A126" s="9"/>
    </row>
    <row r="127" spans="1:13">
      <c r="A127" s="9"/>
    </row>
    <row r="128" spans="1:13">
      <c r="A128" s="9"/>
    </row>
    <row r="129" spans="1:1">
      <c r="A129" s="9"/>
    </row>
    <row r="130" spans="1:1">
      <c r="A130" s="9"/>
    </row>
    <row r="131" spans="1:1">
      <c r="A131" s="9"/>
    </row>
    <row r="132" spans="1:1">
      <c r="A132" s="9"/>
    </row>
    <row r="133" spans="1:1">
      <c r="A133" s="9"/>
    </row>
    <row r="134" spans="1:1">
      <c r="A134" s="9"/>
    </row>
    <row r="135" spans="1:1">
      <c r="A135" s="9"/>
    </row>
    <row r="136" spans="1:1">
      <c r="A136" s="9"/>
    </row>
    <row r="137" spans="1:1">
      <c r="A137" s="9"/>
    </row>
    <row r="138" spans="1:1">
      <c r="A138" s="9"/>
    </row>
    <row r="139" spans="1:1">
      <c r="A139" s="9"/>
    </row>
    <row r="140" spans="1:1">
      <c r="A140" s="9"/>
    </row>
    <row r="141" spans="1:1">
      <c r="A141" s="9"/>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FE265-F3DF-4B76-BD03-FE55B6429521}">
  <sheetPr codeName="Sheet11"/>
  <dimension ref="A1:U141"/>
  <sheetViews>
    <sheetView workbookViewId="0">
      <selection activeCell="N24" sqref="N24"/>
    </sheetView>
  </sheetViews>
  <sheetFormatPr defaultColWidth="9.33203125" defaultRowHeight="13.15"/>
  <cols>
    <col min="1" max="1" width="10.5" bestFit="1" customWidth="1"/>
    <col min="4" max="4" width="20.1640625" bestFit="1" customWidth="1"/>
    <col min="8" max="8" width="14.6640625" bestFit="1" customWidth="1"/>
    <col min="9" max="9" width="12.83203125" bestFit="1" customWidth="1"/>
    <col min="10" max="10" width="13.83203125" bestFit="1" customWidth="1"/>
    <col min="11" max="11" width="18.1640625" customWidth="1"/>
    <col min="12" max="12" width="13.83203125" customWidth="1"/>
    <col min="15" max="15" width="13.83203125" bestFit="1" customWidth="1"/>
    <col min="16" max="16" width="13.5" customWidth="1"/>
    <col min="17" max="17" width="13.83203125" bestFit="1" customWidth="1"/>
    <col min="18" max="18" width="12.83203125" bestFit="1" customWidth="1"/>
    <col min="19" max="19" width="12.6640625" bestFit="1" customWidth="1"/>
    <col min="20" max="20" width="18" bestFit="1" customWidth="1"/>
    <col min="21" max="21" width="12.83203125" bestFit="1" customWidth="1"/>
  </cols>
  <sheetData>
    <row r="1" spans="1:21">
      <c r="A1" s="266" t="str">
        <f>'Monthly Data'!A1</f>
        <v>Date</v>
      </c>
      <c r="B1" s="258" t="s">
        <v>27</v>
      </c>
      <c r="C1" s="258" t="s">
        <v>28</v>
      </c>
      <c r="D1" s="267" t="str">
        <f>'Monthly Data'!AB1</f>
        <v>GSgtxLCkWh_NoCDM</v>
      </c>
      <c r="E1" s="268" t="str">
        <f>'Monthly Data'!AQ1</f>
        <v>HDD20</v>
      </c>
      <c r="F1" s="268" t="str">
        <f>'Monthly Data'!BB1</f>
        <v>CDD10</v>
      </c>
      <c r="H1" s="258" t="s">
        <v>187</v>
      </c>
      <c r="I1" s="268" t="str">
        <f>E1</f>
        <v>HDD20</v>
      </c>
      <c r="J1" s="268" t="str">
        <f>F1</f>
        <v>CDD10</v>
      </c>
      <c r="K1" s="258" t="s">
        <v>188</v>
      </c>
      <c r="L1" s="258" t="s">
        <v>189</v>
      </c>
    </row>
    <row r="2" spans="1:21">
      <c r="A2" s="541">
        <f>'Monthly Data'!A2</f>
        <v>42370</v>
      </c>
      <c r="B2">
        <f t="shared" ref="B2:B65" si="0">YEAR(A2)</f>
        <v>2016</v>
      </c>
      <c r="C2">
        <f t="shared" ref="C2:C65" si="1">MONTH(A2)</f>
        <v>1</v>
      </c>
      <c r="D2" s="31">
        <f>'Monthly Data'!AB2</f>
        <v>14710.100961538461</v>
      </c>
      <c r="E2" s="33">
        <f>'Monthly Data'!AQ2</f>
        <v>887.26875000000007</v>
      </c>
      <c r="F2" s="33">
        <f>'Monthly Data'!BB2</f>
        <v>0</v>
      </c>
      <c r="H2" s="18">
        <f>'GS&gt;50 Predicted Monthly (no LC)'!$P$9</f>
        <v>4121039.41701539</v>
      </c>
      <c r="I2" s="18">
        <f>E2*'GS&gt;50 Predicted Monthly (no LC)'!$P$10</f>
        <v>2054467.0079924369</v>
      </c>
      <c r="J2" s="18">
        <f>F2*'GS&gt;50 Predicted Monthly (no LC)'!$P$11</f>
        <v>0</v>
      </c>
      <c r="K2" s="18">
        <f t="shared" ref="K2:K33" si="2">SUM(H2:J2)</f>
        <v>6175506.4250078266</v>
      </c>
      <c r="L2" s="18">
        <f t="shared" ref="L2:L33" si="3">K2-D2</f>
        <v>6160796.3240462886</v>
      </c>
      <c r="M2" s="35">
        <f t="shared" ref="M2:M33" si="4">ABS(L2/D2)</f>
        <v>418.81400679400639</v>
      </c>
    </row>
    <row r="3" spans="1:21">
      <c r="A3" s="541">
        <f>'Monthly Data'!A3</f>
        <v>42401</v>
      </c>
      <c r="B3">
        <f t="shared" si="0"/>
        <v>2016</v>
      </c>
      <c r="C3">
        <f t="shared" si="1"/>
        <v>2</v>
      </c>
      <c r="D3" s="31">
        <f>'Monthly Data'!AB3</f>
        <v>14221.847756410258</v>
      </c>
      <c r="E3" s="33">
        <f>'Monthly Data'!AQ3</f>
        <v>864.28750000000002</v>
      </c>
      <c r="F3" s="33">
        <f>'Monthly Data'!BB3</f>
        <v>0</v>
      </c>
      <c r="H3" s="18">
        <f>'GS&gt;50 Predicted Monthly (no LC)'!$P$9</f>
        <v>4121039.41701539</v>
      </c>
      <c r="I3" s="18">
        <f>E3*'GS&gt;50 Predicted Monthly (no LC)'!$P$10</f>
        <v>2001254.0215918382</v>
      </c>
      <c r="J3" s="18">
        <f>F3*'GS&gt;50 Predicted Monthly (no LC)'!$P$11</f>
        <v>0</v>
      </c>
      <c r="K3" s="18">
        <f t="shared" si="2"/>
        <v>6122293.438607228</v>
      </c>
      <c r="L3" s="18">
        <f t="shared" si="3"/>
        <v>6108071.590850818</v>
      </c>
      <c r="M3" s="35">
        <f t="shared" si="4"/>
        <v>429.48509191414371</v>
      </c>
    </row>
    <row r="4" spans="1:21">
      <c r="A4" s="541">
        <f>'Monthly Data'!A4</f>
        <v>42430</v>
      </c>
      <c r="B4">
        <f t="shared" si="0"/>
        <v>2016</v>
      </c>
      <c r="C4">
        <f t="shared" si="1"/>
        <v>3</v>
      </c>
      <c r="D4" s="31">
        <f>'Monthly Data'!AB4</f>
        <v>19655.594551282051</v>
      </c>
      <c r="E4" s="33">
        <f>'Monthly Data'!AQ4</f>
        <v>694.14374999999995</v>
      </c>
      <c r="F4" s="33">
        <f>'Monthly Data'!BB4</f>
        <v>0</v>
      </c>
      <c r="H4" s="18">
        <f>'GS&gt;50 Predicted Monthly (no LC)'!$P$9</f>
        <v>4121039.41701539</v>
      </c>
      <c r="I4" s="18">
        <f>E4*'GS&gt;50 Predicted Monthly (no LC)'!$P$10</f>
        <v>1607286.8938291245</v>
      </c>
      <c r="J4" s="18">
        <f>F4*'GS&gt;50 Predicted Monthly (no LC)'!$P$11</f>
        <v>0</v>
      </c>
      <c r="K4" s="18">
        <f t="shared" si="2"/>
        <v>5728326.3108445145</v>
      </c>
      <c r="L4" s="18">
        <f t="shared" si="3"/>
        <v>5708670.7162932325</v>
      </c>
      <c r="M4" s="35">
        <f t="shared" si="4"/>
        <v>290.4349039861977</v>
      </c>
      <c r="O4" t="s">
        <v>219</v>
      </c>
    </row>
    <row r="5" spans="1:21">
      <c r="A5" s="541">
        <f>'Monthly Data'!A5</f>
        <v>42461</v>
      </c>
      <c r="B5">
        <f t="shared" si="0"/>
        <v>2016</v>
      </c>
      <c r="C5">
        <f t="shared" si="1"/>
        <v>4</v>
      </c>
      <c r="D5" s="31">
        <f>'Monthly Data'!AB5</f>
        <v>22335.341346153844</v>
      </c>
      <c r="E5" s="33">
        <f>'Monthly Data'!AQ5</f>
        <v>544.44166666666672</v>
      </c>
      <c r="F5" s="33">
        <f>'Monthly Data'!BB5</f>
        <v>0</v>
      </c>
      <c r="H5" s="18">
        <f>'GS&gt;50 Predicted Monthly (no LC)'!$P$9</f>
        <v>4121039.41701539</v>
      </c>
      <c r="I5" s="18">
        <f>E5*'GS&gt;50 Predicted Monthly (no LC)'!$P$10</f>
        <v>1260652.3580855094</v>
      </c>
      <c r="J5" s="18">
        <f>F5*'GS&gt;50 Predicted Monthly (no LC)'!$P$11</f>
        <v>0</v>
      </c>
      <c r="K5" s="18">
        <f t="shared" si="2"/>
        <v>5381691.7751008999</v>
      </c>
      <c r="L5" s="18">
        <f t="shared" si="3"/>
        <v>5359356.4337547459</v>
      </c>
      <c r="M5" s="35">
        <f t="shared" si="4"/>
        <v>239.94960948638601</v>
      </c>
      <c r="O5" t="s">
        <v>220</v>
      </c>
    </row>
    <row r="6" spans="1:21">
      <c r="A6" s="541">
        <f>'Monthly Data'!A6</f>
        <v>42491</v>
      </c>
      <c r="B6">
        <f t="shared" si="0"/>
        <v>2016</v>
      </c>
      <c r="C6">
        <f t="shared" si="1"/>
        <v>5</v>
      </c>
      <c r="D6" s="31">
        <f>'Monthly Data'!AB6</f>
        <v>2227.0881410256407</v>
      </c>
      <c r="E6" s="33">
        <f>'Monthly Data'!AQ6</f>
        <v>215.85833333333335</v>
      </c>
      <c r="F6" s="33">
        <f>'Monthly Data'!BB6</f>
        <v>131.05416666666662</v>
      </c>
      <c r="H6" s="18">
        <f>'GS&gt;50 Predicted Monthly (no LC)'!$P$9</f>
        <v>4121039.41701539</v>
      </c>
      <c r="I6" s="18">
        <f>E6*'GS&gt;50 Predicted Monthly (no LC)'!$P$10</f>
        <v>499819.05057917058</v>
      </c>
      <c r="J6" s="18">
        <f>F6*'GS&gt;50 Predicted Monthly (no LC)'!$P$11</f>
        <v>707983.68859378085</v>
      </c>
      <c r="K6" s="18">
        <f t="shared" si="2"/>
        <v>5328842.1561883409</v>
      </c>
      <c r="L6" s="18">
        <f t="shared" si="3"/>
        <v>5326615.0680473149</v>
      </c>
      <c r="M6" s="35">
        <f t="shared" si="4"/>
        <v>2391.7396756440226</v>
      </c>
      <c r="O6" t="s">
        <v>221</v>
      </c>
    </row>
    <row r="7" spans="1:21">
      <c r="A7" s="541">
        <f>'Monthly Data'!A7</f>
        <v>42522</v>
      </c>
      <c r="B7">
        <f t="shared" si="0"/>
        <v>2016</v>
      </c>
      <c r="C7">
        <f t="shared" si="1"/>
        <v>6</v>
      </c>
      <c r="D7" s="31">
        <f>'Monthly Data'!AB7</f>
        <v>19858.834935897437</v>
      </c>
      <c r="E7" s="33">
        <f>'Monthly Data'!AQ7</f>
        <v>99.395833333333343</v>
      </c>
      <c r="F7" s="33">
        <f>'Monthly Data'!BB7</f>
        <v>220.87916666666666</v>
      </c>
      <c r="H7" s="18">
        <f>'GS&gt;50 Predicted Monthly (no LC)'!$P$9</f>
        <v>4121039.41701539</v>
      </c>
      <c r="I7" s="18">
        <f>E7*'GS&gt;50 Predicted Monthly (no LC)'!$P$10</f>
        <v>230150.62833583204</v>
      </c>
      <c r="J7" s="18">
        <f>F7*'GS&gt;50 Predicted Monthly (no LC)'!$P$11</f>
        <v>1193238.2703095071</v>
      </c>
      <c r="K7" s="18">
        <f t="shared" si="2"/>
        <v>5544428.3156607291</v>
      </c>
      <c r="L7" s="18">
        <f t="shared" si="3"/>
        <v>5524569.480724832</v>
      </c>
      <c r="M7" s="35">
        <f t="shared" si="4"/>
        <v>278.19202377972596</v>
      </c>
    </row>
    <row r="8" spans="1:21">
      <c r="A8" s="541">
        <f>'Monthly Data'!A8</f>
        <v>42552</v>
      </c>
      <c r="B8">
        <f t="shared" si="0"/>
        <v>2016</v>
      </c>
      <c r="C8">
        <f t="shared" si="1"/>
        <v>7</v>
      </c>
      <c r="D8" s="31">
        <f>'Monthly Data'!AB8</f>
        <v>7040.5817307692305</v>
      </c>
      <c r="E8" s="33">
        <f>'Monthly Data'!AQ8</f>
        <v>31.595833333333335</v>
      </c>
      <c r="F8" s="33">
        <f>'Monthly Data'!BB8</f>
        <v>320.39583333333326</v>
      </c>
      <c r="H8" s="18">
        <f>'GS&gt;50 Predicted Monthly (no LC)'!$P$9</f>
        <v>4121039.41701539</v>
      </c>
      <c r="I8" s="18">
        <f>E8*'GS&gt;50 Predicted Monthly (no LC)'!$P$10</f>
        <v>73160.017382964332</v>
      </c>
      <c r="J8" s="18">
        <f>F8*'GS&gt;50 Predicted Monthly (no LC)'!$P$11</f>
        <v>1730849.3858906555</v>
      </c>
      <c r="K8" s="18">
        <f t="shared" si="2"/>
        <v>5925048.8202890102</v>
      </c>
      <c r="L8" s="18">
        <f t="shared" si="3"/>
        <v>5918008.2385582412</v>
      </c>
      <c r="M8" s="35">
        <f t="shared" si="4"/>
        <v>840.55671318961583</v>
      </c>
      <c r="P8" t="s">
        <v>193</v>
      </c>
      <c r="Q8" t="s">
        <v>194</v>
      </c>
      <c r="R8" t="s">
        <v>195</v>
      </c>
      <c r="S8" t="s">
        <v>196</v>
      </c>
    </row>
    <row r="9" spans="1:21">
      <c r="A9" s="541">
        <f>'Monthly Data'!A9</f>
        <v>42583</v>
      </c>
      <c r="B9">
        <f t="shared" si="0"/>
        <v>2016</v>
      </c>
      <c r="C9">
        <f t="shared" si="1"/>
        <v>8</v>
      </c>
      <c r="D9" s="31">
        <f>'Monthly Data'!AB9</f>
        <v>17142.328525641024</v>
      </c>
      <c r="E9" s="33">
        <f>'Monthly Data'!AQ9</f>
        <v>19.462499999999999</v>
      </c>
      <c r="F9" s="33">
        <f>'Monthly Data'!BB9</f>
        <v>336.35833333333329</v>
      </c>
      <c r="H9" s="18">
        <f>'GS&gt;50 Predicted Monthly (no LC)'!$P$9</f>
        <v>4121039.41701539</v>
      </c>
      <c r="I9" s="18">
        <f>E9*'GS&gt;50 Predicted Monthly (no LC)'!$P$10</f>
        <v>45065.335776846419</v>
      </c>
      <c r="J9" s="18">
        <f>F9*'GS&gt;50 Predicted Monthly (no LC)'!$P$11</f>
        <v>1817082.3528891222</v>
      </c>
      <c r="K9" s="18">
        <f t="shared" si="2"/>
        <v>5983187.1056813588</v>
      </c>
      <c r="L9" s="18">
        <f t="shared" si="3"/>
        <v>5966044.7771557178</v>
      </c>
      <c r="M9" s="35">
        <f t="shared" si="4"/>
        <v>348.03001052230871</v>
      </c>
      <c r="O9" t="s">
        <v>187</v>
      </c>
      <c r="P9" s="18">
        <v>4121039.41701539</v>
      </c>
      <c r="Q9" s="297">
        <v>190055.85068514699</v>
      </c>
      <c r="R9" s="297">
        <v>21.683307312872198</v>
      </c>
      <c r="S9" s="298">
        <v>1.60567270125205E-32</v>
      </c>
    </row>
    <row r="10" spans="1:21">
      <c r="A10" s="541">
        <f>'Monthly Data'!A10</f>
        <v>42614</v>
      </c>
      <c r="B10">
        <f t="shared" si="0"/>
        <v>2016</v>
      </c>
      <c r="C10">
        <f t="shared" si="1"/>
        <v>9</v>
      </c>
      <c r="D10" s="31">
        <f>'Monthly Data'!AB10</f>
        <v>32770.07532051282</v>
      </c>
      <c r="E10" s="33">
        <f>'Monthly Data'!AQ10</f>
        <v>150.00416666666666</v>
      </c>
      <c r="F10" s="33">
        <f>'Monthly Data'!BB10</f>
        <v>159.27499999999998</v>
      </c>
      <c r="H10" s="18">
        <f>'GS&gt;50 Predicted Monthly (no LC)'!$P$9</f>
        <v>4121039.41701539</v>
      </c>
      <c r="I10" s="18">
        <f>E10*'GS&gt;50 Predicted Monthly (no LC)'!$P$10</f>
        <v>347334.00841409719</v>
      </c>
      <c r="J10" s="18">
        <f>F10*'GS&gt;50 Predicted Monthly (no LC)'!$P$11</f>
        <v>860438.89232142793</v>
      </c>
      <c r="K10" s="18">
        <f t="shared" si="2"/>
        <v>5328812.3177509159</v>
      </c>
      <c r="L10" s="18">
        <f t="shared" si="3"/>
        <v>5296042.2424304029</v>
      </c>
      <c r="M10" s="35">
        <f t="shared" si="4"/>
        <v>161.61214738237973</v>
      </c>
      <c r="O10" t="s">
        <v>68</v>
      </c>
      <c r="P10" s="18">
        <v>2315.4957367679599</v>
      </c>
      <c r="Q10" s="297">
        <v>283.91446621659998</v>
      </c>
      <c r="R10" s="297">
        <v>8.1556102710224394</v>
      </c>
      <c r="S10" s="298">
        <v>1.0379698101431901E-11</v>
      </c>
    </row>
    <row r="11" spans="1:21">
      <c r="A11" s="541">
        <f>'Monthly Data'!A11</f>
        <v>42644</v>
      </c>
      <c r="B11">
        <f t="shared" si="0"/>
        <v>2016</v>
      </c>
      <c r="C11">
        <f t="shared" si="1"/>
        <v>10</v>
      </c>
      <c r="D11" s="31">
        <f>'Monthly Data'!AB11</f>
        <v>-507574.17788461538</v>
      </c>
      <c r="E11" s="33">
        <f>'Monthly Data'!AQ11</f>
        <v>371.38749999999993</v>
      </c>
      <c r="F11" s="33">
        <f>'Monthly Data'!BB11</f>
        <v>41.08750000000002</v>
      </c>
      <c r="H11" s="18">
        <f>'GS&gt;50 Predicted Monthly (no LC)'!$P$9</f>
        <v>4121039.41701539</v>
      </c>
      <c r="I11" s="18">
        <f>E11*'GS&gt;50 Predicted Monthly (no LC)'!$P$10</f>
        <v>859946.17293891055</v>
      </c>
      <c r="J11" s="18">
        <f>F11*'GS&gt;50 Predicted Monthly (no LC)'!$P$11</f>
        <v>221963.79210960094</v>
      </c>
      <c r="K11" s="18">
        <f t="shared" si="2"/>
        <v>5202949.382063902</v>
      </c>
      <c r="L11" s="18">
        <f t="shared" si="3"/>
        <v>5710523.559948517</v>
      </c>
      <c r="M11" s="35">
        <f t="shared" si="4"/>
        <v>11.250618744530904</v>
      </c>
      <c r="O11" t="s">
        <v>79</v>
      </c>
      <c r="P11" s="18">
        <v>5402.2218949705102</v>
      </c>
      <c r="Q11" s="297">
        <v>692.63233007092697</v>
      </c>
      <c r="R11" s="297">
        <v>7.7995520284438804</v>
      </c>
      <c r="S11" s="298">
        <v>4.64925595662049E-11</v>
      </c>
    </row>
    <row r="12" spans="1:21">
      <c r="A12" s="541">
        <f>'Monthly Data'!A12</f>
        <v>42675</v>
      </c>
      <c r="B12">
        <f t="shared" si="0"/>
        <v>2016</v>
      </c>
      <c r="C12">
        <f t="shared" si="1"/>
        <v>11</v>
      </c>
      <c r="D12" s="31">
        <f>'Monthly Data'!AB12</f>
        <v>-1132788.7010897435</v>
      </c>
      <c r="E12" s="33">
        <f>'Monthly Data'!AQ12</f>
        <v>532.77083333333348</v>
      </c>
      <c r="F12" s="33">
        <f>'Monthly Data'!BB12</f>
        <v>0</v>
      </c>
      <c r="H12" s="18">
        <f>'GS&gt;50 Predicted Monthly (no LC)'!$P$9</f>
        <v>4121039.41701539</v>
      </c>
      <c r="I12" s="18">
        <f>E12*'GS&gt;50 Predicted Monthly (no LC)'!$P$10</f>
        <v>1233628.593257647</v>
      </c>
      <c r="J12" s="18">
        <f>F12*'GS&gt;50 Predicted Monthly (no LC)'!$P$11</f>
        <v>0</v>
      </c>
      <c r="K12" s="18">
        <f t="shared" si="2"/>
        <v>5354668.0102730375</v>
      </c>
      <c r="L12" s="18">
        <f t="shared" si="3"/>
        <v>6487456.711362781</v>
      </c>
      <c r="M12" s="35">
        <f t="shared" si="4"/>
        <v>5.7269786546439274</v>
      </c>
      <c r="P12" s="18"/>
      <c r="Q12" s="297"/>
      <c r="R12" s="297"/>
      <c r="S12" s="298"/>
      <c r="U12" s="278"/>
    </row>
    <row r="13" spans="1:21">
      <c r="A13" s="541">
        <f>'Monthly Data'!A13</f>
        <v>42705</v>
      </c>
      <c r="B13">
        <f t="shared" si="0"/>
        <v>2016</v>
      </c>
      <c r="C13">
        <f t="shared" si="1"/>
        <v>12</v>
      </c>
      <c r="D13" s="31">
        <f>'Monthly Data'!AB13</f>
        <v>74677622.315705135</v>
      </c>
      <c r="E13" s="33">
        <f>'Monthly Data'!AQ13</f>
        <v>812.63333333333298</v>
      </c>
      <c r="F13" s="33">
        <f>'Monthly Data'!BB13</f>
        <v>0</v>
      </c>
      <c r="H13" s="18">
        <f>'GS&gt;50 Predicted Monthly (no LC)'!$P$9</f>
        <v>4121039.41701539</v>
      </c>
      <c r="I13" s="18">
        <f>E13*'GS&gt;50 Predicted Monthly (no LC)'!$P$10</f>
        <v>1881649.0188888691</v>
      </c>
      <c r="J13" s="18">
        <f>F13*'GS&gt;50 Predicted Monthly (no LC)'!$P$11</f>
        <v>0</v>
      </c>
      <c r="K13" s="18">
        <f t="shared" si="2"/>
        <v>6002688.4359042589</v>
      </c>
      <c r="L13" s="18">
        <f t="shared" si="3"/>
        <v>-68674933.879800871</v>
      </c>
      <c r="M13" s="35">
        <f t="shared" si="4"/>
        <v>0.91961864545542893</v>
      </c>
      <c r="O13" t="s">
        <v>198</v>
      </c>
      <c r="P13" s="20"/>
      <c r="Q13" s="20"/>
      <c r="R13" s="297"/>
      <c r="S13" s="298"/>
      <c r="U13" s="278"/>
    </row>
    <row r="14" spans="1:21">
      <c r="A14" s="541">
        <f>'Monthly Data'!A14</f>
        <v>42736</v>
      </c>
      <c r="B14">
        <f t="shared" si="0"/>
        <v>2017</v>
      </c>
      <c r="C14">
        <f t="shared" si="1"/>
        <v>1</v>
      </c>
      <c r="D14" s="31">
        <f>'Monthly Data'!AB14</f>
        <v>-53384.029647435898</v>
      </c>
      <c r="E14" s="33">
        <f>'Monthly Data'!AQ14</f>
        <v>835.17083333333335</v>
      </c>
      <c r="F14" s="33">
        <f>'Monthly Data'!BB14</f>
        <v>0</v>
      </c>
      <c r="H14" s="18">
        <f>'GS&gt;50 Predicted Monthly (no LC)'!$P$9</f>
        <v>4121039.41701539</v>
      </c>
      <c r="I14" s="18">
        <f>E14*'GS&gt;50 Predicted Monthly (no LC)'!$P$10</f>
        <v>1933834.5040562777</v>
      </c>
      <c r="J14" s="18">
        <f>F14*'GS&gt;50 Predicted Monthly (no LC)'!$P$11</f>
        <v>0</v>
      </c>
      <c r="K14" s="18">
        <f t="shared" si="2"/>
        <v>6054873.9210716672</v>
      </c>
      <c r="L14" s="18">
        <f t="shared" si="3"/>
        <v>6108257.9507191032</v>
      </c>
      <c r="M14" s="35">
        <f t="shared" si="4"/>
        <v>114.42107295121529</v>
      </c>
      <c r="O14" t="s">
        <v>199</v>
      </c>
      <c r="P14" s="537">
        <v>6932953239333.3799</v>
      </c>
      <c r="Q14" t="s">
        <v>200</v>
      </c>
      <c r="R14" s="18">
        <v>316981.99188399402</v>
      </c>
      <c r="S14" s="298"/>
    </row>
    <row r="15" spans="1:21">
      <c r="A15" s="541">
        <f>'Monthly Data'!A15</f>
        <v>42767</v>
      </c>
      <c r="B15">
        <f t="shared" si="0"/>
        <v>2017</v>
      </c>
      <c r="C15">
        <f t="shared" si="1"/>
        <v>2</v>
      </c>
      <c r="D15" s="31">
        <f>'Monthly Data'!AB15</f>
        <v>40604.805288461539</v>
      </c>
      <c r="E15" s="33">
        <f>'Monthly Data'!AQ15</f>
        <v>738.8125</v>
      </c>
      <c r="F15" s="33">
        <f>'Monthly Data'!BB15</f>
        <v>0</v>
      </c>
      <c r="H15" s="18">
        <f>'GS&gt;50 Predicted Monthly (no LC)'!$P$9</f>
        <v>4121039.41701539</v>
      </c>
      <c r="I15" s="18">
        <f>E15*'GS&gt;50 Predicted Monthly (no LC)'!$P$10</f>
        <v>1710717.1940208783</v>
      </c>
      <c r="J15" s="18">
        <f>F15*'GS&gt;50 Predicted Monthly (no LC)'!$P$11</f>
        <v>0</v>
      </c>
      <c r="K15" s="18">
        <f t="shared" si="2"/>
        <v>5831756.6110362681</v>
      </c>
      <c r="L15" s="18">
        <f t="shared" si="3"/>
        <v>5791151.8057478061</v>
      </c>
      <c r="M15" s="35">
        <f t="shared" si="4"/>
        <v>142.62232670755961</v>
      </c>
      <c r="O15" t="s">
        <v>201</v>
      </c>
      <c r="P15" s="538">
        <v>0.59032436038741998</v>
      </c>
      <c r="Q15" t="s">
        <v>202</v>
      </c>
      <c r="R15" s="538">
        <v>0.578449704166766</v>
      </c>
      <c r="S15" s="298"/>
    </row>
    <row r="16" spans="1:21">
      <c r="A16" s="541">
        <f>'Monthly Data'!A16</f>
        <v>42795</v>
      </c>
      <c r="B16">
        <f t="shared" si="0"/>
        <v>2017</v>
      </c>
      <c r="C16">
        <f t="shared" si="1"/>
        <v>3</v>
      </c>
      <c r="D16" s="31">
        <f>'Monthly Data'!AB16</f>
        <v>63091.640224358969</v>
      </c>
      <c r="E16" s="33">
        <f>'Monthly Data'!AQ16</f>
        <v>818.92500000000018</v>
      </c>
      <c r="F16" s="33">
        <f>'Monthly Data'!BB16</f>
        <v>0</v>
      </c>
      <c r="H16" s="18">
        <f>'GS&gt;50 Predicted Monthly (no LC)'!$P$9</f>
        <v>4121039.41701539</v>
      </c>
      <c r="I16" s="18">
        <f>E16*'GS&gt;50 Predicted Monthly (no LC)'!$P$10</f>
        <v>1896217.346232702</v>
      </c>
      <c r="J16" s="18">
        <f>F16*'GS&gt;50 Predicted Monthly (no LC)'!$P$11</f>
        <v>0</v>
      </c>
      <c r="K16" s="18">
        <f t="shared" si="2"/>
        <v>6017256.7632480916</v>
      </c>
      <c r="L16" s="18">
        <f t="shared" si="3"/>
        <v>5954165.1230237326</v>
      </c>
      <c r="M16" s="35">
        <f t="shared" si="4"/>
        <v>94.373281497362257</v>
      </c>
      <c r="O16" t="s">
        <v>218</v>
      </c>
      <c r="P16" s="13">
        <v>67.334465166491</v>
      </c>
      <c r="Q16" t="s">
        <v>204</v>
      </c>
      <c r="R16" s="32">
        <v>6.0588281499583095E-17</v>
      </c>
    </row>
    <row r="17" spans="1:18">
      <c r="A17" s="541">
        <f>'Monthly Data'!A17</f>
        <v>42826</v>
      </c>
      <c r="B17">
        <f t="shared" si="0"/>
        <v>2017</v>
      </c>
      <c r="C17">
        <f t="shared" si="1"/>
        <v>4</v>
      </c>
      <c r="D17" s="31">
        <f>'Monthly Data'!AB17</f>
        <v>65190.475160256407</v>
      </c>
      <c r="E17" s="33">
        <f>'Monthly Data'!AQ17</f>
        <v>427.46041666666662</v>
      </c>
      <c r="F17" s="33">
        <f>'Monthly Data'!BB17</f>
        <v>13.695833333333335</v>
      </c>
      <c r="H17" s="18">
        <f>'GS&gt;50 Predicted Monthly (no LC)'!$P$9</f>
        <v>4121039.41701539</v>
      </c>
      <c r="I17" s="18">
        <f>E17*'GS&gt;50 Predicted Monthly (no LC)'!$P$10</f>
        <v>989782.77242872235</v>
      </c>
      <c r="J17" s="18">
        <f>F17*'GS&gt;50 Predicted Monthly (no LC)'!$P$11</f>
        <v>73987.930703200283</v>
      </c>
      <c r="K17" s="18">
        <f t="shared" si="2"/>
        <v>5184810.120147313</v>
      </c>
      <c r="L17" s="18">
        <f t="shared" si="3"/>
        <v>5119619.644987057</v>
      </c>
      <c r="M17" s="35">
        <f t="shared" si="4"/>
        <v>78.533246343144469</v>
      </c>
      <c r="O17" t="s">
        <v>205</v>
      </c>
      <c r="P17" s="538">
        <v>7.9502458545245902E-2</v>
      </c>
      <c r="Q17" t="s">
        <v>206</v>
      </c>
      <c r="R17" s="538">
        <v>1.8209080158172699</v>
      </c>
    </row>
    <row r="18" spans="1:18">
      <c r="A18" s="541">
        <f>'Monthly Data'!A18</f>
        <v>42856</v>
      </c>
      <c r="B18">
        <f t="shared" si="0"/>
        <v>2017</v>
      </c>
      <c r="C18">
        <f t="shared" si="1"/>
        <v>5</v>
      </c>
      <c r="D18" s="31">
        <f>'Monthly Data'!AB18</f>
        <v>68957.310096153844</v>
      </c>
      <c r="E18" s="33">
        <f>'Monthly Data'!AQ18</f>
        <v>278.46250000000009</v>
      </c>
      <c r="F18" s="33">
        <f>'Monthly Data'!BB18</f>
        <v>86.966666666666654</v>
      </c>
      <c r="H18" s="18">
        <f>'GS&gt;50 Predicted Monthly (no LC)'!$P$9</f>
        <v>4121039.41701539</v>
      </c>
      <c r="I18" s="18">
        <f>E18*'GS&gt;50 Predicted Monthly (no LC)'!$P$10</f>
        <v>644778.73159974825</v>
      </c>
      <c r="J18" s="18">
        <f>F18*'GS&gt;50 Predicted Monthly (no LC)'!$P$11</f>
        <v>469813.23079926864</v>
      </c>
      <c r="K18" s="18">
        <f t="shared" si="2"/>
        <v>5235631.3794144075</v>
      </c>
      <c r="L18" s="18">
        <f t="shared" si="3"/>
        <v>5166674.0693182535</v>
      </c>
      <c r="M18" s="35">
        <f t="shared" si="4"/>
        <v>74.925690432440888</v>
      </c>
    </row>
    <row r="19" spans="1:18">
      <c r="A19" s="541">
        <f>'Monthly Data'!A19</f>
        <v>42887</v>
      </c>
      <c r="B19">
        <f t="shared" si="0"/>
        <v>2017</v>
      </c>
      <c r="C19">
        <f t="shared" si="1"/>
        <v>6</v>
      </c>
      <c r="D19" s="31">
        <f>'Monthly Data'!AB19</f>
        <v>74560.145032051281</v>
      </c>
      <c r="E19" s="33">
        <f>'Monthly Data'!AQ19</f>
        <v>107.97500000000002</v>
      </c>
      <c r="F19" s="33">
        <f>'Monthly Data'!BB19</f>
        <v>207.56666666666672</v>
      </c>
      <c r="H19" s="18">
        <f>'GS&gt;50 Predicted Monthly (no LC)'!$P$9</f>
        <v>4121039.41701539</v>
      </c>
      <c r="I19" s="18">
        <f>E19*'GS&gt;50 Predicted Monthly (no LC)'!$P$10</f>
        <v>250015.65217752053</v>
      </c>
      <c r="J19" s="18">
        <f>F19*'GS&gt;50 Predicted Monthly (no LC)'!$P$11</f>
        <v>1121321.1913327125</v>
      </c>
      <c r="K19" s="18">
        <f t="shared" si="2"/>
        <v>5492376.2605256233</v>
      </c>
      <c r="L19" s="18">
        <f t="shared" si="3"/>
        <v>5417816.1154935723</v>
      </c>
      <c r="M19" s="35">
        <f t="shared" si="4"/>
        <v>72.663701407294838</v>
      </c>
      <c r="O19" t="s">
        <v>207</v>
      </c>
    </row>
    <row r="20" spans="1:18">
      <c r="A20" s="541">
        <f>'Monthly Data'!A20</f>
        <v>42917</v>
      </c>
      <c r="B20">
        <f t="shared" si="0"/>
        <v>2017</v>
      </c>
      <c r="C20">
        <f t="shared" si="1"/>
        <v>7</v>
      </c>
      <c r="D20" s="31">
        <f>'Monthly Data'!AB20</f>
        <v>35024.979967948719</v>
      </c>
      <c r="E20" s="33">
        <f>'Monthly Data'!AQ20</f>
        <v>38.441666666666649</v>
      </c>
      <c r="F20" s="33">
        <f>'Monthly Data'!BB20</f>
        <v>286.87500000000006</v>
      </c>
      <c r="H20" s="18">
        <f>'GS&gt;50 Predicted Monthly (no LC)'!$P$9</f>
        <v>4121039.41701539</v>
      </c>
      <c r="I20" s="18">
        <f>E20*'GS&gt;50 Predicted Monthly (no LC)'!$P$10</f>
        <v>89011.515280921623</v>
      </c>
      <c r="J20" s="18">
        <f>F20*'GS&gt;50 Predicted Monthly (no LC)'!$P$11</f>
        <v>1549762.4061196654</v>
      </c>
      <c r="K20" s="18">
        <f t="shared" si="2"/>
        <v>5759813.3384159766</v>
      </c>
      <c r="L20" s="18">
        <f t="shared" si="3"/>
        <v>5724788.3584480276</v>
      </c>
      <c r="M20" s="35">
        <f t="shared" si="4"/>
        <v>163.44872612880204</v>
      </c>
      <c r="O20" t="s">
        <v>208</v>
      </c>
      <c r="P20" s="18">
        <v>5620003.9190454604</v>
      </c>
      <c r="Q20" t="s">
        <v>209</v>
      </c>
      <c r="R20" s="18">
        <v>487659.22237058298</v>
      </c>
    </row>
    <row r="21" spans="1:18">
      <c r="A21" s="541">
        <f>'Monthly Data'!A21</f>
        <v>42948</v>
      </c>
      <c r="B21">
        <f t="shared" si="0"/>
        <v>2017</v>
      </c>
      <c r="C21">
        <f t="shared" si="1"/>
        <v>8</v>
      </c>
      <c r="D21" s="31">
        <f>'Monthly Data'!AB21</f>
        <v>69967.814903846156</v>
      </c>
      <c r="E21" s="33">
        <f>'Monthly Data'!AQ21</f>
        <v>86.879166666666663</v>
      </c>
      <c r="F21" s="33">
        <f>'Monthly Data'!BB21</f>
        <v>226.02083333333337</v>
      </c>
      <c r="H21" s="18">
        <f>'GS&gt;50 Predicted Monthly (no LC)'!$P$9</f>
        <v>4121039.41701539</v>
      </c>
      <c r="I21" s="18">
        <f>E21*'GS&gt;50 Predicted Monthly (no LC)'!$P$10</f>
        <v>201168.3400306197</v>
      </c>
      <c r="J21" s="18">
        <f>F21*'GS&gt;50 Predicted Monthly (no LC)'!$P$11</f>
        <v>1221014.6945528141</v>
      </c>
      <c r="K21" s="18">
        <f t="shared" si="2"/>
        <v>5543222.4515988231</v>
      </c>
      <c r="L21" s="18">
        <f t="shared" si="3"/>
        <v>5473254.6366949771</v>
      </c>
      <c r="M21" s="35">
        <f t="shared" si="4"/>
        <v>78.225318944383815</v>
      </c>
      <c r="P21" s="298"/>
      <c r="R21" s="298"/>
    </row>
    <row r="22" spans="1:18">
      <c r="A22" s="541">
        <f>'Monthly Data'!A22</f>
        <v>42979</v>
      </c>
      <c r="B22">
        <f t="shared" si="0"/>
        <v>2017</v>
      </c>
      <c r="C22">
        <f t="shared" si="1"/>
        <v>9</v>
      </c>
      <c r="D22" s="31">
        <f>'Monthly Data'!AB22</f>
        <v>-50759.350160256407</v>
      </c>
      <c r="E22" s="33">
        <f>'Monthly Data'!AQ22</f>
        <v>140.68333333333331</v>
      </c>
      <c r="F22" s="33">
        <f>'Monthly Data'!BB22</f>
        <v>174.6541666666667</v>
      </c>
      <c r="H22" s="18">
        <f>'GS&gt;50 Predicted Monthly (no LC)'!$P$9</f>
        <v>4121039.41701539</v>
      </c>
      <c r="I22" s="18">
        <f>E22*'GS&gt;50 Predicted Monthly (no LC)'!$P$10</f>
        <v>325751.65856763913</v>
      </c>
      <c r="J22" s="18">
        <f>F22*'GS&gt;50 Predicted Monthly (no LC)'!$P$11</f>
        <v>943520.56321449543</v>
      </c>
      <c r="K22" s="18">
        <f t="shared" si="2"/>
        <v>5390311.6387975253</v>
      </c>
      <c r="L22" s="18">
        <f t="shared" si="3"/>
        <v>5441070.9889577813</v>
      </c>
      <c r="M22" s="35">
        <f t="shared" si="4"/>
        <v>107.19347217368505</v>
      </c>
    </row>
    <row r="23" spans="1:18">
      <c r="A23" s="541">
        <f>'Monthly Data'!A23</f>
        <v>43009</v>
      </c>
      <c r="B23">
        <f t="shared" si="0"/>
        <v>2017</v>
      </c>
      <c r="C23">
        <f t="shared" si="1"/>
        <v>10</v>
      </c>
      <c r="D23" s="31">
        <f>'Monthly Data'!AB23</f>
        <v>66803.484775641031</v>
      </c>
      <c r="E23" s="33">
        <f>'Monthly Data'!AQ23</f>
        <v>297.41041666666666</v>
      </c>
      <c r="F23" s="33">
        <f>'Monthly Data'!BB23</f>
        <v>62.229166666666664</v>
      </c>
      <c r="H23" s="18">
        <f>'GS&gt;50 Predicted Monthly (no LC)'!$P$9</f>
        <v>4121039.41701539</v>
      </c>
      <c r="I23" s="18">
        <f>E23*'GS&gt;50 Predicted Monthly (no LC)'!$P$10</f>
        <v>688652.55186204927</v>
      </c>
      <c r="J23" s="18">
        <f>F23*'GS&gt;50 Predicted Monthly (no LC)'!$P$11</f>
        <v>336175.76667243568</v>
      </c>
      <c r="K23" s="18">
        <f t="shared" si="2"/>
        <v>5145867.7355498746</v>
      </c>
      <c r="L23" s="18">
        <f t="shared" si="3"/>
        <v>5079064.2507742336</v>
      </c>
      <c r="M23" s="35">
        <f t="shared" si="4"/>
        <v>76.02992969352168</v>
      </c>
    </row>
    <row r="24" spans="1:18">
      <c r="A24" s="541">
        <f>'Monthly Data'!A24</f>
        <v>43040</v>
      </c>
      <c r="B24">
        <f t="shared" si="0"/>
        <v>2017</v>
      </c>
      <c r="C24">
        <f t="shared" si="1"/>
        <v>11</v>
      </c>
      <c r="D24" s="31">
        <f>'Monthly Data'!AB24</f>
        <v>87058.319711538468</v>
      </c>
      <c r="E24" s="33">
        <f>'Monthly Data'!AQ24</f>
        <v>625.73333333333346</v>
      </c>
      <c r="F24" s="33">
        <f>'Monthly Data'!BB24</f>
        <v>0</v>
      </c>
      <c r="H24" s="18">
        <f>'GS&gt;50 Predicted Monthly (no LC)'!$P$9</f>
        <v>4121039.41701539</v>
      </c>
      <c r="I24" s="18">
        <f>E24*'GS&gt;50 Predicted Monthly (no LC)'!$P$10</f>
        <v>1448882.8656869384</v>
      </c>
      <c r="J24" s="18">
        <f>F24*'GS&gt;50 Predicted Monthly (no LC)'!$P$11</f>
        <v>0</v>
      </c>
      <c r="K24" s="18">
        <f t="shared" si="2"/>
        <v>5569922.2827023286</v>
      </c>
      <c r="L24" s="18">
        <f t="shared" si="3"/>
        <v>5482863.9629907906</v>
      </c>
      <c r="M24" s="35">
        <f t="shared" si="4"/>
        <v>62.979207284931171</v>
      </c>
      <c r="P24" s="18"/>
      <c r="R24" s="18"/>
    </row>
    <row r="25" spans="1:18">
      <c r="A25" s="541">
        <f>'Monthly Data'!A25</f>
        <v>43070</v>
      </c>
      <c r="B25">
        <f t="shared" si="0"/>
        <v>2017</v>
      </c>
      <c r="C25">
        <f t="shared" si="1"/>
        <v>12</v>
      </c>
      <c r="D25" s="31">
        <f>'Monthly Data'!AB25</f>
        <v>70759590.15464744</v>
      </c>
      <c r="E25" s="33">
        <f>'Monthly Data'!AQ25</f>
        <v>954.57499999999993</v>
      </c>
      <c r="F25" s="33">
        <f>'Monthly Data'!BB25</f>
        <v>0</v>
      </c>
      <c r="H25" s="18">
        <f>'GS&gt;50 Predicted Monthly (no LC)'!$P$9</f>
        <v>4121039.41701539</v>
      </c>
      <c r="I25" s="18">
        <f>E25*'GS&gt;50 Predicted Monthly (no LC)'!$P$10</f>
        <v>2210314.3429252752</v>
      </c>
      <c r="J25" s="18">
        <f>F25*'GS&gt;50 Predicted Monthly (no LC)'!$P$11</f>
        <v>0</v>
      </c>
      <c r="K25" s="18">
        <f t="shared" si="2"/>
        <v>6331353.7599406652</v>
      </c>
      <c r="L25" s="18">
        <f t="shared" si="3"/>
        <v>-64428236.394706771</v>
      </c>
      <c r="M25" s="35">
        <f t="shared" si="4"/>
        <v>0.91052302951298492</v>
      </c>
    </row>
    <row r="26" spans="1:18">
      <c r="A26" s="541">
        <f>'Monthly Data'!A26</f>
        <v>43101</v>
      </c>
      <c r="B26">
        <f t="shared" si="0"/>
        <v>2018</v>
      </c>
      <c r="C26">
        <f t="shared" si="1"/>
        <v>1</v>
      </c>
      <c r="D26" s="31">
        <f>'Monthly Data'!AB26</f>
        <v>-190915.90847107235</v>
      </c>
      <c r="E26" s="33">
        <f>'Monthly Data'!AQ26</f>
        <v>963.85000000000014</v>
      </c>
      <c r="F26" s="33">
        <f>'Monthly Data'!BB26</f>
        <v>0</v>
      </c>
      <c r="H26" s="18">
        <f>'GS&gt;50 Predicted Monthly (no LC)'!$P$9</f>
        <v>4121039.41701539</v>
      </c>
      <c r="I26" s="18">
        <f>E26*'GS&gt;50 Predicted Monthly (no LC)'!$P$10</f>
        <v>2231790.5658837985</v>
      </c>
      <c r="J26" s="18">
        <f>F26*'GS&gt;50 Predicted Monthly (no LC)'!$P$11</f>
        <v>0</v>
      </c>
      <c r="K26" s="18">
        <f t="shared" si="2"/>
        <v>6352829.982899189</v>
      </c>
      <c r="L26" s="18">
        <f t="shared" si="3"/>
        <v>6543745.8913702611</v>
      </c>
      <c r="M26" s="35">
        <f t="shared" si="4"/>
        <v>34.275540177741512</v>
      </c>
    </row>
    <row r="27" spans="1:18">
      <c r="A27" s="541">
        <f>'Monthly Data'!A27</f>
        <v>43132</v>
      </c>
      <c r="B27">
        <f t="shared" si="0"/>
        <v>2018</v>
      </c>
      <c r="C27">
        <f t="shared" si="1"/>
        <v>2</v>
      </c>
      <c r="D27" s="31">
        <f>'Monthly Data'!AB27</f>
        <v>96775.762066117997</v>
      </c>
      <c r="E27" s="33">
        <f>'Monthly Data'!AQ27</f>
        <v>754.27916666666658</v>
      </c>
      <c r="F27" s="33">
        <f>'Monthly Data'!BB27</f>
        <v>0</v>
      </c>
      <c r="H27" s="18">
        <f>'GS&gt;50 Predicted Monthly (no LC)'!$P$9</f>
        <v>4121039.41701539</v>
      </c>
      <c r="I27" s="18">
        <f>E27*'GS&gt;50 Predicted Monthly (no LC)'!$P$10</f>
        <v>1746530.194749556</v>
      </c>
      <c r="J27" s="18">
        <f>F27*'GS&gt;50 Predicted Monthly (no LC)'!$P$11</f>
        <v>0</v>
      </c>
      <c r="K27" s="18">
        <f t="shared" si="2"/>
        <v>5867569.611764946</v>
      </c>
      <c r="L27" s="18">
        <f t="shared" si="3"/>
        <v>5770793.8496988276</v>
      </c>
      <c r="M27" s="35">
        <f t="shared" si="4"/>
        <v>59.630569953623031</v>
      </c>
    </row>
    <row r="28" spans="1:18">
      <c r="A28" s="541">
        <f>'Monthly Data'!A28</f>
        <v>43160</v>
      </c>
      <c r="B28">
        <f t="shared" si="0"/>
        <v>2018</v>
      </c>
      <c r="C28">
        <f t="shared" si="1"/>
        <v>3</v>
      </c>
      <c r="D28" s="31">
        <f>'Monthly Data'!AB28</f>
        <v>103067.43260330835</v>
      </c>
      <c r="E28" s="33">
        <f>'Monthly Data'!AQ28</f>
        <v>711.45</v>
      </c>
      <c r="F28" s="33">
        <f>'Monthly Data'!BB28</f>
        <v>0</v>
      </c>
      <c r="H28" s="18">
        <f>'GS&gt;50 Predicted Monthly (no LC)'!$P$9</f>
        <v>4121039.41701539</v>
      </c>
      <c r="I28" s="18">
        <f>E28*'GS&gt;50 Predicted Monthly (no LC)'!$P$10</f>
        <v>1647359.4419235652</v>
      </c>
      <c r="J28" s="18">
        <f>F28*'GS&gt;50 Predicted Monthly (no LC)'!$P$11</f>
        <v>0</v>
      </c>
      <c r="K28" s="18">
        <f t="shared" si="2"/>
        <v>5768398.8589389548</v>
      </c>
      <c r="L28" s="18">
        <f t="shared" si="3"/>
        <v>5665331.4263356468</v>
      </c>
      <c r="M28" s="35">
        <f t="shared" si="4"/>
        <v>54.967231483689794</v>
      </c>
    </row>
    <row r="29" spans="1:18">
      <c r="A29" s="541">
        <f>'Monthly Data'!A29</f>
        <v>43191</v>
      </c>
      <c r="B29">
        <f t="shared" si="0"/>
        <v>2018</v>
      </c>
      <c r="C29">
        <f t="shared" si="1"/>
        <v>4</v>
      </c>
      <c r="D29" s="31">
        <f>'Monthly Data'!AB29</f>
        <v>107571.1031404987</v>
      </c>
      <c r="E29" s="33">
        <f>'Monthly Data'!AQ29</f>
        <v>561.15416666666681</v>
      </c>
      <c r="F29" s="33">
        <f>'Monthly Data'!BB29</f>
        <v>0</v>
      </c>
      <c r="H29" s="18">
        <f>'GS&gt;50 Predicted Monthly (no LC)'!$P$9</f>
        <v>4121039.41701539</v>
      </c>
      <c r="I29" s="18">
        <f>E29*'GS&gt;50 Predicted Monthly (no LC)'!$P$10</f>
        <v>1299350.0805862441</v>
      </c>
      <c r="J29" s="18">
        <f>F29*'GS&gt;50 Predicted Monthly (no LC)'!$P$11</f>
        <v>0</v>
      </c>
      <c r="K29" s="18">
        <f t="shared" si="2"/>
        <v>5420389.4976016339</v>
      </c>
      <c r="L29" s="18">
        <f t="shared" si="3"/>
        <v>5312818.3944611354</v>
      </c>
      <c r="M29" s="35">
        <f t="shared" si="4"/>
        <v>49.388899428892714</v>
      </c>
    </row>
    <row r="30" spans="1:18">
      <c r="A30" s="541">
        <f>'Monthly Data'!A30</f>
        <v>43221</v>
      </c>
      <c r="B30">
        <f t="shared" si="0"/>
        <v>2018</v>
      </c>
      <c r="C30">
        <f t="shared" si="1"/>
        <v>5</v>
      </c>
      <c r="D30" s="31">
        <f>'Monthly Data'!AB30</f>
        <v>111540.77367768905</v>
      </c>
      <c r="E30" s="33">
        <f>'Monthly Data'!AQ30</f>
        <v>189.08749999999998</v>
      </c>
      <c r="F30" s="33">
        <f>'Monthly Data'!BB30</f>
        <v>138.58750000000001</v>
      </c>
      <c r="H30" s="18">
        <f>'GS&gt;50 Predicted Monthly (no LC)'!$P$9</f>
        <v>4121039.41701539</v>
      </c>
      <c r="I30" s="18">
        <f>E30*'GS&gt;50 Predicted Monthly (no LC)'!$P$10</f>
        <v>437831.30012611154</v>
      </c>
      <c r="J30" s="18">
        <f>F30*'GS&gt;50 Predicted Monthly (no LC)'!$P$11</f>
        <v>748680.42686922557</v>
      </c>
      <c r="K30" s="18">
        <f t="shared" si="2"/>
        <v>5307551.1440107273</v>
      </c>
      <c r="L30" s="18">
        <f t="shared" si="3"/>
        <v>5196010.3703330383</v>
      </c>
      <c r="M30" s="35">
        <f t="shared" si="4"/>
        <v>46.583954898390402</v>
      </c>
    </row>
    <row r="31" spans="1:18">
      <c r="A31" s="541">
        <f>'Monthly Data'!A31</f>
        <v>43252</v>
      </c>
      <c r="B31">
        <f t="shared" si="0"/>
        <v>2018</v>
      </c>
      <c r="C31">
        <f t="shared" si="1"/>
        <v>6</v>
      </c>
      <c r="D31" s="31">
        <f>'Monthly Data'!AB31</f>
        <v>113164.4442148794</v>
      </c>
      <c r="E31" s="33">
        <f>'Monthly Data'!AQ31</f>
        <v>109.22083333333332</v>
      </c>
      <c r="F31" s="33">
        <f>'Monthly Data'!BB31</f>
        <v>204.52916666666664</v>
      </c>
      <c r="H31" s="18">
        <f>'GS&gt;50 Predicted Monthly (no LC)'!$P$9</f>
        <v>4121039.41701539</v>
      </c>
      <c r="I31" s="18">
        <f>E31*'GS&gt;50 Predicted Monthly (no LC)'!$P$10</f>
        <v>252900.37394957719</v>
      </c>
      <c r="J31" s="18">
        <f>F31*'GS&gt;50 Predicted Monthly (no LC)'!$P$11</f>
        <v>1104911.9423267392</v>
      </c>
      <c r="K31" s="18">
        <f t="shared" si="2"/>
        <v>5478851.733291707</v>
      </c>
      <c r="L31" s="18">
        <f t="shared" si="3"/>
        <v>5365687.2890768275</v>
      </c>
      <c r="M31" s="35">
        <f t="shared" si="4"/>
        <v>47.414957288954909</v>
      </c>
    </row>
    <row r="32" spans="1:18">
      <c r="A32" s="541">
        <f>'Monthly Data'!A32</f>
        <v>43282</v>
      </c>
      <c r="B32">
        <f t="shared" si="0"/>
        <v>2018</v>
      </c>
      <c r="C32">
        <f t="shared" si="1"/>
        <v>7</v>
      </c>
      <c r="D32" s="31">
        <f>'Monthly Data'!AB32</f>
        <v>12410.114752069756</v>
      </c>
      <c r="E32" s="33">
        <f>'Monthly Data'!AQ32</f>
        <v>15.241666666666678</v>
      </c>
      <c r="F32" s="33">
        <f>'Monthly Data'!BB32</f>
        <v>356.87916666666678</v>
      </c>
      <c r="H32" s="18">
        <f>'GS&gt;50 Predicted Monthly (no LC)'!$P$9</f>
        <v>4121039.41701539</v>
      </c>
      <c r="I32" s="18">
        <f>E32*'GS&gt;50 Predicted Monthly (no LC)'!$P$10</f>
        <v>35292.014187905013</v>
      </c>
      <c r="J32" s="18">
        <f>F32*'GS&gt;50 Predicted Monthly (no LC)'!$P$11</f>
        <v>1927940.4480254971</v>
      </c>
      <c r="K32" s="18">
        <f t="shared" si="2"/>
        <v>6084271.8792287922</v>
      </c>
      <c r="L32" s="18">
        <f t="shared" si="3"/>
        <v>6071861.7644767221</v>
      </c>
      <c r="M32" s="35">
        <f t="shared" si="4"/>
        <v>489.26717325188781</v>
      </c>
    </row>
    <row r="33" spans="1:13">
      <c r="A33" s="541">
        <f>'Monthly Data'!A33</f>
        <v>43313</v>
      </c>
      <c r="B33">
        <f t="shared" si="0"/>
        <v>2018</v>
      </c>
      <c r="C33">
        <f t="shared" si="1"/>
        <v>8</v>
      </c>
      <c r="D33" s="31">
        <f>'Monthly Data'!AB33</f>
        <v>97775.785289260108</v>
      </c>
      <c r="E33" s="33">
        <f>'Monthly Data'!AQ33</f>
        <v>25.450000000000003</v>
      </c>
      <c r="F33" s="33">
        <f>'Monthly Data'!BB33</f>
        <v>319.05000000000013</v>
      </c>
      <c r="H33" s="18">
        <f>'GS&gt;50 Predicted Monthly (no LC)'!$P$9</f>
        <v>4121039.41701539</v>
      </c>
      <c r="I33" s="18">
        <f>E33*'GS&gt;50 Predicted Monthly (no LC)'!$P$10</f>
        <v>58929.366500744589</v>
      </c>
      <c r="J33" s="18">
        <f>F33*'GS&gt;50 Predicted Monthly (no LC)'!$P$11</f>
        <v>1723578.8955903419</v>
      </c>
      <c r="K33" s="18">
        <f t="shared" si="2"/>
        <v>5903547.6791064767</v>
      </c>
      <c r="L33" s="18">
        <f t="shared" si="3"/>
        <v>5805771.8938172162</v>
      </c>
      <c r="M33" s="35">
        <f t="shared" si="4"/>
        <v>59.378422547478472</v>
      </c>
    </row>
    <row r="34" spans="1:13">
      <c r="A34" s="541">
        <f>'Monthly Data'!A34</f>
        <v>43344</v>
      </c>
      <c r="B34">
        <f t="shared" si="0"/>
        <v>2018</v>
      </c>
      <c r="C34">
        <f t="shared" si="1"/>
        <v>9</v>
      </c>
      <c r="D34" s="31">
        <f>'Monthly Data'!AB34</f>
        <v>122343.45582645046</v>
      </c>
      <c r="E34" s="33">
        <f>'Monthly Data'!AQ34</f>
        <v>165.60416666666669</v>
      </c>
      <c r="F34" s="33">
        <f>'Monthly Data'!BB34</f>
        <v>161.10416666666669</v>
      </c>
      <c r="H34" s="18">
        <f>'GS&gt;50 Predicted Monthly (no LC)'!$P$9</f>
        <v>4121039.41701539</v>
      </c>
      <c r="I34" s="18">
        <f>E34*'GS&gt;50 Predicted Monthly (no LC)'!$P$10</f>
        <v>383455.74190767738</v>
      </c>
      <c r="J34" s="18">
        <f>F34*'GS&gt;50 Predicted Monthly (no LC)'!$P$11</f>
        <v>870320.45653764496</v>
      </c>
      <c r="K34" s="18">
        <f t="shared" ref="K34:K65" si="5">SUM(H34:J34)</f>
        <v>5374815.6154607125</v>
      </c>
      <c r="L34" s="18">
        <f t="shared" ref="L34:L65" si="6">K34-D34</f>
        <v>5252472.1596342623</v>
      </c>
      <c r="M34" s="35">
        <f t="shared" ref="M34:M65" si="7">ABS(L34/D34)</f>
        <v>42.932187293165263</v>
      </c>
    </row>
    <row r="35" spans="1:13">
      <c r="A35" s="541">
        <f>'Monthly Data'!A35</f>
        <v>43374</v>
      </c>
      <c r="B35">
        <f t="shared" si="0"/>
        <v>2018</v>
      </c>
      <c r="C35">
        <f t="shared" si="1"/>
        <v>10</v>
      </c>
      <c r="D35" s="31">
        <f>'Monthly Data'!AB35</f>
        <v>125362.72636364082</v>
      </c>
      <c r="E35" s="33">
        <f>'Monthly Data'!AQ35</f>
        <v>439.75416666666661</v>
      </c>
      <c r="F35" s="33">
        <f>'Monthly Data'!BB35</f>
        <v>22.083333333333336</v>
      </c>
      <c r="H35" s="18">
        <f>'GS&gt;50 Predicted Monthly (no LC)'!$P$9</f>
        <v>4121039.41701539</v>
      </c>
      <c r="I35" s="18">
        <f>E35*'GS&gt;50 Predicted Monthly (no LC)'!$P$10</f>
        <v>1018248.8981426135</v>
      </c>
      <c r="J35" s="18">
        <f>F35*'GS&gt;50 Predicted Monthly (no LC)'!$P$11</f>
        <v>119299.06684726545</v>
      </c>
      <c r="K35" s="18">
        <f t="shared" si="5"/>
        <v>5258587.3820052696</v>
      </c>
      <c r="L35" s="18">
        <f t="shared" si="6"/>
        <v>5133224.6556416284</v>
      </c>
      <c r="M35" s="35">
        <f t="shared" si="7"/>
        <v>40.946976860982076</v>
      </c>
    </row>
    <row r="36" spans="1:13">
      <c r="A36" s="541">
        <f>'Monthly Data'!A36</f>
        <v>43405</v>
      </c>
      <c r="B36">
        <f t="shared" si="0"/>
        <v>2018</v>
      </c>
      <c r="C36">
        <f t="shared" si="1"/>
        <v>11</v>
      </c>
      <c r="D36" s="31">
        <f>'Monthly Data'!AB36</f>
        <v>-37267.203099168837</v>
      </c>
      <c r="E36" s="33">
        <f>'Monthly Data'!AQ36</f>
        <v>681.23333333333335</v>
      </c>
      <c r="F36" s="33">
        <f>'Monthly Data'!BB36</f>
        <v>0</v>
      </c>
      <c r="H36" s="18">
        <f>'GS&gt;50 Predicted Monthly (no LC)'!$P$9</f>
        <v>4121039.41701539</v>
      </c>
      <c r="I36" s="18">
        <f>E36*'GS&gt;50 Predicted Monthly (no LC)'!$P$10</f>
        <v>1577392.8790775598</v>
      </c>
      <c r="J36" s="18">
        <f>F36*'GS&gt;50 Predicted Monthly (no LC)'!$P$11</f>
        <v>0</v>
      </c>
      <c r="K36" s="18">
        <f t="shared" si="5"/>
        <v>5698432.2960929498</v>
      </c>
      <c r="L36" s="18">
        <f t="shared" si="6"/>
        <v>5735699.4991921186</v>
      </c>
      <c r="M36" s="35">
        <f t="shared" si="7"/>
        <v>153.90743125877458</v>
      </c>
    </row>
    <row r="37" spans="1:13">
      <c r="A37" s="541">
        <f>'Monthly Data'!A37</f>
        <v>43435</v>
      </c>
      <c r="B37">
        <f t="shared" si="0"/>
        <v>2018</v>
      </c>
      <c r="C37">
        <f t="shared" si="1"/>
        <v>12</v>
      </c>
      <c r="D37" s="31">
        <f>'Monthly Data'!AB37</f>
        <v>71595238.267438024</v>
      </c>
      <c r="E37" s="33">
        <f>'Monthly Data'!AQ37</f>
        <v>855.4000000000002</v>
      </c>
      <c r="F37" s="33">
        <f>'Monthly Data'!BB37</f>
        <v>0</v>
      </c>
      <c r="H37" s="18">
        <f>'GS&gt;50 Predicted Monthly (no LC)'!$P$9</f>
        <v>4121039.41701539</v>
      </c>
      <c r="I37" s="18">
        <f>E37*'GS&gt;50 Predicted Monthly (no LC)'!$P$10</f>
        <v>1980675.0532313134</v>
      </c>
      <c r="J37" s="18">
        <f>F37*'GS&gt;50 Predicted Monthly (no LC)'!$P$11</f>
        <v>0</v>
      </c>
      <c r="K37" s="18">
        <f t="shared" si="5"/>
        <v>6101714.4702467034</v>
      </c>
      <c r="L37" s="18">
        <f t="shared" si="6"/>
        <v>-65493523.797191322</v>
      </c>
      <c r="M37" s="35">
        <f t="shared" si="7"/>
        <v>0.91477485629066202</v>
      </c>
    </row>
    <row r="38" spans="1:13">
      <c r="A38" s="541">
        <f>'Monthly Data'!A38</f>
        <v>43466</v>
      </c>
      <c r="B38">
        <f t="shared" si="0"/>
        <v>2019</v>
      </c>
      <c r="C38">
        <f t="shared" si="1"/>
        <v>1</v>
      </c>
      <c r="D38" s="31">
        <f>'Monthly Data'!AB38</f>
        <v>-89125.009738699606</v>
      </c>
      <c r="E38" s="33">
        <f>'Monthly Data'!AQ38</f>
        <v>1054.7000000000003</v>
      </c>
      <c r="F38" s="33">
        <f>'Monthly Data'!BB38</f>
        <v>0</v>
      </c>
      <c r="H38" s="18">
        <f>'GS&gt;50 Predicted Monthly (no LC)'!$P$9</f>
        <v>4121039.41701539</v>
      </c>
      <c r="I38" s="18">
        <f>E38*'GS&gt;50 Predicted Monthly (no LC)'!$P$10</f>
        <v>2442153.3535691681</v>
      </c>
      <c r="J38" s="18">
        <f>F38*'GS&gt;50 Predicted Monthly (no LC)'!$P$11</f>
        <v>0</v>
      </c>
      <c r="K38" s="18">
        <f t="shared" si="5"/>
        <v>6563192.7705845581</v>
      </c>
      <c r="L38" s="18">
        <f t="shared" si="6"/>
        <v>6652317.7803232577</v>
      </c>
      <c r="M38" s="35">
        <f t="shared" si="7"/>
        <v>74.640303544726649</v>
      </c>
    </row>
    <row r="39" spans="1:13">
      <c r="A39" s="541">
        <f>'Monthly Data'!A39</f>
        <v>43497</v>
      </c>
      <c r="B39">
        <f t="shared" si="0"/>
        <v>2019</v>
      </c>
      <c r="C39">
        <f t="shared" si="1"/>
        <v>2</v>
      </c>
      <c r="D39" s="31">
        <f>'Monthly Data'!AB39</f>
        <v>56815.725031677153</v>
      </c>
      <c r="E39" s="33">
        <f>'Monthly Data'!AQ39</f>
        <v>858.87708333333342</v>
      </c>
      <c r="F39" s="33">
        <f>'Monthly Data'!BB39</f>
        <v>0</v>
      </c>
      <c r="H39" s="18">
        <f>'GS&gt;50 Predicted Monthly (no LC)'!$P$9</f>
        <v>4121039.41701539</v>
      </c>
      <c r="I39" s="18">
        <f>E39*'GS&gt;50 Predicted Monthly (no LC)'!$P$10</f>
        <v>1988726.2248660333</v>
      </c>
      <c r="J39" s="18">
        <f>F39*'GS&gt;50 Predicted Monthly (no LC)'!$P$11</f>
        <v>0</v>
      </c>
      <c r="K39" s="18">
        <f t="shared" si="5"/>
        <v>6109765.6418814231</v>
      </c>
      <c r="L39" s="18">
        <f t="shared" si="6"/>
        <v>6052949.9168497464</v>
      </c>
      <c r="M39" s="35">
        <f t="shared" si="7"/>
        <v>106.53652511650556</v>
      </c>
    </row>
    <row r="40" spans="1:13">
      <c r="A40" s="541">
        <f>'Monthly Data'!A40</f>
        <v>43525</v>
      </c>
      <c r="B40">
        <f t="shared" si="0"/>
        <v>2019</v>
      </c>
      <c r="C40">
        <f t="shared" si="1"/>
        <v>3</v>
      </c>
      <c r="D40" s="31">
        <f>'Monthly Data'!AB40</f>
        <v>126434.45980205394</v>
      </c>
      <c r="E40" s="33">
        <f>'Monthly Data'!AQ40</f>
        <v>773.79166666666663</v>
      </c>
      <c r="F40" s="33">
        <f>'Monthly Data'!BB40</f>
        <v>0</v>
      </c>
      <c r="H40" s="18">
        <f>'GS&gt;50 Predicted Monthly (no LC)'!$P$9</f>
        <v>4121039.41701539</v>
      </c>
      <c r="I40" s="18">
        <f>E40*'GS&gt;50 Predicted Monthly (no LC)'!$P$10</f>
        <v>1791711.305313241</v>
      </c>
      <c r="J40" s="18">
        <f>F40*'GS&gt;50 Predicted Monthly (no LC)'!$P$11</f>
        <v>0</v>
      </c>
      <c r="K40" s="18">
        <f t="shared" si="5"/>
        <v>5912750.7223286312</v>
      </c>
      <c r="L40" s="18">
        <f t="shared" si="6"/>
        <v>5786316.2625265773</v>
      </c>
      <c r="M40" s="35">
        <f t="shared" si="7"/>
        <v>45.765341755607182</v>
      </c>
    </row>
    <row r="41" spans="1:13">
      <c r="A41" s="541">
        <f>'Monthly Data'!A41</f>
        <v>43556</v>
      </c>
      <c r="B41">
        <f t="shared" si="0"/>
        <v>2019</v>
      </c>
      <c r="C41">
        <f t="shared" si="1"/>
        <v>4</v>
      </c>
      <c r="D41" s="31">
        <f>'Monthly Data'!AB41</f>
        <v>59522.794572430706</v>
      </c>
      <c r="E41" s="33">
        <f>'Monthly Data'!AQ41</f>
        <v>501.13749999999999</v>
      </c>
      <c r="F41" s="33">
        <f>'Monthly Data'!BB41</f>
        <v>0</v>
      </c>
      <c r="H41" s="18">
        <f>'GS&gt;50 Predicted Monthly (no LC)'!$P$9</f>
        <v>4121039.41701539</v>
      </c>
      <c r="I41" s="18">
        <f>E41*'GS&gt;50 Predicted Monthly (no LC)'!$P$10</f>
        <v>1160381.7447845535</v>
      </c>
      <c r="J41" s="18">
        <f>F41*'GS&gt;50 Predicted Monthly (no LC)'!$P$11</f>
        <v>0</v>
      </c>
      <c r="K41" s="18">
        <f t="shared" si="5"/>
        <v>5281421.1617999431</v>
      </c>
      <c r="L41" s="18">
        <f t="shared" si="6"/>
        <v>5221898.3672275124</v>
      </c>
      <c r="M41" s="35">
        <f t="shared" si="7"/>
        <v>87.729388459293702</v>
      </c>
    </row>
    <row r="42" spans="1:13">
      <c r="A42" s="541">
        <f>'Monthly Data'!A42</f>
        <v>43586</v>
      </c>
      <c r="B42">
        <f t="shared" si="0"/>
        <v>2019</v>
      </c>
      <c r="C42">
        <f t="shared" si="1"/>
        <v>5</v>
      </c>
      <c r="D42" s="31">
        <f>'Monthly Data'!AB42</f>
        <v>40738.729342807492</v>
      </c>
      <c r="E42" s="33">
        <f>'Monthly Data'!AQ42</f>
        <v>307.42916666666667</v>
      </c>
      <c r="F42" s="33">
        <f>'Monthly Data'!BB42</f>
        <v>40.208333333333343</v>
      </c>
      <c r="H42" s="18">
        <f>'GS&gt;50 Predicted Monthly (no LC)'!$P$9</f>
        <v>4121039.41701539</v>
      </c>
      <c r="I42" s="18">
        <f>E42*'GS&gt;50 Predicted Monthly (no LC)'!$P$10</f>
        <v>711850.92477479333</v>
      </c>
      <c r="J42" s="18">
        <f>F42*'GS&gt;50 Predicted Monthly (no LC)'!$P$11</f>
        <v>217214.33869360597</v>
      </c>
      <c r="K42" s="18">
        <f t="shared" si="5"/>
        <v>5050104.6804837892</v>
      </c>
      <c r="L42" s="18">
        <f t="shared" si="6"/>
        <v>5009365.9511409821</v>
      </c>
      <c r="M42" s="35">
        <f t="shared" si="7"/>
        <v>122.96323503338222</v>
      </c>
    </row>
    <row r="43" spans="1:13">
      <c r="A43" s="541">
        <f>'Monthly Data'!A43</f>
        <v>43617</v>
      </c>
      <c r="B43">
        <f t="shared" si="0"/>
        <v>2019</v>
      </c>
      <c r="C43">
        <f t="shared" si="1"/>
        <v>6</v>
      </c>
      <c r="D43" s="31">
        <f>'Monthly Data'!AB43</f>
        <v>121493.06411318426</v>
      </c>
      <c r="E43" s="33">
        <f>'Monthly Data'!AQ43</f>
        <v>114.8875</v>
      </c>
      <c r="F43" s="33">
        <f>'Monthly Data'!BB43</f>
        <v>188.9291666666667</v>
      </c>
      <c r="H43" s="18">
        <f>'GS&gt;50 Predicted Monthly (no LC)'!$P$9</f>
        <v>4121039.41701539</v>
      </c>
      <c r="I43" s="18">
        <f>E43*'GS&gt;50 Predicted Monthly (no LC)'!$P$10</f>
        <v>266021.51645792898</v>
      </c>
      <c r="J43" s="18">
        <f>F43*'GS&gt;50 Predicted Monthly (no LC)'!$P$11</f>
        <v>1020637.2807651996</v>
      </c>
      <c r="K43" s="18">
        <f t="shared" si="5"/>
        <v>5407698.2142385188</v>
      </c>
      <c r="L43" s="18">
        <f t="shared" si="6"/>
        <v>5286205.150125335</v>
      </c>
      <c r="M43" s="35">
        <f t="shared" si="7"/>
        <v>43.510345127197127</v>
      </c>
    </row>
    <row r="44" spans="1:13">
      <c r="A44" s="541">
        <f>'Monthly Data'!A44</f>
        <v>43647</v>
      </c>
      <c r="B44">
        <f t="shared" si="0"/>
        <v>2019</v>
      </c>
      <c r="C44">
        <f t="shared" si="1"/>
        <v>7</v>
      </c>
      <c r="D44" s="31">
        <f>'Monthly Data'!AB44</f>
        <v>118370.59888356103</v>
      </c>
      <c r="E44" s="33">
        <f>'Monthly Data'!AQ44</f>
        <v>14.054166666666667</v>
      </c>
      <c r="F44" s="33">
        <f>'Monthly Data'!BB44</f>
        <v>352.4375</v>
      </c>
      <c r="H44" s="18">
        <f>'GS&gt;50 Predicted Monthly (no LC)'!$P$9</f>
        <v>4121039.41701539</v>
      </c>
      <c r="I44" s="18">
        <f>E44*'GS&gt;50 Predicted Monthly (no LC)'!$P$10</f>
        <v>32542.363000493038</v>
      </c>
      <c r="J44" s="18">
        <f>F44*'GS&gt;50 Predicted Monthly (no LC)'!$P$11</f>
        <v>1903945.5791086692</v>
      </c>
      <c r="K44" s="18">
        <f t="shared" si="5"/>
        <v>6057527.3591245525</v>
      </c>
      <c r="L44" s="18">
        <f t="shared" si="6"/>
        <v>5939156.7602409916</v>
      </c>
      <c r="M44" s="35">
        <f t="shared" si="7"/>
        <v>50.174256244857141</v>
      </c>
    </row>
    <row r="45" spans="1:13">
      <c r="A45" s="541">
        <f>'Monthly Data'!A45</f>
        <v>43678</v>
      </c>
      <c r="B45">
        <f t="shared" si="0"/>
        <v>2019</v>
      </c>
      <c r="C45">
        <f t="shared" si="1"/>
        <v>8</v>
      </c>
      <c r="D45" s="31">
        <f>'Monthly Data'!AB45</f>
        <v>124986.9336539378</v>
      </c>
      <c r="E45" s="33">
        <f>'Monthly Data'!AQ45</f>
        <v>58.420833333333356</v>
      </c>
      <c r="F45" s="33">
        <f>'Monthly Data'!BB45</f>
        <v>261.80416666666673</v>
      </c>
      <c r="H45" s="18">
        <f>'GS&gt;50 Predicted Monthly (no LC)'!$P$9</f>
        <v>4121039.41701539</v>
      </c>
      <c r="I45" s="18">
        <f>E45*'GS&gt;50 Predicted Monthly (no LC)'!$P$10</f>
        <v>135273.19052176492</v>
      </c>
      <c r="J45" s="18">
        <f>F45*'GS&gt;50 Predicted Monthly (no LC)'!$P$11</f>
        <v>1414324.2013611756</v>
      </c>
      <c r="K45" s="18">
        <f t="shared" si="5"/>
        <v>5670636.8088983307</v>
      </c>
      <c r="L45" s="18">
        <f t="shared" si="6"/>
        <v>5545649.875244393</v>
      </c>
      <c r="M45" s="35">
        <f t="shared" si="7"/>
        <v>44.369837015116445</v>
      </c>
    </row>
    <row r="46" spans="1:13">
      <c r="A46" s="541">
        <f>'Monthly Data'!A46</f>
        <v>43709</v>
      </c>
      <c r="B46">
        <f t="shared" si="0"/>
        <v>2019</v>
      </c>
      <c r="C46">
        <f t="shared" si="1"/>
        <v>9</v>
      </c>
      <c r="D46" s="31">
        <f>'Monthly Data'!AB46</f>
        <v>133920.06842431458</v>
      </c>
      <c r="E46" s="33">
        <f>'Monthly Data'!AQ46</f>
        <v>189.70000000000007</v>
      </c>
      <c r="F46" s="33">
        <f>'Monthly Data'!BB46</f>
        <v>116.52916666666667</v>
      </c>
      <c r="H46" s="18">
        <f>'GS&gt;50 Predicted Monthly (no LC)'!$P$9</f>
        <v>4121039.41701539</v>
      </c>
      <c r="I46" s="18">
        <f>E46*'GS&gt;50 Predicted Monthly (no LC)'!$P$10</f>
        <v>439249.54126488214</v>
      </c>
      <c r="J46" s="18">
        <f>F46*'GS&gt;50 Predicted Monthly (no LC)'!$P$11</f>
        <v>629516.41556933441</v>
      </c>
      <c r="K46" s="18">
        <f t="shared" si="5"/>
        <v>5189805.3738496061</v>
      </c>
      <c r="L46" s="18">
        <f t="shared" si="6"/>
        <v>5055885.3054252919</v>
      </c>
      <c r="M46" s="35">
        <f t="shared" si="7"/>
        <v>37.753007184898834</v>
      </c>
    </row>
    <row r="47" spans="1:13">
      <c r="A47" s="541">
        <f>'Monthly Data'!A47</f>
        <v>43739</v>
      </c>
      <c r="B47">
        <f t="shared" si="0"/>
        <v>2019</v>
      </c>
      <c r="C47">
        <f t="shared" si="1"/>
        <v>10</v>
      </c>
      <c r="D47" s="31">
        <f>'Monthly Data'!AB47</f>
        <v>137378.00319469135</v>
      </c>
      <c r="E47" s="33">
        <f>'Monthly Data'!AQ47</f>
        <v>396.53333333333319</v>
      </c>
      <c r="F47" s="33">
        <f>'Monthly Data'!BB47</f>
        <v>6.7208333333333332</v>
      </c>
      <c r="H47" s="18">
        <f>'GS&gt;50 Predicted Monthly (no LC)'!$P$9</f>
        <v>4121039.41701539</v>
      </c>
      <c r="I47" s="18">
        <f>E47*'GS&gt;50 Predicted Monthly (no LC)'!$P$10</f>
        <v>918171.24281972134</v>
      </c>
      <c r="J47" s="18">
        <f>F47*'GS&gt;50 Predicted Monthly (no LC)'!$P$11</f>
        <v>36307.432985780972</v>
      </c>
      <c r="K47" s="18">
        <f t="shared" si="5"/>
        <v>5075518.0928208921</v>
      </c>
      <c r="L47" s="18">
        <f t="shared" si="6"/>
        <v>4938140.0896262005</v>
      </c>
      <c r="M47" s="35">
        <f t="shared" si="7"/>
        <v>35.945638856228648</v>
      </c>
    </row>
    <row r="48" spans="1:13">
      <c r="A48" s="541">
        <f>'Monthly Data'!A48</f>
        <v>43770</v>
      </c>
      <c r="B48">
        <f t="shared" si="0"/>
        <v>2019</v>
      </c>
      <c r="C48">
        <f t="shared" si="1"/>
        <v>11</v>
      </c>
      <c r="D48" s="31">
        <f>'Monthly Data'!AB48</f>
        <v>10289.937965068122</v>
      </c>
      <c r="E48" s="33">
        <f>'Monthly Data'!AQ48</f>
        <v>682.0916666666667</v>
      </c>
      <c r="F48" s="33">
        <f>'Monthly Data'!BB48</f>
        <v>0</v>
      </c>
      <c r="H48" s="18">
        <f>'GS&gt;50 Predicted Monthly (no LC)'!$P$9</f>
        <v>4121039.41701539</v>
      </c>
      <c r="I48" s="18">
        <f>E48*'GS&gt;50 Predicted Monthly (no LC)'!$P$10</f>
        <v>1579380.346251619</v>
      </c>
      <c r="J48" s="18">
        <f>F48*'GS&gt;50 Predicted Monthly (no LC)'!$P$11</f>
        <v>0</v>
      </c>
      <c r="K48" s="18">
        <f t="shared" si="5"/>
        <v>5700419.7632670086</v>
      </c>
      <c r="L48" s="18">
        <f t="shared" si="6"/>
        <v>5690129.8253019406</v>
      </c>
      <c r="M48" s="35">
        <f t="shared" si="7"/>
        <v>552.97999313684591</v>
      </c>
    </row>
    <row r="49" spans="1:13">
      <c r="A49" s="541">
        <f>'Monthly Data'!A49</f>
        <v>43800</v>
      </c>
      <c r="B49">
        <f t="shared" si="0"/>
        <v>2019</v>
      </c>
      <c r="C49">
        <f t="shared" si="1"/>
        <v>12</v>
      </c>
      <c r="D49" s="31">
        <f>'Monthly Data'!AB49</f>
        <v>73625863.48273544</v>
      </c>
      <c r="E49" s="33">
        <f>'Monthly Data'!AQ49</f>
        <v>811.69166666666661</v>
      </c>
      <c r="F49" s="33">
        <f>'Monthly Data'!BB49</f>
        <v>0</v>
      </c>
      <c r="H49" s="18">
        <f>'GS&gt;50 Predicted Monthly (no LC)'!$P$9</f>
        <v>4121039.41701539</v>
      </c>
      <c r="I49" s="18">
        <f>E49*'GS&gt;50 Predicted Monthly (no LC)'!$P$10</f>
        <v>1879468.5937367466</v>
      </c>
      <c r="J49" s="18">
        <f>F49*'GS&gt;50 Predicted Monthly (no LC)'!$P$11</f>
        <v>0</v>
      </c>
      <c r="K49" s="18">
        <f t="shared" si="5"/>
        <v>6000508.0107521368</v>
      </c>
      <c r="L49" s="18">
        <f t="shared" si="6"/>
        <v>-67625355.471983299</v>
      </c>
      <c r="M49" s="35">
        <f t="shared" si="7"/>
        <v>0.91849999814047401</v>
      </c>
    </row>
    <row r="50" spans="1:13">
      <c r="A50" s="541">
        <f>'Monthly Data'!A50</f>
        <v>43831</v>
      </c>
      <c r="B50">
        <f t="shared" si="0"/>
        <v>2020</v>
      </c>
      <c r="C50">
        <f t="shared" si="1"/>
        <v>1</v>
      </c>
      <c r="D50" s="31">
        <f>'Monthly Data'!AB50</f>
        <v>6499104.5027391547</v>
      </c>
      <c r="E50" s="33">
        <f>'Monthly Data'!AQ50</f>
        <v>851.48333333333335</v>
      </c>
      <c r="F50" s="33">
        <f>'Monthly Data'!BB50</f>
        <v>0</v>
      </c>
      <c r="H50" s="18">
        <f>'GS&gt;50 Predicted Monthly (no LC)'!$P$9</f>
        <v>4121039.41701539</v>
      </c>
      <c r="I50" s="18">
        <f>E50*'GS&gt;50 Predicted Monthly (no LC)'!$P$10</f>
        <v>1971606.0282623051</v>
      </c>
      <c r="J50" s="18">
        <f>F50*'GS&gt;50 Predicted Monthly (no LC)'!$P$11</f>
        <v>0</v>
      </c>
      <c r="K50" s="18">
        <f t="shared" si="5"/>
        <v>6092645.4452776946</v>
      </c>
      <c r="L50" s="18">
        <f t="shared" si="6"/>
        <v>-406459.05746146012</v>
      </c>
      <c r="M50" s="35">
        <f t="shared" si="7"/>
        <v>6.254077885501784E-2</v>
      </c>
    </row>
    <row r="51" spans="1:13">
      <c r="A51" s="541">
        <f>'Monthly Data'!A51</f>
        <v>43862</v>
      </c>
      <c r="B51">
        <f t="shared" si="0"/>
        <v>2020</v>
      </c>
      <c r="C51">
        <f t="shared" si="1"/>
        <v>2</v>
      </c>
      <c r="D51" s="31">
        <f>'Monthly Data'!AB51</f>
        <v>5826037.580237926</v>
      </c>
      <c r="E51" s="33">
        <f>'Monthly Data'!AQ51</f>
        <v>804.35833333333335</v>
      </c>
      <c r="F51" s="33">
        <f>'Monthly Data'!BB51</f>
        <v>0</v>
      </c>
      <c r="H51" s="18">
        <f>'GS&gt;50 Predicted Monthly (no LC)'!$P$9</f>
        <v>4121039.41701539</v>
      </c>
      <c r="I51" s="18">
        <f>E51*'GS&gt;50 Predicted Monthly (no LC)'!$P$10</f>
        <v>1862488.2916671149</v>
      </c>
      <c r="J51" s="18">
        <f>F51*'GS&gt;50 Predicted Monthly (no LC)'!$P$11</f>
        <v>0</v>
      </c>
      <c r="K51" s="18">
        <f t="shared" si="5"/>
        <v>5983527.7086825054</v>
      </c>
      <c r="L51" s="18">
        <f t="shared" si="6"/>
        <v>157490.12844457943</v>
      </c>
      <c r="M51" s="35">
        <f t="shared" si="7"/>
        <v>2.7032116816202854E-2</v>
      </c>
    </row>
    <row r="52" spans="1:13">
      <c r="A52" s="541">
        <f>'Monthly Data'!A52</f>
        <v>43891</v>
      </c>
      <c r="B52">
        <f t="shared" si="0"/>
        <v>2020</v>
      </c>
      <c r="C52">
        <f t="shared" si="1"/>
        <v>3</v>
      </c>
      <c r="D52" s="31">
        <f>'Monthly Data'!AB52</f>
        <v>5729872.4377366975</v>
      </c>
      <c r="E52" s="33">
        <f>'Monthly Data'!AQ52</f>
        <v>659.47500000000002</v>
      </c>
      <c r="F52" s="33">
        <f>'Monthly Data'!BB52</f>
        <v>0</v>
      </c>
      <c r="H52" s="18">
        <f>'GS&gt;50 Predicted Monthly (no LC)'!$P$9</f>
        <v>4121039.41701539</v>
      </c>
      <c r="I52" s="18">
        <f>E52*'GS&gt;50 Predicted Monthly (no LC)'!$P$10</f>
        <v>1527011.5510050503</v>
      </c>
      <c r="J52" s="18">
        <f>F52*'GS&gt;50 Predicted Monthly (no LC)'!$P$11</f>
        <v>0</v>
      </c>
      <c r="K52" s="18">
        <f t="shared" si="5"/>
        <v>5648050.9680204401</v>
      </c>
      <c r="L52" s="18">
        <f t="shared" si="6"/>
        <v>-81821.469716257416</v>
      </c>
      <c r="M52" s="35">
        <f t="shared" si="7"/>
        <v>1.4279806506229472E-2</v>
      </c>
    </row>
    <row r="53" spans="1:13">
      <c r="A53" s="541">
        <f>'Monthly Data'!A53</f>
        <v>43922</v>
      </c>
      <c r="B53">
        <f t="shared" si="0"/>
        <v>2020</v>
      </c>
      <c r="C53">
        <f t="shared" si="1"/>
        <v>4</v>
      </c>
      <c r="D53" s="31">
        <f>'Monthly Data'!AB53</f>
        <v>5131116.3752354672</v>
      </c>
      <c r="E53" s="33">
        <f>'Monthly Data'!AQ53</f>
        <v>492.17083333333346</v>
      </c>
      <c r="F53" s="33">
        <f>'Monthly Data'!BB53</f>
        <v>0.77083333333333393</v>
      </c>
      <c r="H53" s="18">
        <f>'GS&gt;50 Predicted Monthly (no LC)'!$P$9</f>
        <v>4121039.41701539</v>
      </c>
      <c r="I53" s="18">
        <f>E53*'GS&gt;50 Predicted Monthly (no LC)'!$P$10</f>
        <v>1139619.4663448678</v>
      </c>
      <c r="J53" s="18">
        <f>F53*'GS&gt;50 Predicted Monthly (no LC)'!$P$11</f>
        <v>4164.212710706438</v>
      </c>
      <c r="K53" s="18">
        <f t="shared" si="5"/>
        <v>5264823.0960709639</v>
      </c>
      <c r="L53" s="18">
        <f t="shared" si="6"/>
        <v>133706.72083549667</v>
      </c>
      <c r="M53" s="35">
        <f t="shared" si="7"/>
        <v>2.6058017604280288E-2</v>
      </c>
    </row>
    <row r="54" spans="1:13">
      <c r="A54" s="541">
        <f>'Monthly Data'!A54</f>
        <v>43952</v>
      </c>
      <c r="B54">
        <f t="shared" si="0"/>
        <v>2020</v>
      </c>
      <c r="C54">
        <f t="shared" si="1"/>
        <v>5</v>
      </c>
      <c r="D54" s="31">
        <f>'Monthly Data'!AB54</f>
        <v>4879869.4327342389</v>
      </c>
      <c r="E54" s="33">
        <f>'Monthly Data'!AQ54</f>
        <v>278.21250000000003</v>
      </c>
      <c r="F54" s="33">
        <f>'Monthly Data'!BB54</f>
        <v>114.84583333333335</v>
      </c>
      <c r="H54" s="18">
        <f>'GS&gt;50 Predicted Monthly (no LC)'!$P$9</f>
        <v>4121039.41701539</v>
      </c>
      <c r="I54" s="18">
        <f>E54*'GS&gt;50 Predicted Monthly (no LC)'!$P$10</f>
        <v>644199.85766555613</v>
      </c>
      <c r="J54" s="18">
        <f>F54*'GS&gt;50 Predicted Monthly (no LC)'!$P$11</f>
        <v>620422.67537946743</v>
      </c>
      <c r="K54" s="18">
        <f t="shared" si="5"/>
        <v>5385661.9500604132</v>
      </c>
      <c r="L54" s="18">
        <f t="shared" si="6"/>
        <v>505792.5173261743</v>
      </c>
      <c r="M54" s="35">
        <f t="shared" si="7"/>
        <v>0.10364878083280474</v>
      </c>
    </row>
    <row r="55" spans="1:13">
      <c r="A55" s="541">
        <f>'Monthly Data'!A55</f>
        <v>43983</v>
      </c>
      <c r="B55">
        <f t="shared" si="0"/>
        <v>2020</v>
      </c>
      <c r="C55">
        <f t="shared" si="1"/>
        <v>6</v>
      </c>
      <c r="D55" s="31">
        <f>'Monthly Data'!AB55</f>
        <v>5169273.0902330102</v>
      </c>
      <c r="E55" s="33">
        <f>'Monthly Data'!AQ55</f>
        <v>92.391666666666652</v>
      </c>
      <c r="F55" s="33">
        <f>'Monthly Data'!BB55</f>
        <v>233.53749999999999</v>
      </c>
      <c r="H55" s="18">
        <f>'GS&gt;50 Predicted Monthly (no LC)'!$P$9</f>
        <v>4121039.41701539</v>
      </c>
      <c r="I55" s="18">
        <f>E55*'GS&gt;50 Predicted Monthly (no LC)'!$P$10</f>
        <v>213932.51027955307</v>
      </c>
      <c r="J55" s="18">
        <f>F55*'GS&gt;50 Predicted Monthly (no LC)'!$P$11</f>
        <v>1261621.3957966755</v>
      </c>
      <c r="K55" s="18">
        <f t="shared" si="5"/>
        <v>5596593.3230916187</v>
      </c>
      <c r="L55" s="18">
        <f t="shared" si="6"/>
        <v>427320.23285860848</v>
      </c>
      <c r="M55" s="35">
        <f t="shared" si="7"/>
        <v>8.2665439685514194E-2</v>
      </c>
    </row>
    <row r="56" spans="1:13">
      <c r="A56" s="541">
        <f>'Monthly Data'!A56</f>
        <v>44013</v>
      </c>
      <c r="B56">
        <f t="shared" si="0"/>
        <v>2020</v>
      </c>
      <c r="C56">
        <f t="shared" si="1"/>
        <v>7</v>
      </c>
      <c r="D56" s="31">
        <f>'Monthly Data'!AB56</f>
        <v>5834268.8677317807</v>
      </c>
      <c r="E56" s="33">
        <f>'Monthly Data'!AQ56</f>
        <v>3.850000000000005</v>
      </c>
      <c r="F56" s="33">
        <f>'Monthly Data'!BB56</f>
        <v>383.12500000000017</v>
      </c>
      <c r="H56" s="18">
        <f>'GS&gt;50 Predicted Monthly (no LC)'!$P$9</f>
        <v>4121039.41701539</v>
      </c>
      <c r="I56" s="18">
        <f>E56*'GS&gt;50 Predicted Monthly (no LC)'!$P$10</f>
        <v>8914.6585865566576</v>
      </c>
      <c r="J56" s="18">
        <f>F56*'GS&gt;50 Predicted Monthly (no LC)'!$P$11</f>
        <v>2069726.2635105776</v>
      </c>
      <c r="K56" s="18">
        <f t="shared" si="5"/>
        <v>6199680.3391125239</v>
      </c>
      <c r="L56" s="18">
        <f t="shared" si="6"/>
        <v>365411.4713807432</v>
      </c>
      <c r="M56" s="35">
        <f t="shared" si="7"/>
        <v>6.2631921782310002E-2</v>
      </c>
    </row>
    <row r="57" spans="1:13">
      <c r="A57" s="541">
        <f>'Monthly Data'!A57</f>
        <v>44044</v>
      </c>
      <c r="B57">
        <f t="shared" si="0"/>
        <v>2020</v>
      </c>
      <c r="C57">
        <f t="shared" si="1"/>
        <v>8</v>
      </c>
      <c r="D57" s="31">
        <f>'Monthly Data'!AB57</f>
        <v>5670245.6852305522</v>
      </c>
      <c r="E57" s="33">
        <f>'Monthly Data'!AQ57</f>
        <v>79.675000000000011</v>
      </c>
      <c r="F57" s="33">
        <f>'Monthly Data'!BB57</f>
        <v>240.70833333333334</v>
      </c>
      <c r="H57" s="18">
        <f>'GS&gt;50 Predicted Monthly (no LC)'!$P$9</f>
        <v>4121039.41701539</v>
      </c>
      <c r="I57" s="18">
        <f>E57*'GS&gt;50 Predicted Monthly (no LC)'!$P$10</f>
        <v>184487.12282698724</v>
      </c>
      <c r="J57" s="18">
        <f>F57*'GS&gt;50 Predicted Monthly (no LC)'!$P$11</f>
        <v>1300359.8286351932</v>
      </c>
      <c r="K57" s="18">
        <f t="shared" si="5"/>
        <v>5605886.3684775708</v>
      </c>
      <c r="L57" s="18">
        <f t="shared" si="6"/>
        <v>-64359.316752981395</v>
      </c>
      <c r="M57" s="35">
        <f t="shared" si="7"/>
        <v>1.1350357696249373E-2</v>
      </c>
    </row>
    <row r="58" spans="1:13">
      <c r="A58" s="541">
        <f>'Monthly Data'!A58</f>
        <v>44075</v>
      </c>
      <c r="B58">
        <f t="shared" si="0"/>
        <v>2020</v>
      </c>
      <c r="C58">
        <f t="shared" si="1"/>
        <v>9</v>
      </c>
      <c r="D58" s="31">
        <f>'Monthly Data'!AB58</f>
        <v>4852010.7027293229</v>
      </c>
      <c r="E58" s="33">
        <f>'Monthly Data'!AQ58</f>
        <v>206.67499999999998</v>
      </c>
      <c r="F58" s="33">
        <f>'Monthly Data'!BB58</f>
        <v>109.925</v>
      </c>
      <c r="H58" s="18">
        <f>'GS&gt;50 Predicted Monthly (no LC)'!$P$9</f>
        <v>4121039.41701539</v>
      </c>
      <c r="I58" s="18">
        <f>E58*'GS&gt;50 Predicted Monthly (no LC)'!$P$10</f>
        <v>478555.0813965181</v>
      </c>
      <c r="J58" s="18">
        <f>F58*'GS&gt;50 Predicted Monthly (no LC)'!$P$11</f>
        <v>593839.24180463329</v>
      </c>
      <c r="K58" s="18">
        <f t="shared" si="5"/>
        <v>5193433.7402165411</v>
      </c>
      <c r="L58" s="18">
        <f t="shared" si="6"/>
        <v>341423.03748721816</v>
      </c>
      <c r="M58" s="35">
        <f t="shared" si="7"/>
        <v>7.0367329836095172E-2</v>
      </c>
    </row>
    <row r="59" spans="1:13">
      <c r="A59" s="541">
        <f>'Monthly Data'!A59</f>
        <v>44105</v>
      </c>
      <c r="B59">
        <f t="shared" si="0"/>
        <v>2020</v>
      </c>
      <c r="C59">
        <f t="shared" si="1"/>
        <v>10</v>
      </c>
      <c r="D59" s="31">
        <f>'Monthly Data'!AB59</f>
        <v>5145419.3202280933</v>
      </c>
      <c r="E59" s="33">
        <f>'Monthly Data'!AQ59</f>
        <v>432.26666666666665</v>
      </c>
      <c r="F59" s="33">
        <f>'Monthly Data'!BB59</f>
        <v>10.033333333333337</v>
      </c>
      <c r="H59" s="18">
        <f>'GS&gt;50 Predicted Monthly (no LC)'!$P$9</f>
        <v>4121039.41701539</v>
      </c>
      <c r="I59" s="18">
        <f>E59*'GS&gt;50 Predicted Monthly (no LC)'!$P$10</f>
        <v>1000911.6238135634</v>
      </c>
      <c r="J59" s="18">
        <f>F59*'GS&gt;50 Predicted Monthly (no LC)'!$P$11</f>
        <v>54202.293012870803</v>
      </c>
      <c r="K59" s="18">
        <f t="shared" si="5"/>
        <v>5176153.333841824</v>
      </c>
      <c r="L59" s="18">
        <f t="shared" si="6"/>
        <v>30734.013613730669</v>
      </c>
      <c r="M59" s="35">
        <f t="shared" si="7"/>
        <v>5.973082406113453E-3</v>
      </c>
    </row>
    <row r="60" spans="1:13">
      <c r="A60" s="541">
        <f>'Monthly Data'!A60</f>
        <v>44136</v>
      </c>
      <c r="B60">
        <f t="shared" si="0"/>
        <v>2020</v>
      </c>
      <c r="C60">
        <f t="shared" si="1"/>
        <v>11</v>
      </c>
      <c r="D60" s="31">
        <f>'Monthly Data'!AB60</f>
        <v>5342094.1377268648</v>
      </c>
      <c r="E60" s="33">
        <f>'Monthly Data'!AQ60</f>
        <v>513.82916666666665</v>
      </c>
      <c r="F60" s="33">
        <f>'Monthly Data'!BB60</f>
        <v>13.40833333333333</v>
      </c>
      <c r="H60" s="18">
        <f>'GS&gt;50 Predicted Monthly (no LC)'!$P$9</f>
        <v>4121039.41701539</v>
      </c>
      <c r="I60" s="18">
        <f>E60*'GS&gt;50 Predicted Monthly (no LC)'!$P$10</f>
        <v>1189769.2448437002</v>
      </c>
      <c r="J60" s="18">
        <f>F60*'GS&gt;50 Predicted Monthly (no LC)'!$P$11</f>
        <v>72434.791908396233</v>
      </c>
      <c r="K60" s="18">
        <f t="shared" si="5"/>
        <v>5383243.4537674868</v>
      </c>
      <c r="L60" s="18">
        <f t="shared" si="6"/>
        <v>41149.31604062207</v>
      </c>
      <c r="M60" s="35">
        <f t="shared" si="7"/>
        <v>7.7028436751082185E-3</v>
      </c>
    </row>
    <row r="61" spans="1:13">
      <c r="A61" s="541">
        <f>'Monthly Data'!A61</f>
        <v>44166</v>
      </c>
      <c r="B61">
        <f t="shared" si="0"/>
        <v>2020</v>
      </c>
      <c r="C61">
        <f t="shared" si="1"/>
        <v>12</v>
      </c>
      <c r="D61" s="31">
        <f>'Monthly Data'!AB61</f>
        <v>6319796.5552256359</v>
      </c>
      <c r="E61" s="33">
        <f>'Monthly Data'!AQ61</f>
        <v>775.91666666666674</v>
      </c>
      <c r="F61" s="33">
        <f>'Monthly Data'!BB61</f>
        <v>0</v>
      </c>
      <c r="H61" s="18">
        <f>'GS&gt;50 Predicted Monthly (no LC)'!$P$9</f>
        <v>4121039.41701539</v>
      </c>
      <c r="I61" s="18">
        <f>E61*'GS&gt;50 Predicted Monthly (no LC)'!$P$10</f>
        <v>1796631.733753873</v>
      </c>
      <c r="J61" s="18">
        <f>F61*'GS&gt;50 Predicted Monthly (no LC)'!$P$11</f>
        <v>0</v>
      </c>
      <c r="K61" s="18">
        <f t="shared" si="5"/>
        <v>5917671.1507692635</v>
      </c>
      <c r="L61" s="18">
        <f t="shared" si="6"/>
        <v>-402125.40445637237</v>
      </c>
      <c r="M61" s="35">
        <f t="shared" si="7"/>
        <v>6.3629485687140969E-2</v>
      </c>
    </row>
    <row r="62" spans="1:13">
      <c r="A62" s="541">
        <f>'Monthly Data'!A62</f>
        <v>44197</v>
      </c>
      <c r="B62">
        <f t="shared" si="0"/>
        <v>2021</v>
      </c>
      <c r="C62">
        <f t="shared" si="1"/>
        <v>1</v>
      </c>
      <c r="D62" s="31">
        <f>'Monthly Data'!AB62</f>
        <v>5884963.3511189306</v>
      </c>
      <c r="E62" s="33">
        <f>'Monthly Data'!AQ62</f>
        <v>852.97499999999991</v>
      </c>
      <c r="F62" s="33">
        <f>'Monthly Data'!BB62</f>
        <v>0</v>
      </c>
      <c r="H62" s="18">
        <f>'GS&gt;50 Predicted Monthly (no LC)'!$P$9</f>
        <v>4121039.41701539</v>
      </c>
      <c r="I62" s="18">
        <f>E62*'GS&gt;50 Predicted Monthly (no LC)'!$P$10</f>
        <v>1975059.9760696504</v>
      </c>
      <c r="J62" s="18">
        <f>F62*'GS&gt;50 Predicted Monthly (no LC)'!$P$11</f>
        <v>0</v>
      </c>
      <c r="K62" s="18">
        <f t="shared" si="5"/>
        <v>6096099.3930850402</v>
      </c>
      <c r="L62" s="18">
        <f t="shared" si="6"/>
        <v>211136.04196610954</v>
      </c>
      <c r="M62" s="35">
        <f t="shared" si="7"/>
        <v>3.5877205917682634E-2</v>
      </c>
    </row>
    <row r="63" spans="1:13">
      <c r="A63" s="541">
        <f>'Monthly Data'!A63</f>
        <v>44228</v>
      </c>
      <c r="B63">
        <f t="shared" si="0"/>
        <v>2021</v>
      </c>
      <c r="C63">
        <f t="shared" si="1"/>
        <v>2</v>
      </c>
      <c r="D63" s="31">
        <f>'Monthly Data'!AB63</f>
        <v>5632137.5500704683</v>
      </c>
      <c r="E63" s="33">
        <f>'Monthly Data'!AQ63</f>
        <v>819.91666666666652</v>
      </c>
      <c r="F63" s="33">
        <f>'Monthly Data'!BB63</f>
        <v>0</v>
      </c>
      <c r="H63" s="18">
        <f>'GS&gt;50 Predicted Monthly (no LC)'!$P$9</f>
        <v>4121039.41701539</v>
      </c>
      <c r="I63" s="18">
        <f>E63*'GS&gt;50 Predicted Monthly (no LC)'!$P$10</f>
        <v>1898513.5461716629</v>
      </c>
      <c r="J63" s="18">
        <f>F63*'GS&gt;50 Predicted Monthly (no LC)'!$P$11</f>
        <v>0</v>
      </c>
      <c r="K63" s="18">
        <f t="shared" si="5"/>
        <v>6019552.9631870529</v>
      </c>
      <c r="L63" s="18">
        <f t="shared" si="6"/>
        <v>387415.41311658453</v>
      </c>
      <c r="M63" s="35">
        <f t="shared" si="7"/>
        <v>6.8786568096465842E-2</v>
      </c>
    </row>
    <row r="64" spans="1:13">
      <c r="A64" s="541">
        <f>'Monthly Data'!A64</f>
        <v>44256</v>
      </c>
      <c r="B64">
        <f t="shared" si="0"/>
        <v>2021</v>
      </c>
      <c r="C64">
        <f t="shared" si="1"/>
        <v>3</v>
      </c>
      <c r="D64" s="31">
        <f>'Monthly Data'!AB64</f>
        <v>5796811.3490220066</v>
      </c>
      <c r="E64" s="33">
        <f>'Monthly Data'!AQ64</f>
        <v>651.65416666666704</v>
      </c>
      <c r="F64" s="33">
        <f>'Monthly Data'!BB64</f>
        <v>1.1000000000000032</v>
      </c>
      <c r="H64" s="18">
        <f>'GS&gt;50 Predicted Monthly (no LC)'!$P$9</f>
        <v>4121039.41701539</v>
      </c>
      <c r="I64" s="18">
        <f>E64*'GS&gt;50 Predicted Monthly (no LC)'!$P$10</f>
        <v>1508902.4447637452</v>
      </c>
      <c r="J64" s="18">
        <f>F64*'GS&gt;50 Predicted Monthly (no LC)'!$P$11</f>
        <v>5942.4440844675783</v>
      </c>
      <c r="K64" s="18">
        <f t="shared" si="5"/>
        <v>5635884.3058636021</v>
      </c>
      <c r="L64" s="18">
        <f t="shared" si="6"/>
        <v>-160927.04315840453</v>
      </c>
      <c r="M64" s="35">
        <f t="shared" si="7"/>
        <v>2.7761304184162366E-2</v>
      </c>
    </row>
    <row r="65" spans="1:15">
      <c r="A65" s="541">
        <f>'Monthly Data'!A65</f>
        <v>44287</v>
      </c>
      <c r="B65">
        <f t="shared" si="0"/>
        <v>2021</v>
      </c>
      <c r="C65">
        <f t="shared" si="1"/>
        <v>4</v>
      </c>
      <c r="D65" s="31">
        <f>'Monthly Data'!AB65</f>
        <v>4671495.1705421582</v>
      </c>
      <c r="E65" s="33">
        <f>'Monthly Data'!AQ65</f>
        <v>381.19583333333338</v>
      </c>
      <c r="F65" s="33">
        <f>'Monthly Data'!BB65</f>
        <v>27.116666666666667</v>
      </c>
      <c r="H65" s="18">
        <f>'GS&gt;50 Predicted Monthly (no LC)'!$P$9</f>
        <v>4121039.41701539</v>
      </c>
      <c r="I65" s="18">
        <f>E65*'GS&gt;50 Predicted Monthly (no LC)'!$P$10</f>
        <v>882657.32695704326</v>
      </c>
      <c r="J65" s="18">
        <f>F65*'GS&gt;50 Predicted Monthly (no LC)'!$P$11</f>
        <v>146490.25038528367</v>
      </c>
      <c r="K65" s="18">
        <f t="shared" si="5"/>
        <v>5150186.9943577172</v>
      </c>
      <c r="L65" s="18">
        <f t="shared" si="6"/>
        <v>478691.82381555904</v>
      </c>
      <c r="M65" s="35">
        <f t="shared" si="7"/>
        <v>0.10247079496819937</v>
      </c>
    </row>
    <row r="66" spans="1:15">
      <c r="A66" s="541">
        <f>'Monthly Data'!A66</f>
        <v>44317</v>
      </c>
      <c r="B66">
        <f t="shared" ref="B66:B121" si="8">YEAR(A66)</f>
        <v>2021</v>
      </c>
      <c r="C66">
        <f t="shared" ref="C66:C121" si="9">MONTH(A66)</f>
        <v>5</v>
      </c>
      <c r="D66" s="31">
        <f>'Monthly Data'!AB66</f>
        <v>4966693.1562202908</v>
      </c>
      <c r="E66" s="33">
        <f>'Monthly Data'!AQ66</f>
        <v>251.67499999999995</v>
      </c>
      <c r="F66" s="33">
        <f>'Monthly Data'!BB66</f>
        <v>110.03333333333333</v>
      </c>
      <c r="H66" s="18">
        <f>'GS&gt;50 Predicted Monthly (no LC)'!$P$9</f>
        <v>4121039.41701539</v>
      </c>
      <c r="I66" s="18">
        <f>E66*'GS&gt;50 Predicted Monthly (no LC)'!$P$10</f>
        <v>582752.38955107622</v>
      </c>
      <c r="J66" s="18">
        <f>F66*'GS&gt;50 Predicted Monthly (no LC)'!$P$11</f>
        <v>594424.48250992177</v>
      </c>
      <c r="K66" s="18">
        <f t="shared" ref="K66:K97" si="10">SUM(H66:J66)</f>
        <v>5298216.2890763879</v>
      </c>
      <c r="L66" s="18">
        <f t="shared" ref="L66:L97" si="11">K66-D66</f>
        <v>331523.13285609707</v>
      </c>
      <c r="M66" s="35">
        <f t="shared" ref="M66:M97" si="12">ABS(L66/D66)</f>
        <v>6.6749268059955985E-2</v>
      </c>
    </row>
    <row r="67" spans="1:15">
      <c r="A67" s="541">
        <f>'Monthly Data'!A67</f>
        <v>44348</v>
      </c>
      <c r="B67">
        <f t="shared" si="8"/>
        <v>2021</v>
      </c>
      <c r="C67">
        <f t="shared" si="9"/>
        <v>6</v>
      </c>
      <c r="D67" s="31">
        <f>'Monthly Data'!AB67</f>
        <v>5384669.5568166608</v>
      </c>
      <c r="E67" s="33">
        <f>'Monthly Data'!AQ67</f>
        <v>55.149999999999991</v>
      </c>
      <c r="F67" s="33">
        <f>'Monthly Data'!BB67</f>
        <v>275.60833333333329</v>
      </c>
      <c r="H67" s="18">
        <f>'GS&gt;50 Predicted Monthly (no LC)'!$P$9</f>
        <v>4121039.41701539</v>
      </c>
      <c r="I67" s="18">
        <f>E67*'GS&gt;50 Predicted Monthly (no LC)'!$P$10</f>
        <v>127699.58988275297</v>
      </c>
      <c r="J67" s="18">
        <f>F67*'GS&gt;50 Predicted Monthly (no LC)'!$P$11</f>
        <v>1488897.3727696638</v>
      </c>
      <c r="K67" s="18">
        <f t="shared" si="10"/>
        <v>5737636.3796678074</v>
      </c>
      <c r="L67" s="18">
        <f t="shared" si="11"/>
        <v>352966.82285114657</v>
      </c>
      <c r="M67" s="35">
        <f t="shared" si="12"/>
        <v>6.5550321914241191E-2</v>
      </c>
    </row>
    <row r="68" spans="1:15">
      <c r="A68" s="541">
        <f>'Monthly Data'!A68</f>
        <v>44378</v>
      </c>
      <c r="B68">
        <f t="shared" si="8"/>
        <v>2021</v>
      </c>
      <c r="C68">
        <f t="shared" si="9"/>
        <v>7</v>
      </c>
      <c r="D68" s="31">
        <f>'Monthly Data'!AB68</f>
        <v>5489211.7018636363</v>
      </c>
      <c r="E68" s="33">
        <f>'Monthly Data'!AQ68</f>
        <v>58.799999999999976</v>
      </c>
      <c r="F68" s="33">
        <f>'Monthly Data'!BB68</f>
        <v>267.77500000000009</v>
      </c>
      <c r="H68" s="18">
        <f>'GS&gt;50 Predicted Monthly (no LC)'!$P$9</f>
        <v>4121039.41701539</v>
      </c>
      <c r="I68" s="18">
        <f>E68*'GS&gt;50 Predicted Monthly (no LC)'!$P$10</f>
        <v>136151.14932195598</v>
      </c>
      <c r="J68" s="18">
        <f>F68*'GS&gt;50 Predicted Monthly (no LC)'!$P$11</f>
        <v>1446579.9679257288</v>
      </c>
      <c r="K68" s="18">
        <f t="shared" si="10"/>
        <v>5703770.5342630744</v>
      </c>
      <c r="L68" s="18">
        <f t="shared" si="11"/>
        <v>214558.83239943814</v>
      </c>
      <c r="M68" s="35">
        <f t="shared" si="12"/>
        <v>3.9087367012387859E-2</v>
      </c>
    </row>
    <row r="69" spans="1:15">
      <c r="A69" s="541">
        <f>'Monthly Data'!A69</f>
        <v>44409</v>
      </c>
      <c r="B69">
        <f t="shared" si="8"/>
        <v>2021</v>
      </c>
      <c r="C69">
        <f t="shared" si="9"/>
        <v>8</v>
      </c>
      <c r="D69" s="31">
        <f>'Monthly Data'!AB69</f>
        <v>7520564.3288652841</v>
      </c>
      <c r="E69" s="33">
        <f>'Monthly Data'!AQ69</f>
        <v>27.104166666666682</v>
      </c>
      <c r="F69" s="33">
        <f>'Monthly Data'!BB69</f>
        <v>346.10416666666663</v>
      </c>
      <c r="H69" s="18">
        <f>'GS&gt;50 Predicted Monthly (no LC)'!$P$9</f>
        <v>4121039.41701539</v>
      </c>
      <c r="I69" s="18">
        <f>E69*'GS&gt;50 Predicted Monthly (no LC)'!$P$10</f>
        <v>62759.582365314949</v>
      </c>
      <c r="J69" s="18">
        <f>F69*'GS&gt;50 Predicted Monthly (no LC)'!$P$11</f>
        <v>1869731.5071071892</v>
      </c>
      <c r="K69" s="18">
        <f t="shared" si="10"/>
        <v>6053530.5064878939</v>
      </c>
      <c r="L69" s="18">
        <f t="shared" si="11"/>
        <v>-1467033.8223773902</v>
      </c>
      <c r="M69" s="35">
        <f t="shared" si="12"/>
        <v>0.1950696461363477</v>
      </c>
    </row>
    <row r="70" spans="1:15">
      <c r="A70" s="541">
        <f>'Monthly Data'!A70</f>
        <v>44440</v>
      </c>
      <c r="B70">
        <f t="shared" si="8"/>
        <v>2021</v>
      </c>
      <c r="C70">
        <f t="shared" si="9"/>
        <v>9</v>
      </c>
      <c r="D70" s="31">
        <f>'Monthly Data'!AB70</f>
        <v>7128334.4277345818</v>
      </c>
      <c r="E70" s="33">
        <f>'Monthly Data'!AQ70</f>
        <v>164.45000000000005</v>
      </c>
      <c r="F70" s="33">
        <f>'Monthly Data'!BB70</f>
        <v>136.3458333333333</v>
      </c>
      <c r="H70" s="18">
        <f>'GS&gt;50 Predicted Monthly (no LC)'!$P$9</f>
        <v>4121039.41701539</v>
      </c>
      <c r="I70" s="18">
        <f>E70*'GS&gt;50 Predicted Monthly (no LC)'!$P$10</f>
        <v>380783.27391149109</v>
      </c>
      <c r="J70" s="18">
        <f>F70*'GS&gt;50 Predicted Monthly (no LC)'!$P$11</f>
        <v>736570.44612133317</v>
      </c>
      <c r="K70" s="18">
        <f t="shared" si="10"/>
        <v>5238393.1370482147</v>
      </c>
      <c r="L70" s="18">
        <f t="shared" si="11"/>
        <v>-1889941.2906863671</v>
      </c>
      <c r="M70" s="35">
        <f t="shared" si="12"/>
        <v>0.2651308394473012</v>
      </c>
    </row>
    <row r="71" spans="1:15">
      <c r="A71" s="541">
        <f>'Monthly Data'!A71</f>
        <v>44470</v>
      </c>
      <c r="B71">
        <f t="shared" si="8"/>
        <v>2021</v>
      </c>
      <c r="C71">
        <f t="shared" si="9"/>
        <v>10</v>
      </c>
      <c r="D71" s="31">
        <f>'Monthly Data'!AB71</f>
        <v>5534871.3747515306</v>
      </c>
      <c r="E71" s="33">
        <f>'Monthly Data'!AQ71</f>
        <v>294.72916666666663</v>
      </c>
      <c r="F71" s="33">
        <f>'Monthly Data'!BB71</f>
        <v>70.17916666666666</v>
      </c>
      <c r="H71" s="18">
        <f>'GS&gt;50 Predicted Monthly (no LC)'!$P$9</f>
        <v>4121039.41701539</v>
      </c>
      <c r="I71" s="18">
        <f>E71*'GS&gt;50 Predicted Monthly (no LC)'!$P$10</f>
        <v>682444.12891784008</v>
      </c>
      <c r="J71" s="18">
        <f>F71*'GS&gt;50 Predicted Monthly (no LC)'!$P$11</f>
        <v>379123.43073745124</v>
      </c>
      <c r="K71" s="18">
        <f t="shared" si="10"/>
        <v>5182606.9766706815</v>
      </c>
      <c r="L71" s="18">
        <f t="shared" si="11"/>
        <v>-352264.39808084909</v>
      </c>
      <c r="M71" s="35">
        <f t="shared" si="12"/>
        <v>6.3644550022928542E-2</v>
      </c>
    </row>
    <row r="72" spans="1:15">
      <c r="A72" s="541">
        <f>'Monthly Data'!A72</f>
        <v>44501</v>
      </c>
      <c r="B72">
        <f t="shared" si="8"/>
        <v>2021</v>
      </c>
      <c r="C72">
        <f t="shared" si="9"/>
        <v>11</v>
      </c>
      <c r="D72" s="31">
        <f>'Monthly Data'!AB72</f>
        <v>5539307.5406343108</v>
      </c>
      <c r="E72" s="33">
        <f>'Monthly Data'!AQ72</f>
        <v>584.32083333333333</v>
      </c>
      <c r="F72" s="33">
        <f>'Monthly Data'!BB72</f>
        <v>0</v>
      </c>
      <c r="H72" s="18">
        <f>'GS&gt;50 Predicted Monthly (no LC)'!$P$9</f>
        <v>4121039.41701539</v>
      </c>
      <c r="I72" s="18">
        <f>E72*'GS&gt;50 Predicted Monthly (no LC)'!$P$10</f>
        <v>1352992.398488035</v>
      </c>
      <c r="J72" s="18">
        <f>F72*'GS&gt;50 Predicted Monthly (no LC)'!$P$11</f>
        <v>0</v>
      </c>
      <c r="K72" s="18">
        <f t="shared" si="10"/>
        <v>5474031.815503425</v>
      </c>
      <c r="L72" s="18">
        <f t="shared" si="11"/>
        <v>-65275.725130885839</v>
      </c>
      <c r="M72" s="35">
        <f t="shared" si="12"/>
        <v>1.1784094790196657E-2</v>
      </c>
    </row>
    <row r="73" spans="1:15">
      <c r="A73" s="541">
        <f>'Monthly Data'!A73</f>
        <v>44531</v>
      </c>
      <c r="B73">
        <f t="shared" si="8"/>
        <v>2021</v>
      </c>
      <c r="C73">
        <f t="shared" si="9"/>
        <v>12</v>
      </c>
      <c r="D73" s="31">
        <f>'Monthly Data'!AB73</f>
        <v>6020987.6595858485</v>
      </c>
      <c r="E73" s="33">
        <f>'Monthly Data'!AQ73</f>
        <v>764.20624999999995</v>
      </c>
      <c r="F73" s="33">
        <f>'Monthly Data'!BB73</f>
        <v>0</v>
      </c>
      <c r="H73" s="18">
        <f>'GS&gt;50 Predicted Monthly (no LC)'!$P$9</f>
        <v>4121039.41701539</v>
      </c>
      <c r="I73" s="18">
        <f>E73*'GS&gt;50 Predicted Monthly (no LC)'!$P$10</f>
        <v>1769516.3138864296</v>
      </c>
      <c r="J73" s="18">
        <f>F73*'GS&gt;50 Predicted Monthly (no LC)'!$P$11</f>
        <v>0</v>
      </c>
      <c r="K73" s="18">
        <f t="shared" si="10"/>
        <v>5890555.7309018197</v>
      </c>
      <c r="L73" s="18">
        <f t="shared" si="11"/>
        <v>-130431.9286840288</v>
      </c>
      <c r="M73" s="35">
        <f t="shared" si="12"/>
        <v>2.1662879258085129E-2</v>
      </c>
    </row>
    <row r="74" spans="1:15">
      <c r="A74" s="541">
        <f>'Monthly Data'!A74</f>
        <v>44562</v>
      </c>
      <c r="B74">
        <f t="shared" si="8"/>
        <v>2022</v>
      </c>
      <c r="C74">
        <f t="shared" si="9"/>
        <v>1</v>
      </c>
      <c r="D74" s="31">
        <f>'Monthly Data'!AB74</f>
        <v>6617393.2108332533</v>
      </c>
      <c r="E74" s="33">
        <f>'Monthly Data'!AQ74</f>
        <v>1118.6333333333332</v>
      </c>
      <c r="F74" s="33">
        <f>'Monthly Data'!BB74</f>
        <v>0</v>
      </c>
      <c r="H74" s="18">
        <f>'GS&gt;50 Predicted Monthly (no LC)'!$P$9</f>
        <v>4121039.41701539</v>
      </c>
      <c r="I74" s="18">
        <f>E74*'GS&gt;50 Predicted Monthly (no LC)'!$P$10</f>
        <v>2590190.7143398654</v>
      </c>
      <c r="J74" s="18">
        <f>F74*'GS&gt;50 Predicted Monthly (no LC)'!$P$11</f>
        <v>0</v>
      </c>
      <c r="K74" s="18">
        <f t="shared" si="10"/>
        <v>6711230.1313552558</v>
      </c>
      <c r="L74" s="18">
        <f t="shared" si="11"/>
        <v>93836.920522002503</v>
      </c>
      <c r="M74" s="35">
        <f t="shared" si="12"/>
        <v>1.4180345270760581E-2</v>
      </c>
    </row>
    <row r="75" spans="1:15">
      <c r="A75" s="541">
        <f>'Monthly Data'!A75</f>
        <v>44593</v>
      </c>
      <c r="B75">
        <f t="shared" si="8"/>
        <v>2022</v>
      </c>
      <c r="C75">
        <f t="shared" si="9"/>
        <v>2</v>
      </c>
      <c r="D75" s="31">
        <f>'Monthly Data'!AB75</f>
        <v>5876978.9395640362</v>
      </c>
      <c r="E75" s="33">
        <f>'Monthly Data'!AQ75</f>
        <v>841.76666666666654</v>
      </c>
      <c r="F75" s="33">
        <f>'Monthly Data'!BB75</f>
        <v>0</v>
      </c>
      <c r="H75" s="18">
        <f>'GS&gt;50 Predicted Monthly (no LC)'!$P$9</f>
        <v>4121039.41701539</v>
      </c>
      <c r="I75" s="18">
        <f>E75*'GS&gt;50 Predicted Monthly (no LC)'!$P$10</f>
        <v>1949107.1280200428</v>
      </c>
      <c r="J75" s="18">
        <f>F75*'GS&gt;50 Predicted Monthly (no LC)'!$P$11</f>
        <v>0</v>
      </c>
      <c r="K75" s="18">
        <f t="shared" si="10"/>
        <v>6070146.545035433</v>
      </c>
      <c r="L75" s="18">
        <f t="shared" si="11"/>
        <v>193167.60547139682</v>
      </c>
      <c r="M75" s="35">
        <f t="shared" si="12"/>
        <v>3.2868520962528125E-2</v>
      </c>
    </row>
    <row r="76" spans="1:15">
      <c r="A76" s="541">
        <f>'Monthly Data'!A76</f>
        <v>44621</v>
      </c>
      <c r="B76">
        <f t="shared" si="8"/>
        <v>2022</v>
      </c>
      <c r="C76">
        <f t="shared" si="9"/>
        <v>3</v>
      </c>
      <c r="D76" s="31">
        <f>'Monthly Data'!AB76</f>
        <v>6015307.8682948183</v>
      </c>
      <c r="E76" s="33">
        <f>'Monthly Data'!AQ76</f>
        <v>704.6583333333333</v>
      </c>
      <c r="F76" s="33">
        <f>'Monthly Data'!BB76</f>
        <v>0</v>
      </c>
      <c r="H76" s="18">
        <f>'GS&gt;50 Predicted Monthly (no LC)'!$P$9</f>
        <v>4121039.41701539</v>
      </c>
      <c r="I76" s="18">
        <f>E76*'GS&gt;50 Predicted Monthly (no LC)'!$P$10</f>
        <v>1631633.3667113492</v>
      </c>
      <c r="J76" s="18">
        <f>F76*'GS&gt;50 Predicted Monthly (no LC)'!$P$11</f>
        <v>0</v>
      </c>
      <c r="K76" s="18">
        <f t="shared" si="10"/>
        <v>5752672.7837267388</v>
      </c>
      <c r="L76" s="18">
        <f t="shared" si="11"/>
        <v>-262635.08456807956</v>
      </c>
      <c r="M76" s="35">
        <f t="shared" si="12"/>
        <v>4.3661120979752895E-2</v>
      </c>
      <c r="O76" s="18"/>
    </row>
    <row r="77" spans="1:15">
      <c r="A77" s="541">
        <f>'Monthly Data'!A77</f>
        <v>44652</v>
      </c>
      <c r="B77">
        <f t="shared" si="8"/>
        <v>2022</v>
      </c>
      <c r="C77">
        <f t="shared" si="9"/>
        <v>4</v>
      </c>
      <c r="D77" s="31">
        <f>'Monthly Data'!AB77</f>
        <v>5243000.5970256003</v>
      </c>
      <c r="E77" s="33">
        <f>'Monthly Data'!AQ77</f>
        <v>461.22083333333347</v>
      </c>
      <c r="F77" s="33">
        <f>'Monthly Data'!BB77</f>
        <v>0.60416666666666607</v>
      </c>
      <c r="H77" s="18">
        <f>'GS&gt;50 Predicted Monthly (no LC)'!$P$9</f>
        <v>4121039.41701539</v>
      </c>
      <c r="I77" s="18">
        <f>E77*'GS&gt;50 Predicted Monthly (no LC)'!$P$10</f>
        <v>1067954.8732918995</v>
      </c>
      <c r="J77" s="18">
        <f>F77*'GS&gt;50 Predicted Monthly (no LC)'!$P$11</f>
        <v>3263.8423948780132</v>
      </c>
      <c r="K77" s="18">
        <f t="shared" si="10"/>
        <v>5192258.1327021671</v>
      </c>
      <c r="L77" s="18">
        <f t="shared" si="11"/>
        <v>-50742.464323433116</v>
      </c>
      <c r="M77" s="35">
        <f t="shared" si="12"/>
        <v>9.6781343782832603E-3</v>
      </c>
      <c r="O77" s="18"/>
    </row>
    <row r="78" spans="1:15">
      <c r="A78" s="541">
        <f>'Monthly Data'!A78</f>
        <v>44682</v>
      </c>
      <c r="B78">
        <f t="shared" si="8"/>
        <v>2022</v>
      </c>
      <c r="C78">
        <f t="shared" si="9"/>
        <v>5</v>
      </c>
      <c r="D78" s="31">
        <f>'Monthly Data'!AB78</f>
        <v>5279093.3257563813</v>
      </c>
      <c r="E78" s="33">
        <f>'Monthly Data'!AQ78</f>
        <v>173.55833333333337</v>
      </c>
      <c r="F78" s="33">
        <f>'Monthly Data'!BB78</f>
        <v>147.53749999999999</v>
      </c>
      <c r="H78" s="18">
        <f>'GS&gt;50 Predicted Monthly (no LC)'!$P$9</f>
        <v>4121039.41701539</v>
      </c>
      <c r="I78" s="18">
        <f>E78*'GS&gt;50 Predicted Monthly (no LC)'!$P$10</f>
        <v>401873.5809138859</v>
      </c>
      <c r="J78" s="18">
        <f>F78*'GS&gt;50 Predicted Monthly (no LC)'!$P$11</f>
        <v>797030.31282921159</v>
      </c>
      <c r="K78" s="18">
        <f t="shared" si="10"/>
        <v>5319943.3107584873</v>
      </c>
      <c r="L78" s="18">
        <f t="shared" si="11"/>
        <v>40849.985002106056</v>
      </c>
      <c r="M78" s="35">
        <f t="shared" si="12"/>
        <v>7.7380683540488699E-3</v>
      </c>
      <c r="O78" s="18"/>
    </row>
    <row r="79" spans="1:15">
      <c r="A79" s="541">
        <f>'Monthly Data'!A79</f>
        <v>44713</v>
      </c>
      <c r="B79">
        <f t="shared" si="8"/>
        <v>2022</v>
      </c>
      <c r="C79">
        <f t="shared" si="9"/>
        <v>6</v>
      </c>
      <c r="D79" s="31">
        <f>'Monthly Data'!AB79</f>
        <v>5269658.6544871647</v>
      </c>
      <c r="E79" s="33">
        <f>'Monthly Data'!AQ79</f>
        <v>101.1375</v>
      </c>
      <c r="F79" s="33">
        <f>'Monthly Data'!BB79</f>
        <v>212.1875</v>
      </c>
      <c r="H79" s="18">
        <f>'GS&gt;50 Predicted Monthly (no LC)'!$P$9</f>
        <v>4121039.41701539</v>
      </c>
      <c r="I79" s="18">
        <f>E79*'GS&gt;50 Predicted Monthly (no LC)'!$P$10</f>
        <v>234183.45007736955</v>
      </c>
      <c r="J79" s="18">
        <f>F79*'GS&gt;50 Predicted Monthly (no LC)'!$P$11</f>
        <v>1146283.9583390551</v>
      </c>
      <c r="K79" s="18">
        <f t="shared" si="10"/>
        <v>5501506.8254318144</v>
      </c>
      <c r="L79" s="18">
        <f t="shared" si="11"/>
        <v>231848.17094464973</v>
      </c>
      <c r="M79" s="35">
        <f t="shared" si="12"/>
        <v>4.3996810067997251E-2</v>
      </c>
      <c r="O79" s="18"/>
    </row>
    <row r="80" spans="1:15">
      <c r="A80" s="541">
        <f>'Monthly Data'!A80</f>
        <v>44743</v>
      </c>
      <c r="B80">
        <f t="shared" si="8"/>
        <v>2022</v>
      </c>
      <c r="C80">
        <f t="shared" si="9"/>
        <v>7</v>
      </c>
      <c r="D80" s="31">
        <f>'Monthly Data'!AB80</f>
        <v>5762288.9832179463</v>
      </c>
      <c r="E80" s="33">
        <f>'Monthly Data'!AQ80</f>
        <v>24.766666666666666</v>
      </c>
      <c r="F80" s="33">
        <f>'Monthly Data'!BB80</f>
        <v>310.86875000000009</v>
      </c>
      <c r="H80" s="18">
        <f>'GS&gt;50 Predicted Monthly (no LC)'!$P$9</f>
        <v>4121039.41701539</v>
      </c>
      <c r="I80" s="18">
        <f>E80*'GS&gt;50 Predicted Monthly (no LC)'!$P$10</f>
        <v>57347.111080619805</v>
      </c>
      <c r="J80" s="18">
        <f>F80*'GS&gt;50 Predicted Monthly (no LC)'!$P$11</f>
        <v>1679381.9677121143</v>
      </c>
      <c r="K80" s="18">
        <f t="shared" si="10"/>
        <v>5857768.4958081245</v>
      </c>
      <c r="L80" s="18">
        <f t="shared" si="11"/>
        <v>95479.512590178289</v>
      </c>
      <c r="M80" s="35">
        <f t="shared" si="12"/>
        <v>1.6569719579884349E-2</v>
      </c>
      <c r="O80" s="18"/>
    </row>
    <row r="81" spans="1:20">
      <c r="A81" s="541">
        <f>'Monthly Data'!A81</f>
        <v>44774</v>
      </c>
      <c r="B81">
        <f t="shared" si="8"/>
        <v>2022</v>
      </c>
      <c r="C81">
        <f t="shared" si="9"/>
        <v>8</v>
      </c>
      <c r="D81" s="31">
        <f>'Monthly Data'!AB81</f>
        <v>5786992.3119487278</v>
      </c>
      <c r="E81" s="33">
        <f>'Monthly Data'!AQ81</f>
        <v>43.374999999999986</v>
      </c>
      <c r="F81" s="33">
        <f>'Monthly Data'!BB81</f>
        <v>285.74166666666667</v>
      </c>
      <c r="H81" s="18">
        <f>'GS&gt;50 Predicted Monthly (no LC)'!$P$9</f>
        <v>4121039.41701539</v>
      </c>
      <c r="I81" s="18">
        <f>E81*'GS&gt;50 Predicted Monthly (no LC)'!$P$10</f>
        <v>100434.62758231023</v>
      </c>
      <c r="J81" s="18">
        <f>F81*'GS&gt;50 Predicted Monthly (no LC)'!$P$11</f>
        <v>1543639.887972032</v>
      </c>
      <c r="K81" s="18">
        <f t="shared" si="10"/>
        <v>5765113.932569732</v>
      </c>
      <c r="L81" s="18">
        <f t="shared" si="11"/>
        <v>-21878.379378995858</v>
      </c>
      <c r="M81" s="35">
        <f t="shared" si="12"/>
        <v>3.7806131751414876E-3</v>
      </c>
      <c r="O81" s="18"/>
    </row>
    <row r="82" spans="1:20">
      <c r="A82" s="541">
        <f>'Monthly Data'!A82</f>
        <v>44805</v>
      </c>
      <c r="B82">
        <f t="shared" si="8"/>
        <v>2022</v>
      </c>
      <c r="C82">
        <f t="shared" si="9"/>
        <v>9</v>
      </c>
      <c r="D82" s="31">
        <f>'Monthly Data'!AB82</f>
        <v>5197002.8406795096</v>
      </c>
      <c r="E82" s="33">
        <f>'Monthly Data'!AQ82</f>
        <v>186.05</v>
      </c>
      <c r="F82" s="33">
        <f>'Monthly Data'!BB82</f>
        <v>121.11250000000001</v>
      </c>
      <c r="H82" s="18">
        <f>'GS&gt;50 Predicted Monthly (no LC)'!$P$9</f>
        <v>4121039.41701539</v>
      </c>
      <c r="I82" s="18">
        <f>E82*'GS&gt;50 Predicted Monthly (no LC)'!$P$10</f>
        <v>430797.98182567896</v>
      </c>
      <c r="J82" s="18">
        <f>F82*'GS&gt;50 Predicted Monthly (no LC)'!$P$11</f>
        <v>654276.59925461595</v>
      </c>
      <c r="K82" s="18">
        <f t="shared" si="10"/>
        <v>5206113.9980956847</v>
      </c>
      <c r="L82" s="18">
        <f t="shared" si="11"/>
        <v>9111.1574161751196</v>
      </c>
      <c r="M82" s="35">
        <f t="shared" si="12"/>
        <v>1.7531561354666939E-3</v>
      </c>
      <c r="O82" s="18"/>
    </row>
    <row r="83" spans="1:20">
      <c r="A83" s="541">
        <f>'Monthly Data'!A83</f>
        <v>44835</v>
      </c>
      <c r="B83">
        <f t="shared" si="8"/>
        <v>2022</v>
      </c>
      <c r="C83">
        <f t="shared" si="9"/>
        <v>10</v>
      </c>
      <c r="D83" s="31">
        <f>'Monthly Data'!AB83</f>
        <v>5264967.7694102917</v>
      </c>
      <c r="E83" s="33">
        <f>'Monthly Data'!AQ83</f>
        <v>386.60833333333323</v>
      </c>
      <c r="F83" s="33">
        <f>'Monthly Data'!BB83</f>
        <v>21.991666666666667</v>
      </c>
      <c r="H83" s="18">
        <f>'GS&gt;50 Predicted Monthly (no LC)'!$P$9</f>
        <v>4121039.41701539</v>
      </c>
      <c r="I83" s="18">
        <f>E83*'GS&gt;50 Predicted Monthly (no LC)'!$P$10</f>
        <v>895189.9476322995</v>
      </c>
      <c r="J83" s="18">
        <f>F83*'GS&gt;50 Predicted Monthly (no LC)'!$P$11</f>
        <v>118803.8631735598</v>
      </c>
      <c r="K83" s="18">
        <f t="shared" si="10"/>
        <v>5135033.2278212495</v>
      </c>
      <c r="L83" s="18">
        <f t="shared" si="11"/>
        <v>-129934.54158904217</v>
      </c>
      <c r="M83" s="35">
        <f t="shared" si="12"/>
        <v>2.467907635521872E-2</v>
      </c>
      <c r="O83" s="18"/>
    </row>
    <row r="84" spans="1:20">
      <c r="A84" s="541">
        <f>'Monthly Data'!A84</f>
        <v>44866</v>
      </c>
      <c r="B84">
        <f t="shared" si="8"/>
        <v>2022</v>
      </c>
      <c r="C84">
        <f t="shared" si="9"/>
        <v>11</v>
      </c>
      <c r="D84" s="31">
        <f>'Monthly Data'!AB84</f>
        <v>5411251.898141074</v>
      </c>
      <c r="E84" s="33">
        <f>'Monthly Data'!AQ84</f>
        <v>510.11250000000007</v>
      </c>
      <c r="F84" s="33">
        <f>'Monthly Data'!BB84</f>
        <v>25.875</v>
      </c>
      <c r="H84" s="18">
        <f>'GS&gt;50 Predicted Monthly (no LC)'!$P$9</f>
        <v>4121039.41701539</v>
      </c>
      <c r="I84" s="18">
        <f>E84*'GS&gt;50 Predicted Monthly (no LC)'!$P$10</f>
        <v>1181163.3190220462</v>
      </c>
      <c r="J84" s="18">
        <f>F84*'GS&gt;50 Predicted Monthly (no LC)'!$P$11</f>
        <v>139782.49153236195</v>
      </c>
      <c r="K84" s="18">
        <f t="shared" si="10"/>
        <v>5441985.227569798</v>
      </c>
      <c r="L84" s="18">
        <f t="shared" si="11"/>
        <v>30733.329428724013</v>
      </c>
      <c r="M84" s="35">
        <f t="shared" si="12"/>
        <v>5.6795229657081439E-3</v>
      </c>
      <c r="O84" s="18"/>
    </row>
    <row r="85" spans="1:20">
      <c r="A85" s="541">
        <f>'Monthly Data'!A85</f>
        <v>44896</v>
      </c>
      <c r="B85">
        <f t="shared" si="8"/>
        <v>2022</v>
      </c>
      <c r="C85">
        <f t="shared" si="9"/>
        <v>12</v>
      </c>
      <c r="D85" s="31">
        <f>'Monthly Data'!AB85</f>
        <v>5865795.4268718548</v>
      </c>
      <c r="E85" s="33">
        <f>'Monthly Data'!AQ85</f>
        <v>723.45416666666654</v>
      </c>
      <c r="F85" s="33">
        <f>'Monthly Data'!BB85</f>
        <v>0</v>
      </c>
      <c r="H85" s="18">
        <f>'GS&gt;50 Predicted Monthly (no LC)'!$P$9</f>
        <v>4121039.41701539</v>
      </c>
      <c r="I85" s="18">
        <f>E85*'GS&gt;50 Predicted Monthly (no LC)'!$P$10</f>
        <v>1675155.0386636835</v>
      </c>
      <c r="J85" s="18">
        <f>F85*'GS&gt;50 Predicted Monthly (no LC)'!$P$11</f>
        <v>0</v>
      </c>
      <c r="K85" s="18">
        <f t="shared" si="10"/>
        <v>5796194.4556790739</v>
      </c>
      <c r="L85" s="18">
        <f t="shared" si="11"/>
        <v>-69600.971192780882</v>
      </c>
      <c r="M85" s="35">
        <f t="shared" si="12"/>
        <v>1.1865564024604603E-2</v>
      </c>
      <c r="O85" s="18"/>
    </row>
    <row r="86" spans="1:20">
      <c r="A86" s="541">
        <f>'Monthly Data'!A86</f>
        <v>44927</v>
      </c>
      <c r="B86">
        <f t="shared" si="8"/>
        <v>2023</v>
      </c>
      <c r="C86">
        <f t="shared" si="9"/>
        <v>1</v>
      </c>
      <c r="D86" s="31">
        <f>'Monthly Data'!AB86</f>
        <v>6111484.5173214637</v>
      </c>
      <c r="E86" s="33">
        <f>'Monthly Data'!AQ86</f>
        <v>821.78333333333342</v>
      </c>
      <c r="F86" s="33">
        <f>'Monthly Data'!BB86</f>
        <v>0</v>
      </c>
      <c r="H86" s="18">
        <f>'GS&gt;50 Predicted Monthly (no LC)'!$P$9</f>
        <v>4121039.41701539</v>
      </c>
      <c r="I86" s="18">
        <f>E86*'GS&gt;50 Predicted Monthly (no LC)'!$P$10</f>
        <v>1902835.8048802968</v>
      </c>
      <c r="J86" s="18">
        <f>F86*'GS&gt;50 Predicted Monthly (no LC)'!$P$11</f>
        <v>0</v>
      </c>
      <c r="K86" s="18">
        <f t="shared" si="10"/>
        <v>6023875.2218956873</v>
      </c>
      <c r="L86" s="18">
        <f t="shared" si="11"/>
        <v>-87609.295425776392</v>
      </c>
      <c r="M86" s="35">
        <f t="shared" si="12"/>
        <v>1.4335190603440115E-2</v>
      </c>
      <c r="O86" s="18"/>
    </row>
    <row r="87" spans="1:20">
      <c r="A87" s="541">
        <f>'Monthly Data'!A87</f>
        <v>44958</v>
      </c>
      <c r="B87">
        <f t="shared" si="8"/>
        <v>2023</v>
      </c>
      <c r="C87">
        <f t="shared" si="9"/>
        <v>2</v>
      </c>
      <c r="D87" s="31">
        <f>'Monthly Data'!AB87</f>
        <v>5612165.2504506502</v>
      </c>
      <c r="E87" s="33">
        <f>'Monthly Data'!AQ87</f>
        <v>793.05833333333328</v>
      </c>
      <c r="F87" s="33">
        <f>'Monthly Data'!BB87</f>
        <v>0</v>
      </c>
      <c r="H87" s="18">
        <f>'GS&gt;50 Predicted Monthly (no LC)'!$P$9</f>
        <v>4121039.41701539</v>
      </c>
      <c r="I87" s="18">
        <f>E87*'GS&gt;50 Predicted Monthly (no LC)'!$P$10</f>
        <v>1836323.1898416369</v>
      </c>
      <c r="J87" s="18">
        <f>F87*'GS&gt;50 Predicted Monthly (no LC)'!$P$11</f>
        <v>0</v>
      </c>
      <c r="K87" s="18">
        <f t="shared" si="10"/>
        <v>5957362.6068570269</v>
      </c>
      <c r="L87" s="18">
        <f t="shared" si="11"/>
        <v>345197.3564063767</v>
      </c>
      <c r="M87" s="35">
        <f t="shared" si="12"/>
        <v>6.1508765512323031E-2</v>
      </c>
      <c r="O87" s="18"/>
    </row>
    <row r="88" spans="1:20">
      <c r="A88" s="541">
        <f>'Monthly Data'!A88</f>
        <v>44986</v>
      </c>
      <c r="B88">
        <f t="shared" si="8"/>
        <v>2023</v>
      </c>
      <c r="C88">
        <f t="shared" si="9"/>
        <v>3</v>
      </c>
      <c r="D88" s="31">
        <f>'Monthly Data'!AB88</f>
        <v>5717034.9835798396</v>
      </c>
      <c r="E88" s="33">
        <f>'Monthly Data'!AQ88</f>
        <v>690.10000000000025</v>
      </c>
      <c r="F88" s="33">
        <f>'Monthly Data'!BB88</f>
        <v>0</v>
      </c>
      <c r="H88" s="18">
        <f>'GS&gt;50 Predicted Monthly (no LC)'!$P$9</f>
        <v>4121039.41701539</v>
      </c>
      <c r="I88" s="18">
        <f>E88*'GS&gt;50 Predicted Monthly (no LC)'!$P$10</f>
        <v>1597923.6079435698</v>
      </c>
      <c r="J88" s="18">
        <f>F88*'GS&gt;50 Predicted Monthly (no LC)'!$P$11</f>
        <v>0</v>
      </c>
      <c r="K88" s="18">
        <f t="shared" si="10"/>
        <v>5718963.0249589598</v>
      </c>
      <c r="L88" s="18">
        <f t="shared" si="11"/>
        <v>1928.0413791202009</v>
      </c>
      <c r="M88" s="35">
        <f t="shared" si="12"/>
        <v>3.3724498532155525E-4</v>
      </c>
    </row>
    <row r="89" spans="1:20">
      <c r="A89" s="541">
        <f>'Monthly Data'!A89</f>
        <v>45017</v>
      </c>
      <c r="B89">
        <f t="shared" si="8"/>
        <v>2023</v>
      </c>
      <c r="C89">
        <f t="shared" si="9"/>
        <v>4</v>
      </c>
      <c r="D89" s="31">
        <f>'Monthly Data'!AB89</f>
        <v>5295320.7167090271</v>
      </c>
      <c r="E89" s="33">
        <f>'Monthly Data'!AQ89</f>
        <v>420.70833333333337</v>
      </c>
      <c r="F89" s="33">
        <f>'Monthly Data'!BB89</f>
        <v>18.508333333333347</v>
      </c>
      <c r="H89" s="18">
        <f>'GS&gt;50 Predicted Monthly (no LC)'!$P$9</f>
        <v>4121039.41701539</v>
      </c>
      <c r="I89" s="18">
        <f>E89*'GS&gt;50 Predicted Monthly (no LC)'!$P$10</f>
        <v>974148.35225608724</v>
      </c>
      <c r="J89" s="18">
        <f>F89*'GS&gt;50 Predicted Monthly (no LC)'!$P$11</f>
        <v>99986.123572745928</v>
      </c>
      <c r="K89" s="18">
        <f t="shared" si="10"/>
        <v>5195173.8928442234</v>
      </c>
      <c r="L89" s="18">
        <f t="shared" si="11"/>
        <v>-100146.82386480365</v>
      </c>
      <c r="M89" s="35">
        <f t="shared" si="12"/>
        <v>1.8912324526217477E-2</v>
      </c>
      <c r="O89" s="18"/>
    </row>
    <row r="90" spans="1:20">
      <c r="A90" s="541">
        <f>'Monthly Data'!A90</f>
        <v>45047</v>
      </c>
      <c r="B90">
        <f t="shared" si="8"/>
        <v>2023</v>
      </c>
      <c r="C90">
        <f t="shared" si="9"/>
        <v>5</v>
      </c>
      <c r="D90" s="31">
        <f>'Monthly Data'!AB90</f>
        <v>5193932.0498382142</v>
      </c>
      <c r="E90" s="33">
        <f>'Monthly Data'!AQ90</f>
        <v>234.95208333333341</v>
      </c>
      <c r="F90" s="33">
        <f>'Monthly Data'!BB90</f>
        <v>102.08124999999998</v>
      </c>
      <c r="H90" s="18">
        <f>'GS&gt;50 Predicted Monthly (no LC)'!$P$9</f>
        <v>4121039.41701539</v>
      </c>
      <c r="I90" s="18">
        <f>E90*'GS&gt;50 Predicted Monthly (no LC)'!$P$10</f>
        <v>544030.54730308393</v>
      </c>
      <c r="J90" s="18">
        <f>F90*'GS&gt;50 Predicted Monthly (no LC)'!$P$11</f>
        <v>551465.56381595833</v>
      </c>
      <c r="K90" s="18">
        <f t="shared" si="10"/>
        <v>5216535.5281344317</v>
      </c>
      <c r="L90" s="18">
        <f t="shared" si="11"/>
        <v>22603.478296217509</v>
      </c>
      <c r="M90" s="35">
        <f t="shared" si="12"/>
        <v>4.3519010413163922E-3</v>
      </c>
      <c r="O90" s="18"/>
      <c r="R90" s="18"/>
      <c r="S90" s="18"/>
      <c r="T90" s="73"/>
    </row>
    <row r="91" spans="1:20">
      <c r="A91" s="541">
        <f>'Monthly Data'!A91</f>
        <v>45078</v>
      </c>
      <c r="B91">
        <f t="shared" si="8"/>
        <v>2023</v>
      </c>
      <c r="C91">
        <f t="shared" si="9"/>
        <v>6</v>
      </c>
      <c r="D91" s="31">
        <f>'Monthly Data'!AB91</f>
        <v>5415159.1029674029</v>
      </c>
      <c r="E91" s="33">
        <f>'Monthly Data'!AQ91</f>
        <v>79.324999999999989</v>
      </c>
      <c r="F91" s="33">
        <f>'Monthly Data'!BB91</f>
        <v>236.22500000000002</v>
      </c>
      <c r="H91" s="18">
        <f>'GS&gt;50 Predicted Monthly (no LC)'!$P$9</f>
        <v>4121039.41701539</v>
      </c>
      <c r="I91" s="18">
        <f>E91*'GS&gt;50 Predicted Monthly (no LC)'!$P$10</f>
        <v>183676.6993191184</v>
      </c>
      <c r="J91" s="18">
        <f>F91*'GS&gt;50 Predicted Monthly (no LC)'!$P$11</f>
        <v>1276139.8671394088</v>
      </c>
      <c r="K91" s="18">
        <f t="shared" si="10"/>
        <v>5580855.9834739175</v>
      </c>
      <c r="L91" s="18">
        <f t="shared" si="11"/>
        <v>165696.88050651457</v>
      </c>
      <c r="M91" s="35">
        <f t="shared" si="12"/>
        <v>3.059870954035605E-2</v>
      </c>
      <c r="O91" s="18"/>
      <c r="R91" s="18"/>
      <c r="S91" s="18"/>
      <c r="T91" s="73"/>
    </row>
    <row r="92" spans="1:20">
      <c r="A92" s="541">
        <f>'Monthly Data'!A92</f>
        <v>45108</v>
      </c>
      <c r="B92">
        <f t="shared" si="8"/>
        <v>2023</v>
      </c>
      <c r="C92">
        <f t="shared" si="9"/>
        <v>7</v>
      </c>
      <c r="D92" s="31">
        <f>'Monthly Data'!AB92</f>
        <v>5909359.3160965908</v>
      </c>
      <c r="E92" s="33">
        <f>'Monthly Data'!AQ92</f>
        <v>27.016666666666673</v>
      </c>
      <c r="F92" s="33">
        <f>'Monthly Data'!BB92</f>
        <v>317.62083333333328</v>
      </c>
      <c r="H92" s="18">
        <f>'GS&gt;50 Predicted Monthly (no LC)'!$P$9</f>
        <v>4121039.41701539</v>
      </c>
      <c r="I92" s="18">
        <f>E92*'GS&gt;50 Predicted Monthly (no LC)'!$P$10</f>
        <v>62556.976488347733</v>
      </c>
      <c r="J92" s="18">
        <f>F92*'GS&gt;50 Predicted Monthly (no LC)'!$P$11</f>
        <v>1715858.2201321123</v>
      </c>
      <c r="K92" s="18">
        <f t="shared" si="10"/>
        <v>5899454.6136358501</v>
      </c>
      <c r="L92" s="18">
        <f t="shared" si="11"/>
        <v>-9904.7024607406929</v>
      </c>
      <c r="M92" s="35">
        <f t="shared" si="12"/>
        <v>1.6761042832107245E-3</v>
      </c>
      <c r="O92" s="18"/>
      <c r="R92" s="18"/>
      <c r="S92" s="18"/>
      <c r="T92" s="73"/>
    </row>
    <row r="93" spans="1:20">
      <c r="A93" s="541">
        <f>'Monthly Data'!A93</f>
        <v>45139</v>
      </c>
      <c r="B93">
        <f t="shared" si="8"/>
        <v>2023</v>
      </c>
      <c r="C93">
        <f t="shared" si="9"/>
        <v>8</v>
      </c>
      <c r="D93" s="31">
        <f>'Monthly Data'!AB93</f>
        <v>5453866.5692257779</v>
      </c>
      <c r="E93" s="33">
        <f>'Monthly Data'!AQ93</f>
        <v>78.083333333333329</v>
      </c>
      <c r="F93" s="33">
        <f>'Monthly Data'!BB93</f>
        <v>232.83333333333337</v>
      </c>
      <c r="H93" s="18">
        <f>'GS&gt;50 Predicted Monthly (no LC)'!$P$9</f>
        <v>4121039.41701539</v>
      </c>
      <c r="I93" s="18">
        <f>E93*'GS&gt;50 Predicted Monthly (no LC)'!$P$10</f>
        <v>180801.62544596486</v>
      </c>
      <c r="J93" s="18">
        <f>F93*'GS&gt;50 Predicted Monthly (no LC)'!$P$11</f>
        <v>1257817.3312123006</v>
      </c>
      <c r="K93" s="18">
        <f t="shared" si="10"/>
        <v>5559658.373673656</v>
      </c>
      <c r="L93" s="18">
        <f t="shared" si="11"/>
        <v>105791.80444787815</v>
      </c>
      <c r="M93" s="35">
        <f t="shared" si="12"/>
        <v>1.939757841616873E-2</v>
      </c>
      <c r="O93" s="18"/>
      <c r="R93" s="18"/>
      <c r="S93" s="18"/>
      <c r="T93" s="73"/>
    </row>
    <row r="94" spans="1:20">
      <c r="A94" s="541">
        <f>'Monthly Data'!A94</f>
        <v>45170</v>
      </c>
      <c r="B94">
        <f t="shared" si="8"/>
        <v>2023</v>
      </c>
      <c r="C94">
        <f t="shared" si="9"/>
        <v>9</v>
      </c>
      <c r="D94" s="31">
        <f>'Monthly Data'!AB94</f>
        <v>5341587.0623549661</v>
      </c>
      <c r="E94" s="33">
        <f>'Monthly Data'!AQ94</f>
        <v>162.20833333333331</v>
      </c>
      <c r="F94" s="33">
        <f>'Monthly Data'!BB94</f>
        <v>154.46666666666673</v>
      </c>
      <c r="H94" s="18">
        <f>'GS&gt;50 Predicted Monthly (no LC)'!$P$9</f>
        <v>4121039.41701539</v>
      </c>
      <c r="I94" s="18">
        <f>E94*'GS&gt;50 Predicted Monthly (no LC)'!$P$10</f>
        <v>375592.70430156944</v>
      </c>
      <c r="J94" s="18">
        <f>F94*'GS&gt;50 Predicted Monthly (no LC)'!$P$11</f>
        <v>834463.2087097785</v>
      </c>
      <c r="K94" s="18">
        <f t="shared" si="10"/>
        <v>5331095.3300267374</v>
      </c>
      <c r="L94" s="18">
        <f t="shared" si="11"/>
        <v>-10491.732328228652</v>
      </c>
      <c r="M94" s="35">
        <f t="shared" si="12"/>
        <v>1.9641601280206639E-3</v>
      </c>
      <c r="O94" s="18"/>
      <c r="R94" s="18"/>
      <c r="S94" s="18"/>
      <c r="T94" s="73"/>
    </row>
    <row r="95" spans="1:20">
      <c r="A95" s="541">
        <f>'Monthly Data'!A95</f>
        <v>45200</v>
      </c>
      <c r="B95">
        <f t="shared" si="8"/>
        <v>2023</v>
      </c>
      <c r="C95">
        <f t="shared" si="9"/>
        <v>10</v>
      </c>
      <c r="D95" s="31">
        <f>'Monthly Data'!AB95</f>
        <v>5332068.0354841538</v>
      </c>
      <c r="E95" s="33">
        <f>'Monthly Data'!AQ95</f>
        <v>308.94999999999993</v>
      </c>
      <c r="F95" s="33">
        <f>'Monthly Data'!BB95</f>
        <v>69.26666666666668</v>
      </c>
      <c r="H95" s="18">
        <f>'GS&gt;50 Predicted Monthly (no LC)'!$P$9</f>
        <v>4121039.41701539</v>
      </c>
      <c r="I95" s="18">
        <f>E95*'GS&gt;50 Predicted Monthly (no LC)'!$P$10</f>
        <v>715372.40787446103</v>
      </c>
      <c r="J95" s="18">
        <f>F95*'GS&gt;50 Predicted Monthly (no LC)'!$P$11</f>
        <v>374193.90325829072</v>
      </c>
      <c r="K95" s="18">
        <f t="shared" si="10"/>
        <v>5210605.7281481419</v>
      </c>
      <c r="L95" s="18">
        <f t="shared" si="11"/>
        <v>-121462.3073360119</v>
      </c>
      <c r="M95" s="35">
        <f t="shared" si="12"/>
        <v>2.2779586930942654E-2</v>
      </c>
      <c r="O95" s="18"/>
      <c r="R95" s="18"/>
      <c r="S95" s="18"/>
      <c r="T95" s="73"/>
    </row>
    <row r="96" spans="1:20">
      <c r="A96" s="541">
        <f>'Monthly Data'!A96</f>
        <v>45231</v>
      </c>
      <c r="B96">
        <f t="shared" si="8"/>
        <v>2023</v>
      </c>
      <c r="C96">
        <f t="shared" si="9"/>
        <v>11</v>
      </c>
      <c r="D96" s="31">
        <f>'Monthly Data'!AB96</f>
        <v>5500255.8086133422</v>
      </c>
      <c r="E96" s="33">
        <f>'Monthly Data'!AQ96</f>
        <v>616.27291666666667</v>
      </c>
      <c r="F96" s="33">
        <f>'Monthly Data'!BB96</f>
        <v>0</v>
      </c>
      <c r="H96" s="18">
        <f>'GS&gt;50 Predicted Monthly (no LC)'!$P$9</f>
        <v>4121039.41701539</v>
      </c>
      <c r="I96" s="18">
        <f>E96*'GS&gt;50 Predicted Monthly (no LC)'!$P$10</f>
        <v>1426977.3112272229</v>
      </c>
      <c r="J96" s="18">
        <f>F96*'GS&gt;50 Predicted Monthly (no LC)'!$P$11</f>
        <v>0</v>
      </c>
      <c r="K96" s="18">
        <f t="shared" si="10"/>
        <v>5548016.7282426134</v>
      </c>
      <c r="L96" s="18">
        <f t="shared" si="11"/>
        <v>47760.919629271142</v>
      </c>
      <c r="M96" s="35">
        <f t="shared" si="12"/>
        <v>8.6833996983336752E-3</v>
      </c>
      <c r="O96" s="18"/>
      <c r="R96" s="18"/>
      <c r="S96" s="18"/>
      <c r="T96" s="73"/>
    </row>
    <row r="97" spans="1:20">
      <c r="A97" s="541">
        <f>'Monthly Data'!A97</f>
        <v>45261</v>
      </c>
      <c r="B97">
        <f t="shared" si="8"/>
        <v>2023</v>
      </c>
      <c r="C97">
        <f t="shared" si="9"/>
        <v>12</v>
      </c>
      <c r="D97" s="31">
        <f>'Monthly Data'!AB97</f>
        <v>5870549.5817425298</v>
      </c>
      <c r="E97" s="33">
        <f>'Monthly Data'!AQ97</f>
        <v>713.16250000000014</v>
      </c>
      <c r="F97" s="33">
        <f>'Monthly Data'!BB97</f>
        <v>0</v>
      </c>
      <c r="H97" s="18">
        <f>'GS&gt;50 Predicted Monthly (no LC)'!$P$9</f>
        <v>4121039.41701539</v>
      </c>
      <c r="I97" s="18">
        <f>E97*'GS&gt;50 Predicted Monthly (no LC)'!$P$10</f>
        <v>1651324.7283727806</v>
      </c>
      <c r="J97" s="18">
        <f>F97*'GS&gt;50 Predicted Monthly (no LC)'!$P$11</f>
        <v>0</v>
      </c>
      <c r="K97" s="18">
        <f t="shared" si="10"/>
        <v>5772364.1453881711</v>
      </c>
      <c r="L97" s="18">
        <f t="shared" si="11"/>
        <v>-98185.436354358681</v>
      </c>
      <c r="M97" s="35">
        <f t="shared" si="12"/>
        <v>1.6725084251007164E-2</v>
      </c>
      <c r="O97" s="18"/>
      <c r="R97" s="18"/>
      <c r="S97" s="18"/>
      <c r="T97" s="73"/>
    </row>
    <row r="98" spans="1:20">
      <c r="A98" s="541">
        <f>'Monthly Data'!A98</f>
        <v>45292</v>
      </c>
      <c r="B98">
        <f t="shared" si="8"/>
        <v>2024</v>
      </c>
      <c r="C98">
        <f t="shared" si="9"/>
        <v>1</v>
      </c>
      <c r="D98" s="31">
        <f>'Monthly Data'!AB98</f>
        <v>6249528.2786970027</v>
      </c>
      <c r="E98" s="33">
        <f>'Monthly Data'!AQ98</f>
        <v>829.07916666666677</v>
      </c>
      <c r="F98" s="33">
        <f>'Monthly Data'!BB98</f>
        <v>0</v>
      </c>
      <c r="H98" s="18">
        <f>'GS&gt;50 Predicted Monthly (no LC)'!$P$9</f>
        <v>4121039.41701539</v>
      </c>
      <c r="I98" s="18">
        <f>E98*'GS&gt;50 Predicted Monthly (no LC)'!$P$10</f>
        <v>1919729.2758597997</v>
      </c>
      <c r="J98" s="18">
        <f>F98*'GS&gt;50 Predicted Monthly (no LC)'!$P$11</f>
        <v>0</v>
      </c>
      <c r="K98" s="18">
        <f t="shared" ref="K98:K121" si="13">SUM(H98:J98)</f>
        <v>6040768.6928751897</v>
      </c>
      <c r="L98" s="18">
        <f t="shared" ref="L98:L121" si="14">K98-D98</f>
        <v>-208759.58582181297</v>
      </c>
      <c r="M98" s="35">
        <f t="shared" ref="M98:M121" si="15">ABS(L98/D98)</f>
        <v>3.3404054916179746E-2</v>
      </c>
      <c r="O98" s="18"/>
      <c r="R98" s="18"/>
      <c r="S98" s="18"/>
      <c r="T98" s="73"/>
    </row>
    <row r="99" spans="1:20">
      <c r="A99" s="541">
        <f>'Monthly Data'!A99</f>
        <v>45323</v>
      </c>
      <c r="B99">
        <f t="shared" si="8"/>
        <v>2024</v>
      </c>
      <c r="C99">
        <f t="shared" si="9"/>
        <v>2</v>
      </c>
      <c r="D99" s="31">
        <f>'Monthly Data'!AB99</f>
        <v>5606591.5732523361</v>
      </c>
      <c r="E99" s="33">
        <f>'Monthly Data'!AQ99</f>
        <v>711.87916666666661</v>
      </c>
      <c r="F99" s="33">
        <f>'Monthly Data'!BB99</f>
        <v>0</v>
      </c>
      <c r="H99" s="18">
        <f>'GS&gt;50 Predicted Monthly (no LC)'!$P$9</f>
        <v>4121039.41701539</v>
      </c>
      <c r="I99" s="18">
        <f>E99*'GS&gt;50 Predicted Monthly (no LC)'!$P$10</f>
        <v>1648353.1755105946</v>
      </c>
      <c r="J99" s="18">
        <f>F99*'GS&gt;50 Predicted Monthly (no LC)'!$P$11</f>
        <v>0</v>
      </c>
      <c r="K99" s="18">
        <f t="shared" si="13"/>
        <v>5769392.5925259851</v>
      </c>
      <c r="L99" s="18">
        <f t="shared" si="14"/>
        <v>162801.01927364897</v>
      </c>
      <c r="M99" s="35">
        <f t="shared" si="15"/>
        <v>2.9037431592187388E-2</v>
      </c>
      <c r="O99" s="18"/>
      <c r="R99" s="18"/>
      <c r="S99" s="18"/>
      <c r="T99" s="73"/>
    </row>
    <row r="100" spans="1:20">
      <c r="A100" s="541">
        <f>'Monthly Data'!A100</f>
        <v>45352</v>
      </c>
      <c r="B100">
        <f t="shared" si="8"/>
        <v>2024</v>
      </c>
      <c r="C100">
        <f t="shared" si="9"/>
        <v>3</v>
      </c>
      <c r="D100" s="31">
        <f>'Monthly Data'!AB100</f>
        <v>5626603.7478076704</v>
      </c>
      <c r="E100" s="33">
        <f>'Monthly Data'!AQ100</f>
        <v>596.57916666666665</v>
      </c>
      <c r="F100" s="33">
        <f>'Monthly Data'!BB100</f>
        <v>0</v>
      </c>
      <c r="H100" s="18">
        <f>'GS&gt;50 Predicted Monthly (no LC)'!$P$9</f>
        <v>4121039.41701539</v>
      </c>
      <c r="I100" s="18">
        <f>E100*'GS&gt;50 Predicted Monthly (no LC)'!$P$10</f>
        <v>1381376.5170612489</v>
      </c>
      <c r="J100" s="18">
        <f>F100*'GS&gt;50 Predicted Monthly (no LC)'!$P$11</f>
        <v>0</v>
      </c>
      <c r="K100" s="18">
        <f t="shared" si="13"/>
        <v>5502415.9340766389</v>
      </c>
      <c r="L100" s="18">
        <f t="shared" si="14"/>
        <v>-124187.81373103149</v>
      </c>
      <c r="M100" s="35">
        <f t="shared" si="15"/>
        <v>2.2071540719287294E-2</v>
      </c>
      <c r="O100" s="18"/>
    </row>
    <row r="101" spans="1:20">
      <c r="A101" s="541">
        <f>'Monthly Data'!A101</f>
        <v>45383</v>
      </c>
      <c r="B101">
        <f t="shared" si="8"/>
        <v>2024</v>
      </c>
      <c r="C101">
        <f t="shared" si="9"/>
        <v>4</v>
      </c>
      <c r="D101" s="31">
        <f>'Monthly Data'!AB101</f>
        <v>5088750.3623630051</v>
      </c>
      <c r="E101" s="33">
        <f>'Monthly Data'!AQ101</f>
        <v>417.11249999999995</v>
      </c>
      <c r="F101" s="33">
        <f>'Monthly Data'!BB101</f>
        <v>7.8500000000000032</v>
      </c>
      <c r="H101" s="18">
        <f>'GS&gt;50 Predicted Monthly (no LC)'!$P$9</f>
        <v>4121039.41701539</v>
      </c>
      <c r="I101" s="18">
        <f>E101*'GS&gt;50 Predicted Monthly (no LC)'!$P$10</f>
        <v>965822.21550262556</v>
      </c>
      <c r="J101" s="18">
        <f>F101*'GS&gt;50 Predicted Monthly (no LC)'!$P$11</f>
        <v>42407.441875518525</v>
      </c>
      <c r="K101" s="18">
        <f t="shared" si="13"/>
        <v>5129269.0743935341</v>
      </c>
      <c r="L101" s="18">
        <f t="shared" si="14"/>
        <v>40518.712030529045</v>
      </c>
      <c r="M101" s="35">
        <f t="shared" si="15"/>
        <v>7.9624090680907034E-3</v>
      </c>
      <c r="T101" s="61"/>
    </row>
    <row r="102" spans="1:20">
      <c r="A102" s="541">
        <f>'Monthly Data'!A102</f>
        <v>45413</v>
      </c>
      <c r="B102">
        <f t="shared" si="8"/>
        <v>2024</v>
      </c>
      <c r="C102">
        <f t="shared" si="9"/>
        <v>5</v>
      </c>
      <c r="D102" s="31">
        <f>'Monthly Data'!AB102</f>
        <v>5269132.5769183394</v>
      </c>
      <c r="E102" s="33">
        <f>'Monthly Data'!AQ102</f>
        <v>162.30416666666667</v>
      </c>
      <c r="F102" s="33">
        <f>'Monthly Data'!BB102</f>
        <v>148.82500000000002</v>
      </c>
      <c r="H102" s="18">
        <f>'GS&gt;50 Predicted Monthly (no LC)'!$P$9</f>
        <v>4121039.41701539</v>
      </c>
      <c r="I102" s="18">
        <f>E102*'GS&gt;50 Predicted Monthly (no LC)'!$P$10</f>
        <v>375814.6059763431</v>
      </c>
      <c r="J102" s="18">
        <f>F102*'GS&gt;50 Predicted Monthly (no LC)'!$P$11</f>
        <v>803985.67351898632</v>
      </c>
      <c r="K102" s="18">
        <f t="shared" si="13"/>
        <v>5300839.6965107191</v>
      </c>
      <c r="L102" s="18">
        <f t="shared" si="14"/>
        <v>31707.119592379779</v>
      </c>
      <c r="M102" s="35">
        <f t="shared" si="15"/>
        <v>6.0175216944197175E-3</v>
      </c>
    </row>
    <row r="103" spans="1:20">
      <c r="A103" s="541">
        <f>'Monthly Data'!A103</f>
        <v>45444</v>
      </c>
      <c r="B103">
        <f t="shared" si="8"/>
        <v>2024</v>
      </c>
      <c r="C103">
        <f t="shared" si="9"/>
        <v>6</v>
      </c>
      <c r="D103" s="31">
        <f>'Monthly Data'!AB103</f>
        <v>5374140.2314736731</v>
      </c>
      <c r="E103" s="33">
        <f>'Monthly Data'!AQ103</f>
        <v>82.241666666666674</v>
      </c>
      <c r="F103" s="33">
        <f>'Monthly Data'!BB103</f>
        <v>245.28333333333333</v>
      </c>
      <c r="H103" s="18">
        <f>'GS&gt;50 Predicted Monthly (no LC)'!$P$9</f>
        <v>4121039.41701539</v>
      </c>
      <c r="I103" s="18">
        <f>E103*'GS&gt;50 Predicted Monthly (no LC)'!$P$10</f>
        <v>190430.22855135833</v>
      </c>
      <c r="J103" s="18">
        <f>F103*'GS&gt;50 Predicted Monthly (no LC)'!$P$11</f>
        <v>1325074.9938046832</v>
      </c>
      <c r="K103" s="18">
        <f t="shared" si="13"/>
        <v>5636544.6393714314</v>
      </c>
      <c r="L103" s="18">
        <f t="shared" si="14"/>
        <v>262404.4078977583</v>
      </c>
      <c r="M103" s="35">
        <f t="shared" si="15"/>
        <v>4.8827234980022637E-2</v>
      </c>
    </row>
    <row r="104" spans="1:20">
      <c r="A104" s="541">
        <f>'Monthly Data'!A104</f>
        <v>45474</v>
      </c>
      <c r="B104">
        <f t="shared" si="8"/>
        <v>2024</v>
      </c>
      <c r="C104">
        <f t="shared" si="9"/>
        <v>7</v>
      </c>
      <c r="D104" s="31">
        <f>'Monthly Data'!AB104</f>
        <v>5841560.4860290075</v>
      </c>
      <c r="E104" s="33">
        <f>'Monthly Data'!AQ104</f>
        <v>17.166666666666668</v>
      </c>
      <c r="F104" s="33">
        <f>'Monthly Data'!BB104</f>
        <v>336.14166666666665</v>
      </c>
      <c r="H104" s="18">
        <f>'GS&gt;50 Predicted Monthly (no LC)'!$P$9</f>
        <v>4121039.41701539</v>
      </c>
      <c r="I104" s="18">
        <f>E104*'GS&gt;50 Predicted Monthly (no LC)'!$P$10</f>
        <v>39749.343481183314</v>
      </c>
      <c r="J104" s="18">
        <f>F104*'GS&gt;50 Predicted Monthly (no LC)'!$P$11</f>
        <v>1815911.8714785455</v>
      </c>
      <c r="K104" s="18">
        <f t="shared" si="13"/>
        <v>5976700.631975119</v>
      </c>
      <c r="L104" s="18">
        <f t="shared" si="14"/>
        <v>135140.14594611153</v>
      </c>
      <c r="M104" s="35">
        <f t="shared" si="15"/>
        <v>2.3134254326274636E-2</v>
      </c>
    </row>
    <row r="105" spans="1:20">
      <c r="A105" s="541">
        <f>'Monthly Data'!A105</f>
        <v>45505</v>
      </c>
      <c r="B105">
        <f t="shared" si="8"/>
        <v>2024</v>
      </c>
      <c r="C105">
        <f t="shared" si="9"/>
        <v>8</v>
      </c>
      <c r="D105" s="31">
        <f>'Monthly Data'!AB105</f>
        <v>5588607.1405843413</v>
      </c>
      <c r="E105" s="33">
        <f>'Monthly Data'!AQ105</f>
        <v>63.7</v>
      </c>
      <c r="F105" s="33">
        <f>'Monthly Data'!BB105</f>
        <v>274.65000000000003</v>
      </c>
      <c r="H105" s="18">
        <f>'GS&gt;50 Predicted Monthly (no LC)'!$P$9</f>
        <v>4121039.41701539</v>
      </c>
      <c r="I105" s="18">
        <f>E105*'GS&gt;50 Predicted Monthly (no LC)'!$P$10</f>
        <v>147497.07843211904</v>
      </c>
      <c r="J105" s="18">
        <f>F105*'GS&gt;50 Predicted Monthly (no LC)'!$P$11</f>
        <v>1483720.2434536507</v>
      </c>
      <c r="K105" s="18">
        <f t="shared" si="13"/>
        <v>5752256.7389011597</v>
      </c>
      <c r="L105" s="18">
        <f t="shared" si="14"/>
        <v>163649.59831681848</v>
      </c>
      <c r="M105" s="35">
        <f t="shared" si="15"/>
        <v>2.9282716462282473E-2</v>
      </c>
    </row>
    <row r="106" spans="1:20">
      <c r="A106" s="541">
        <f>'Monthly Data'!A106</f>
        <v>45536</v>
      </c>
      <c r="B106">
        <f t="shared" si="8"/>
        <v>2024</v>
      </c>
      <c r="C106">
        <f t="shared" si="9"/>
        <v>9</v>
      </c>
      <c r="D106" s="31">
        <f>'Monthly Data'!AB106</f>
        <v>5358645.3951396765</v>
      </c>
      <c r="E106" s="33">
        <f>'Monthly Data'!AQ106</f>
        <v>120.98333333333333</v>
      </c>
      <c r="F106" s="33">
        <f>'Monthly Data'!BB106</f>
        <v>181.45</v>
      </c>
      <c r="H106" s="18">
        <f>'GS&gt;50 Predicted Monthly (no LC)'!$P$9</f>
        <v>4121039.41701539</v>
      </c>
      <c r="I106" s="18">
        <f>E106*'GS&gt;50 Predicted Monthly (no LC)'!$P$10</f>
        <v>280136.39255331038</v>
      </c>
      <c r="J106" s="18">
        <f>F106*'GS&gt;50 Predicted Monthly (no LC)'!$P$11</f>
        <v>980233.16284239898</v>
      </c>
      <c r="K106" s="18">
        <f t="shared" si="13"/>
        <v>5381408.9724110998</v>
      </c>
      <c r="L106" s="18">
        <f t="shared" si="14"/>
        <v>22763.577271423303</v>
      </c>
      <c r="M106" s="35">
        <f t="shared" si="15"/>
        <v>4.2480096354332387E-3</v>
      </c>
    </row>
    <row r="107" spans="1:20">
      <c r="A107" s="541">
        <f>'Monthly Data'!A107</f>
        <v>45566</v>
      </c>
      <c r="B107">
        <f t="shared" si="8"/>
        <v>2024</v>
      </c>
      <c r="C107">
        <f t="shared" si="9"/>
        <v>10</v>
      </c>
      <c r="D107" s="31">
        <f>'Monthly Data'!AB107</f>
        <v>5216942.0496950103</v>
      </c>
      <c r="E107" s="33">
        <f>'Monthly Data'!AQ107</f>
        <v>360.05833333333328</v>
      </c>
      <c r="F107" s="33">
        <f>'Monthly Data'!BB107</f>
        <v>39.741666666666674</v>
      </c>
      <c r="H107" s="18">
        <f>'GS&gt;50 Predicted Monthly (no LC)'!$P$9</f>
        <v>4121039.41701539</v>
      </c>
      <c r="I107" s="18">
        <f>E107*'GS&gt;50 Predicted Monthly (no LC)'!$P$10</f>
        <v>833713.53582111024</v>
      </c>
      <c r="J107" s="18">
        <f>F107*'GS&gt;50 Predicted Monthly (no LC)'!$P$11</f>
        <v>214693.30180928641</v>
      </c>
      <c r="K107" s="18">
        <f t="shared" si="13"/>
        <v>5169446.2546457872</v>
      </c>
      <c r="L107" s="18">
        <f t="shared" si="14"/>
        <v>-47495.795049223118</v>
      </c>
      <c r="M107" s="35">
        <f t="shared" si="15"/>
        <v>9.1041446496419841E-3</v>
      </c>
    </row>
    <row r="108" spans="1:20">
      <c r="A108" s="541">
        <f>'Monthly Data'!A108</f>
        <v>45597</v>
      </c>
      <c r="B108">
        <f t="shared" si="8"/>
        <v>2024</v>
      </c>
      <c r="C108">
        <f t="shared" si="9"/>
        <v>11</v>
      </c>
      <c r="D108" s="31">
        <f>'Monthly Data'!AB108</f>
        <v>5269712.9042503452</v>
      </c>
      <c r="E108" s="33">
        <f>'Monthly Data'!AQ108</f>
        <v>506.44583333333338</v>
      </c>
      <c r="F108" s="33">
        <f>'Monthly Data'!BB108</f>
        <v>6.6374999999999975</v>
      </c>
      <c r="H108" s="18">
        <f>'GS&gt;50 Predicted Monthly (no LC)'!$P$9</f>
        <v>4121039.41701539</v>
      </c>
      <c r="I108" s="18">
        <f>E108*'GS&gt;50 Predicted Monthly (no LC)'!$P$10</f>
        <v>1172673.1679872302</v>
      </c>
      <c r="J108" s="18">
        <f>F108*'GS&gt;50 Predicted Monthly (no LC)'!$P$11</f>
        <v>35857.247827866748</v>
      </c>
      <c r="K108" s="18">
        <f t="shared" si="13"/>
        <v>5329569.8328304868</v>
      </c>
      <c r="L108" s="18">
        <f t="shared" si="14"/>
        <v>59856.928580141626</v>
      </c>
      <c r="M108" s="35">
        <f t="shared" si="15"/>
        <v>1.1358669754449689E-2</v>
      </c>
    </row>
    <row r="109" spans="1:20">
      <c r="A109" s="541">
        <f>'Monthly Data'!A109</f>
        <v>45627</v>
      </c>
      <c r="B109">
        <f t="shared" si="8"/>
        <v>2024</v>
      </c>
      <c r="C109">
        <f t="shared" si="9"/>
        <v>12</v>
      </c>
      <c r="D109" s="31">
        <f>'Monthly Data'!AB109</f>
        <v>5848692.7588056792</v>
      </c>
      <c r="E109" s="33">
        <f>'Monthly Data'!AQ109</f>
        <v>796.64791666666656</v>
      </c>
      <c r="F109" s="33">
        <f>'Monthly Data'!BB109</f>
        <v>0</v>
      </c>
      <c r="H109" s="18">
        <f>'GS&gt;50 Predicted Monthly (no LC)'!$P$9</f>
        <v>4121039.41701539</v>
      </c>
      <c r="I109" s="18">
        <f>E109*'GS&gt;50 Predicted Monthly (no LC)'!$P$10</f>
        <v>1844634.8547467433</v>
      </c>
      <c r="J109" s="18">
        <f>F109*'GS&gt;50 Predicted Monthly (no LC)'!$P$11</f>
        <v>0</v>
      </c>
      <c r="K109" s="18">
        <f t="shared" si="13"/>
        <v>5965674.2717621336</v>
      </c>
      <c r="L109" s="18">
        <f t="shared" si="14"/>
        <v>116981.51295645442</v>
      </c>
      <c r="M109" s="35">
        <f t="shared" si="15"/>
        <v>2.0001309314860025E-2</v>
      </c>
    </row>
    <row r="110" spans="1:20">
      <c r="A110" s="541">
        <f>'Monthly Data'!A110</f>
        <v>45658</v>
      </c>
      <c r="B110">
        <f t="shared" si="8"/>
        <v>2025</v>
      </c>
      <c r="C110">
        <f t="shared" si="9"/>
        <v>1</v>
      </c>
      <c r="D110" s="31">
        <f>'Monthly Data'!AB110</f>
        <v>6253700.5120626036</v>
      </c>
      <c r="E110" s="33">
        <f>'Monthly Data'!AQ110</f>
        <v>930.57291666666663</v>
      </c>
      <c r="F110" s="33">
        <f>'Monthly Data'!BB110</f>
        <v>0</v>
      </c>
      <c r="H110" s="18">
        <f>'GS&gt;50 Predicted Monthly (no LC)'!$P$9</f>
        <v>4121039.41701539</v>
      </c>
      <c r="I110" s="18">
        <f>E110*'GS&gt;50 Predicted Monthly (no LC)'!$P$10</f>
        <v>2154737.6212933925</v>
      </c>
      <c r="J110" s="18">
        <f>F110*'GS&gt;50 Predicted Monthly (no LC)'!$P$11</f>
        <v>0</v>
      </c>
      <c r="K110" s="18">
        <f t="shared" si="13"/>
        <v>6275777.0383087825</v>
      </c>
      <c r="L110" s="18">
        <f t="shared" si="14"/>
        <v>22076.526246178895</v>
      </c>
      <c r="M110" s="35">
        <f t="shared" si="15"/>
        <v>3.5301540589601382E-3</v>
      </c>
    </row>
    <row r="111" spans="1:20">
      <c r="A111" s="541">
        <f>'Monthly Data'!A111</f>
        <v>45689</v>
      </c>
      <c r="B111">
        <f t="shared" si="8"/>
        <v>2025</v>
      </c>
      <c r="C111">
        <f t="shared" si="9"/>
        <v>2</v>
      </c>
      <c r="D111" s="31">
        <f>'Monthly Data'!AB111</f>
        <v>5650064.5591707714</v>
      </c>
      <c r="E111" s="33">
        <f>'Monthly Data'!AQ111</f>
        <v>851.05000000000007</v>
      </c>
      <c r="F111" s="33">
        <f>'Monthly Data'!BB111</f>
        <v>0</v>
      </c>
      <c r="H111" s="18">
        <f>'GS&gt;50 Predicted Monthly (no LC)'!$P$9</f>
        <v>4121039.41701539</v>
      </c>
      <c r="I111" s="18">
        <f>E111*'GS&gt;50 Predicted Monthly (no LC)'!$P$10</f>
        <v>1970602.6467763723</v>
      </c>
      <c r="J111" s="18">
        <f>F111*'GS&gt;50 Predicted Monthly (no LC)'!$P$11</f>
        <v>0</v>
      </c>
      <c r="K111" s="18">
        <f t="shared" si="13"/>
        <v>6091642.0637917621</v>
      </c>
      <c r="L111" s="18">
        <f t="shared" si="14"/>
        <v>441577.50462099072</v>
      </c>
      <c r="M111" s="35">
        <f t="shared" si="15"/>
        <v>7.8154417528602291E-2</v>
      </c>
    </row>
    <row r="112" spans="1:20">
      <c r="A112" s="541">
        <f>'Monthly Data'!A112</f>
        <v>45717</v>
      </c>
      <c r="B112">
        <f t="shared" si="8"/>
        <v>2025</v>
      </c>
      <c r="C112">
        <f t="shared" si="9"/>
        <v>3</v>
      </c>
      <c r="D112" s="31">
        <f>'Monthly Data'!AB112</f>
        <v>5728253.8062789394</v>
      </c>
      <c r="E112" s="33">
        <f>'Monthly Data'!AQ112</f>
        <v>682.18333333333362</v>
      </c>
      <c r="F112" s="33">
        <f>'Monthly Data'!BB112</f>
        <v>0</v>
      </c>
      <c r="H112" s="18">
        <f>'GS&gt;50 Predicted Monthly (no LC)'!$P$9</f>
        <v>4121039.41701539</v>
      </c>
      <c r="I112" s="18">
        <f>E112*'GS&gt;50 Predicted Monthly (no LC)'!$P$10</f>
        <v>1579592.6000274902</v>
      </c>
      <c r="J112" s="18">
        <f>F112*'GS&gt;50 Predicted Monthly (no LC)'!$P$11</f>
        <v>0</v>
      </c>
      <c r="K112" s="18">
        <f t="shared" si="13"/>
        <v>5700632.0170428799</v>
      </c>
      <c r="L112" s="18">
        <f t="shared" si="14"/>
        <v>-27621.789236059412</v>
      </c>
      <c r="M112" s="35">
        <f t="shared" si="15"/>
        <v>4.8220260781360984E-3</v>
      </c>
    </row>
    <row r="113" spans="1:13">
      <c r="A113" s="541">
        <f>'Monthly Data'!A113</f>
        <v>45748</v>
      </c>
      <c r="B113">
        <f t="shared" si="8"/>
        <v>2025</v>
      </c>
      <c r="C113">
        <f t="shared" si="9"/>
        <v>4</v>
      </c>
      <c r="D113" s="31">
        <f>'Monthly Data'!AB113</f>
        <v>5156675.2533871075</v>
      </c>
      <c r="E113" s="33">
        <f>'Monthly Data'!AQ113</f>
        <v>479.43541666666664</v>
      </c>
      <c r="F113" s="33">
        <f>'Monthly Data'!BB113</f>
        <v>8.80833333333333</v>
      </c>
      <c r="H113" s="18">
        <f>'GS&gt;50 Predicted Monthly (no LC)'!$P$9</f>
        <v>4121039.41701539</v>
      </c>
      <c r="I113" s="18">
        <f>E113*'GS&gt;50 Predicted Monthly (no LC)'!$P$10</f>
        <v>1110130.663347237</v>
      </c>
      <c r="J113" s="18">
        <f>F113*'GS&gt;50 Predicted Monthly (no LC)'!$P$11</f>
        <v>47584.57119153189</v>
      </c>
      <c r="K113" s="18">
        <f t="shared" si="13"/>
        <v>5278754.6515541589</v>
      </c>
      <c r="L113" s="18">
        <f t="shared" si="14"/>
        <v>122079.39816705137</v>
      </c>
      <c r="M113" s="35">
        <f t="shared" si="15"/>
        <v>2.3674052013817393E-2</v>
      </c>
    </row>
    <row r="114" spans="1:13">
      <c r="A114" s="541">
        <f>'Monthly Data'!A114</f>
        <v>45778</v>
      </c>
      <c r="B114">
        <f t="shared" si="8"/>
        <v>2025</v>
      </c>
      <c r="C114">
        <f t="shared" si="9"/>
        <v>5</v>
      </c>
      <c r="D114" s="31">
        <f>'Monthly Data'!AB114</f>
        <v>5014022.9004952768</v>
      </c>
      <c r="E114" s="33">
        <f>'Monthly Data'!AQ114</f>
        <v>237.32916666666665</v>
      </c>
      <c r="F114" s="33">
        <f>'Monthly Data'!BB114</f>
        <v>94.225000000000009</v>
      </c>
      <c r="H114" s="18">
        <f>'GS&gt;50 Predicted Monthly (no LC)'!$P$9</f>
        <v>4121039.41701539</v>
      </c>
      <c r="I114" s="18">
        <f>E114*'GS&gt;50 Predicted Monthly (no LC)'!$P$10</f>
        <v>549534.67362735921</v>
      </c>
      <c r="J114" s="18">
        <f>F114*'GS&gt;50 Predicted Monthly (no LC)'!$P$11</f>
        <v>509024.3580535964</v>
      </c>
      <c r="K114" s="18">
        <f t="shared" si="13"/>
        <v>5179598.448696346</v>
      </c>
      <c r="L114" s="18">
        <f t="shared" si="14"/>
        <v>165575.54820106924</v>
      </c>
      <c r="M114" s="35">
        <f t="shared" si="15"/>
        <v>3.3022495406774863E-2</v>
      </c>
    </row>
    <row r="115" spans="1:13">
      <c r="A115" s="541">
        <f>'Monthly Data'!A115</f>
        <v>45809</v>
      </c>
      <c r="B115">
        <f t="shared" si="8"/>
        <v>2025</v>
      </c>
      <c r="C115">
        <f t="shared" si="9"/>
        <v>6</v>
      </c>
      <c r="D115" s="31">
        <f>'Monthly Data'!AB115</f>
        <v>5552694.7476034453</v>
      </c>
      <c r="E115" s="33">
        <f>'Monthly Data'!AQ115</f>
        <v>85.787499999999994</v>
      </c>
      <c r="F115" s="33">
        <f>'Monthly Data'!BB115</f>
        <v>248.45</v>
      </c>
      <c r="H115" s="18">
        <f>'GS&gt;50 Predicted Monthly (no LC)'!$P$9</f>
        <v>4121039.41701539</v>
      </c>
      <c r="I115" s="18">
        <f>E115*'GS&gt;50 Predicted Monthly (no LC)'!$P$10</f>
        <v>198640.59051798136</v>
      </c>
      <c r="J115" s="18">
        <f>F115*'GS&gt;50 Predicted Monthly (no LC)'!$P$11</f>
        <v>1342182.0298054232</v>
      </c>
      <c r="K115" s="18">
        <f t="shared" si="13"/>
        <v>5661862.0373387951</v>
      </c>
      <c r="L115" s="18">
        <f t="shared" si="14"/>
        <v>109167.28973534983</v>
      </c>
      <c r="M115" s="35">
        <f t="shared" si="15"/>
        <v>1.966023610112309E-2</v>
      </c>
    </row>
    <row r="116" spans="1:13">
      <c r="A116" s="541">
        <f>'Monthly Data'!A116</f>
        <v>45839</v>
      </c>
      <c r="B116">
        <f t="shared" si="8"/>
        <v>2025</v>
      </c>
      <c r="C116">
        <f t="shared" si="9"/>
        <v>7</v>
      </c>
      <c r="D116" s="31">
        <f>'Monthly Data'!AB116</f>
        <v>6038806.5947116129</v>
      </c>
      <c r="E116" s="33">
        <f>'Monthly Data'!AQ116</f>
        <v>23.716666666666676</v>
      </c>
      <c r="F116" s="33">
        <f>'Monthly Data'!BB116</f>
        <v>347.84375000000006</v>
      </c>
      <c r="H116" s="18">
        <f>'GS&gt;50 Predicted Monthly (no LC)'!$P$9</f>
        <v>4121039.41701539</v>
      </c>
      <c r="I116" s="18">
        <f>E116*'GS&gt;50 Predicted Monthly (no LC)'!$P$10</f>
        <v>54915.840557013471</v>
      </c>
      <c r="J116" s="18">
        <f>F116*'GS&gt;50 Predicted Monthly (no LC)'!$P$11</f>
        <v>1879129.1222786487</v>
      </c>
      <c r="K116" s="18">
        <f t="shared" si="13"/>
        <v>6055084.3798510525</v>
      </c>
      <c r="L116" s="18">
        <f t="shared" si="14"/>
        <v>16277.785139439628</v>
      </c>
      <c r="M116" s="35">
        <f t="shared" si="15"/>
        <v>2.6955301323434724E-3</v>
      </c>
    </row>
    <row r="117" spans="1:13">
      <c r="A117" s="541">
        <f>'Monthly Data'!A117</f>
        <v>45870</v>
      </c>
      <c r="B117">
        <f t="shared" si="8"/>
        <v>2025</v>
      </c>
      <c r="C117">
        <f t="shared" si="9"/>
        <v>8</v>
      </c>
      <c r="D117" s="31">
        <f>'Monthly Data'!AB117</f>
        <v>5593679.8418197809</v>
      </c>
      <c r="E117" s="33">
        <f>'Monthly Data'!AQ117</f>
        <v>67.597916666666677</v>
      </c>
      <c r="F117" s="33">
        <f>'Monthly Data'!BB117</f>
        <v>280.76041666666669</v>
      </c>
      <c r="H117" s="18">
        <f>'GS&gt;50 Predicted Monthly (no LC)'!$P$9</f>
        <v>4121039.41701539</v>
      </c>
      <c r="I117" s="18">
        <f>E117*'GS&gt;50 Predicted Monthly (no LC)'!$P$10</f>
        <v>156522.68785606252</v>
      </c>
      <c r="J117" s="18">
        <f>F117*'GS&gt;50 Predicted Monthly (no LC)'!$P$11</f>
        <v>1516730.0701577102</v>
      </c>
      <c r="K117" s="18">
        <f t="shared" si="13"/>
        <v>5794292.1750291632</v>
      </c>
      <c r="L117" s="18">
        <f t="shared" si="14"/>
        <v>200612.33320938237</v>
      </c>
      <c r="M117" s="35">
        <f t="shared" si="15"/>
        <v>3.5864107149921824E-2</v>
      </c>
    </row>
    <row r="118" spans="1:13">
      <c r="A118" s="541">
        <f>'Monthly Data'!A118</f>
        <v>45901</v>
      </c>
      <c r="B118">
        <f t="shared" si="8"/>
        <v>2025</v>
      </c>
      <c r="C118">
        <f t="shared" si="9"/>
        <v>9</v>
      </c>
      <c r="D118" s="31">
        <f>'Monthly Data'!AB118</f>
        <v>5118840.8889279496</v>
      </c>
      <c r="E118" s="33">
        <f>'Monthly Data'!AQ118</f>
        <v>178.70416666666671</v>
      </c>
      <c r="F118" s="33">
        <f>'Monthly Data'!BB118</f>
        <v>125.17083333333335</v>
      </c>
      <c r="H118" s="18">
        <f>'GS&gt;50 Predicted Monthly (no LC)'!$P$9</f>
        <v>4121039.41701539</v>
      </c>
      <c r="I118" s="18">
        <f>E118*'GS&gt;50 Predicted Monthly (no LC)'!$P$10</f>
        <v>413788.73605933774</v>
      </c>
      <c r="J118" s="18">
        <f>F118*'GS&gt;50 Predicted Monthly (no LC)'!$P$11</f>
        <v>676200.616445038</v>
      </c>
      <c r="K118" s="18">
        <f t="shared" si="13"/>
        <v>5211028.7695197649</v>
      </c>
      <c r="L118" s="18">
        <f t="shared" si="14"/>
        <v>92187.880591815338</v>
      </c>
      <c r="M118" s="35">
        <f t="shared" si="15"/>
        <v>1.8009522583758694E-2</v>
      </c>
    </row>
    <row r="119" spans="1:13">
      <c r="A119" s="541">
        <f>'Monthly Data'!A119</f>
        <v>45931</v>
      </c>
      <c r="B119">
        <f t="shared" si="8"/>
        <v>2025</v>
      </c>
      <c r="C119">
        <f t="shared" si="9"/>
        <v>10</v>
      </c>
      <c r="D119" s="31">
        <f>'Monthly Data'!AB119</f>
        <v>5192044.5360361179</v>
      </c>
      <c r="E119" s="33">
        <f>'Monthly Data'!AQ119</f>
        <v>347.06666666666666</v>
      </c>
      <c r="F119" s="33">
        <f>'Monthly Data'!BB119</f>
        <v>56.94583333333334</v>
      </c>
      <c r="H119" s="18">
        <f>'GS&gt;50 Predicted Monthly (no LC)'!$P$9</f>
        <v>4121039.41701539</v>
      </c>
      <c r="I119" s="18">
        <f>E119*'GS&gt;50 Predicted Monthly (no LC)'!$P$10</f>
        <v>803631.38704093324</v>
      </c>
      <c r="J119" s="18">
        <f>F119*'GS&gt;50 Predicted Monthly (no LC)'!$P$11</f>
        <v>307634.02766067488</v>
      </c>
      <c r="K119" s="18">
        <f t="shared" si="13"/>
        <v>5232304.8317169975</v>
      </c>
      <c r="L119" s="18">
        <f t="shared" si="14"/>
        <v>40260.295680879615</v>
      </c>
      <c r="M119" s="35">
        <f t="shared" si="15"/>
        <v>7.7542277230958538E-3</v>
      </c>
    </row>
    <row r="120" spans="1:13">
      <c r="A120" s="541">
        <f>'Monthly Data'!A120</f>
        <v>45962</v>
      </c>
      <c r="B120">
        <f t="shared" si="8"/>
        <v>2025</v>
      </c>
      <c r="C120">
        <f t="shared" si="9"/>
        <v>11</v>
      </c>
      <c r="D120" s="31">
        <f>'Monthly Data'!AB120</f>
        <v>5479491.1831442863</v>
      </c>
      <c r="E120" s="33">
        <f>'Monthly Data'!AQ120</f>
        <v>607.22916666666652</v>
      </c>
      <c r="F120" s="33">
        <f>'Monthly Data'!BB120</f>
        <v>0</v>
      </c>
      <c r="H120" s="18">
        <f>'GS&gt;50 Predicted Monthly (no LC)'!$P$9</f>
        <v>4121039.41701539</v>
      </c>
      <c r="I120" s="18">
        <f>E120*'GS&gt;50 Predicted Monthly (no LC)'!$P$10</f>
        <v>1406036.5466578272</v>
      </c>
      <c r="J120" s="18">
        <f>F120*'GS&gt;50 Predicted Monthly (no LC)'!$P$11</f>
        <v>0</v>
      </c>
      <c r="K120" s="18">
        <f t="shared" si="13"/>
        <v>5527075.9636732172</v>
      </c>
      <c r="L120" s="18">
        <f t="shared" si="14"/>
        <v>47584.780528930947</v>
      </c>
      <c r="M120" s="35">
        <f t="shared" si="15"/>
        <v>8.6841604336016943E-3</v>
      </c>
    </row>
    <row r="121" spans="1:13">
      <c r="A121" s="541">
        <f>'Monthly Data'!A121</f>
        <v>45992</v>
      </c>
      <c r="B121">
        <f t="shared" si="8"/>
        <v>2025</v>
      </c>
      <c r="C121">
        <f t="shared" si="9"/>
        <v>12</v>
      </c>
      <c r="D121" s="31">
        <f>'Monthly Data'!AB121</f>
        <v>6114849.4302524552</v>
      </c>
      <c r="E121" s="33">
        <f>'Monthly Data'!AQ121</f>
        <v>915.94583333333321</v>
      </c>
      <c r="F121" s="33">
        <f>'Monthly Data'!BB121</f>
        <v>0</v>
      </c>
      <c r="H121" s="18">
        <f>'GS&gt;50 Predicted Monthly (no LC)'!$P$9</f>
        <v>4121039.41701539</v>
      </c>
      <c r="I121" s="18">
        <f>E121*'GS&gt;50 Predicted Monthly (no LC)'!$P$10</f>
        <v>2120868.6721937093</v>
      </c>
      <c r="J121" s="18">
        <f>F121*'GS&gt;50 Predicted Monthly (no LC)'!$P$11</f>
        <v>0</v>
      </c>
      <c r="K121" s="18">
        <f t="shared" si="13"/>
        <v>6241908.0892090993</v>
      </c>
      <c r="L121" s="18">
        <f t="shared" si="14"/>
        <v>127058.65895664413</v>
      </c>
      <c r="M121" s="35">
        <f t="shared" si="15"/>
        <v>2.0778706067239736E-2</v>
      </c>
    </row>
    <row r="122" spans="1:13">
      <c r="A122" s="9"/>
      <c r="M122" s="36">
        <f>AVERAGE(M50:M121)</f>
        <v>3.3614922718716377E-2</v>
      </c>
    </row>
    <row r="123" spans="1:13">
      <c r="A123" s="9"/>
    </row>
    <row r="124" spans="1:13">
      <c r="A124" s="9"/>
    </row>
    <row r="125" spans="1:13">
      <c r="A125" s="9"/>
    </row>
    <row r="126" spans="1:13">
      <c r="A126" s="9"/>
    </row>
    <row r="127" spans="1:13">
      <c r="A127" s="9"/>
    </row>
    <row r="128" spans="1:13">
      <c r="A128" s="9"/>
    </row>
    <row r="129" spans="1:1">
      <c r="A129" s="9"/>
    </row>
    <row r="130" spans="1:1">
      <c r="A130" s="9"/>
    </row>
    <row r="131" spans="1:1">
      <c r="A131" s="9"/>
    </row>
    <row r="132" spans="1:1">
      <c r="A132" s="9"/>
    </row>
    <row r="133" spans="1:1">
      <c r="A133" s="9"/>
    </row>
    <row r="134" spans="1:1">
      <c r="A134" s="9"/>
    </row>
    <row r="135" spans="1:1">
      <c r="A135" s="9"/>
    </row>
    <row r="136" spans="1:1">
      <c r="A136" s="9"/>
    </row>
    <row r="137" spans="1:1">
      <c r="A137" s="9"/>
    </row>
    <row r="138" spans="1:1">
      <c r="A138" s="9"/>
    </row>
    <row r="139" spans="1:1">
      <c r="A139" s="9"/>
    </row>
    <row r="140" spans="1:1">
      <c r="A140" s="9"/>
    </row>
    <row r="141" spans="1:1">
      <c r="A141" s="9"/>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0CAB3-069F-45B9-84DA-DDB124B31630}">
  <sheetPr codeName="Sheet12"/>
  <dimension ref="A1:Y141"/>
  <sheetViews>
    <sheetView workbookViewId="0">
      <selection activeCell="I21" sqref="I21"/>
    </sheetView>
  </sheetViews>
  <sheetFormatPr defaultColWidth="9.33203125" defaultRowHeight="13.15"/>
  <cols>
    <col min="1" max="1" width="10.5" bestFit="1" customWidth="1"/>
    <col min="4" max="4" width="20.1640625" bestFit="1" customWidth="1"/>
    <col min="5" max="5" width="10.33203125" bestFit="1" customWidth="1"/>
    <col min="10" max="10" width="14.6640625" bestFit="1" customWidth="1"/>
    <col min="11" max="11" width="12.83203125" bestFit="1" customWidth="1"/>
    <col min="12" max="12" width="13.83203125" bestFit="1" customWidth="1"/>
    <col min="13" max="14" width="13.83203125" customWidth="1"/>
    <col min="15" max="15" width="18.1640625" customWidth="1"/>
    <col min="16" max="16" width="13.83203125" customWidth="1"/>
    <col min="17" max="17" width="11.6640625" customWidth="1"/>
    <col min="19" max="19" width="13.83203125" bestFit="1" customWidth="1"/>
    <col min="20" max="20" width="13.5" customWidth="1"/>
    <col min="21" max="21" width="13.83203125" bestFit="1" customWidth="1"/>
    <col min="22" max="22" width="12.83203125" bestFit="1" customWidth="1"/>
    <col min="23" max="23" width="12.6640625" bestFit="1" customWidth="1"/>
    <col min="24" max="24" width="18" bestFit="1" customWidth="1"/>
    <col min="25" max="25" width="12.83203125" bestFit="1" customWidth="1"/>
  </cols>
  <sheetData>
    <row r="1" spans="1:25">
      <c r="A1" s="266" t="str">
        <f>'Monthly Data'!A1</f>
        <v>Date</v>
      </c>
      <c r="B1" s="258" t="s">
        <v>27</v>
      </c>
      <c r="C1" s="258" t="s">
        <v>28</v>
      </c>
      <c r="D1" s="267" t="str">
        <f>'Monthly Data'!Y1</f>
        <v>LargekWh</v>
      </c>
      <c r="E1" s="258" t="str">
        <f>'Monthly Data'!DN1</f>
        <v>FlagNov25</v>
      </c>
      <c r="F1" s="258" t="str">
        <f>'Monthly Data'!DO1</f>
        <v>FlagDec25</v>
      </c>
      <c r="G1" s="268" t="str">
        <f>'Monthly Data'!AQ1</f>
        <v>HDD20</v>
      </c>
      <c r="H1" s="268" t="str">
        <f>'Monthly Data'!BR1</f>
        <v>Fall</v>
      </c>
      <c r="J1" s="258" t="s">
        <v>187</v>
      </c>
      <c r="K1" s="268" t="str">
        <f>E1</f>
        <v>FlagNov25</v>
      </c>
      <c r="L1" s="268" t="str">
        <f>F1</f>
        <v>FlagDec25</v>
      </c>
      <c r="M1" s="268" t="str">
        <f>G1</f>
        <v>HDD20</v>
      </c>
      <c r="N1" s="268" t="str">
        <f>H1</f>
        <v>Fall</v>
      </c>
      <c r="O1" s="258" t="s">
        <v>188</v>
      </c>
      <c r="P1" s="258" t="s">
        <v>189</v>
      </c>
    </row>
    <row r="2" spans="1:25">
      <c r="A2" s="541">
        <f>'Monthly Data'!A2</f>
        <v>42370</v>
      </c>
      <c r="B2">
        <f t="shared" ref="B2:B65" si="0">YEAR(A2)</f>
        <v>2016</v>
      </c>
      <c r="C2">
        <f t="shared" ref="C2:C65" si="1">MONTH(A2)</f>
        <v>1</v>
      </c>
      <c r="D2" s="31">
        <f>'Monthly Data'!Y2</f>
        <v>30480</v>
      </c>
      <c r="E2" s="33">
        <f>'Monthly Data'!DN2</f>
        <v>0</v>
      </c>
      <c r="F2" s="33">
        <f>'Monthly Data'!DO2</f>
        <v>0</v>
      </c>
      <c r="G2" s="33">
        <f>'Monthly Data'!AQ2</f>
        <v>887.26875000000007</v>
      </c>
      <c r="H2" s="33">
        <f>'Monthly Data'!BR2</f>
        <v>0</v>
      </c>
      <c r="J2" s="18">
        <f>'LC Predicted Monthly'!$T$9</f>
        <v>-22694.781953278001</v>
      </c>
      <c r="K2" s="18">
        <f>E2*'LC Predicted Monthly'!$T$10</f>
        <v>0</v>
      </c>
      <c r="L2" s="18">
        <f>F2*'LC Predicted Monthly'!$T$11</f>
        <v>0</v>
      </c>
      <c r="M2" s="18">
        <f>G2*$T$12</f>
        <v>181653.47744532189</v>
      </c>
      <c r="N2" s="18">
        <f>H2*$T$13</f>
        <v>0</v>
      </c>
      <c r="O2" s="18">
        <f>SUM(J2:N2)</f>
        <v>158958.69549204389</v>
      </c>
      <c r="P2" s="18">
        <f t="shared" ref="P2:P33" si="2">O2-D2</f>
        <v>128478.69549204389</v>
      </c>
      <c r="Q2" s="35">
        <f>IFERROR(ABS(P2/D2),1)</f>
        <v>4.2151802982954027</v>
      </c>
    </row>
    <row r="3" spans="1:25">
      <c r="A3" s="541">
        <f>'Monthly Data'!A3</f>
        <v>42401</v>
      </c>
      <c r="B3">
        <f t="shared" si="0"/>
        <v>2016</v>
      </c>
      <c r="C3">
        <f t="shared" si="1"/>
        <v>2</v>
      </c>
      <c r="D3" s="31">
        <f>'Monthly Data'!Y3</f>
        <v>118530</v>
      </c>
      <c r="E3" s="33">
        <f>'Monthly Data'!DN3</f>
        <v>0</v>
      </c>
      <c r="F3" s="33">
        <f>'Monthly Data'!DO3</f>
        <v>0</v>
      </c>
      <c r="G3" s="33">
        <f>'Monthly Data'!AQ3</f>
        <v>864.28750000000002</v>
      </c>
      <c r="H3" s="33">
        <f>'Monthly Data'!BR3</f>
        <v>0</v>
      </c>
      <c r="J3" s="18">
        <f>'LC Predicted Monthly'!$T$9</f>
        <v>-22694.781953278001</v>
      </c>
      <c r="K3" s="18">
        <f>E3*'LC Predicted Monthly'!$T$10</f>
        <v>0</v>
      </c>
      <c r="L3" s="18">
        <f>F3*'LC Predicted Monthly'!$T$11</f>
        <v>0</v>
      </c>
      <c r="M3" s="18">
        <f t="shared" ref="M3:M66" si="3">G3*$T$12</f>
        <v>176948.44982145898</v>
      </c>
      <c r="N3" s="18">
        <f t="shared" ref="N3:N66" si="4">H3*$T$13</f>
        <v>0</v>
      </c>
      <c r="O3" s="18">
        <f t="shared" ref="O3:O66" si="5">SUM(J3:N3)</f>
        <v>154253.66786818099</v>
      </c>
      <c r="P3" s="18">
        <f t="shared" si="2"/>
        <v>35723.667868180986</v>
      </c>
      <c r="Q3" s="35">
        <f t="shared" ref="Q3:Q66" si="6">IFERROR(ABS(P3/D3),1)</f>
        <v>0.30138925055412963</v>
      </c>
    </row>
    <row r="4" spans="1:25">
      <c r="A4" s="541">
        <f>'Monthly Data'!A4</f>
        <v>42430</v>
      </c>
      <c r="B4">
        <f t="shared" si="0"/>
        <v>2016</v>
      </c>
      <c r="C4">
        <f t="shared" si="1"/>
        <v>3</v>
      </c>
      <c r="D4" s="31">
        <f>'Monthly Data'!Y4</f>
        <v>558</v>
      </c>
      <c r="E4" s="33">
        <f>'Monthly Data'!DN4</f>
        <v>0</v>
      </c>
      <c r="F4" s="33">
        <f>'Monthly Data'!DO4</f>
        <v>0</v>
      </c>
      <c r="G4" s="33">
        <f>'Monthly Data'!AQ4</f>
        <v>694.14374999999995</v>
      </c>
      <c r="H4" s="33">
        <f>'Monthly Data'!BR4</f>
        <v>0</v>
      </c>
      <c r="J4" s="18">
        <f>'LC Predicted Monthly'!$T$9</f>
        <v>-22694.781953278001</v>
      </c>
      <c r="K4" s="18">
        <f>E4*'LC Predicted Monthly'!$T$10</f>
        <v>0</v>
      </c>
      <c r="L4" s="18">
        <f>F4*'LC Predicted Monthly'!$T$11</f>
        <v>0</v>
      </c>
      <c r="M4" s="18">
        <f t="shared" si="3"/>
        <v>142114.35490592467</v>
      </c>
      <c r="N4" s="18">
        <f t="shared" si="4"/>
        <v>0</v>
      </c>
      <c r="O4" s="18">
        <f t="shared" si="5"/>
        <v>119419.57295264667</v>
      </c>
      <c r="P4" s="18">
        <f t="shared" si="2"/>
        <v>118861.57295264667</v>
      </c>
      <c r="Q4" s="35">
        <f t="shared" si="6"/>
        <v>213.01357159972522</v>
      </c>
      <c r="S4" t="s">
        <v>222</v>
      </c>
    </row>
    <row r="5" spans="1:25">
      <c r="A5" s="541">
        <f>'Monthly Data'!A5</f>
        <v>42461</v>
      </c>
      <c r="B5">
        <f t="shared" si="0"/>
        <v>2016</v>
      </c>
      <c r="C5">
        <f t="shared" si="1"/>
        <v>4</v>
      </c>
      <c r="D5" s="31">
        <f>'Monthly Data'!Y5</f>
        <v>6</v>
      </c>
      <c r="E5" s="33">
        <f>'Monthly Data'!DN5</f>
        <v>0</v>
      </c>
      <c r="F5" s="33">
        <f>'Monthly Data'!DO5</f>
        <v>0</v>
      </c>
      <c r="G5" s="33">
        <f>'Monthly Data'!AQ5</f>
        <v>544.44166666666672</v>
      </c>
      <c r="H5" s="33">
        <f>'Monthly Data'!BR5</f>
        <v>0</v>
      </c>
      <c r="J5" s="18">
        <f>'LC Predicted Monthly'!$T$9</f>
        <v>-22694.781953278001</v>
      </c>
      <c r="K5" s="18">
        <f>E5*'LC Predicted Monthly'!$T$10</f>
        <v>0</v>
      </c>
      <c r="L5" s="18">
        <f>F5*'LC Predicted Monthly'!$T$11</f>
        <v>0</v>
      </c>
      <c r="M5" s="18">
        <f t="shared" si="3"/>
        <v>111465.35028549895</v>
      </c>
      <c r="N5" s="18">
        <f t="shared" si="4"/>
        <v>0</v>
      </c>
      <c r="O5" s="18">
        <f t="shared" si="5"/>
        <v>88770.568332220952</v>
      </c>
      <c r="P5" s="18">
        <f t="shared" si="2"/>
        <v>88764.568332220952</v>
      </c>
      <c r="Q5" s="35">
        <f t="shared" si="6"/>
        <v>14794.094722036825</v>
      </c>
      <c r="S5" t="s">
        <v>223</v>
      </c>
    </row>
    <row r="6" spans="1:25">
      <c r="A6" s="541">
        <f>'Monthly Data'!A6</f>
        <v>42491</v>
      </c>
      <c r="B6">
        <f t="shared" si="0"/>
        <v>2016</v>
      </c>
      <c r="C6">
        <f t="shared" si="1"/>
        <v>5</v>
      </c>
      <c r="D6" s="31">
        <f>'Monthly Data'!Y6</f>
        <v>22242</v>
      </c>
      <c r="E6" s="33">
        <f>'Monthly Data'!DN6</f>
        <v>0</v>
      </c>
      <c r="F6" s="33">
        <f>'Monthly Data'!DO6</f>
        <v>0</v>
      </c>
      <c r="G6" s="33">
        <f>'Monthly Data'!AQ6</f>
        <v>215.85833333333335</v>
      </c>
      <c r="H6" s="33">
        <f>'Monthly Data'!BR6</f>
        <v>0</v>
      </c>
      <c r="J6" s="18">
        <f>'LC Predicted Monthly'!$T$9</f>
        <v>-22694.781953278001</v>
      </c>
      <c r="K6" s="18">
        <f>E6*'LC Predicted Monthly'!$T$10</f>
        <v>0</v>
      </c>
      <c r="L6" s="18">
        <f>F6*'LC Predicted Monthly'!$T$11</f>
        <v>0</v>
      </c>
      <c r="M6" s="18">
        <f t="shared" si="3"/>
        <v>44193.393360863258</v>
      </c>
      <c r="N6" s="18">
        <f t="shared" si="4"/>
        <v>0</v>
      </c>
      <c r="O6" s="18">
        <f t="shared" si="5"/>
        <v>21498.611407585257</v>
      </c>
      <c r="P6" s="18">
        <f t="shared" si="2"/>
        <v>-743.38859241474347</v>
      </c>
      <c r="Q6" s="35">
        <f t="shared" si="6"/>
        <v>3.3422740419689935E-2</v>
      </c>
      <c r="S6" t="s">
        <v>224</v>
      </c>
    </row>
    <row r="7" spans="1:25">
      <c r="A7" s="541">
        <f>'Monthly Data'!A7</f>
        <v>42522</v>
      </c>
      <c r="B7">
        <f t="shared" si="0"/>
        <v>2016</v>
      </c>
      <c r="C7">
        <f t="shared" si="1"/>
        <v>6</v>
      </c>
      <c r="D7" s="31">
        <f>'Monthly Data'!Y7</f>
        <v>6738</v>
      </c>
      <c r="E7" s="33">
        <f>'Monthly Data'!DN7</f>
        <v>0</v>
      </c>
      <c r="F7" s="33">
        <f>'Monthly Data'!DO7</f>
        <v>0</v>
      </c>
      <c r="G7" s="33">
        <f>'Monthly Data'!AQ7</f>
        <v>99.395833333333343</v>
      </c>
      <c r="H7" s="33">
        <f>'Monthly Data'!BR7</f>
        <v>0</v>
      </c>
      <c r="J7" s="18">
        <f>'LC Predicted Monthly'!$T$9</f>
        <v>-22694.781953278001</v>
      </c>
      <c r="K7" s="18">
        <f>E7*'LC Predicted Monthly'!$T$10</f>
        <v>0</v>
      </c>
      <c r="L7" s="18">
        <f>F7*'LC Predicted Monthly'!$T$11</f>
        <v>0</v>
      </c>
      <c r="M7" s="18">
        <f t="shared" si="3"/>
        <v>20349.639011376927</v>
      </c>
      <c r="N7" s="18">
        <f t="shared" si="4"/>
        <v>0</v>
      </c>
      <c r="O7" s="18">
        <f t="shared" si="5"/>
        <v>-2345.1429419010747</v>
      </c>
      <c r="P7" s="18">
        <f t="shared" si="2"/>
        <v>-9083.1429419010747</v>
      </c>
      <c r="Q7" s="35">
        <f t="shared" si="6"/>
        <v>1.3480473348027715</v>
      </c>
    </row>
    <row r="8" spans="1:25">
      <c r="A8" s="541">
        <f>'Monthly Data'!A8</f>
        <v>42552</v>
      </c>
      <c r="B8">
        <f t="shared" si="0"/>
        <v>2016</v>
      </c>
      <c r="C8">
        <f t="shared" si="1"/>
        <v>7</v>
      </c>
      <c r="D8" s="31">
        <f>'Monthly Data'!Y8</f>
        <v>21684</v>
      </c>
      <c r="E8" s="33">
        <f>'Monthly Data'!DN8</f>
        <v>0</v>
      </c>
      <c r="F8" s="33">
        <f>'Monthly Data'!DO8</f>
        <v>0</v>
      </c>
      <c r="G8" s="33">
        <f>'Monthly Data'!AQ8</f>
        <v>31.595833333333335</v>
      </c>
      <c r="H8" s="33">
        <f>'Monthly Data'!BR8</f>
        <v>0</v>
      </c>
      <c r="J8" s="18">
        <f>'LC Predicted Monthly'!$T$9</f>
        <v>-22694.781953278001</v>
      </c>
      <c r="K8" s="18">
        <f>E8*'LC Predicted Monthly'!$T$10</f>
        <v>0</v>
      </c>
      <c r="L8" s="18">
        <f>F8*'LC Predicted Monthly'!$T$11</f>
        <v>0</v>
      </c>
      <c r="M8" s="18">
        <f t="shared" si="3"/>
        <v>6468.7198752157292</v>
      </c>
      <c r="N8" s="18">
        <f t="shared" si="4"/>
        <v>0</v>
      </c>
      <c r="O8" s="18">
        <f t="shared" si="5"/>
        <v>-16226.062078062272</v>
      </c>
      <c r="P8" s="18">
        <f t="shared" si="2"/>
        <v>-37910.06207806227</v>
      </c>
      <c r="Q8" s="35">
        <f t="shared" si="6"/>
        <v>1.7482965356051592</v>
      </c>
      <c r="T8" t="s">
        <v>193</v>
      </c>
      <c r="U8" t="s">
        <v>194</v>
      </c>
      <c r="V8" t="s">
        <v>195</v>
      </c>
      <c r="W8" t="s">
        <v>196</v>
      </c>
    </row>
    <row r="9" spans="1:25">
      <c r="A9" s="541">
        <f>'Monthly Data'!A9</f>
        <v>42583</v>
      </c>
      <c r="B9">
        <f t="shared" si="0"/>
        <v>2016</v>
      </c>
      <c r="C9">
        <f t="shared" si="1"/>
        <v>8</v>
      </c>
      <c r="D9" s="31">
        <f>'Monthly Data'!Y9</f>
        <v>13710</v>
      </c>
      <c r="E9" s="33">
        <f>'Monthly Data'!DN9</f>
        <v>0</v>
      </c>
      <c r="F9" s="33">
        <f>'Monthly Data'!DO9</f>
        <v>0</v>
      </c>
      <c r="G9" s="33">
        <f>'Monthly Data'!AQ9</f>
        <v>19.462499999999999</v>
      </c>
      <c r="H9" s="33">
        <f>'Monthly Data'!BR9</f>
        <v>0</v>
      </c>
      <c r="J9" s="18">
        <f>'LC Predicted Monthly'!$T$9</f>
        <v>-22694.781953278001</v>
      </c>
      <c r="K9" s="18">
        <f>E9*'LC Predicted Monthly'!$T$10</f>
        <v>0</v>
      </c>
      <c r="L9" s="18">
        <f>F9*'LC Predicted Monthly'!$T$11</f>
        <v>0</v>
      </c>
      <c r="M9" s="18">
        <f t="shared" si="3"/>
        <v>3984.6222520285728</v>
      </c>
      <c r="N9" s="18">
        <f t="shared" si="4"/>
        <v>0</v>
      </c>
      <c r="O9" s="18">
        <f t="shared" si="5"/>
        <v>-18710.159701249428</v>
      </c>
      <c r="P9" s="18">
        <f t="shared" si="2"/>
        <v>-32420.159701249428</v>
      </c>
      <c r="Q9" s="35">
        <f t="shared" si="6"/>
        <v>2.364708949762905</v>
      </c>
      <c r="S9" t="s">
        <v>187</v>
      </c>
      <c r="T9" s="18">
        <v>-22694.781953278001</v>
      </c>
      <c r="U9" s="297">
        <v>40543.5947350512</v>
      </c>
      <c r="V9" s="297">
        <v>-0.55976245080354603</v>
      </c>
      <c r="W9" s="298">
        <v>0.57673015514308401</v>
      </c>
    </row>
    <row r="10" spans="1:25">
      <c r="A10" s="541">
        <f>'Monthly Data'!A10</f>
        <v>42614</v>
      </c>
      <c r="B10">
        <f t="shared" si="0"/>
        <v>2016</v>
      </c>
      <c r="C10">
        <f t="shared" si="1"/>
        <v>9</v>
      </c>
      <c r="D10" s="31">
        <f>'Monthly Data'!Y10</f>
        <v>210</v>
      </c>
      <c r="E10" s="33">
        <f>'Monthly Data'!DN10</f>
        <v>0</v>
      </c>
      <c r="F10" s="33">
        <f>'Monthly Data'!DO10</f>
        <v>0</v>
      </c>
      <c r="G10" s="33">
        <f>'Monthly Data'!AQ10</f>
        <v>150.00416666666666</v>
      </c>
      <c r="H10" s="33">
        <f>'Monthly Data'!BR10</f>
        <v>1</v>
      </c>
      <c r="J10" s="18">
        <f>'LC Predicted Monthly'!$T$9</f>
        <v>-22694.781953278001</v>
      </c>
      <c r="K10" s="18">
        <f>E10*'LC Predicted Monthly'!$T$10</f>
        <v>0</v>
      </c>
      <c r="L10" s="18">
        <f>F10*'LC Predicted Monthly'!$T$11</f>
        <v>0</v>
      </c>
      <c r="M10" s="18">
        <f t="shared" si="3"/>
        <v>30710.851144354667</v>
      </c>
      <c r="N10" s="18">
        <f t="shared" si="4"/>
        <v>97970.228068396304</v>
      </c>
      <c r="O10" s="18">
        <f t="shared" si="5"/>
        <v>105986.29725947297</v>
      </c>
      <c r="P10" s="18">
        <f t="shared" si="2"/>
        <v>105776.29725947297</v>
      </c>
      <c r="Q10" s="35">
        <f t="shared" si="6"/>
        <v>503.69665361653796</v>
      </c>
      <c r="S10" t="s">
        <v>143</v>
      </c>
      <c r="T10" s="18">
        <v>2130493.30719493</v>
      </c>
      <c r="U10" s="297">
        <v>176602.35603465</v>
      </c>
      <c r="V10" s="297">
        <v>12.0637875679129</v>
      </c>
      <c r="W10" s="298">
        <v>3.7328425213515201E-22</v>
      </c>
    </row>
    <row r="11" spans="1:25">
      <c r="A11" s="541">
        <f>'Monthly Data'!A11</f>
        <v>42644</v>
      </c>
      <c r="B11">
        <f t="shared" si="0"/>
        <v>2016</v>
      </c>
      <c r="C11">
        <f t="shared" si="1"/>
        <v>10</v>
      </c>
      <c r="D11" s="31">
        <f>'Monthly Data'!Y11</f>
        <v>542682</v>
      </c>
      <c r="E11" s="33">
        <f>'Monthly Data'!DN11</f>
        <v>0</v>
      </c>
      <c r="F11" s="33">
        <f>'Monthly Data'!DO11</f>
        <v>0</v>
      </c>
      <c r="G11" s="33">
        <f>'Monthly Data'!AQ11</f>
        <v>371.38749999999993</v>
      </c>
      <c r="H11" s="33">
        <f>'Monthly Data'!BR11</f>
        <v>1</v>
      </c>
      <c r="J11" s="18">
        <f>'LC Predicted Monthly'!$T$9</f>
        <v>-22694.781953278001</v>
      </c>
      <c r="K11" s="18">
        <f>E11*'LC Predicted Monthly'!$T$10</f>
        <v>0</v>
      </c>
      <c r="L11" s="18">
        <f>F11*'LC Predicted Monthly'!$T$11</f>
        <v>0</v>
      </c>
      <c r="M11" s="18">
        <f t="shared" si="3"/>
        <v>76035.396101490638</v>
      </c>
      <c r="N11" s="18">
        <f t="shared" si="4"/>
        <v>97970.228068396304</v>
      </c>
      <c r="O11" s="18">
        <f t="shared" si="5"/>
        <v>151310.84221660893</v>
      </c>
      <c r="P11" s="18">
        <f t="shared" si="2"/>
        <v>-391371.15778339107</v>
      </c>
      <c r="Q11" s="35">
        <f t="shared" si="6"/>
        <v>0.72117954489625802</v>
      </c>
      <c r="S11" t="s">
        <v>144</v>
      </c>
      <c r="T11" s="18">
        <v>4207146.7381310398</v>
      </c>
      <c r="U11" s="297">
        <v>187632.78769496799</v>
      </c>
      <c r="V11" s="297">
        <v>22.422236485504499</v>
      </c>
      <c r="W11" s="298">
        <v>8.56355061448312E-44</v>
      </c>
    </row>
    <row r="12" spans="1:25">
      <c r="A12" s="541">
        <f>'Monthly Data'!A12</f>
        <v>42675</v>
      </c>
      <c r="B12">
        <f t="shared" si="0"/>
        <v>2016</v>
      </c>
      <c r="C12">
        <f t="shared" si="1"/>
        <v>11</v>
      </c>
      <c r="D12" s="31">
        <f>'Monthly Data'!Y12</f>
        <v>1170024.27</v>
      </c>
      <c r="E12" s="33">
        <f>'Monthly Data'!DN12</f>
        <v>0</v>
      </c>
      <c r="F12" s="33">
        <f>'Monthly Data'!DO12</f>
        <v>0</v>
      </c>
      <c r="G12" s="33">
        <f>'Monthly Data'!AQ12</f>
        <v>532.77083333333348</v>
      </c>
      <c r="H12" s="33">
        <f>'Monthly Data'!BR12</f>
        <v>1</v>
      </c>
      <c r="J12" s="18">
        <f>'LC Predicted Monthly'!$T$9</f>
        <v>-22694.781953278001</v>
      </c>
      <c r="K12" s="18">
        <f>E12*'LC Predicted Monthly'!$T$10</f>
        <v>0</v>
      </c>
      <c r="L12" s="18">
        <f>F12*'LC Predicted Monthly'!$T$11</f>
        <v>0</v>
      </c>
      <c r="M12" s="18">
        <f t="shared" si="3"/>
        <v>109075.94182308577</v>
      </c>
      <c r="N12" s="18">
        <f t="shared" si="4"/>
        <v>97970.228068396304</v>
      </c>
      <c r="O12" s="18">
        <f t="shared" si="5"/>
        <v>184351.38793820408</v>
      </c>
      <c r="P12" s="18">
        <f t="shared" si="2"/>
        <v>-985672.88206179591</v>
      </c>
      <c r="Q12" s="35">
        <f t="shared" si="6"/>
        <v>0.84243797956583921</v>
      </c>
      <c r="S12" s="278" t="s">
        <v>68</v>
      </c>
      <c r="T12" s="18">
        <v>204.73332059234801</v>
      </c>
      <c r="U12" s="297">
        <v>69.117579016246594</v>
      </c>
      <c r="V12" s="297">
        <v>2.9621020224713601</v>
      </c>
      <c r="W12" s="298">
        <v>3.7132304281990401E-3</v>
      </c>
      <c r="Y12" s="278"/>
    </row>
    <row r="13" spans="1:25">
      <c r="A13" s="541">
        <f>'Monthly Data'!A13</f>
        <v>42705</v>
      </c>
      <c r="B13">
        <f t="shared" si="0"/>
        <v>2016</v>
      </c>
      <c r="C13">
        <f t="shared" si="1"/>
        <v>12</v>
      </c>
      <c r="D13" s="31">
        <f>'Monthly Data'!Y13</f>
        <v>409794</v>
      </c>
      <c r="E13" s="33">
        <f>'Monthly Data'!DN13</f>
        <v>0</v>
      </c>
      <c r="F13" s="33">
        <f>'Monthly Data'!DO13</f>
        <v>0</v>
      </c>
      <c r="G13" s="33">
        <f>'Monthly Data'!AQ13</f>
        <v>812.63333333333298</v>
      </c>
      <c r="H13" s="33">
        <f>'Monthly Data'!BR13</f>
        <v>0</v>
      </c>
      <c r="J13" s="18">
        <f>'LC Predicted Monthly'!$T$9</f>
        <v>-22694.781953278001</v>
      </c>
      <c r="K13" s="18">
        <f>E13*'LC Predicted Monthly'!$T$10</f>
        <v>0</v>
      </c>
      <c r="L13" s="18">
        <f>F13*'LC Predicted Monthly'!$T$11</f>
        <v>0</v>
      </c>
      <c r="M13" s="18">
        <f t="shared" si="3"/>
        <v>166373.12075736167</v>
      </c>
      <c r="N13" s="18">
        <f t="shared" si="4"/>
        <v>0</v>
      </c>
      <c r="O13" s="18">
        <f t="shared" si="5"/>
        <v>143678.33880408367</v>
      </c>
      <c r="P13" s="18">
        <f t="shared" si="2"/>
        <v>-266115.66119591636</v>
      </c>
      <c r="Q13" s="35">
        <f t="shared" si="6"/>
        <v>0.64938886659130279</v>
      </c>
      <c r="S13" s="278" t="s">
        <v>95</v>
      </c>
      <c r="T13" s="18">
        <v>97970.228068396304</v>
      </c>
      <c r="U13" s="297">
        <v>43431.147793069802</v>
      </c>
      <c r="V13" s="297">
        <v>2.2557595883760899</v>
      </c>
      <c r="W13" s="298">
        <v>2.5976724888582398E-2</v>
      </c>
      <c r="Y13" s="278"/>
    </row>
    <row r="14" spans="1:25">
      <c r="A14" s="541">
        <f>'Monthly Data'!A14</f>
        <v>42736</v>
      </c>
      <c r="B14">
        <f t="shared" si="0"/>
        <v>2017</v>
      </c>
      <c r="C14">
        <f t="shared" si="1"/>
        <v>1</v>
      </c>
      <c r="D14" s="31">
        <f>'Monthly Data'!Y14</f>
        <v>109206</v>
      </c>
      <c r="E14" s="33">
        <f>'Monthly Data'!DN14</f>
        <v>0</v>
      </c>
      <c r="F14" s="33">
        <f>'Monthly Data'!DO14</f>
        <v>0</v>
      </c>
      <c r="G14" s="33">
        <f>'Monthly Data'!AQ14</f>
        <v>835.17083333333335</v>
      </c>
      <c r="H14" s="33">
        <f>'Monthly Data'!BR14</f>
        <v>0</v>
      </c>
      <c r="J14" s="18">
        <f>'LC Predicted Monthly'!$T$9</f>
        <v>-22694.781953278001</v>
      </c>
      <c r="K14" s="18">
        <f>E14*'LC Predicted Monthly'!$T$10</f>
        <v>0</v>
      </c>
      <c r="L14" s="18">
        <f>F14*'LC Predicted Monthly'!$T$11</f>
        <v>0</v>
      </c>
      <c r="M14" s="18">
        <f t="shared" si="3"/>
        <v>170987.29797021177</v>
      </c>
      <c r="N14" s="18">
        <f t="shared" si="4"/>
        <v>0</v>
      </c>
      <c r="O14" s="18">
        <f t="shared" si="5"/>
        <v>148292.51601693378</v>
      </c>
      <c r="P14" s="18">
        <f t="shared" si="2"/>
        <v>39086.516016933776</v>
      </c>
      <c r="Q14" s="35">
        <f t="shared" si="6"/>
        <v>0.357915462675437</v>
      </c>
      <c r="W14" s="298"/>
    </row>
    <row r="15" spans="1:25">
      <c r="A15" s="541">
        <f>'Monthly Data'!A15</f>
        <v>42767</v>
      </c>
      <c r="B15">
        <f t="shared" si="0"/>
        <v>2017</v>
      </c>
      <c r="C15">
        <f t="shared" si="1"/>
        <v>2</v>
      </c>
      <c r="D15" s="31">
        <f>'Monthly Data'!Y15</f>
        <v>18972</v>
      </c>
      <c r="E15" s="33">
        <f>'Monthly Data'!DN15</f>
        <v>0</v>
      </c>
      <c r="F15" s="33">
        <f>'Monthly Data'!DO15</f>
        <v>0</v>
      </c>
      <c r="G15" s="33">
        <f>'Monthly Data'!AQ15</f>
        <v>738.8125</v>
      </c>
      <c r="H15" s="33">
        <f>'Monthly Data'!BR15</f>
        <v>0</v>
      </c>
      <c r="J15" s="18">
        <f>'LC Predicted Monthly'!$T$9</f>
        <v>-22694.781953278001</v>
      </c>
      <c r="K15" s="18">
        <f>E15*'LC Predicted Monthly'!$T$10</f>
        <v>0</v>
      </c>
      <c r="L15" s="18">
        <f>F15*'LC Predicted Monthly'!$T$11</f>
        <v>0</v>
      </c>
      <c r="M15" s="18">
        <f t="shared" si="3"/>
        <v>151259.5364201341</v>
      </c>
      <c r="N15" s="18">
        <f t="shared" si="4"/>
        <v>0</v>
      </c>
      <c r="O15" s="18">
        <f t="shared" si="5"/>
        <v>128564.7544668561</v>
      </c>
      <c r="P15" s="18">
        <f t="shared" si="2"/>
        <v>109592.7544668561</v>
      </c>
      <c r="Q15" s="35">
        <f t="shared" si="6"/>
        <v>5.7765525230263597</v>
      </c>
      <c r="S15" t="s">
        <v>198</v>
      </c>
      <c r="W15" s="298"/>
    </row>
    <row r="16" spans="1:25">
      <c r="A16" s="541">
        <f>'Monthly Data'!A16</f>
        <v>42795</v>
      </c>
      <c r="B16">
        <f t="shared" si="0"/>
        <v>2017</v>
      </c>
      <c r="C16">
        <f t="shared" si="1"/>
        <v>3</v>
      </c>
      <c r="D16" s="31">
        <f>'Monthly Data'!Y16</f>
        <v>240</v>
      </c>
      <c r="E16" s="33">
        <f>'Monthly Data'!DN16</f>
        <v>0</v>
      </c>
      <c r="F16" s="33">
        <f>'Monthly Data'!DO16</f>
        <v>0</v>
      </c>
      <c r="G16" s="33">
        <f>'Monthly Data'!AQ16</f>
        <v>818.92500000000018</v>
      </c>
      <c r="H16" s="33">
        <f>'Monthly Data'!BR16</f>
        <v>0</v>
      </c>
      <c r="J16" s="18">
        <f>'LC Predicted Monthly'!$T$9</f>
        <v>-22694.781953278001</v>
      </c>
      <c r="K16" s="18">
        <f>E16*'LC Predicted Monthly'!$T$10</f>
        <v>0</v>
      </c>
      <c r="L16" s="18">
        <f>F16*'LC Predicted Monthly'!$T$11</f>
        <v>0</v>
      </c>
      <c r="M16" s="18">
        <f t="shared" si="3"/>
        <v>167661.23456608862</v>
      </c>
      <c r="N16" s="18">
        <f t="shared" si="4"/>
        <v>0</v>
      </c>
      <c r="O16" s="18">
        <f t="shared" si="5"/>
        <v>144966.45261281062</v>
      </c>
      <c r="P16" s="18">
        <f t="shared" si="2"/>
        <v>144726.45261281062</v>
      </c>
      <c r="Q16" s="35">
        <f t="shared" si="6"/>
        <v>603.02688588671094</v>
      </c>
      <c r="S16" t="s">
        <v>199</v>
      </c>
      <c r="T16" s="537">
        <v>3471594663778.6802</v>
      </c>
      <c r="U16" t="s">
        <v>200</v>
      </c>
      <c r="V16" s="18">
        <v>173746.30840691799</v>
      </c>
    </row>
    <row r="17" spans="1:22">
      <c r="A17" s="541">
        <f>'Monthly Data'!A17</f>
        <v>42826</v>
      </c>
      <c r="B17">
        <f t="shared" si="0"/>
        <v>2017</v>
      </c>
      <c r="C17">
        <f t="shared" si="1"/>
        <v>4</v>
      </c>
      <c r="D17" s="31">
        <f>'Monthly Data'!Y17</f>
        <v>1896</v>
      </c>
      <c r="E17" s="33">
        <f>'Monthly Data'!DN17</f>
        <v>0</v>
      </c>
      <c r="F17" s="33">
        <f>'Monthly Data'!DO17</f>
        <v>0</v>
      </c>
      <c r="G17" s="33">
        <f>'Monthly Data'!AQ17</f>
        <v>427.46041666666662</v>
      </c>
      <c r="H17" s="33">
        <f>'Monthly Data'!BR17</f>
        <v>0</v>
      </c>
      <c r="J17" s="18">
        <f>'LC Predicted Monthly'!$T$9</f>
        <v>-22694.781953278001</v>
      </c>
      <c r="K17" s="18">
        <f>E17*'LC Predicted Monthly'!$T$10</f>
        <v>0</v>
      </c>
      <c r="L17" s="18">
        <f>F17*'LC Predicted Monthly'!$T$11</f>
        <v>0</v>
      </c>
      <c r="M17" s="18">
        <f t="shared" si="3"/>
        <v>87515.390525955314</v>
      </c>
      <c r="N17" s="18">
        <f t="shared" si="4"/>
        <v>0</v>
      </c>
      <c r="O17" s="18">
        <f t="shared" si="5"/>
        <v>64820.608572677316</v>
      </c>
      <c r="P17" s="18">
        <f t="shared" si="2"/>
        <v>62924.608572677316</v>
      </c>
      <c r="Q17" s="35">
        <f t="shared" si="6"/>
        <v>33.188084690230653</v>
      </c>
      <c r="S17" t="s">
        <v>201</v>
      </c>
      <c r="T17" s="538">
        <v>0.88073864608084096</v>
      </c>
      <c r="U17" t="s">
        <v>202</v>
      </c>
      <c r="V17" s="538">
        <v>0.87659042507495699</v>
      </c>
    </row>
    <row r="18" spans="1:22">
      <c r="A18" s="541">
        <f>'Monthly Data'!A18</f>
        <v>42856</v>
      </c>
      <c r="B18">
        <f t="shared" si="0"/>
        <v>2017</v>
      </c>
      <c r="C18">
        <f t="shared" si="1"/>
        <v>5</v>
      </c>
      <c r="D18" s="31">
        <f>'Monthly Data'!Y18</f>
        <v>1884</v>
      </c>
      <c r="E18" s="33">
        <f>'Monthly Data'!DN18</f>
        <v>0</v>
      </c>
      <c r="F18" s="33">
        <f>'Monthly Data'!DO18</f>
        <v>0</v>
      </c>
      <c r="G18" s="33">
        <f>'Monthly Data'!AQ18</f>
        <v>278.46250000000009</v>
      </c>
      <c r="H18" s="33">
        <f>'Monthly Data'!BR18</f>
        <v>0</v>
      </c>
      <c r="J18" s="18">
        <f>'LC Predicted Monthly'!$T$9</f>
        <v>-22694.781953278001</v>
      </c>
      <c r="K18" s="18">
        <f>E18*'LC Predicted Monthly'!$T$10</f>
        <v>0</v>
      </c>
      <c r="L18" s="18">
        <f>F18*'LC Predicted Monthly'!$T$11</f>
        <v>0</v>
      </c>
      <c r="M18" s="18">
        <f t="shared" si="3"/>
        <v>57010.552285446727</v>
      </c>
      <c r="N18" s="18">
        <f t="shared" si="4"/>
        <v>0</v>
      </c>
      <c r="O18" s="18">
        <f t="shared" si="5"/>
        <v>34315.77033216873</v>
      </c>
      <c r="P18" s="18">
        <f t="shared" si="2"/>
        <v>32431.77033216873</v>
      </c>
      <c r="Q18" s="35">
        <f t="shared" si="6"/>
        <v>17.214315462934568</v>
      </c>
      <c r="S18" t="s">
        <v>225</v>
      </c>
      <c r="T18" s="13">
        <v>145.45619970163901</v>
      </c>
      <c r="U18" t="s">
        <v>204</v>
      </c>
      <c r="V18" s="32">
        <v>5.0212090730155999E-44</v>
      </c>
    </row>
    <row r="19" spans="1:22">
      <c r="A19" s="541">
        <f>'Monthly Data'!A19</f>
        <v>42887</v>
      </c>
      <c r="B19">
        <f t="shared" si="0"/>
        <v>2017</v>
      </c>
      <c r="C19">
        <f t="shared" si="1"/>
        <v>6</v>
      </c>
      <c r="D19" s="31">
        <f>'Monthly Data'!Y19</f>
        <v>36</v>
      </c>
      <c r="E19" s="33">
        <f>'Monthly Data'!DN19</f>
        <v>0</v>
      </c>
      <c r="F19" s="33">
        <f>'Monthly Data'!DO19</f>
        <v>0</v>
      </c>
      <c r="G19" s="33">
        <f>'Monthly Data'!AQ19</f>
        <v>107.97500000000002</v>
      </c>
      <c r="H19" s="33">
        <f>'Monthly Data'!BR19</f>
        <v>0</v>
      </c>
      <c r="J19" s="18">
        <f>'LC Predicted Monthly'!$T$9</f>
        <v>-22694.781953278001</v>
      </c>
      <c r="K19" s="18">
        <f>E19*'LC Predicted Monthly'!$T$10</f>
        <v>0</v>
      </c>
      <c r="L19" s="18">
        <f>F19*'LC Predicted Monthly'!$T$11</f>
        <v>0</v>
      </c>
      <c r="M19" s="18">
        <f t="shared" si="3"/>
        <v>22106.08029095878</v>
      </c>
      <c r="N19" s="18">
        <f t="shared" si="4"/>
        <v>0</v>
      </c>
      <c r="O19" s="18">
        <f t="shared" si="5"/>
        <v>-588.70166231922121</v>
      </c>
      <c r="P19" s="18">
        <f t="shared" si="2"/>
        <v>-624.70166231922121</v>
      </c>
      <c r="Q19" s="35">
        <f t="shared" si="6"/>
        <v>17.352823953311699</v>
      </c>
      <c r="S19" t="s">
        <v>205</v>
      </c>
      <c r="T19" s="538">
        <v>6.7121815821437503E-2</v>
      </c>
      <c r="U19" t="s">
        <v>206</v>
      </c>
      <c r="V19" s="538">
        <v>1.8615227133016601</v>
      </c>
    </row>
    <row r="20" spans="1:22">
      <c r="A20" s="541">
        <f>'Monthly Data'!A20</f>
        <v>42917</v>
      </c>
      <c r="B20">
        <f t="shared" si="0"/>
        <v>2017</v>
      </c>
      <c r="C20">
        <f t="shared" si="1"/>
        <v>7</v>
      </c>
      <c r="D20" s="31">
        <f>'Monthly Data'!Y20</f>
        <v>43326</v>
      </c>
      <c r="E20" s="33">
        <f>'Monthly Data'!DN20</f>
        <v>0</v>
      </c>
      <c r="F20" s="33">
        <f>'Monthly Data'!DO20</f>
        <v>0</v>
      </c>
      <c r="G20" s="33">
        <f>'Monthly Data'!AQ20</f>
        <v>38.441666666666649</v>
      </c>
      <c r="H20" s="33">
        <f>'Monthly Data'!BR20</f>
        <v>0</v>
      </c>
      <c r="J20" s="18">
        <f>'LC Predicted Monthly'!$T$9</f>
        <v>-22694.781953278001</v>
      </c>
      <c r="K20" s="18">
        <f>E20*'LC Predicted Monthly'!$T$10</f>
        <v>0</v>
      </c>
      <c r="L20" s="18">
        <f>F20*'LC Predicted Monthly'!$T$11</f>
        <v>0</v>
      </c>
      <c r="M20" s="18">
        <f t="shared" si="3"/>
        <v>7870.2900657708406</v>
      </c>
      <c r="N20" s="18">
        <f t="shared" si="4"/>
        <v>0</v>
      </c>
      <c r="O20" s="18">
        <f t="shared" si="5"/>
        <v>-14824.49188750716</v>
      </c>
      <c r="P20" s="18">
        <f t="shared" si="2"/>
        <v>-58150.49188750716</v>
      </c>
      <c r="Q20" s="35">
        <f t="shared" si="6"/>
        <v>1.3421615632070156</v>
      </c>
    </row>
    <row r="21" spans="1:22">
      <c r="A21" s="541">
        <f>'Monthly Data'!A21</f>
        <v>42948</v>
      </c>
      <c r="B21">
        <f t="shared" si="0"/>
        <v>2017</v>
      </c>
      <c r="C21">
        <f t="shared" si="1"/>
        <v>8</v>
      </c>
      <c r="D21" s="31">
        <f>'Monthly Data'!Y21</f>
        <v>12138</v>
      </c>
      <c r="E21" s="33">
        <f>'Monthly Data'!DN21</f>
        <v>0</v>
      </c>
      <c r="F21" s="33">
        <f>'Monthly Data'!DO21</f>
        <v>0</v>
      </c>
      <c r="G21" s="33">
        <f>'Monthly Data'!AQ21</f>
        <v>86.879166666666663</v>
      </c>
      <c r="H21" s="33">
        <f>'Monthly Data'!BR21</f>
        <v>0</v>
      </c>
      <c r="J21" s="18">
        <f>'LC Predicted Monthly'!$T$9</f>
        <v>-22694.781953278001</v>
      </c>
      <c r="K21" s="18">
        <f>E21*'LC Predicted Monthly'!$T$10</f>
        <v>0</v>
      </c>
      <c r="L21" s="18">
        <f>F21*'LC Predicted Monthly'!$T$11</f>
        <v>0</v>
      </c>
      <c r="M21" s="18">
        <f t="shared" si="3"/>
        <v>17787.060281962702</v>
      </c>
      <c r="N21" s="18">
        <f t="shared" si="4"/>
        <v>0</v>
      </c>
      <c r="O21" s="18">
        <f t="shared" si="5"/>
        <v>-4907.7216713152993</v>
      </c>
      <c r="P21" s="18">
        <f t="shared" si="2"/>
        <v>-17045.721671315299</v>
      </c>
      <c r="Q21" s="35">
        <f t="shared" si="6"/>
        <v>1.4043270449262892</v>
      </c>
      <c r="S21" t="s">
        <v>207</v>
      </c>
    </row>
    <row r="22" spans="1:22">
      <c r="A22" s="541">
        <f>'Monthly Data'!A22</f>
        <v>42979</v>
      </c>
      <c r="B22">
        <f t="shared" si="0"/>
        <v>2017</v>
      </c>
      <c r="C22">
        <f t="shared" si="1"/>
        <v>9</v>
      </c>
      <c r="D22" s="31">
        <f>'Monthly Data'!Y22</f>
        <v>136620</v>
      </c>
      <c r="E22" s="33">
        <f>'Monthly Data'!DN22</f>
        <v>0</v>
      </c>
      <c r="F22" s="33">
        <f>'Monthly Data'!DO22</f>
        <v>0</v>
      </c>
      <c r="G22" s="33">
        <f>'Monthly Data'!AQ22</f>
        <v>140.68333333333331</v>
      </c>
      <c r="H22" s="33">
        <f>'Monthly Data'!BR22</f>
        <v>1</v>
      </c>
      <c r="J22" s="18">
        <f>'LC Predicted Monthly'!$T$9</f>
        <v>-22694.781953278001</v>
      </c>
      <c r="K22" s="18">
        <f>E22*'LC Predicted Monthly'!$T$10</f>
        <v>0</v>
      </c>
      <c r="L22" s="18">
        <f>F22*'LC Predicted Monthly'!$T$11</f>
        <v>0</v>
      </c>
      <c r="M22" s="18">
        <f t="shared" si="3"/>
        <v>28802.565985333487</v>
      </c>
      <c r="N22" s="18">
        <f t="shared" si="4"/>
        <v>97970.228068396304</v>
      </c>
      <c r="O22" s="18">
        <f t="shared" si="5"/>
        <v>104078.01210045179</v>
      </c>
      <c r="P22" s="18">
        <f t="shared" si="2"/>
        <v>-32541.987899548214</v>
      </c>
      <c r="Q22" s="35">
        <f t="shared" si="6"/>
        <v>0.23819344092774275</v>
      </c>
      <c r="S22" t="s">
        <v>208</v>
      </c>
      <c r="T22" s="18">
        <v>143906.32133333301</v>
      </c>
      <c r="U22" t="s">
        <v>209</v>
      </c>
      <c r="V22" s="18">
        <v>494580.57953664102</v>
      </c>
    </row>
    <row r="23" spans="1:22">
      <c r="A23" s="541">
        <f>'Monthly Data'!A23</f>
        <v>43009</v>
      </c>
      <c r="B23">
        <f t="shared" si="0"/>
        <v>2017</v>
      </c>
      <c r="C23">
        <f t="shared" si="1"/>
        <v>10</v>
      </c>
      <c r="D23" s="31">
        <f>'Monthly Data'!Y23</f>
        <v>22812</v>
      </c>
      <c r="E23" s="33">
        <f>'Monthly Data'!DN23</f>
        <v>0</v>
      </c>
      <c r="F23" s="33">
        <f>'Monthly Data'!DO23</f>
        <v>0</v>
      </c>
      <c r="G23" s="33">
        <f>'Monthly Data'!AQ23</f>
        <v>297.41041666666666</v>
      </c>
      <c r="H23" s="33">
        <f>'Monthly Data'!BR23</f>
        <v>1</v>
      </c>
      <c r="J23" s="18">
        <f>'LC Predicted Monthly'!$T$9</f>
        <v>-22694.781953278001</v>
      </c>
      <c r="K23" s="18">
        <f>E23*'LC Predicted Monthly'!$T$10</f>
        <v>0</v>
      </c>
      <c r="L23" s="18">
        <f>F23*'LC Predicted Monthly'!$T$11</f>
        <v>0</v>
      </c>
      <c r="M23" s="18">
        <f t="shared" si="3"/>
        <v>60889.82218292047</v>
      </c>
      <c r="N23" s="18">
        <f t="shared" si="4"/>
        <v>97970.228068396304</v>
      </c>
      <c r="O23" s="18">
        <f t="shared" si="5"/>
        <v>136165.26829803878</v>
      </c>
      <c r="P23" s="18">
        <f t="shared" si="2"/>
        <v>113353.26829803878</v>
      </c>
      <c r="Q23" s="35">
        <f t="shared" si="6"/>
        <v>4.9690193011589852</v>
      </c>
    </row>
    <row r="24" spans="1:22">
      <c r="A24" s="541">
        <f>'Monthly Data'!A24</f>
        <v>43040</v>
      </c>
      <c r="B24">
        <f t="shared" si="0"/>
        <v>2017</v>
      </c>
      <c r="C24">
        <f t="shared" si="1"/>
        <v>11</v>
      </c>
      <c r="D24" s="31">
        <f>'Monthly Data'!Y24</f>
        <v>6312</v>
      </c>
      <c r="E24" s="33">
        <f>'Monthly Data'!DN24</f>
        <v>0</v>
      </c>
      <c r="F24" s="33">
        <f>'Monthly Data'!DO24</f>
        <v>0</v>
      </c>
      <c r="G24" s="33">
        <f>'Monthly Data'!AQ24</f>
        <v>625.73333333333346</v>
      </c>
      <c r="H24" s="33">
        <f>'Monthly Data'!BR24</f>
        <v>1</v>
      </c>
      <c r="J24" s="18">
        <f>'LC Predicted Monthly'!$T$9</f>
        <v>-22694.781953278001</v>
      </c>
      <c r="K24" s="18">
        <f>E24*'LC Predicted Monthly'!$T$10</f>
        <v>0</v>
      </c>
      <c r="L24" s="18">
        <f>F24*'LC Predicted Monthly'!$T$11</f>
        <v>0</v>
      </c>
      <c r="M24" s="18">
        <f t="shared" si="3"/>
        <v>128108.46313865192</v>
      </c>
      <c r="N24" s="18">
        <f t="shared" si="4"/>
        <v>97970.228068396304</v>
      </c>
      <c r="O24" s="18">
        <f t="shared" si="5"/>
        <v>203383.90925377022</v>
      </c>
      <c r="P24" s="18">
        <f t="shared" si="2"/>
        <v>197071.90925377022</v>
      </c>
      <c r="Q24" s="35">
        <f t="shared" si="6"/>
        <v>31.221785369735461</v>
      </c>
      <c r="T24" s="18"/>
      <c r="V24" s="18"/>
    </row>
    <row r="25" spans="1:22">
      <c r="A25" s="541">
        <f>'Monthly Data'!A25</f>
        <v>43070</v>
      </c>
      <c r="B25">
        <f t="shared" si="0"/>
        <v>2017</v>
      </c>
      <c r="C25">
        <f t="shared" si="1"/>
        <v>12</v>
      </c>
      <c r="D25" s="31">
        <f>'Monthly Data'!Y25</f>
        <v>166884</v>
      </c>
      <c r="E25" s="33">
        <f>'Monthly Data'!DN25</f>
        <v>0</v>
      </c>
      <c r="F25" s="33">
        <f>'Monthly Data'!DO25</f>
        <v>0</v>
      </c>
      <c r="G25" s="33">
        <f>'Monthly Data'!AQ25</f>
        <v>954.57499999999993</v>
      </c>
      <c r="H25" s="33">
        <f>'Monthly Data'!BR25</f>
        <v>0</v>
      </c>
      <c r="J25" s="18">
        <f>'LC Predicted Monthly'!$T$9</f>
        <v>-22694.781953278001</v>
      </c>
      <c r="K25" s="18">
        <f>E25*'LC Predicted Monthly'!$T$10</f>
        <v>0</v>
      </c>
      <c r="L25" s="18">
        <f>F25*'LC Predicted Monthly'!$T$11</f>
        <v>0</v>
      </c>
      <c r="M25" s="18">
        <f t="shared" si="3"/>
        <v>195433.30950444058</v>
      </c>
      <c r="N25" s="18">
        <f t="shared" si="4"/>
        <v>0</v>
      </c>
      <c r="O25" s="18">
        <f t="shared" si="5"/>
        <v>172738.52755116258</v>
      </c>
      <c r="P25" s="18">
        <f t="shared" si="2"/>
        <v>5854.5275511625805</v>
      </c>
      <c r="Q25" s="35">
        <f t="shared" si="6"/>
        <v>3.5081419136421592E-2</v>
      </c>
    </row>
    <row r="26" spans="1:22">
      <c r="A26" s="541">
        <f>'Monthly Data'!A26</f>
        <v>43101</v>
      </c>
      <c r="B26">
        <f t="shared" si="0"/>
        <v>2018</v>
      </c>
      <c r="C26">
        <f t="shared" si="1"/>
        <v>1</v>
      </c>
      <c r="D26" s="31">
        <f>'Monthly Data'!Y26</f>
        <v>291042</v>
      </c>
      <c r="E26" s="33">
        <f>'Monthly Data'!DN26</f>
        <v>0</v>
      </c>
      <c r="F26" s="33">
        <f>'Monthly Data'!DO26</f>
        <v>0</v>
      </c>
      <c r="G26" s="33">
        <f>'Monthly Data'!AQ26</f>
        <v>963.85000000000014</v>
      </c>
      <c r="H26" s="33">
        <f>'Monthly Data'!BR26</f>
        <v>0</v>
      </c>
      <c r="J26" s="18">
        <f>'LC Predicted Monthly'!$T$9</f>
        <v>-22694.781953278001</v>
      </c>
      <c r="K26" s="18">
        <f>E26*'LC Predicted Monthly'!$T$10</f>
        <v>0</v>
      </c>
      <c r="L26" s="18">
        <f>F26*'LC Predicted Monthly'!$T$11</f>
        <v>0</v>
      </c>
      <c r="M26" s="18">
        <f t="shared" si="3"/>
        <v>197332.21105293467</v>
      </c>
      <c r="N26" s="18">
        <f t="shared" si="4"/>
        <v>0</v>
      </c>
      <c r="O26" s="18">
        <f t="shared" si="5"/>
        <v>174637.42909965667</v>
      </c>
      <c r="P26" s="18">
        <f t="shared" si="2"/>
        <v>-116404.57090034333</v>
      </c>
      <c r="Q26" s="35">
        <f t="shared" si="6"/>
        <v>0.39995798166705604</v>
      </c>
    </row>
    <row r="27" spans="1:22">
      <c r="A27" s="541">
        <f>'Monthly Data'!A27</f>
        <v>43132</v>
      </c>
      <c r="B27">
        <f t="shared" si="0"/>
        <v>2018</v>
      </c>
      <c r="C27">
        <f t="shared" si="1"/>
        <v>2</v>
      </c>
      <c r="D27" s="31">
        <f>'Monthly Data'!Y27</f>
        <v>6504</v>
      </c>
      <c r="E27" s="33">
        <f>'Monthly Data'!DN27</f>
        <v>0</v>
      </c>
      <c r="F27" s="33">
        <f>'Monthly Data'!DO27</f>
        <v>0</v>
      </c>
      <c r="G27" s="33">
        <f>'Monthly Data'!AQ27</f>
        <v>754.27916666666658</v>
      </c>
      <c r="H27" s="33">
        <f>'Monthly Data'!BR27</f>
        <v>0</v>
      </c>
      <c r="J27" s="18">
        <f>'LC Predicted Monthly'!$T$9</f>
        <v>-22694.781953278001</v>
      </c>
      <c r="K27" s="18">
        <f>E27*'LC Predicted Monthly'!$T$10</f>
        <v>0</v>
      </c>
      <c r="L27" s="18">
        <f>F27*'LC Predicted Monthly'!$T$11</f>
        <v>0</v>
      </c>
      <c r="M27" s="18">
        <f t="shared" si="3"/>
        <v>154426.07844529575</v>
      </c>
      <c r="N27" s="18">
        <f t="shared" si="4"/>
        <v>0</v>
      </c>
      <c r="O27" s="18">
        <f t="shared" si="5"/>
        <v>131731.29649201775</v>
      </c>
      <c r="P27" s="18">
        <f t="shared" si="2"/>
        <v>125227.29649201775</v>
      </c>
      <c r="Q27" s="35">
        <f t="shared" si="6"/>
        <v>19.253889374541473</v>
      </c>
    </row>
    <row r="28" spans="1:22">
      <c r="A28" s="541">
        <f>'Monthly Data'!A28</f>
        <v>43160</v>
      </c>
      <c r="B28">
        <f t="shared" si="0"/>
        <v>2018</v>
      </c>
      <c r="C28">
        <f t="shared" si="1"/>
        <v>3</v>
      </c>
      <c r="D28" s="31">
        <f>'Monthly Data'!Y28</f>
        <v>3366</v>
      </c>
      <c r="E28" s="33">
        <f>'Monthly Data'!DN28</f>
        <v>0</v>
      </c>
      <c r="F28" s="33">
        <f>'Monthly Data'!DO28</f>
        <v>0</v>
      </c>
      <c r="G28" s="33">
        <f>'Monthly Data'!AQ28</f>
        <v>711.45</v>
      </c>
      <c r="H28" s="33">
        <f>'Monthly Data'!BR28</f>
        <v>0</v>
      </c>
      <c r="J28" s="18">
        <f>'LC Predicted Monthly'!$T$9</f>
        <v>-22694.781953278001</v>
      </c>
      <c r="K28" s="18">
        <f>E28*'LC Predicted Monthly'!$T$10</f>
        <v>0</v>
      </c>
      <c r="L28" s="18">
        <f>F28*'LC Predicted Monthly'!$T$11</f>
        <v>0</v>
      </c>
      <c r="M28" s="18">
        <f t="shared" si="3"/>
        <v>145657.520935426</v>
      </c>
      <c r="N28" s="18">
        <f t="shared" si="4"/>
        <v>0</v>
      </c>
      <c r="O28" s="18">
        <f t="shared" si="5"/>
        <v>122962.738982148</v>
      </c>
      <c r="P28" s="18">
        <f t="shared" si="2"/>
        <v>119596.738982148</v>
      </c>
      <c r="Q28" s="35">
        <f t="shared" si="6"/>
        <v>35.530819661957217</v>
      </c>
    </row>
    <row r="29" spans="1:22">
      <c r="A29" s="541">
        <f>'Monthly Data'!A29</f>
        <v>43191</v>
      </c>
      <c r="B29">
        <f t="shared" si="0"/>
        <v>2018</v>
      </c>
      <c r="C29">
        <f t="shared" si="1"/>
        <v>4</v>
      </c>
      <c r="D29" s="31">
        <f>'Monthly Data'!Y29</f>
        <v>2016</v>
      </c>
      <c r="E29" s="33">
        <f>'Monthly Data'!DN29</f>
        <v>0</v>
      </c>
      <c r="F29" s="33">
        <f>'Monthly Data'!DO29</f>
        <v>0</v>
      </c>
      <c r="G29" s="33">
        <f>'Monthly Data'!AQ29</f>
        <v>561.15416666666681</v>
      </c>
      <c r="H29" s="33">
        <f>'Monthly Data'!BR29</f>
        <v>0</v>
      </c>
      <c r="J29" s="18">
        <f>'LC Predicted Monthly'!$T$9</f>
        <v>-22694.781953278001</v>
      </c>
      <c r="K29" s="18">
        <f>E29*'LC Predicted Monthly'!$T$10</f>
        <v>0</v>
      </c>
      <c r="L29" s="18">
        <f>F29*'LC Predicted Monthly'!$T$11</f>
        <v>0</v>
      </c>
      <c r="M29" s="18">
        <f t="shared" si="3"/>
        <v>114886.95590589858</v>
      </c>
      <c r="N29" s="18">
        <f t="shared" si="4"/>
        <v>0</v>
      </c>
      <c r="O29" s="18">
        <f t="shared" si="5"/>
        <v>92192.173952620578</v>
      </c>
      <c r="P29" s="18">
        <f t="shared" si="2"/>
        <v>90176.173952620578</v>
      </c>
      <c r="Q29" s="35">
        <f t="shared" si="6"/>
        <v>44.730245016180845</v>
      </c>
    </row>
    <row r="30" spans="1:22">
      <c r="A30" s="541">
        <f>'Monthly Data'!A30</f>
        <v>43221</v>
      </c>
      <c r="B30">
        <f t="shared" si="0"/>
        <v>2018</v>
      </c>
      <c r="C30">
        <f t="shared" si="1"/>
        <v>5</v>
      </c>
      <c r="D30" s="31">
        <f>'Monthly Data'!Y30</f>
        <v>1200</v>
      </c>
      <c r="E30" s="33">
        <f>'Monthly Data'!DN30</f>
        <v>0</v>
      </c>
      <c r="F30" s="33">
        <f>'Monthly Data'!DO30</f>
        <v>0</v>
      </c>
      <c r="G30" s="33">
        <f>'Monthly Data'!AQ30</f>
        <v>189.08749999999998</v>
      </c>
      <c r="H30" s="33">
        <f>'Monthly Data'!BR30</f>
        <v>0</v>
      </c>
      <c r="J30" s="18">
        <f>'LC Predicted Monthly'!$T$9</f>
        <v>-22694.781953278001</v>
      </c>
      <c r="K30" s="18">
        <f>E30*'LC Predicted Monthly'!$T$10</f>
        <v>0</v>
      </c>
      <c r="L30" s="18">
        <f>F30*'LC Predicted Monthly'!$T$11</f>
        <v>0</v>
      </c>
      <c r="M30" s="18">
        <f t="shared" si="3"/>
        <v>38712.511757505599</v>
      </c>
      <c r="N30" s="18">
        <f t="shared" si="4"/>
        <v>0</v>
      </c>
      <c r="O30" s="18">
        <f t="shared" si="5"/>
        <v>16017.729804227598</v>
      </c>
      <c r="P30" s="18">
        <f t="shared" si="2"/>
        <v>14817.729804227598</v>
      </c>
      <c r="Q30" s="35">
        <f t="shared" si="6"/>
        <v>12.348108170189665</v>
      </c>
    </row>
    <row r="31" spans="1:22">
      <c r="A31" s="541">
        <f>'Monthly Data'!A31</f>
        <v>43252</v>
      </c>
      <c r="B31">
        <f t="shared" si="0"/>
        <v>2018</v>
      </c>
      <c r="C31">
        <f t="shared" si="1"/>
        <v>6</v>
      </c>
      <c r="D31" s="31">
        <f>'Monthly Data'!Y31</f>
        <v>2730</v>
      </c>
      <c r="E31" s="33">
        <f>'Monthly Data'!DN31</f>
        <v>0</v>
      </c>
      <c r="F31" s="33">
        <f>'Monthly Data'!DO31</f>
        <v>0</v>
      </c>
      <c r="G31" s="33">
        <f>'Monthly Data'!AQ31</f>
        <v>109.22083333333332</v>
      </c>
      <c r="H31" s="33">
        <f>'Monthly Data'!BR31</f>
        <v>0</v>
      </c>
      <c r="J31" s="18">
        <f>'LC Predicted Monthly'!$T$9</f>
        <v>-22694.781953278001</v>
      </c>
      <c r="K31" s="18">
        <f>E31*'LC Predicted Monthly'!$T$10</f>
        <v>0</v>
      </c>
      <c r="L31" s="18">
        <f>F31*'LC Predicted Monthly'!$T$11</f>
        <v>0</v>
      </c>
      <c r="M31" s="18">
        <f t="shared" si="3"/>
        <v>22361.14388619674</v>
      </c>
      <c r="N31" s="18">
        <f t="shared" si="4"/>
        <v>0</v>
      </c>
      <c r="O31" s="18">
        <f t="shared" si="5"/>
        <v>-333.6380670812614</v>
      </c>
      <c r="P31" s="18">
        <f t="shared" si="2"/>
        <v>-3063.6380670812614</v>
      </c>
      <c r="Q31" s="35">
        <f t="shared" si="6"/>
        <v>1.1222117461836123</v>
      </c>
    </row>
    <row r="32" spans="1:22">
      <c r="A32" s="541">
        <f>'Monthly Data'!A32</f>
        <v>43282</v>
      </c>
      <c r="B32">
        <f t="shared" si="0"/>
        <v>2018</v>
      </c>
      <c r="C32">
        <f t="shared" si="1"/>
        <v>7</v>
      </c>
      <c r="D32" s="31">
        <f>'Monthly Data'!Y32</f>
        <v>106638</v>
      </c>
      <c r="E32" s="33">
        <f>'Monthly Data'!DN32</f>
        <v>0</v>
      </c>
      <c r="F32" s="33">
        <f>'Monthly Data'!DO32</f>
        <v>0</v>
      </c>
      <c r="G32" s="33">
        <f>'Monthly Data'!AQ32</f>
        <v>15.241666666666678</v>
      </c>
      <c r="H32" s="33">
        <f>'Monthly Data'!BR32</f>
        <v>0</v>
      </c>
      <c r="J32" s="18">
        <f>'LC Predicted Monthly'!$T$9</f>
        <v>-22694.781953278001</v>
      </c>
      <c r="K32" s="18">
        <f>E32*'LC Predicted Monthly'!$T$10</f>
        <v>0</v>
      </c>
      <c r="L32" s="18">
        <f>F32*'LC Predicted Monthly'!$T$11</f>
        <v>0</v>
      </c>
      <c r="M32" s="18">
        <f t="shared" si="3"/>
        <v>3120.4770280283733</v>
      </c>
      <c r="N32" s="18">
        <f t="shared" si="4"/>
        <v>0</v>
      </c>
      <c r="O32" s="18">
        <f t="shared" si="5"/>
        <v>-19574.304925249628</v>
      </c>
      <c r="P32" s="18">
        <f t="shared" si="2"/>
        <v>-126212.30492524963</v>
      </c>
      <c r="Q32" s="35">
        <f t="shared" si="6"/>
        <v>1.1835584400049666</v>
      </c>
    </row>
    <row r="33" spans="1:17">
      <c r="A33" s="541">
        <f>'Monthly Data'!A33</f>
        <v>43313</v>
      </c>
      <c r="B33">
        <f t="shared" si="0"/>
        <v>2018</v>
      </c>
      <c r="C33">
        <f t="shared" si="1"/>
        <v>8</v>
      </c>
      <c r="D33" s="31">
        <f>'Monthly Data'!Y33</f>
        <v>24426</v>
      </c>
      <c r="E33" s="33">
        <f>'Monthly Data'!DN33</f>
        <v>0</v>
      </c>
      <c r="F33" s="33">
        <f>'Monthly Data'!DO33</f>
        <v>0</v>
      </c>
      <c r="G33" s="33">
        <f>'Monthly Data'!AQ33</f>
        <v>25.450000000000003</v>
      </c>
      <c r="H33" s="33">
        <f>'Monthly Data'!BR33</f>
        <v>0</v>
      </c>
      <c r="J33" s="18">
        <f>'LC Predicted Monthly'!$T$9</f>
        <v>-22694.781953278001</v>
      </c>
      <c r="K33" s="18">
        <f>E33*'LC Predicted Monthly'!$T$10</f>
        <v>0</v>
      </c>
      <c r="L33" s="18">
        <f>F33*'LC Predicted Monthly'!$T$11</f>
        <v>0</v>
      </c>
      <c r="M33" s="18">
        <f t="shared" si="3"/>
        <v>5210.4630090752571</v>
      </c>
      <c r="N33" s="18">
        <f t="shared" si="4"/>
        <v>0</v>
      </c>
      <c r="O33" s="18">
        <f t="shared" si="5"/>
        <v>-17484.318944202743</v>
      </c>
      <c r="P33" s="18">
        <f t="shared" si="2"/>
        <v>-41910.318944202743</v>
      </c>
      <c r="Q33" s="35">
        <f t="shared" si="6"/>
        <v>1.7158077026202712</v>
      </c>
    </row>
    <row r="34" spans="1:17">
      <c r="A34" s="541">
        <f>'Monthly Data'!A34</f>
        <v>43344</v>
      </c>
      <c r="B34">
        <f t="shared" si="0"/>
        <v>2018</v>
      </c>
      <c r="C34">
        <f t="shared" si="1"/>
        <v>9</v>
      </c>
      <c r="D34" s="31">
        <f>'Monthly Data'!Y34</f>
        <v>3012</v>
      </c>
      <c r="E34" s="33">
        <f>'Monthly Data'!DN34</f>
        <v>0</v>
      </c>
      <c r="F34" s="33">
        <f>'Monthly Data'!DO34</f>
        <v>0</v>
      </c>
      <c r="G34" s="33">
        <f>'Monthly Data'!AQ34</f>
        <v>165.60416666666669</v>
      </c>
      <c r="H34" s="33">
        <f>'Monthly Data'!BR34</f>
        <v>1</v>
      </c>
      <c r="J34" s="18">
        <f>'LC Predicted Monthly'!$T$9</f>
        <v>-22694.781953278001</v>
      </c>
      <c r="K34" s="18">
        <f>E34*'LC Predicted Monthly'!$T$10</f>
        <v>0</v>
      </c>
      <c r="L34" s="18">
        <f>F34*'LC Predicted Monthly'!$T$11</f>
        <v>0</v>
      </c>
      <c r="M34" s="18">
        <f t="shared" si="3"/>
        <v>33904.690945595299</v>
      </c>
      <c r="N34" s="18">
        <f t="shared" si="4"/>
        <v>97970.228068396304</v>
      </c>
      <c r="O34" s="18">
        <f t="shared" si="5"/>
        <v>109180.13706071361</v>
      </c>
      <c r="P34" s="18">
        <f t="shared" ref="P34:P65" si="7">O34-D34</f>
        <v>106168.13706071361</v>
      </c>
      <c r="Q34" s="35">
        <f t="shared" si="6"/>
        <v>35.248385478324572</v>
      </c>
    </row>
    <row r="35" spans="1:17">
      <c r="A35" s="541">
        <f>'Monthly Data'!A35</f>
        <v>43374</v>
      </c>
      <c r="B35">
        <f t="shared" si="0"/>
        <v>2018</v>
      </c>
      <c r="C35">
        <f t="shared" si="1"/>
        <v>10</v>
      </c>
      <c r="D35" s="31">
        <f>'Monthly Data'!Y35</f>
        <v>3146.4</v>
      </c>
      <c r="E35" s="33">
        <f>'Monthly Data'!DN35</f>
        <v>0</v>
      </c>
      <c r="F35" s="33">
        <f>'Monthly Data'!DO35</f>
        <v>0</v>
      </c>
      <c r="G35" s="33">
        <f>'Monthly Data'!AQ35</f>
        <v>439.75416666666661</v>
      </c>
      <c r="H35" s="33">
        <f>'Monthly Data'!BR35</f>
        <v>1</v>
      </c>
      <c r="J35" s="18">
        <f>'LC Predicted Monthly'!$T$9</f>
        <v>-22694.781953278001</v>
      </c>
      <c r="K35" s="18">
        <f>E35*'LC Predicted Monthly'!$T$10</f>
        <v>0</v>
      </c>
      <c r="L35" s="18">
        <f>F35*'LC Predicted Monthly'!$T$11</f>
        <v>0</v>
      </c>
      <c r="M35" s="18">
        <f t="shared" si="3"/>
        <v>90032.330785987491</v>
      </c>
      <c r="N35" s="18">
        <f t="shared" si="4"/>
        <v>97970.228068396304</v>
      </c>
      <c r="O35" s="18">
        <f t="shared" si="5"/>
        <v>165307.7769011058</v>
      </c>
      <c r="P35" s="18">
        <f t="shared" si="7"/>
        <v>162161.3769011058</v>
      </c>
      <c r="Q35" s="35">
        <f t="shared" si="6"/>
        <v>51.53870356633162</v>
      </c>
    </row>
    <row r="36" spans="1:17">
      <c r="A36" s="541">
        <f>'Monthly Data'!A36</f>
        <v>43405</v>
      </c>
      <c r="B36">
        <f t="shared" si="0"/>
        <v>2018</v>
      </c>
      <c r="C36">
        <f t="shared" si="1"/>
        <v>11</v>
      </c>
      <c r="D36" s="31">
        <f>'Monthly Data'!Y36</f>
        <v>168930</v>
      </c>
      <c r="E36" s="33">
        <f>'Monthly Data'!DN36</f>
        <v>0</v>
      </c>
      <c r="F36" s="33">
        <f>'Monthly Data'!DO36</f>
        <v>0</v>
      </c>
      <c r="G36" s="33">
        <f>'Monthly Data'!AQ36</f>
        <v>681.23333333333335</v>
      </c>
      <c r="H36" s="33">
        <f>'Monthly Data'!BR36</f>
        <v>1</v>
      </c>
      <c r="J36" s="18">
        <f>'LC Predicted Monthly'!$T$9</f>
        <v>-22694.781953278001</v>
      </c>
      <c r="K36" s="18">
        <f>E36*'LC Predicted Monthly'!$T$10</f>
        <v>0</v>
      </c>
      <c r="L36" s="18">
        <f>F36*'LC Predicted Monthly'!$T$11</f>
        <v>0</v>
      </c>
      <c r="M36" s="18">
        <f t="shared" si="3"/>
        <v>139471.16243152722</v>
      </c>
      <c r="N36" s="18">
        <f t="shared" si="4"/>
        <v>97970.228068396304</v>
      </c>
      <c r="O36" s="18">
        <f t="shared" si="5"/>
        <v>214746.60854664553</v>
      </c>
      <c r="P36" s="18">
        <f t="shared" si="7"/>
        <v>45816.608546645526</v>
      </c>
      <c r="Q36" s="35">
        <f t="shared" si="6"/>
        <v>0.27121653079172159</v>
      </c>
    </row>
    <row r="37" spans="1:17">
      <c r="A37" s="541">
        <f>'Monthly Data'!A37</f>
        <v>43435</v>
      </c>
      <c r="B37">
        <f t="shared" si="0"/>
        <v>2018</v>
      </c>
      <c r="C37">
        <f t="shared" si="1"/>
        <v>12</v>
      </c>
      <c r="D37" s="31">
        <f>'Monthly Data'!Y37</f>
        <v>41917.199999999997</v>
      </c>
      <c r="E37" s="33">
        <f>'Monthly Data'!DN37</f>
        <v>0</v>
      </c>
      <c r="F37" s="33">
        <f>'Monthly Data'!DO37</f>
        <v>0</v>
      </c>
      <c r="G37" s="33">
        <f>'Monthly Data'!AQ37</f>
        <v>855.4000000000002</v>
      </c>
      <c r="H37" s="33">
        <f>'Monthly Data'!BR37</f>
        <v>0</v>
      </c>
      <c r="J37" s="18">
        <f>'LC Predicted Monthly'!$T$9</f>
        <v>-22694.781953278001</v>
      </c>
      <c r="K37" s="18">
        <f>E37*'LC Predicted Monthly'!$T$10</f>
        <v>0</v>
      </c>
      <c r="L37" s="18">
        <f>F37*'LC Predicted Monthly'!$T$11</f>
        <v>0</v>
      </c>
      <c r="M37" s="18">
        <f t="shared" si="3"/>
        <v>175128.88243469453</v>
      </c>
      <c r="N37" s="18">
        <f t="shared" si="4"/>
        <v>0</v>
      </c>
      <c r="O37" s="18">
        <f t="shared" si="5"/>
        <v>152434.10048141654</v>
      </c>
      <c r="P37" s="18">
        <f t="shared" si="7"/>
        <v>110516.90048141654</v>
      </c>
      <c r="Q37" s="35">
        <f t="shared" si="6"/>
        <v>2.6365525483910317</v>
      </c>
    </row>
    <row r="38" spans="1:17">
      <c r="A38" s="541">
        <f>'Monthly Data'!A38</f>
        <v>43466</v>
      </c>
      <c r="B38">
        <f t="shared" si="0"/>
        <v>2019</v>
      </c>
      <c r="C38">
        <f t="shared" si="1"/>
        <v>1</v>
      </c>
      <c r="D38" s="31">
        <f>'Monthly Data'!Y38</f>
        <v>217986.8</v>
      </c>
      <c r="E38" s="33">
        <f>'Monthly Data'!DN38</f>
        <v>0</v>
      </c>
      <c r="F38" s="33">
        <f>'Monthly Data'!DO38</f>
        <v>0</v>
      </c>
      <c r="G38" s="33">
        <f>'Monthly Data'!AQ38</f>
        <v>1054.7000000000003</v>
      </c>
      <c r="H38" s="33">
        <f>'Monthly Data'!BR38</f>
        <v>0</v>
      </c>
      <c r="J38" s="18">
        <f>'LC Predicted Monthly'!$T$9</f>
        <v>-22694.781953278001</v>
      </c>
      <c r="K38" s="18">
        <f>E38*'LC Predicted Monthly'!$T$10</f>
        <v>0</v>
      </c>
      <c r="L38" s="18">
        <f>F38*'LC Predicted Monthly'!$T$11</f>
        <v>0</v>
      </c>
      <c r="M38" s="18">
        <f t="shared" si="3"/>
        <v>215932.23322874951</v>
      </c>
      <c r="N38" s="18">
        <f t="shared" si="4"/>
        <v>0</v>
      </c>
      <c r="O38" s="18">
        <f t="shared" si="5"/>
        <v>193237.45127547151</v>
      </c>
      <c r="P38" s="18">
        <f t="shared" si="7"/>
        <v>-24749.348724528478</v>
      </c>
      <c r="Q38" s="35">
        <f t="shared" si="6"/>
        <v>0.11353599724629418</v>
      </c>
    </row>
    <row r="39" spans="1:17">
      <c r="A39" s="541">
        <f>'Monthly Data'!A39</f>
        <v>43497</v>
      </c>
      <c r="B39">
        <f t="shared" si="0"/>
        <v>2019</v>
      </c>
      <c r="C39">
        <f t="shared" si="1"/>
        <v>2</v>
      </c>
      <c r="D39" s="31">
        <f>'Monthly Data'!Y39</f>
        <v>73564.800000000003</v>
      </c>
      <c r="E39" s="33">
        <f>'Monthly Data'!DN39</f>
        <v>0</v>
      </c>
      <c r="F39" s="33">
        <f>'Monthly Data'!DO39</f>
        <v>0</v>
      </c>
      <c r="G39" s="33">
        <f>'Monthly Data'!AQ39</f>
        <v>858.87708333333342</v>
      </c>
      <c r="H39" s="33">
        <f>'Monthly Data'!BR39</f>
        <v>0</v>
      </c>
      <c r="J39" s="18">
        <f>'LC Predicted Monthly'!$T$9</f>
        <v>-22694.781953278001</v>
      </c>
      <c r="K39" s="18">
        <f>E39*'LC Predicted Monthly'!$T$10</f>
        <v>0</v>
      </c>
      <c r="L39" s="18">
        <f>F39*'LC Predicted Monthly'!$T$11</f>
        <v>0</v>
      </c>
      <c r="M39" s="18">
        <f t="shared" si="3"/>
        <v>175840.75725150414</v>
      </c>
      <c r="N39" s="18">
        <f t="shared" si="4"/>
        <v>0</v>
      </c>
      <c r="O39" s="18">
        <f t="shared" si="5"/>
        <v>153145.97529822614</v>
      </c>
      <c r="P39" s="18">
        <f t="shared" si="7"/>
        <v>79581.175298226139</v>
      </c>
      <c r="Q39" s="35">
        <f t="shared" si="6"/>
        <v>1.081783343368379</v>
      </c>
    </row>
    <row r="40" spans="1:17">
      <c r="A40" s="541">
        <f>'Monthly Data'!A40</f>
        <v>43525</v>
      </c>
      <c r="B40">
        <f t="shared" si="0"/>
        <v>2019</v>
      </c>
      <c r="C40">
        <f t="shared" si="1"/>
        <v>3</v>
      </c>
      <c r="D40" s="31">
        <f>'Monthly Data'!Y40</f>
        <v>5464.8</v>
      </c>
      <c r="E40" s="33">
        <f>'Monthly Data'!DN40</f>
        <v>0</v>
      </c>
      <c r="F40" s="33">
        <f>'Monthly Data'!DO40</f>
        <v>0</v>
      </c>
      <c r="G40" s="33">
        <f>'Monthly Data'!AQ40</f>
        <v>773.79166666666663</v>
      </c>
      <c r="H40" s="33">
        <f>'Monthly Data'!BR40</f>
        <v>0</v>
      </c>
      <c r="J40" s="18">
        <f>'LC Predicted Monthly'!$T$9</f>
        <v>-22694.781953278001</v>
      </c>
      <c r="K40" s="18">
        <f>E40*'LC Predicted Monthly'!$T$10</f>
        <v>0</v>
      </c>
      <c r="L40" s="18">
        <f>F40*'LC Predicted Monthly'!$T$11</f>
        <v>0</v>
      </c>
      <c r="M40" s="18">
        <f t="shared" si="3"/>
        <v>158420.93736335394</v>
      </c>
      <c r="N40" s="18">
        <f t="shared" si="4"/>
        <v>0</v>
      </c>
      <c r="O40" s="18">
        <f t="shared" si="5"/>
        <v>135726.15541007594</v>
      </c>
      <c r="P40" s="18">
        <f t="shared" si="7"/>
        <v>130261.35541007594</v>
      </c>
      <c r="Q40" s="35">
        <f t="shared" si="6"/>
        <v>23.836435992181951</v>
      </c>
    </row>
    <row r="41" spans="1:17">
      <c r="A41" s="541">
        <f>'Monthly Data'!A41</f>
        <v>43556</v>
      </c>
      <c r="B41">
        <f t="shared" si="0"/>
        <v>2019</v>
      </c>
      <c r="C41">
        <f t="shared" si="1"/>
        <v>4</v>
      </c>
      <c r="D41" s="31">
        <f>'Monthly Data'!Y41</f>
        <v>73895.199999999997</v>
      </c>
      <c r="E41" s="33">
        <f>'Monthly Data'!DN41</f>
        <v>0</v>
      </c>
      <c r="F41" s="33">
        <f>'Monthly Data'!DO41</f>
        <v>0</v>
      </c>
      <c r="G41" s="33">
        <f>'Monthly Data'!AQ41</f>
        <v>501.13749999999999</v>
      </c>
      <c r="H41" s="33">
        <f>'Monthly Data'!BR41</f>
        <v>0</v>
      </c>
      <c r="J41" s="18">
        <f>'LC Predicted Monthly'!$T$9</f>
        <v>-22694.781953278001</v>
      </c>
      <c r="K41" s="18">
        <f>E41*'LC Predicted Monthly'!$T$10</f>
        <v>0</v>
      </c>
      <c r="L41" s="18">
        <f>F41*'LC Predicted Monthly'!$T$11</f>
        <v>0</v>
      </c>
      <c r="M41" s="18">
        <f t="shared" si="3"/>
        <v>102599.54444834779</v>
      </c>
      <c r="N41" s="18">
        <f t="shared" si="4"/>
        <v>0</v>
      </c>
      <c r="O41" s="18">
        <f t="shared" si="5"/>
        <v>79904.762495069794</v>
      </c>
      <c r="P41" s="18">
        <f t="shared" si="7"/>
        <v>6009.5624950697966</v>
      </c>
      <c r="Q41" s="35">
        <f t="shared" si="6"/>
        <v>8.132547844880042E-2</v>
      </c>
    </row>
    <row r="42" spans="1:17">
      <c r="A42" s="541">
        <f>'Monthly Data'!A42</f>
        <v>43586</v>
      </c>
      <c r="B42">
        <f t="shared" si="0"/>
        <v>2019</v>
      </c>
      <c r="C42">
        <f t="shared" si="1"/>
        <v>5</v>
      </c>
      <c r="D42" s="31">
        <f>'Monthly Data'!Y42</f>
        <v>94198</v>
      </c>
      <c r="E42" s="33">
        <f>'Monthly Data'!DN42</f>
        <v>0</v>
      </c>
      <c r="F42" s="33">
        <f>'Monthly Data'!DO42</f>
        <v>0</v>
      </c>
      <c r="G42" s="33">
        <f>'Monthly Data'!AQ42</f>
        <v>307.42916666666667</v>
      </c>
      <c r="H42" s="33">
        <f>'Monthly Data'!BR42</f>
        <v>0</v>
      </c>
      <c r="J42" s="18">
        <f>'LC Predicted Monthly'!$T$9</f>
        <v>-22694.781953278001</v>
      </c>
      <c r="K42" s="18">
        <f>E42*'LC Predicted Monthly'!$T$10</f>
        <v>0</v>
      </c>
      <c r="L42" s="18">
        <f>F42*'LC Predicted Monthly'!$T$11</f>
        <v>0</v>
      </c>
      <c r="M42" s="18">
        <f t="shared" si="3"/>
        <v>62940.994138605056</v>
      </c>
      <c r="N42" s="18">
        <f t="shared" si="4"/>
        <v>0</v>
      </c>
      <c r="O42" s="18">
        <f t="shared" si="5"/>
        <v>40246.212185327051</v>
      </c>
      <c r="P42" s="18">
        <f t="shared" si="7"/>
        <v>-53951.787814672949</v>
      </c>
      <c r="Q42" s="35">
        <f t="shared" si="6"/>
        <v>0.57274876127596075</v>
      </c>
    </row>
    <row r="43" spans="1:17">
      <c r="A43" s="541">
        <f>'Monthly Data'!A43</f>
        <v>43617</v>
      </c>
      <c r="B43">
        <f t="shared" si="0"/>
        <v>2019</v>
      </c>
      <c r="C43">
        <f t="shared" si="1"/>
        <v>6</v>
      </c>
      <c r="D43" s="31">
        <f>'Monthly Data'!Y43</f>
        <v>14962.4</v>
      </c>
      <c r="E43" s="33">
        <f>'Monthly Data'!DN43</f>
        <v>0</v>
      </c>
      <c r="F43" s="33">
        <f>'Monthly Data'!DO43</f>
        <v>0</v>
      </c>
      <c r="G43" s="33">
        <f>'Monthly Data'!AQ43</f>
        <v>114.8875</v>
      </c>
      <c r="H43" s="33">
        <f>'Monthly Data'!BR43</f>
        <v>0</v>
      </c>
      <c r="J43" s="18">
        <f>'LC Predicted Monthly'!$T$9</f>
        <v>-22694.781953278001</v>
      </c>
      <c r="K43" s="18">
        <f>E43*'LC Predicted Monthly'!$T$10</f>
        <v>0</v>
      </c>
      <c r="L43" s="18">
        <f>F43*'LC Predicted Monthly'!$T$11</f>
        <v>0</v>
      </c>
      <c r="M43" s="18">
        <f t="shared" si="3"/>
        <v>23521.299369553381</v>
      </c>
      <c r="N43" s="18">
        <f t="shared" si="4"/>
        <v>0</v>
      </c>
      <c r="O43" s="18">
        <f t="shared" si="5"/>
        <v>826.51741627537922</v>
      </c>
      <c r="P43" s="18">
        <f t="shared" si="7"/>
        <v>-14135.88258372462</v>
      </c>
      <c r="Q43" s="35">
        <f t="shared" si="6"/>
        <v>0.94476037157973458</v>
      </c>
    </row>
    <row r="44" spans="1:17">
      <c r="A44" s="541">
        <f>'Monthly Data'!A44</f>
        <v>43647</v>
      </c>
      <c r="B44">
        <f t="shared" si="0"/>
        <v>2019</v>
      </c>
      <c r="C44">
        <f t="shared" si="1"/>
        <v>7</v>
      </c>
      <c r="D44" s="31">
        <f>'Monthly Data'!Y44</f>
        <v>19603.599999999999</v>
      </c>
      <c r="E44" s="33">
        <f>'Monthly Data'!DN44</f>
        <v>0</v>
      </c>
      <c r="F44" s="33">
        <f>'Monthly Data'!DO44</f>
        <v>0</v>
      </c>
      <c r="G44" s="33">
        <f>'Monthly Data'!AQ44</f>
        <v>14.054166666666667</v>
      </c>
      <c r="H44" s="33">
        <f>'Monthly Data'!BR44</f>
        <v>0</v>
      </c>
      <c r="J44" s="18">
        <f>'LC Predicted Monthly'!$T$9</f>
        <v>-22694.781953278001</v>
      </c>
      <c r="K44" s="18">
        <f>E44*'LC Predicted Monthly'!$T$10</f>
        <v>0</v>
      </c>
      <c r="L44" s="18">
        <f>F44*'LC Predicted Monthly'!$T$11</f>
        <v>0</v>
      </c>
      <c r="M44" s="18">
        <f t="shared" si="3"/>
        <v>2877.3562098249577</v>
      </c>
      <c r="N44" s="18">
        <f t="shared" si="4"/>
        <v>0</v>
      </c>
      <c r="O44" s="18">
        <f t="shared" si="5"/>
        <v>-19817.425743453045</v>
      </c>
      <c r="P44" s="18">
        <f t="shared" si="7"/>
        <v>-39421.025743453043</v>
      </c>
      <c r="Q44" s="35">
        <f t="shared" si="6"/>
        <v>2.0109074732933259</v>
      </c>
    </row>
    <row r="45" spans="1:17">
      <c r="A45" s="541">
        <f>'Monthly Data'!A45</f>
        <v>43678</v>
      </c>
      <c r="B45">
        <f t="shared" si="0"/>
        <v>2019</v>
      </c>
      <c r="C45">
        <f t="shared" si="1"/>
        <v>8</v>
      </c>
      <c r="D45" s="31">
        <f>'Monthly Data'!Y45</f>
        <v>14506</v>
      </c>
      <c r="E45" s="33">
        <f>'Monthly Data'!DN45</f>
        <v>0</v>
      </c>
      <c r="F45" s="33">
        <f>'Monthly Data'!DO45</f>
        <v>0</v>
      </c>
      <c r="G45" s="33">
        <f>'Monthly Data'!AQ45</f>
        <v>58.420833333333356</v>
      </c>
      <c r="H45" s="33">
        <f>'Monthly Data'!BR45</f>
        <v>0</v>
      </c>
      <c r="J45" s="18">
        <f>'LC Predicted Monthly'!$T$9</f>
        <v>-22694.781953278001</v>
      </c>
      <c r="K45" s="18">
        <f>E45*'LC Predicted Monthly'!$T$10</f>
        <v>0</v>
      </c>
      <c r="L45" s="18">
        <f>F45*'LC Predicted Monthly'!$T$11</f>
        <v>0</v>
      </c>
      <c r="M45" s="18">
        <f t="shared" si="3"/>
        <v>11960.691200105468</v>
      </c>
      <c r="N45" s="18">
        <f t="shared" si="4"/>
        <v>0</v>
      </c>
      <c r="O45" s="18">
        <f t="shared" si="5"/>
        <v>-10734.090753172533</v>
      </c>
      <c r="P45" s="18">
        <f t="shared" si="7"/>
        <v>-25240.090753172532</v>
      </c>
      <c r="Q45" s="35">
        <f t="shared" si="6"/>
        <v>1.7399759239743922</v>
      </c>
    </row>
    <row r="46" spans="1:17">
      <c r="A46" s="541">
        <f>'Monthly Data'!A46</f>
        <v>43709</v>
      </c>
      <c r="B46">
        <f t="shared" si="0"/>
        <v>2019</v>
      </c>
      <c r="C46">
        <f t="shared" si="1"/>
        <v>9</v>
      </c>
      <c r="D46" s="31">
        <f>'Monthly Data'!Y46</f>
        <v>7091.6</v>
      </c>
      <c r="E46" s="33">
        <f>'Monthly Data'!DN46</f>
        <v>0</v>
      </c>
      <c r="F46" s="33">
        <f>'Monthly Data'!DO46</f>
        <v>0</v>
      </c>
      <c r="G46" s="33">
        <f>'Monthly Data'!AQ46</f>
        <v>189.70000000000007</v>
      </c>
      <c r="H46" s="33">
        <f>'Monthly Data'!BR46</f>
        <v>1</v>
      </c>
      <c r="J46" s="18">
        <f>'LC Predicted Monthly'!$T$9</f>
        <v>-22694.781953278001</v>
      </c>
      <c r="K46" s="18">
        <f>E46*'LC Predicted Monthly'!$T$10</f>
        <v>0</v>
      </c>
      <c r="L46" s="18">
        <f>F46*'LC Predicted Monthly'!$T$11</f>
        <v>0</v>
      </c>
      <c r="M46" s="18">
        <f t="shared" si="3"/>
        <v>38837.910916368433</v>
      </c>
      <c r="N46" s="18">
        <f t="shared" si="4"/>
        <v>97970.228068396304</v>
      </c>
      <c r="O46" s="18">
        <f t="shared" si="5"/>
        <v>114113.35703148674</v>
      </c>
      <c r="P46" s="18">
        <f t="shared" si="7"/>
        <v>107021.75703148673</v>
      </c>
      <c r="Q46" s="35">
        <f t="shared" si="6"/>
        <v>15.091341450658064</v>
      </c>
    </row>
    <row r="47" spans="1:17">
      <c r="A47" s="541">
        <f>'Monthly Data'!A47</f>
        <v>43739</v>
      </c>
      <c r="B47">
        <f t="shared" si="0"/>
        <v>2019</v>
      </c>
      <c r="C47">
        <f t="shared" si="1"/>
        <v>10</v>
      </c>
      <c r="D47" s="31">
        <f>'Monthly Data'!Y47</f>
        <v>5152.3999999999996</v>
      </c>
      <c r="E47" s="33">
        <f>'Monthly Data'!DN47</f>
        <v>0</v>
      </c>
      <c r="F47" s="33">
        <f>'Monthly Data'!DO47</f>
        <v>0</v>
      </c>
      <c r="G47" s="33">
        <f>'Monthly Data'!AQ47</f>
        <v>396.53333333333319</v>
      </c>
      <c r="H47" s="33">
        <f>'Monthly Data'!BR47</f>
        <v>1</v>
      </c>
      <c r="J47" s="18">
        <f>'LC Predicted Monthly'!$T$9</f>
        <v>-22694.781953278001</v>
      </c>
      <c r="K47" s="18">
        <f>E47*'LC Predicted Monthly'!$T$10</f>
        <v>0</v>
      </c>
      <c r="L47" s="18">
        <f>F47*'LC Predicted Monthly'!$T$11</f>
        <v>0</v>
      </c>
      <c r="M47" s="18">
        <f t="shared" si="3"/>
        <v>81183.586058885703</v>
      </c>
      <c r="N47" s="18">
        <f t="shared" si="4"/>
        <v>97970.228068396304</v>
      </c>
      <c r="O47" s="18">
        <f t="shared" si="5"/>
        <v>156459.03217400401</v>
      </c>
      <c r="P47" s="18">
        <f t="shared" si="7"/>
        <v>151306.63217400401</v>
      </c>
      <c r="Q47" s="35">
        <f t="shared" si="6"/>
        <v>29.366243337862748</v>
      </c>
    </row>
    <row r="48" spans="1:17">
      <c r="A48" s="541">
        <f>'Monthly Data'!A48</f>
        <v>43770</v>
      </c>
      <c r="B48">
        <f t="shared" si="0"/>
        <v>2019</v>
      </c>
      <c r="C48">
        <f t="shared" si="1"/>
        <v>11</v>
      </c>
      <c r="D48" s="31">
        <f>'Monthly Data'!Y48</f>
        <v>133759.20000000001</v>
      </c>
      <c r="E48" s="33">
        <f>'Monthly Data'!DN48</f>
        <v>0</v>
      </c>
      <c r="F48" s="33">
        <f>'Monthly Data'!DO48</f>
        <v>0</v>
      </c>
      <c r="G48" s="33">
        <f>'Monthly Data'!AQ48</f>
        <v>682.0916666666667</v>
      </c>
      <c r="H48" s="33">
        <f>'Monthly Data'!BR48</f>
        <v>1</v>
      </c>
      <c r="J48" s="18">
        <f>'LC Predicted Monthly'!$T$9</f>
        <v>-22694.781953278001</v>
      </c>
      <c r="K48" s="18">
        <f>E48*'LC Predicted Monthly'!$T$10</f>
        <v>0</v>
      </c>
      <c r="L48" s="18">
        <f>F48*'LC Predicted Monthly'!$T$11</f>
        <v>0</v>
      </c>
      <c r="M48" s="18">
        <f t="shared" si="3"/>
        <v>139646.89186503564</v>
      </c>
      <c r="N48" s="18">
        <f t="shared" si="4"/>
        <v>97970.228068396304</v>
      </c>
      <c r="O48" s="18">
        <f t="shared" si="5"/>
        <v>214922.33798015394</v>
      </c>
      <c r="P48" s="18">
        <f t="shared" si="7"/>
        <v>81163.13798015393</v>
      </c>
      <c r="Q48" s="35">
        <f t="shared" si="6"/>
        <v>0.60678546208525408</v>
      </c>
    </row>
    <row r="49" spans="1:17">
      <c r="A49" s="541">
        <f>'Monthly Data'!A49</f>
        <v>43800</v>
      </c>
      <c r="B49">
        <f t="shared" si="0"/>
        <v>2019</v>
      </c>
      <c r="C49">
        <f t="shared" si="1"/>
        <v>12</v>
      </c>
      <c r="D49" s="31">
        <f>'Monthly Data'!Y49</f>
        <v>51856.39</v>
      </c>
      <c r="E49" s="33">
        <f>'Monthly Data'!DN49</f>
        <v>0</v>
      </c>
      <c r="F49" s="33">
        <f>'Monthly Data'!DO49</f>
        <v>0</v>
      </c>
      <c r="G49" s="33">
        <f>'Monthly Data'!AQ49</f>
        <v>811.69166666666661</v>
      </c>
      <c r="H49" s="33">
        <f>'Monthly Data'!BR49</f>
        <v>0</v>
      </c>
      <c r="J49" s="18">
        <f>'LC Predicted Monthly'!$T$9</f>
        <v>-22694.781953278001</v>
      </c>
      <c r="K49" s="18">
        <f>E49*'LC Predicted Monthly'!$T$10</f>
        <v>0</v>
      </c>
      <c r="L49" s="18">
        <f>F49*'LC Predicted Monthly'!$T$11</f>
        <v>0</v>
      </c>
      <c r="M49" s="18">
        <f t="shared" si="3"/>
        <v>166180.33021380394</v>
      </c>
      <c r="N49" s="18">
        <f t="shared" si="4"/>
        <v>0</v>
      </c>
      <c r="O49" s="18">
        <f t="shared" si="5"/>
        <v>143485.54826052595</v>
      </c>
      <c r="P49" s="18">
        <f t="shared" si="7"/>
        <v>91629.158260525946</v>
      </c>
      <c r="Q49" s="35">
        <f t="shared" si="6"/>
        <v>1.7669791179163445</v>
      </c>
    </row>
    <row r="50" spans="1:17">
      <c r="A50" s="541">
        <f>'Monthly Data'!A50</f>
        <v>43831</v>
      </c>
      <c r="B50">
        <f t="shared" si="0"/>
        <v>2020</v>
      </c>
      <c r="C50">
        <f t="shared" si="1"/>
        <v>1</v>
      </c>
      <c r="D50" s="31">
        <f>'Monthly Data'!Y50</f>
        <v>77811.460000000006</v>
      </c>
      <c r="E50" s="33">
        <f>'Monthly Data'!DN50</f>
        <v>0</v>
      </c>
      <c r="F50" s="33">
        <f>'Monthly Data'!DO50</f>
        <v>0</v>
      </c>
      <c r="G50" s="33">
        <f>'Monthly Data'!AQ50</f>
        <v>851.48333333333335</v>
      </c>
      <c r="H50" s="33">
        <f>'Monthly Data'!BR50</f>
        <v>0</v>
      </c>
      <c r="J50" s="18">
        <f>'LC Predicted Monthly'!$T$9</f>
        <v>-22694.781953278001</v>
      </c>
      <c r="K50" s="18">
        <f>E50*'LC Predicted Monthly'!$T$10</f>
        <v>0</v>
      </c>
      <c r="L50" s="18">
        <f>F50*'LC Predicted Monthly'!$T$11</f>
        <v>0</v>
      </c>
      <c r="M50" s="18">
        <f t="shared" si="3"/>
        <v>174327.01026237445</v>
      </c>
      <c r="N50" s="18">
        <f t="shared" si="4"/>
        <v>0</v>
      </c>
      <c r="O50" s="18">
        <f t="shared" si="5"/>
        <v>151632.22830909645</v>
      </c>
      <c r="P50" s="18">
        <f t="shared" si="7"/>
        <v>73820.768309096442</v>
      </c>
      <c r="Q50" s="35">
        <f t="shared" si="6"/>
        <v>0.94871331689569172</v>
      </c>
    </row>
    <row r="51" spans="1:17">
      <c r="A51" s="541">
        <f>'Monthly Data'!A51</f>
        <v>43862</v>
      </c>
      <c r="B51">
        <f t="shared" si="0"/>
        <v>2020</v>
      </c>
      <c r="C51">
        <f t="shared" si="1"/>
        <v>2</v>
      </c>
      <c r="D51" s="31">
        <f>'Monthly Data'!Y51</f>
        <v>218008</v>
      </c>
      <c r="E51" s="33">
        <f>'Monthly Data'!DN51</f>
        <v>0</v>
      </c>
      <c r="F51" s="33">
        <f>'Monthly Data'!DO51</f>
        <v>0</v>
      </c>
      <c r="G51" s="33">
        <f>'Monthly Data'!AQ51</f>
        <v>804.35833333333335</v>
      </c>
      <c r="H51" s="33">
        <f>'Monthly Data'!BR51</f>
        <v>0</v>
      </c>
      <c r="J51" s="18">
        <f>'LC Predicted Monthly'!$T$9</f>
        <v>-22694.781953278001</v>
      </c>
      <c r="K51" s="18">
        <f>E51*'LC Predicted Monthly'!$T$10</f>
        <v>0</v>
      </c>
      <c r="L51" s="18">
        <f>F51*'LC Predicted Monthly'!$T$11</f>
        <v>0</v>
      </c>
      <c r="M51" s="18">
        <f t="shared" si="3"/>
        <v>164678.95252946005</v>
      </c>
      <c r="N51" s="18">
        <f t="shared" si="4"/>
        <v>0</v>
      </c>
      <c r="O51" s="18">
        <f t="shared" si="5"/>
        <v>141984.17057618205</v>
      </c>
      <c r="P51" s="18">
        <f t="shared" si="7"/>
        <v>-76023.829423817951</v>
      </c>
      <c r="Q51" s="35">
        <f t="shared" si="6"/>
        <v>0.34872036541694779</v>
      </c>
    </row>
    <row r="52" spans="1:17">
      <c r="A52" s="541">
        <f>'Monthly Data'!A52</f>
        <v>43891</v>
      </c>
      <c r="B52">
        <f t="shared" si="0"/>
        <v>2020</v>
      </c>
      <c r="C52">
        <f t="shared" si="1"/>
        <v>3</v>
      </c>
      <c r="D52" s="31">
        <f>'Monthly Data'!Y52</f>
        <v>16681.759999999998</v>
      </c>
      <c r="E52" s="33">
        <f>'Monthly Data'!DN52</f>
        <v>0</v>
      </c>
      <c r="F52" s="33">
        <f>'Monthly Data'!DO52</f>
        <v>0</v>
      </c>
      <c r="G52" s="33">
        <f>'Monthly Data'!AQ52</f>
        <v>659.47500000000002</v>
      </c>
      <c r="H52" s="33">
        <f>'Monthly Data'!BR52</f>
        <v>0</v>
      </c>
      <c r="J52" s="18">
        <f>'LC Predicted Monthly'!$T$9</f>
        <v>-22694.781953278001</v>
      </c>
      <c r="K52" s="18">
        <f>E52*'LC Predicted Monthly'!$T$10</f>
        <v>0</v>
      </c>
      <c r="L52" s="18">
        <f>F52*'LC Predicted Monthly'!$T$11</f>
        <v>0</v>
      </c>
      <c r="M52" s="18">
        <f t="shared" si="3"/>
        <v>135016.50659763871</v>
      </c>
      <c r="N52" s="18">
        <f t="shared" si="4"/>
        <v>0</v>
      </c>
      <c r="O52" s="18">
        <f t="shared" si="5"/>
        <v>112321.72464436071</v>
      </c>
      <c r="P52" s="18">
        <f t="shared" si="7"/>
        <v>95639.96464436072</v>
      </c>
      <c r="Q52" s="35">
        <f t="shared" si="6"/>
        <v>5.7332058874100049</v>
      </c>
    </row>
    <row r="53" spans="1:17">
      <c r="A53" s="541">
        <f>'Monthly Data'!A53</f>
        <v>43922</v>
      </c>
      <c r="B53">
        <f t="shared" si="0"/>
        <v>2020</v>
      </c>
      <c r="C53">
        <f t="shared" si="1"/>
        <v>4</v>
      </c>
      <c r="D53" s="31">
        <f>'Monthly Data'!Y53</f>
        <v>3969.44</v>
      </c>
      <c r="E53" s="33">
        <f>'Monthly Data'!DN53</f>
        <v>0</v>
      </c>
      <c r="F53" s="33">
        <f>'Monthly Data'!DO53</f>
        <v>0</v>
      </c>
      <c r="G53" s="33">
        <f>'Monthly Data'!AQ53</f>
        <v>492.17083333333346</v>
      </c>
      <c r="H53" s="33">
        <f>'Monthly Data'!BR53</f>
        <v>0</v>
      </c>
      <c r="J53" s="18">
        <f>'LC Predicted Monthly'!$T$9</f>
        <v>-22694.781953278001</v>
      </c>
      <c r="K53" s="18">
        <f>E53*'LC Predicted Monthly'!$T$10</f>
        <v>0</v>
      </c>
      <c r="L53" s="18">
        <f>F53*'LC Predicted Monthly'!$T$11</f>
        <v>0</v>
      </c>
      <c r="M53" s="18">
        <f t="shared" si="3"/>
        <v>100763.76900703643</v>
      </c>
      <c r="N53" s="18">
        <f t="shared" si="4"/>
        <v>0</v>
      </c>
      <c r="O53" s="18">
        <f t="shared" si="5"/>
        <v>78068.987053758436</v>
      </c>
      <c r="P53" s="18">
        <f t="shared" si="7"/>
        <v>74099.547053758433</v>
      </c>
      <c r="Q53" s="35">
        <f t="shared" si="6"/>
        <v>18.667506513200461</v>
      </c>
    </row>
    <row r="54" spans="1:17">
      <c r="A54" s="541">
        <f>'Monthly Data'!A54</f>
        <v>43952</v>
      </c>
      <c r="B54">
        <f t="shared" si="0"/>
        <v>2020</v>
      </c>
      <c r="C54">
        <f t="shared" si="1"/>
        <v>5</v>
      </c>
      <c r="D54" s="31">
        <f>'Monthly Data'!Y54</f>
        <v>528</v>
      </c>
      <c r="E54" s="33">
        <f>'Monthly Data'!DN54</f>
        <v>0</v>
      </c>
      <c r="F54" s="33">
        <f>'Monthly Data'!DO54</f>
        <v>0</v>
      </c>
      <c r="G54" s="33">
        <f>'Monthly Data'!AQ54</f>
        <v>278.21250000000003</v>
      </c>
      <c r="H54" s="33">
        <f>'Monthly Data'!BR54</f>
        <v>0</v>
      </c>
      <c r="J54" s="18">
        <f>'LC Predicted Monthly'!$T$9</f>
        <v>-22694.781953278001</v>
      </c>
      <c r="K54" s="18">
        <f>E54*'LC Predicted Monthly'!$T$10</f>
        <v>0</v>
      </c>
      <c r="L54" s="18">
        <f>F54*'LC Predicted Monthly'!$T$11</f>
        <v>0</v>
      </c>
      <c r="M54" s="18">
        <f t="shared" si="3"/>
        <v>56959.368955298625</v>
      </c>
      <c r="N54" s="18">
        <f t="shared" si="4"/>
        <v>0</v>
      </c>
      <c r="O54" s="18">
        <f t="shared" si="5"/>
        <v>34264.58700202062</v>
      </c>
      <c r="P54" s="18">
        <f t="shared" si="7"/>
        <v>33736.58700202062</v>
      </c>
      <c r="Q54" s="35">
        <f t="shared" si="6"/>
        <v>63.895051140190567</v>
      </c>
    </row>
    <row r="55" spans="1:17">
      <c r="A55" s="541">
        <f>'Monthly Data'!A55</f>
        <v>43983</v>
      </c>
      <c r="B55">
        <f t="shared" si="0"/>
        <v>2020</v>
      </c>
      <c r="C55">
        <f t="shared" si="1"/>
        <v>6</v>
      </c>
      <c r="D55" s="31">
        <f>'Monthly Data'!Y55</f>
        <v>3140.96</v>
      </c>
      <c r="E55" s="33">
        <f>'Monthly Data'!DN55</f>
        <v>0</v>
      </c>
      <c r="F55" s="33">
        <f>'Monthly Data'!DO55</f>
        <v>0</v>
      </c>
      <c r="G55" s="33">
        <f>'Monthly Data'!AQ55</f>
        <v>92.391666666666652</v>
      </c>
      <c r="H55" s="33">
        <f>'Monthly Data'!BR55</f>
        <v>0</v>
      </c>
      <c r="J55" s="18">
        <f>'LC Predicted Monthly'!$T$9</f>
        <v>-22694.781953278001</v>
      </c>
      <c r="K55" s="18">
        <f>E55*'LC Predicted Monthly'!$T$10</f>
        <v>0</v>
      </c>
      <c r="L55" s="18">
        <f>F55*'LC Predicted Monthly'!$T$11</f>
        <v>0</v>
      </c>
      <c r="M55" s="18">
        <f t="shared" si="3"/>
        <v>18915.652711728017</v>
      </c>
      <c r="N55" s="18">
        <f t="shared" si="4"/>
        <v>0</v>
      </c>
      <c r="O55" s="18">
        <f t="shared" si="5"/>
        <v>-3779.1292415499847</v>
      </c>
      <c r="P55" s="18">
        <f t="shared" si="7"/>
        <v>-6920.0892415499848</v>
      </c>
      <c r="Q55" s="35">
        <f t="shared" si="6"/>
        <v>2.2031764943042842</v>
      </c>
    </row>
    <row r="56" spans="1:17">
      <c r="A56" s="541">
        <f>'Monthly Data'!A56</f>
        <v>44013</v>
      </c>
      <c r="B56">
        <f t="shared" si="0"/>
        <v>2020</v>
      </c>
      <c r="C56">
        <f t="shared" si="1"/>
        <v>7</v>
      </c>
      <c r="D56" s="31">
        <f>'Monthly Data'!Y56</f>
        <v>44336.800000000003</v>
      </c>
      <c r="E56" s="33">
        <f>'Monthly Data'!DN56</f>
        <v>0</v>
      </c>
      <c r="F56" s="33">
        <f>'Monthly Data'!DO56</f>
        <v>0</v>
      </c>
      <c r="G56" s="33">
        <f>'Monthly Data'!AQ56</f>
        <v>3.850000000000005</v>
      </c>
      <c r="H56" s="33">
        <f>'Monthly Data'!BR56</f>
        <v>0</v>
      </c>
      <c r="J56" s="18">
        <f>'LC Predicted Monthly'!$T$9</f>
        <v>-22694.781953278001</v>
      </c>
      <c r="K56" s="18">
        <f>E56*'LC Predicted Monthly'!$T$10</f>
        <v>0</v>
      </c>
      <c r="L56" s="18">
        <f>F56*'LC Predicted Monthly'!$T$11</f>
        <v>0</v>
      </c>
      <c r="M56" s="18">
        <f t="shared" si="3"/>
        <v>788.22328428054084</v>
      </c>
      <c r="N56" s="18">
        <f t="shared" si="4"/>
        <v>0</v>
      </c>
      <c r="O56" s="18">
        <f t="shared" si="5"/>
        <v>-21906.558668997459</v>
      </c>
      <c r="P56" s="18">
        <f t="shared" si="7"/>
        <v>-66243.358668997462</v>
      </c>
      <c r="Q56" s="35">
        <f t="shared" si="6"/>
        <v>1.4940942663655803</v>
      </c>
    </row>
    <row r="57" spans="1:17">
      <c r="A57" s="541">
        <f>'Monthly Data'!A57</f>
        <v>44044</v>
      </c>
      <c r="B57">
        <f t="shared" si="0"/>
        <v>2020</v>
      </c>
      <c r="C57">
        <f t="shared" si="1"/>
        <v>8</v>
      </c>
      <c r="D57" s="31">
        <f>'Monthly Data'!Y57</f>
        <v>7553.6</v>
      </c>
      <c r="E57" s="33">
        <f>'Monthly Data'!DN57</f>
        <v>0</v>
      </c>
      <c r="F57" s="33">
        <f>'Monthly Data'!DO57</f>
        <v>0</v>
      </c>
      <c r="G57" s="33">
        <f>'Monthly Data'!AQ57</f>
        <v>79.675000000000011</v>
      </c>
      <c r="H57" s="33">
        <f>'Monthly Data'!BR57</f>
        <v>0</v>
      </c>
      <c r="J57" s="18">
        <f>'LC Predicted Monthly'!$T$9</f>
        <v>-22694.781953278001</v>
      </c>
      <c r="K57" s="18">
        <f>E57*'LC Predicted Monthly'!$T$10</f>
        <v>0</v>
      </c>
      <c r="L57" s="18">
        <f>F57*'LC Predicted Monthly'!$T$11</f>
        <v>0</v>
      </c>
      <c r="M57" s="18">
        <f t="shared" si="3"/>
        <v>16312.127318195329</v>
      </c>
      <c r="N57" s="18">
        <f t="shared" si="4"/>
        <v>0</v>
      </c>
      <c r="O57" s="18">
        <f t="shared" si="5"/>
        <v>-6382.654635082672</v>
      </c>
      <c r="P57" s="18">
        <f t="shared" si="7"/>
        <v>-13936.254635082672</v>
      </c>
      <c r="Q57" s="35">
        <f t="shared" si="6"/>
        <v>1.8449818146423786</v>
      </c>
    </row>
    <row r="58" spans="1:17">
      <c r="A58" s="541">
        <f>'Monthly Data'!A58</f>
        <v>44075</v>
      </c>
      <c r="B58">
        <f t="shared" si="0"/>
        <v>2020</v>
      </c>
      <c r="C58">
        <f t="shared" si="1"/>
        <v>9</v>
      </c>
      <c r="D58" s="31">
        <f>'Monthly Data'!Y58</f>
        <v>1851.2</v>
      </c>
      <c r="E58" s="33">
        <f>'Monthly Data'!DN58</f>
        <v>0</v>
      </c>
      <c r="F58" s="33">
        <f>'Monthly Data'!DO58</f>
        <v>0</v>
      </c>
      <c r="G58" s="33">
        <f>'Monthly Data'!AQ58</f>
        <v>206.67499999999998</v>
      </c>
      <c r="H58" s="33">
        <f>'Monthly Data'!BR58</f>
        <v>1</v>
      </c>
      <c r="J58" s="18">
        <f>'LC Predicted Monthly'!$T$9</f>
        <v>-22694.781953278001</v>
      </c>
      <c r="K58" s="18">
        <f>E58*'LC Predicted Monthly'!$T$10</f>
        <v>0</v>
      </c>
      <c r="L58" s="18">
        <f>F58*'LC Predicted Monthly'!$T$11</f>
        <v>0</v>
      </c>
      <c r="M58" s="18">
        <f t="shared" si="3"/>
        <v>42313.259033423521</v>
      </c>
      <c r="N58" s="18">
        <f t="shared" si="4"/>
        <v>97970.228068396304</v>
      </c>
      <c r="O58" s="18">
        <f t="shared" si="5"/>
        <v>117588.70514854182</v>
      </c>
      <c r="P58" s="18">
        <f t="shared" si="7"/>
        <v>115737.50514854182</v>
      </c>
      <c r="Q58" s="35">
        <f t="shared" si="6"/>
        <v>62.520259911701501</v>
      </c>
    </row>
    <row r="59" spans="1:17">
      <c r="A59" s="541">
        <f>'Monthly Data'!A59</f>
        <v>44105</v>
      </c>
      <c r="B59">
        <f t="shared" si="0"/>
        <v>2020</v>
      </c>
      <c r="C59">
        <f t="shared" si="1"/>
        <v>10</v>
      </c>
      <c r="D59" s="31">
        <f>'Monthly Data'!Y59</f>
        <v>1991.2</v>
      </c>
      <c r="E59" s="33">
        <f>'Monthly Data'!DN59</f>
        <v>0</v>
      </c>
      <c r="F59" s="33">
        <f>'Monthly Data'!DO59</f>
        <v>0</v>
      </c>
      <c r="G59" s="33">
        <f>'Monthly Data'!AQ59</f>
        <v>432.26666666666665</v>
      </c>
      <c r="H59" s="33">
        <f>'Monthly Data'!BR59</f>
        <v>1</v>
      </c>
      <c r="J59" s="18">
        <f>'LC Predicted Monthly'!$T$9</f>
        <v>-22694.781953278001</v>
      </c>
      <c r="K59" s="18">
        <f>E59*'LC Predicted Monthly'!$T$10</f>
        <v>0</v>
      </c>
      <c r="L59" s="18">
        <f>F59*'LC Predicted Monthly'!$T$11</f>
        <v>0</v>
      </c>
      <c r="M59" s="18">
        <f t="shared" si="3"/>
        <v>88499.390048052301</v>
      </c>
      <c r="N59" s="18">
        <f t="shared" si="4"/>
        <v>97970.228068396304</v>
      </c>
      <c r="O59" s="18">
        <f t="shared" si="5"/>
        <v>163774.83616317061</v>
      </c>
      <c r="P59" s="18">
        <f t="shared" si="7"/>
        <v>161783.63616317059</v>
      </c>
      <c r="Q59" s="35">
        <f t="shared" si="6"/>
        <v>81.249315067883984</v>
      </c>
    </row>
    <row r="60" spans="1:17">
      <c r="A60" s="541">
        <f>'Monthly Data'!A60</f>
        <v>44136</v>
      </c>
      <c r="B60">
        <f t="shared" si="0"/>
        <v>2020</v>
      </c>
      <c r="C60">
        <f t="shared" si="1"/>
        <v>11</v>
      </c>
      <c r="D60" s="31">
        <f>'Monthly Data'!Y60</f>
        <v>4040</v>
      </c>
      <c r="E60" s="33">
        <f>'Monthly Data'!DN60</f>
        <v>0</v>
      </c>
      <c r="F60" s="33">
        <f>'Monthly Data'!DO60</f>
        <v>0</v>
      </c>
      <c r="G60" s="33">
        <f>'Monthly Data'!AQ60</f>
        <v>513.82916666666665</v>
      </c>
      <c r="H60" s="33">
        <f>'Monthly Data'!BR60</f>
        <v>1</v>
      </c>
      <c r="J60" s="18">
        <f>'LC Predicted Monthly'!$T$9</f>
        <v>-22694.781953278001</v>
      </c>
      <c r="K60" s="18">
        <f>E60*'LC Predicted Monthly'!$T$10</f>
        <v>0</v>
      </c>
      <c r="L60" s="18">
        <f>F60*'LC Predicted Monthly'!$T$11</f>
        <v>0</v>
      </c>
      <c r="M60" s="18">
        <f t="shared" si="3"/>
        <v>105197.95150886568</v>
      </c>
      <c r="N60" s="18">
        <f t="shared" si="4"/>
        <v>97970.228068396304</v>
      </c>
      <c r="O60" s="18">
        <f t="shared" si="5"/>
        <v>180473.39762398397</v>
      </c>
      <c r="P60" s="18">
        <f t="shared" si="7"/>
        <v>176433.39762398397</v>
      </c>
      <c r="Q60" s="35">
        <f t="shared" si="6"/>
        <v>43.671633075243555</v>
      </c>
    </row>
    <row r="61" spans="1:17">
      <c r="A61" s="541">
        <f>'Monthly Data'!A61</f>
        <v>44166</v>
      </c>
      <c r="B61">
        <f t="shared" si="0"/>
        <v>2020</v>
      </c>
      <c r="C61">
        <f t="shared" si="1"/>
        <v>12</v>
      </c>
      <c r="D61" s="31">
        <f>'Monthly Data'!Y61</f>
        <v>8307.2000000000007</v>
      </c>
      <c r="E61" s="33">
        <f>'Monthly Data'!DN61</f>
        <v>0</v>
      </c>
      <c r="F61" s="33">
        <f>'Monthly Data'!DO61</f>
        <v>0</v>
      </c>
      <c r="G61" s="33">
        <f>'Monthly Data'!AQ61</f>
        <v>775.91666666666674</v>
      </c>
      <c r="H61" s="33">
        <f>'Monthly Data'!BR61</f>
        <v>0</v>
      </c>
      <c r="J61" s="18">
        <f>'LC Predicted Monthly'!$T$9</f>
        <v>-22694.781953278001</v>
      </c>
      <c r="K61" s="18">
        <f>E61*'LC Predicted Monthly'!$T$10</f>
        <v>0</v>
      </c>
      <c r="L61" s="18">
        <f>F61*'LC Predicted Monthly'!$T$11</f>
        <v>0</v>
      </c>
      <c r="M61" s="18">
        <f t="shared" si="3"/>
        <v>158855.99566961272</v>
      </c>
      <c r="N61" s="18">
        <f t="shared" si="4"/>
        <v>0</v>
      </c>
      <c r="O61" s="18">
        <f t="shared" si="5"/>
        <v>136161.21371633472</v>
      </c>
      <c r="P61" s="18">
        <f t="shared" si="7"/>
        <v>127854.01371633472</v>
      </c>
      <c r="Q61" s="35">
        <f t="shared" si="6"/>
        <v>15.390747028641988</v>
      </c>
    </row>
    <row r="62" spans="1:17">
      <c r="A62" s="541">
        <f>'Monthly Data'!A62</f>
        <v>44197</v>
      </c>
      <c r="B62">
        <f t="shared" si="0"/>
        <v>2021</v>
      </c>
      <c r="C62">
        <f t="shared" si="1"/>
        <v>1</v>
      </c>
      <c r="D62" s="31">
        <f>'Monthly Data'!Y62</f>
        <v>7844</v>
      </c>
      <c r="E62" s="33">
        <f>'Monthly Data'!DN62</f>
        <v>0</v>
      </c>
      <c r="F62" s="33">
        <f>'Monthly Data'!DO62</f>
        <v>0</v>
      </c>
      <c r="G62" s="33">
        <f>'Monthly Data'!AQ62</f>
        <v>852.97499999999991</v>
      </c>
      <c r="H62" s="33">
        <f>'Monthly Data'!BR62</f>
        <v>0</v>
      </c>
      <c r="J62" s="18">
        <f>'LC Predicted Monthly'!$T$9</f>
        <v>-22694.781953278001</v>
      </c>
      <c r="K62" s="18">
        <f>E62*'LC Predicted Monthly'!$T$10</f>
        <v>0</v>
      </c>
      <c r="L62" s="18">
        <f>F62*'LC Predicted Monthly'!$T$11</f>
        <v>0</v>
      </c>
      <c r="M62" s="18">
        <f t="shared" si="3"/>
        <v>174632.40413225803</v>
      </c>
      <c r="N62" s="18">
        <f t="shared" si="4"/>
        <v>0</v>
      </c>
      <c r="O62" s="18">
        <f t="shared" si="5"/>
        <v>151937.62217898003</v>
      </c>
      <c r="P62" s="18">
        <f t="shared" si="7"/>
        <v>144093.62217898003</v>
      </c>
      <c r="Q62" s="35">
        <f t="shared" si="6"/>
        <v>18.369916137044878</v>
      </c>
    </row>
    <row r="63" spans="1:17">
      <c r="A63" s="541">
        <f>'Monthly Data'!A63</f>
        <v>44228</v>
      </c>
      <c r="B63">
        <f t="shared" si="0"/>
        <v>2021</v>
      </c>
      <c r="C63">
        <f t="shared" si="1"/>
        <v>2</v>
      </c>
      <c r="D63" s="31">
        <f>'Monthly Data'!Y63</f>
        <v>30622.400000000001</v>
      </c>
      <c r="E63" s="33">
        <f>'Monthly Data'!DN63</f>
        <v>0</v>
      </c>
      <c r="F63" s="33">
        <f>'Monthly Data'!DO63</f>
        <v>0</v>
      </c>
      <c r="G63" s="33">
        <f>'Monthly Data'!AQ63</f>
        <v>819.91666666666652</v>
      </c>
      <c r="H63" s="33">
        <f>'Monthly Data'!BR63</f>
        <v>0</v>
      </c>
      <c r="J63" s="18">
        <f>'LC Predicted Monthly'!$T$9</f>
        <v>-22694.781953278001</v>
      </c>
      <c r="K63" s="18">
        <f>E63*'LC Predicted Monthly'!$T$10</f>
        <v>0</v>
      </c>
      <c r="L63" s="18">
        <f>F63*'LC Predicted Monthly'!$T$11</f>
        <v>0</v>
      </c>
      <c r="M63" s="18">
        <f t="shared" si="3"/>
        <v>167864.26177567599</v>
      </c>
      <c r="N63" s="18">
        <f t="shared" si="4"/>
        <v>0</v>
      </c>
      <c r="O63" s="18">
        <f t="shared" si="5"/>
        <v>145169.47982239799</v>
      </c>
      <c r="P63" s="18">
        <f t="shared" si="7"/>
        <v>114547.07982239799</v>
      </c>
      <c r="Q63" s="35">
        <f t="shared" si="6"/>
        <v>3.7406303824128084</v>
      </c>
    </row>
    <row r="64" spans="1:17">
      <c r="A64" s="541">
        <f>'Monthly Data'!A64</f>
        <v>44256</v>
      </c>
      <c r="B64">
        <f t="shared" si="0"/>
        <v>2021</v>
      </c>
      <c r="C64">
        <f t="shared" si="1"/>
        <v>3</v>
      </c>
      <c r="D64" s="31">
        <f>'Monthly Data'!Y64</f>
        <v>34111.199999999997</v>
      </c>
      <c r="E64" s="33">
        <f>'Monthly Data'!DN64</f>
        <v>0</v>
      </c>
      <c r="F64" s="33">
        <f>'Monthly Data'!DO64</f>
        <v>0</v>
      </c>
      <c r="G64" s="33">
        <f>'Monthly Data'!AQ64</f>
        <v>651.65416666666704</v>
      </c>
      <c r="H64" s="33">
        <f>'Monthly Data'!BR64</f>
        <v>0</v>
      </c>
      <c r="J64" s="18">
        <f>'LC Predicted Monthly'!$T$9</f>
        <v>-22694.781953278001</v>
      </c>
      <c r="K64" s="18">
        <f>E64*'LC Predicted Monthly'!$T$10</f>
        <v>0</v>
      </c>
      <c r="L64" s="18">
        <f>F64*'LC Predicted Monthly'!$T$11</f>
        <v>0</v>
      </c>
      <c r="M64" s="18">
        <f t="shared" si="3"/>
        <v>133415.32141950613</v>
      </c>
      <c r="N64" s="18">
        <f t="shared" si="4"/>
        <v>0</v>
      </c>
      <c r="O64" s="18">
        <f t="shared" si="5"/>
        <v>110720.53946622813</v>
      </c>
      <c r="P64" s="18">
        <f t="shared" si="7"/>
        <v>76609.339466228135</v>
      </c>
      <c r="Q64" s="35">
        <f t="shared" si="6"/>
        <v>2.2458705488586781</v>
      </c>
    </row>
    <row r="65" spans="1:19">
      <c r="A65" s="541">
        <f>'Monthly Data'!A65</f>
        <v>44287</v>
      </c>
      <c r="B65">
        <f t="shared" si="0"/>
        <v>2021</v>
      </c>
      <c r="C65">
        <f t="shared" si="1"/>
        <v>4</v>
      </c>
      <c r="D65" s="31">
        <f>'Monthly Data'!Y65</f>
        <v>0</v>
      </c>
      <c r="E65" s="33">
        <f>'Monthly Data'!DN65</f>
        <v>0</v>
      </c>
      <c r="F65" s="33">
        <f>'Monthly Data'!DO65</f>
        <v>0</v>
      </c>
      <c r="G65" s="33">
        <f>'Monthly Data'!AQ65</f>
        <v>381.19583333333338</v>
      </c>
      <c r="H65" s="33">
        <f>'Monthly Data'!BR65</f>
        <v>0</v>
      </c>
      <c r="J65" s="18">
        <f>'LC Predicted Monthly'!$T$9</f>
        <v>-22694.781953278001</v>
      </c>
      <c r="K65" s="18">
        <f>E65*'LC Predicted Monthly'!$T$10</f>
        <v>0</v>
      </c>
      <c r="L65" s="18">
        <f>F65*'LC Predicted Monthly'!$T$11</f>
        <v>0</v>
      </c>
      <c r="M65" s="18">
        <f t="shared" si="3"/>
        <v>78043.488754300604</v>
      </c>
      <c r="N65" s="18">
        <f t="shared" si="4"/>
        <v>0</v>
      </c>
      <c r="O65" s="18">
        <f t="shared" si="5"/>
        <v>55348.706801022607</v>
      </c>
      <c r="P65" s="18">
        <f t="shared" si="7"/>
        <v>55348.706801022607</v>
      </c>
      <c r="Q65" s="35">
        <f t="shared" si="6"/>
        <v>1</v>
      </c>
    </row>
    <row r="66" spans="1:19">
      <c r="A66" s="541">
        <f>'Monthly Data'!A66</f>
        <v>44317</v>
      </c>
      <c r="B66">
        <f t="shared" ref="B66:B121" si="8">YEAR(A66)</f>
        <v>2021</v>
      </c>
      <c r="C66">
        <f t="shared" ref="C66:C121" si="9">MONTH(A66)</f>
        <v>5</v>
      </c>
      <c r="D66" s="31">
        <f>'Monthly Data'!Y66</f>
        <v>1284</v>
      </c>
      <c r="E66" s="33">
        <f>'Monthly Data'!DN66</f>
        <v>0</v>
      </c>
      <c r="F66" s="33">
        <f>'Monthly Data'!DO66</f>
        <v>0</v>
      </c>
      <c r="G66" s="33">
        <f>'Monthly Data'!AQ66</f>
        <v>251.67499999999995</v>
      </c>
      <c r="H66" s="33">
        <f>'Monthly Data'!BR66</f>
        <v>0</v>
      </c>
      <c r="J66" s="18">
        <f>'LC Predicted Monthly'!$T$9</f>
        <v>-22694.781953278001</v>
      </c>
      <c r="K66" s="18">
        <f>E66*'LC Predicted Monthly'!$T$10</f>
        <v>0</v>
      </c>
      <c r="L66" s="18">
        <f>F66*'LC Predicted Monthly'!$T$11</f>
        <v>0</v>
      </c>
      <c r="M66" s="18">
        <f t="shared" si="3"/>
        <v>51526.258460079174</v>
      </c>
      <c r="N66" s="18">
        <f t="shared" si="4"/>
        <v>0</v>
      </c>
      <c r="O66" s="18">
        <f t="shared" si="5"/>
        <v>28831.476506801173</v>
      </c>
      <c r="P66" s="18">
        <f t="shared" ref="P66:P97" si="10">O66-D66</f>
        <v>27547.476506801173</v>
      </c>
      <c r="Q66" s="35">
        <f t="shared" si="6"/>
        <v>21.454420955452626</v>
      </c>
    </row>
    <row r="67" spans="1:19">
      <c r="A67" s="541">
        <f>'Monthly Data'!A67</f>
        <v>44348</v>
      </c>
      <c r="B67">
        <f t="shared" si="8"/>
        <v>2021</v>
      </c>
      <c r="C67">
        <f t="shared" si="9"/>
        <v>6</v>
      </c>
      <c r="D67" s="31">
        <f>'Monthly Data'!Y67</f>
        <v>2261.6</v>
      </c>
      <c r="E67" s="33">
        <f>'Monthly Data'!DN67</f>
        <v>0</v>
      </c>
      <c r="F67" s="33">
        <f>'Monthly Data'!DO67</f>
        <v>0</v>
      </c>
      <c r="G67" s="33">
        <f>'Monthly Data'!AQ67</f>
        <v>55.149999999999991</v>
      </c>
      <c r="H67" s="33">
        <f>'Monthly Data'!BR67</f>
        <v>0</v>
      </c>
      <c r="J67" s="18">
        <f>'LC Predicted Monthly'!$T$9</f>
        <v>-22694.781953278001</v>
      </c>
      <c r="K67" s="18">
        <f>E67*'LC Predicted Monthly'!$T$10</f>
        <v>0</v>
      </c>
      <c r="L67" s="18">
        <f>F67*'LC Predicted Monthly'!$T$11</f>
        <v>0</v>
      </c>
      <c r="M67" s="18">
        <f t="shared" ref="M67:M121" si="11">G67*$T$12</f>
        <v>11291.042630667991</v>
      </c>
      <c r="N67" s="18">
        <f t="shared" ref="N67:N121" si="12">H67*$T$13</f>
        <v>0</v>
      </c>
      <c r="O67" s="18">
        <f t="shared" ref="O67:O121" si="13">SUM(J67:N67)</f>
        <v>-11403.73932261001</v>
      </c>
      <c r="P67" s="18">
        <f t="shared" si="10"/>
        <v>-13665.339322610011</v>
      </c>
      <c r="Q67" s="35">
        <f t="shared" ref="Q67:Q121" si="14">IFERROR(ABS(P67/D67),1)</f>
        <v>6.0423325621728026</v>
      </c>
    </row>
    <row r="68" spans="1:19">
      <c r="A68" s="541">
        <f>'Monthly Data'!A68</f>
        <v>44378</v>
      </c>
      <c r="B68">
        <f t="shared" si="8"/>
        <v>2021</v>
      </c>
      <c r="C68">
        <f t="shared" si="9"/>
        <v>7</v>
      </c>
      <c r="D68" s="31">
        <f>'Monthly Data'!Y68</f>
        <v>16538.240000000002</v>
      </c>
      <c r="E68" s="33">
        <f>'Monthly Data'!DN68</f>
        <v>0</v>
      </c>
      <c r="F68" s="33">
        <f>'Monthly Data'!DO68</f>
        <v>0</v>
      </c>
      <c r="G68" s="33">
        <f>'Monthly Data'!AQ68</f>
        <v>58.799999999999976</v>
      </c>
      <c r="H68" s="33">
        <f>'Monthly Data'!BR68</f>
        <v>0</v>
      </c>
      <c r="J68" s="18">
        <f>'LC Predicted Monthly'!$T$9</f>
        <v>-22694.781953278001</v>
      </c>
      <c r="K68" s="18">
        <f>E68*'LC Predicted Monthly'!$T$10</f>
        <v>0</v>
      </c>
      <c r="L68" s="18">
        <f>F68*'LC Predicted Monthly'!$T$11</f>
        <v>0</v>
      </c>
      <c r="M68" s="18">
        <f t="shared" si="11"/>
        <v>12038.319250830058</v>
      </c>
      <c r="N68" s="18">
        <f t="shared" si="12"/>
        <v>0</v>
      </c>
      <c r="O68" s="18">
        <f t="shared" si="13"/>
        <v>-10656.462702447943</v>
      </c>
      <c r="P68" s="18">
        <f t="shared" si="10"/>
        <v>-27194.702702447947</v>
      </c>
      <c r="Q68" s="35">
        <f t="shared" si="14"/>
        <v>1.6443528877587907</v>
      </c>
    </row>
    <row r="69" spans="1:19">
      <c r="A69" s="541">
        <f>'Monthly Data'!A69</f>
        <v>44409</v>
      </c>
      <c r="B69">
        <f t="shared" si="8"/>
        <v>2021</v>
      </c>
      <c r="C69">
        <f t="shared" si="9"/>
        <v>8</v>
      </c>
      <c r="D69" s="31">
        <f>'Monthly Data'!Y69</f>
        <v>0.48</v>
      </c>
      <c r="E69" s="33">
        <f>'Monthly Data'!DN69</f>
        <v>0</v>
      </c>
      <c r="F69" s="33">
        <f>'Monthly Data'!DO69</f>
        <v>0</v>
      </c>
      <c r="G69" s="33">
        <f>'Monthly Data'!AQ69</f>
        <v>27.104166666666682</v>
      </c>
      <c r="H69" s="33">
        <f>'Monthly Data'!BR69</f>
        <v>0</v>
      </c>
      <c r="J69" s="18">
        <f>'LC Predicted Monthly'!$T$9</f>
        <v>-22694.781953278001</v>
      </c>
      <c r="K69" s="18">
        <f>E69*'LC Predicted Monthly'!$T$10</f>
        <v>0</v>
      </c>
      <c r="L69" s="18">
        <f>F69*'LC Predicted Monthly'!$T$11</f>
        <v>0</v>
      </c>
      <c r="M69" s="18">
        <f t="shared" si="11"/>
        <v>5549.1260435551021</v>
      </c>
      <c r="N69" s="18">
        <f t="shared" si="12"/>
        <v>0</v>
      </c>
      <c r="O69" s="18">
        <f t="shared" si="13"/>
        <v>-17145.6559097229</v>
      </c>
      <c r="P69" s="18">
        <f t="shared" si="10"/>
        <v>-17146.1359097229</v>
      </c>
      <c r="Q69" s="35">
        <f t="shared" si="14"/>
        <v>35721.116478589378</v>
      </c>
    </row>
    <row r="70" spans="1:19">
      <c r="A70" s="541">
        <f>'Monthly Data'!A70</f>
        <v>44440</v>
      </c>
      <c r="B70">
        <f t="shared" si="8"/>
        <v>2021</v>
      </c>
      <c r="C70">
        <f t="shared" si="9"/>
        <v>9</v>
      </c>
      <c r="D70" s="31">
        <f>'Monthly Data'!Y70</f>
        <v>10168.959999999999</v>
      </c>
      <c r="E70" s="33">
        <f>'Monthly Data'!DN70</f>
        <v>0</v>
      </c>
      <c r="F70" s="33">
        <f>'Monthly Data'!DO70</f>
        <v>0</v>
      </c>
      <c r="G70" s="33">
        <f>'Monthly Data'!AQ70</f>
        <v>164.45000000000005</v>
      </c>
      <c r="H70" s="33">
        <f>'Monthly Data'!BR70</f>
        <v>1</v>
      </c>
      <c r="J70" s="18">
        <f>'LC Predicted Monthly'!$T$9</f>
        <v>-22694.781953278001</v>
      </c>
      <c r="K70" s="18">
        <f>E70*'LC Predicted Monthly'!$T$10</f>
        <v>0</v>
      </c>
      <c r="L70" s="18">
        <f>F70*'LC Predicted Monthly'!$T$11</f>
        <v>0</v>
      </c>
      <c r="M70" s="18">
        <f t="shared" si="11"/>
        <v>33668.394571411642</v>
      </c>
      <c r="N70" s="18">
        <f t="shared" si="12"/>
        <v>97970.228068396304</v>
      </c>
      <c r="O70" s="18">
        <f t="shared" si="13"/>
        <v>108943.84068652995</v>
      </c>
      <c r="P70" s="18">
        <f t="shared" si="10"/>
        <v>98774.880686529941</v>
      </c>
      <c r="Q70" s="35">
        <f t="shared" si="14"/>
        <v>9.7133709530305907</v>
      </c>
    </row>
    <row r="71" spans="1:19">
      <c r="A71" s="541">
        <f>'Monthly Data'!A71</f>
        <v>44470</v>
      </c>
      <c r="B71">
        <f t="shared" si="8"/>
        <v>2021</v>
      </c>
      <c r="C71">
        <f t="shared" si="9"/>
        <v>10</v>
      </c>
      <c r="D71" s="31">
        <f>'Monthly Data'!Y71</f>
        <v>1736</v>
      </c>
      <c r="E71" s="33">
        <f>'Monthly Data'!DN71</f>
        <v>0</v>
      </c>
      <c r="F71" s="33">
        <f>'Monthly Data'!DO71</f>
        <v>0</v>
      </c>
      <c r="G71" s="33">
        <f>'Monthly Data'!AQ71</f>
        <v>294.72916666666663</v>
      </c>
      <c r="H71" s="33">
        <f>'Monthly Data'!BR71</f>
        <v>1</v>
      </c>
      <c r="J71" s="18">
        <f>'LC Predicted Monthly'!$T$9</f>
        <v>-22694.781953278001</v>
      </c>
      <c r="K71" s="18">
        <f>E71*'LC Predicted Monthly'!$T$10</f>
        <v>0</v>
      </c>
      <c r="L71" s="18">
        <f>F71*'LC Predicted Monthly'!$T$11</f>
        <v>0</v>
      </c>
      <c r="M71" s="18">
        <f t="shared" si="11"/>
        <v>60340.88096708223</v>
      </c>
      <c r="N71" s="18">
        <f t="shared" si="12"/>
        <v>97970.228068396304</v>
      </c>
      <c r="O71" s="18">
        <f t="shared" si="13"/>
        <v>135616.32708220053</v>
      </c>
      <c r="P71" s="18">
        <f t="shared" si="10"/>
        <v>133880.32708220053</v>
      </c>
      <c r="Q71" s="35">
        <f t="shared" si="14"/>
        <v>77.120004079608606</v>
      </c>
    </row>
    <row r="72" spans="1:19">
      <c r="A72" s="541">
        <f>'Monthly Data'!A72</f>
        <v>44501</v>
      </c>
      <c r="B72">
        <f t="shared" si="8"/>
        <v>2021</v>
      </c>
      <c r="C72">
        <f t="shared" si="9"/>
        <v>11</v>
      </c>
      <c r="D72" s="31">
        <f>'Monthly Data'!Y72</f>
        <v>50588.800000000003</v>
      </c>
      <c r="E72" s="33">
        <f>'Monthly Data'!DN72</f>
        <v>0</v>
      </c>
      <c r="F72" s="33">
        <f>'Monthly Data'!DO72</f>
        <v>0</v>
      </c>
      <c r="G72" s="33">
        <f>'Monthly Data'!AQ72</f>
        <v>584.32083333333333</v>
      </c>
      <c r="H72" s="33">
        <f>'Monthly Data'!BR72</f>
        <v>1</v>
      </c>
      <c r="J72" s="18">
        <f>'LC Predicted Monthly'!$T$9</f>
        <v>-22694.781953278001</v>
      </c>
      <c r="K72" s="18">
        <f>E72*'LC Predicted Monthly'!$T$10</f>
        <v>0</v>
      </c>
      <c r="L72" s="18">
        <f>F72*'LC Predicted Monthly'!$T$11</f>
        <v>0</v>
      </c>
      <c r="M72" s="18">
        <f t="shared" si="11"/>
        <v>119629.94449962128</v>
      </c>
      <c r="N72" s="18">
        <f t="shared" si="12"/>
        <v>97970.228068396304</v>
      </c>
      <c r="O72" s="18">
        <f t="shared" si="13"/>
        <v>194905.39061473959</v>
      </c>
      <c r="P72" s="18">
        <f t="shared" si="10"/>
        <v>144316.59061473957</v>
      </c>
      <c r="Q72" s="35">
        <f t="shared" si="14"/>
        <v>2.8527379699605362</v>
      </c>
    </row>
    <row r="73" spans="1:19">
      <c r="A73" s="541">
        <f>'Monthly Data'!A73</f>
        <v>44531</v>
      </c>
      <c r="B73">
        <f t="shared" si="8"/>
        <v>2021</v>
      </c>
      <c r="C73">
        <f t="shared" si="9"/>
        <v>12</v>
      </c>
      <c r="D73" s="31">
        <f>'Monthly Data'!Y73</f>
        <v>19046.72</v>
      </c>
      <c r="E73" s="33">
        <f>'Monthly Data'!DN73</f>
        <v>0</v>
      </c>
      <c r="F73" s="33">
        <f>'Monthly Data'!DO73</f>
        <v>0</v>
      </c>
      <c r="G73" s="33">
        <f>'Monthly Data'!AQ73</f>
        <v>764.20624999999995</v>
      </c>
      <c r="H73" s="33">
        <f>'Monthly Data'!BR73</f>
        <v>0</v>
      </c>
      <c r="J73" s="18">
        <f>'LC Predicted Monthly'!$T$9</f>
        <v>-22694.781953278001</v>
      </c>
      <c r="K73" s="18">
        <f>E73*'LC Predicted Monthly'!$T$10</f>
        <v>0</v>
      </c>
      <c r="L73" s="18">
        <f>F73*'LC Predicted Monthly'!$T$11</f>
        <v>0</v>
      </c>
      <c r="M73" s="18">
        <f t="shared" si="11"/>
        <v>156458.48317992603</v>
      </c>
      <c r="N73" s="18">
        <f t="shared" si="12"/>
        <v>0</v>
      </c>
      <c r="O73" s="18">
        <f t="shared" si="13"/>
        <v>133763.70122664803</v>
      </c>
      <c r="P73" s="18">
        <f t="shared" si="10"/>
        <v>114716.98122664803</v>
      </c>
      <c r="Q73" s="35">
        <f t="shared" si="14"/>
        <v>6.0229257964966161</v>
      </c>
    </row>
    <row r="74" spans="1:19">
      <c r="A74" s="541">
        <f>'Monthly Data'!A74</f>
        <v>44562</v>
      </c>
      <c r="B74">
        <f t="shared" si="8"/>
        <v>2022</v>
      </c>
      <c r="C74">
        <f t="shared" si="9"/>
        <v>1</v>
      </c>
      <c r="D74" s="31">
        <f>'Monthly Data'!Y74</f>
        <v>551178.4</v>
      </c>
      <c r="E74" s="33">
        <f>'Monthly Data'!DN74</f>
        <v>0</v>
      </c>
      <c r="F74" s="33">
        <f>'Monthly Data'!DO74</f>
        <v>0</v>
      </c>
      <c r="G74" s="33">
        <f>'Monthly Data'!AQ74</f>
        <v>1118.6333333333332</v>
      </c>
      <c r="H74" s="33">
        <f>'Monthly Data'!BR74</f>
        <v>0</v>
      </c>
      <c r="J74" s="18">
        <f>'LC Predicted Monthly'!$T$9</f>
        <v>-22694.781953278001</v>
      </c>
      <c r="K74" s="18">
        <f>E74*'LC Predicted Monthly'!$T$10</f>
        <v>0</v>
      </c>
      <c r="L74" s="18">
        <f>F74*'LC Predicted Monthly'!$T$11</f>
        <v>0</v>
      </c>
      <c r="M74" s="18">
        <f t="shared" si="11"/>
        <v>229021.51685862019</v>
      </c>
      <c r="N74" s="18">
        <f t="shared" si="12"/>
        <v>0</v>
      </c>
      <c r="O74" s="18">
        <f t="shared" si="13"/>
        <v>206326.73490534219</v>
      </c>
      <c r="P74" s="18">
        <f t="shared" si="10"/>
        <v>-344851.6650946578</v>
      </c>
      <c r="Q74" s="35">
        <f t="shared" si="14"/>
        <v>0.62566251706281995</v>
      </c>
    </row>
    <row r="75" spans="1:19">
      <c r="A75" s="541">
        <f>'Monthly Data'!A75</f>
        <v>44593</v>
      </c>
      <c r="B75">
        <f t="shared" si="8"/>
        <v>2022</v>
      </c>
      <c r="C75">
        <f t="shared" si="9"/>
        <v>2</v>
      </c>
      <c r="D75" s="31">
        <f>'Monthly Data'!Y75</f>
        <v>642655.19999999995</v>
      </c>
      <c r="E75" s="33">
        <f>'Monthly Data'!DN75</f>
        <v>0</v>
      </c>
      <c r="F75" s="33">
        <f>'Monthly Data'!DO75</f>
        <v>0</v>
      </c>
      <c r="G75" s="33">
        <f>'Monthly Data'!AQ75</f>
        <v>841.76666666666654</v>
      </c>
      <c r="H75" s="33">
        <f>'Monthly Data'!BR75</f>
        <v>0</v>
      </c>
      <c r="J75" s="18">
        <f>'LC Predicted Monthly'!$T$9</f>
        <v>-22694.781953278001</v>
      </c>
      <c r="K75" s="18">
        <f>E75*'LC Predicted Monthly'!$T$10</f>
        <v>0</v>
      </c>
      <c r="L75" s="18">
        <f>F75*'LC Predicted Monthly'!$T$11</f>
        <v>0</v>
      </c>
      <c r="M75" s="18">
        <f t="shared" si="11"/>
        <v>172337.68483061879</v>
      </c>
      <c r="N75" s="18">
        <f t="shared" si="12"/>
        <v>0</v>
      </c>
      <c r="O75" s="18">
        <f t="shared" si="13"/>
        <v>149642.90287734079</v>
      </c>
      <c r="P75" s="18">
        <f t="shared" si="10"/>
        <v>-493012.29712265916</v>
      </c>
      <c r="Q75" s="35">
        <f t="shared" si="14"/>
        <v>0.76714900482040638</v>
      </c>
    </row>
    <row r="76" spans="1:19">
      <c r="A76" s="541">
        <f>'Monthly Data'!A76</f>
        <v>44621</v>
      </c>
      <c r="B76">
        <f t="shared" si="8"/>
        <v>2022</v>
      </c>
      <c r="C76">
        <f t="shared" si="9"/>
        <v>3</v>
      </c>
      <c r="D76" s="31">
        <f>'Monthly Data'!Y76</f>
        <v>14180.8</v>
      </c>
      <c r="E76" s="33">
        <f>'Monthly Data'!DN76</f>
        <v>0</v>
      </c>
      <c r="F76" s="33">
        <f>'Monthly Data'!DO76</f>
        <v>0</v>
      </c>
      <c r="G76" s="33">
        <f>'Monthly Data'!AQ76</f>
        <v>704.6583333333333</v>
      </c>
      <c r="H76" s="33">
        <f>'Monthly Data'!BR76</f>
        <v>0</v>
      </c>
      <c r="J76" s="18">
        <f>'LC Predicted Monthly'!$T$9</f>
        <v>-22694.781953278001</v>
      </c>
      <c r="K76" s="18">
        <f>E76*'LC Predicted Monthly'!$T$10</f>
        <v>0</v>
      </c>
      <c r="L76" s="18">
        <f>F76*'LC Predicted Monthly'!$T$11</f>
        <v>0</v>
      </c>
      <c r="M76" s="18">
        <f t="shared" si="11"/>
        <v>144267.04046640295</v>
      </c>
      <c r="N76" s="18">
        <f t="shared" si="12"/>
        <v>0</v>
      </c>
      <c r="O76" s="18">
        <f t="shared" si="13"/>
        <v>121572.25851312495</v>
      </c>
      <c r="P76" s="18">
        <f t="shared" si="10"/>
        <v>107391.45851312495</v>
      </c>
      <c r="Q76" s="35">
        <f t="shared" si="14"/>
        <v>7.573018342626999</v>
      </c>
      <c r="S76" s="18"/>
    </row>
    <row r="77" spans="1:19">
      <c r="A77" s="541">
        <f>'Monthly Data'!A77</f>
        <v>44652</v>
      </c>
      <c r="B77">
        <f t="shared" si="8"/>
        <v>2022</v>
      </c>
      <c r="C77">
        <f t="shared" si="9"/>
        <v>4</v>
      </c>
      <c r="D77" s="31">
        <f>'Monthly Data'!Y77</f>
        <v>869.6</v>
      </c>
      <c r="E77" s="33">
        <f>'Monthly Data'!DN77</f>
        <v>0</v>
      </c>
      <c r="F77" s="33">
        <f>'Monthly Data'!DO77</f>
        <v>0</v>
      </c>
      <c r="G77" s="33">
        <f>'Monthly Data'!AQ77</f>
        <v>461.22083333333347</v>
      </c>
      <c r="H77" s="33">
        <f>'Monthly Data'!BR77</f>
        <v>0</v>
      </c>
      <c r="J77" s="18">
        <f>'LC Predicted Monthly'!$T$9</f>
        <v>-22694.781953278001</v>
      </c>
      <c r="K77" s="18">
        <f>E77*'LC Predicted Monthly'!$T$10</f>
        <v>0</v>
      </c>
      <c r="L77" s="18">
        <f>F77*'LC Predicted Monthly'!$T$11</f>
        <v>0</v>
      </c>
      <c r="M77" s="18">
        <f t="shared" si="11"/>
        <v>94427.272734703278</v>
      </c>
      <c r="N77" s="18">
        <f t="shared" si="12"/>
        <v>0</v>
      </c>
      <c r="O77" s="18">
        <f t="shared" si="13"/>
        <v>71732.49078142528</v>
      </c>
      <c r="P77" s="18">
        <f t="shared" si="10"/>
        <v>70862.890781425274</v>
      </c>
      <c r="Q77" s="35">
        <f t="shared" si="14"/>
        <v>81.489064836045628</v>
      </c>
      <c r="S77" s="18"/>
    </row>
    <row r="78" spans="1:19">
      <c r="A78" s="541">
        <f>'Monthly Data'!A78</f>
        <v>44682</v>
      </c>
      <c r="B78">
        <f t="shared" si="8"/>
        <v>2022</v>
      </c>
      <c r="C78">
        <f t="shared" si="9"/>
        <v>5</v>
      </c>
      <c r="D78" s="31">
        <f>'Monthly Data'!Y78</f>
        <v>4842.3999999999996</v>
      </c>
      <c r="E78" s="33">
        <f>'Monthly Data'!DN78</f>
        <v>0</v>
      </c>
      <c r="F78" s="33">
        <f>'Monthly Data'!DO78</f>
        <v>0</v>
      </c>
      <c r="G78" s="33">
        <f>'Monthly Data'!AQ78</f>
        <v>173.55833333333337</v>
      </c>
      <c r="H78" s="33">
        <f>'Monthly Data'!BR78</f>
        <v>0</v>
      </c>
      <c r="J78" s="18">
        <f>'LC Predicted Monthly'!$T$9</f>
        <v>-22694.781953278001</v>
      </c>
      <c r="K78" s="18">
        <f>E78*'LC Predicted Monthly'!$T$10</f>
        <v>0</v>
      </c>
      <c r="L78" s="18">
        <f>F78*'LC Predicted Monthly'!$T$11</f>
        <v>0</v>
      </c>
      <c r="M78" s="18">
        <f t="shared" si="11"/>
        <v>35533.173899806941</v>
      </c>
      <c r="N78" s="18">
        <f t="shared" si="12"/>
        <v>0</v>
      </c>
      <c r="O78" s="18">
        <f t="shared" si="13"/>
        <v>12838.39194652894</v>
      </c>
      <c r="P78" s="18">
        <f t="shared" si="10"/>
        <v>7995.9919465289404</v>
      </c>
      <c r="Q78" s="35">
        <f t="shared" si="14"/>
        <v>1.6512456522651868</v>
      </c>
      <c r="S78" s="18"/>
    </row>
    <row r="79" spans="1:19">
      <c r="A79" s="541">
        <f>'Monthly Data'!A79</f>
        <v>44713</v>
      </c>
      <c r="B79">
        <f t="shared" si="8"/>
        <v>2022</v>
      </c>
      <c r="C79">
        <f t="shared" si="9"/>
        <v>6</v>
      </c>
      <c r="D79" s="31">
        <f>'Monthly Data'!Y79</f>
        <v>557.6</v>
      </c>
      <c r="E79" s="33">
        <f>'Monthly Data'!DN79</f>
        <v>0</v>
      </c>
      <c r="F79" s="33">
        <f>'Monthly Data'!DO79</f>
        <v>0</v>
      </c>
      <c r="G79" s="33">
        <f>'Monthly Data'!AQ79</f>
        <v>101.1375</v>
      </c>
      <c r="H79" s="33">
        <f>'Monthly Data'!BR79</f>
        <v>0</v>
      </c>
      <c r="J79" s="18">
        <f>'LC Predicted Monthly'!$T$9</f>
        <v>-22694.781953278001</v>
      </c>
      <c r="K79" s="18">
        <f>E79*'LC Predicted Monthly'!$T$10</f>
        <v>0</v>
      </c>
      <c r="L79" s="18">
        <f>F79*'LC Predicted Monthly'!$T$11</f>
        <v>0</v>
      </c>
      <c r="M79" s="18">
        <f t="shared" si="11"/>
        <v>20706.216211408599</v>
      </c>
      <c r="N79" s="18">
        <f t="shared" si="12"/>
        <v>0</v>
      </c>
      <c r="O79" s="18">
        <f t="shared" si="13"/>
        <v>-1988.5657418694027</v>
      </c>
      <c r="P79" s="18">
        <f t="shared" si="10"/>
        <v>-2546.1657418694026</v>
      </c>
      <c r="Q79" s="35">
        <f t="shared" si="14"/>
        <v>4.5662943720756859</v>
      </c>
      <c r="S79" s="18"/>
    </row>
    <row r="80" spans="1:19">
      <c r="A80" s="541">
        <f>'Monthly Data'!A80</f>
        <v>44743</v>
      </c>
      <c r="B80">
        <f t="shared" si="8"/>
        <v>2022</v>
      </c>
      <c r="C80">
        <f t="shared" si="9"/>
        <v>7</v>
      </c>
      <c r="D80" s="31">
        <f>'Monthly Data'!Y80</f>
        <v>2800.8</v>
      </c>
      <c r="E80" s="33">
        <f>'Monthly Data'!DN80</f>
        <v>0</v>
      </c>
      <c r="F80" s="33">
        <f>'Monthly Data'!DO80</f>
        <v>0</v>
      </c>
      <c r="G80" s="33">
        <f>'Monthly Data'!AQ80</f>
        <v>24.766666666666666</v>
      </c>
      <c r="H80" s="33">
        <f>'Monthly Data'!BR80</f>
        <v>0</v>
      </c>
      <c r="J80" s="18">
        <f>'LC Predicted Monthly'!$T$9</f>
        <v>-22694.781953278001</v>
      </c>
      <c r="K80" s="18">
        <f>E80*'LC Predicted Monthly'!$T$10</f>
        <v>0</v>
      </c>
      <c r="L80" s="18">
        <f>F80*'LC Predicted Monthly'!$T$11</f>
        <v>0</v>
      </c>
      <c r="M80" s="18">
        <f t="shared" si="11"/>
        <v>5070.5619066704858</v>
      </c>
      <c r="N80" s="18">
        <f t="shared" si="12"/>
        <v>0</v>
      </c>
      <c r="O80" s="18">
        <f t="shared" si="13"/>
        <v>-17624.220046607516</v>
      </c>
      <c r="P80" s="18">
        <f t="shared" si="10"/>
        <v>-20425.020046607515</v>
      </c>
      <c r="Q80" s="35">
        <f t="shared" si="14"/>
        <v>7.2925664262380439</v>
      </c>
      <c r="S80" s="18"/>
    </row>
    <row r="81" spans="1:24">
      <c r="A81" s="541">
        <f>'Monthly Data'!A81</f>
        <v>44774</v>
      </c>
      <c r="B81">
        <f t="shared" si="8"/>
        <v>2022</v>
      </c>
      <c r="C81">
        <f t="shared" si="9"/>
        <v>8</v>
      </c>
      <c r="D81" s="31">
        <f>'Monthly Data'!Y81</f>
        <v>13204</v>
      </c>
      <c r="E81" s="33">
        <f>'Monthly Data'!DN81</f>
        <v>0</v>
      </c>
      <c r="F81" s="33">
        <f>'Monthly Data'!DO81</f>
        <v>0</v>
      </c>
      <c r="G81" s="33">
        <f>'Monthly Data'!AQ81</f>
        <v>43.374999999999986</v>
      </c>
      <c r="H81" s="33">
        <f>'Monthly Data'!BR81</f>
        <v>0</v>
      </c>
      <c r="J81" s="18">
        <f>'LC Predicted Monthly'!$T$9</f>
        <v>-22694.781953278001</v>
      </c>
      <c r="K81" s="18">
        <f>E81*'LC Predicted Monthly'!$T$10</f>
        <v>0</v>
      </c>
      <c r="L81" s="18">
        <f>F81*'LC Predicted Monthly'!$T$11</f>
        <v>0</v>
      </c>
      <c r="M81" s="18">
        <f t="shared" si="11"/>
        <v>8880.3077806930924</v>
      </c>
      <c r="N81" s="18">
        <f t="shared" si="12"/>
        <v>0</v>
      </c>
      <c r="O81" s="18">
        <f t="shared" si="13"/>
        <v>-13814.474172584909</v>
      </c>
      <c r="P81" s="18">
        <f t="shared" si="10"/>
        <v>-27018.474172584909</v>
      </c>
      <c r="Q81" s="35">
        <f t="shared" si="14"/>
        <v>2.0462340330645947</v>
      </c>
      <c r="S81" s="18"/>
    </row>
    <row r="82" spans="1:24">
      <c r="A82" s="541">
        <f>'Monthly Data'!A82</f>
        <v>44805</v>
      </c>
      <c r="B82">
        <f t="shared" si="8"/>
        <v>2022</v>
      </c>
      <c r="C82">
        <f t="shared" si="9"/>
        <v>9</v>
      </c>
      <c r="D82" s="31">
        <f>'Monthly Data'!Y82</f>
        <v>16</v>
      </c>
      <c r="E82" s="33">
        <f>'Monthly Data'!DN82</f>
        <v>0</v>
      </c>
      <c r="F82" s="33">
        <f>'Monthly Data'!DO82</f>
        <v>0</v>
      </c>
      <c r="G82" s="33">
        <f>'Monthly Data'!AQ82</f>
        <v>186.05</v>
      </c>
      <c r="H82" s="33">
        <f>'Monthly Data'!BR82</f>
        <v>1</v>
      </c>
      <c r="J82" s="18">
        <f>'LC Predicted Monthly'!$T$9</f>
        <v>-22694.781953278001</v>
      </c>
      <c r="K82" s="18">
        <f>E82*'LC Predicted Monthly'!$T$10</f>
        <v>0</v>
      </c>
      <c r="L82" s="18">
        <f>F82*'LC Predicted Monthly'!$T$11</f>
        <v>0</v>
      </c>
      <c r="M82" s="18">
        <f t="shared" si="11"/>
        <v>38090.63429620635</v>
      </c>
      <c r="N82" s="18">
        <f t="shared" si="12"/>
        <v>97970.228068396304</v>
      </c>
      <c r="O82" s="18">
        <f t="shared" si="13"/>
        <v>113366.08041132466</v>
      </c>
      <c r="P82" s="18">
        <f t="shared" si="10"/>
        <v>113350.08041132466</v>
      </c>
      <c r="Q82" s="35">
        <f t="shared" si="14"/>
        <v>7084.380025707791</v>
      </c>
      <c r="S82" s="18"/>
    </row>
    <row r="83" spans="1:24">
      <c r="A83" s="541">
        <f>'Monthly Data'!A83</f>
        <v>44835</v>
      </c>
      <c r="B83">
        <f t="shared" si="8"/>
        <v>2022</v>
      </c>
      <c r="C83">
        <f t="shared" si="9"/>
        <v>10</v>
      </c>
      <c r="D83" s="31">
        <f>'Monthly Data'!Y83</f>
        <v>11505.6</v>
      </c>
      <c r="E83" s="33">
        <f>'Monthly Data'!DN83</f>
        <v>0</v>
      </c>
      <c r="F83" s="33">
        <f>'Monthly Data'!DO83</f>
        <v>0</v>
      </c>
      <c r="G83" s="33">
        <f>'Monthly Data'!AQ83</f>
        <v>386.60833333333323</v>
      </c>
      <c r="H83" s="33">
        <f>'Monthly Data'!BR83</f>
        <v>1</v>
      </c>
      <c r="J83" s="18">
        <f>'LC Predicted Monthly'!$T$9</f>
        <v>-22694.781953278001</v>
      </c>
      <c r="K83" s="18">
        <f>E83*'LC Predicted Monthly'!$T$10</f>
        <v>0</v>
      </c>
      <c r="L83" s="18">
        <f>F83*'LC Predicted Monthly'!$T$11</f>
        <v>0</v>
      </c>
      <c r="M83" s="18">
        <f t="shared" si="11"/>
        <v>79151.607852006651</v>
      </c>
      <c r="N83" s="18">
        <f t="shared" si="12"/>
        <v>97970.228068396304</v>
      </c>
      <c r="O83" s="18">
        <f t="shared" si="13"/>
        <v>154427.05396712496</v>
      </c>
      <c r="P83" s="18">
        <f t="shared" si="10"/>
        <v>142921.45396712495</v>
      </c>
      <c r="Q83" s="35">
        <f t="shared" si="14"/>
        <v>12.421903591913933</v>
      </c>
      <c r="S83" s="18"/>
    </row>
    <row r="84" spans="1:24">
      <c r="A84" s="541">
        <f>'Monthly Data'!A84</f>
        <v>44866</v>
      </c>
      <c r="B84">
        <f t="shared" si="8"/>
        <v>2022</v>
      </c>
      <c r="C84">
        <f t="shared" si="9"/>
        <v>11</v>
      </c>
      <c r="D84" s="31">
        <f>'Monthly Data'!Y84</f>
        <v>1080057.76</v>
      </c>
      <c r="E84" s="33">
        <f>'Monthly Data'!DN84</f>
        <v>0</v>
      </c>
      <c r="F84" s="33">
        <f>'Monthly Data'!DO84</f>
        <v>0</v>
      </c>
      <c r="G84" s="33">
        <f>'Monthly Data'!AQ84</f>
        <v>510.11250000000007</v>
      </c>
      <c r="H84" s="33">
        <f>'Monthly Data'!BR84</f>
        <v>1</v>
      </c>
      <c r="J84" s="18">
        <f>'LC Predicted Monthly'!$T$9</f>
        <v>-22694.781953278001</v>
      </c>
      <c r="K84" s="18">
        <f>E84*'LC Predicted Monthly'!$T$10</f>
        <v>0</v>
      </c>
      <c r="L84" s="18">
        <f>F84*'LC Predicted Monthly'!$T$11</f>
        <v>0</v>
      </c>
      <c r="M84" s="18">
        <f t="shared" si="11"/>
        <v>104437.02600066413</v>
      </c>
      <c r="N84" s="18">
        <f t="shared" si="12"/>
        <v>97970.228068396304</v>
      </c>
      <c r="O84" s="18">
        <f t="shared" si="13"/>
        <v>179712.47211578244</v>
      </c>
      <c r="P84" s="18">
        <f t="shared" si="10"/>
        <v>-900345.28788421757</v>
      </c>
      <c r="Q84" s="35">
        <f t="shared" si="14"/>
        <v>0.83360846172173009</v>
      </c>
      <c r="S84" s="18"/>
    </row>
    <row r="85" spans="1:24">
      <c r="A85" s="541">
        <f>'Monthly Data'!A85</f>
        <v>44896</v>
      </c>
      <c r="B85">
        <f t="shared" si="8"/>
        <v>2022</v>
      </c>
      <c r="C85">
        <f t="shared" si="9"/>
        <v>12</v>
      </c>
      <c r="D85" s="31">
        <f>'Monthly Data'!Y85</f>
        <v>518047.52</v>
      </c>
      <c r="E85" s="33">
        <f>'Monthly Data'!DN85</f>
        <v>0</v>
      </c>
      <c r="F85" s="33">
        <f>'Monthly Data'!DO85</f>
        <v>0</v>
      </c>
      <c r="G85" s="33">
        <f>'Monthly Data'!AQ85</f>
        <v>723.45416666666654</v>
      </c>
      <c r="H85" s="33">
        <f>'Monthly Data'!BR85</f>
        <v>0</v>
      </c>
      <c r="J85" s="18">
        <f>'LC Predicted Monthly'!$T$9</f>
        <v>-22694.781953278001</v>
      </c>
      <c r="K85" s="18">
        <f>E85*'LC Predicted Monthly'!$T$10</f>
        <v>0</v>
      </c>
      <c r="L85" s="18">
        <f>F85*'LC Predicted Monthly'!$T$11</f>
        <v>0</v>
      </c>
      <c r="M85" s="18">
        <f t="shared" si="11"/>
        <v>148115.1738380366</v>
      </c>
      <c r="N85" s="18">
        <f t="shared" si="12"/>
        <v>0</v>
      </c>
      <c r="O85" s="18">
        <f t="shared" si="13"/>
        <v>125420.3918847586</v>
      </c>
      <c r="P85" s="18">
        <f t="shared" si="10"/>
        <v>-392627.12811524142</v>
      </c>
      <c r="Q85" s="35">
        <f t="shared" si="14"/>
        <v>0.75789790117177169</v>
      </c>
      <c r="S85" s="18"/>
    </row>
    <row r="86" spans="1:24">
      <c r="A86" s="541">
        <f>'Monthly Data'!A86</f>
        <v>44927</v>
      </c>
      <c r="B86">
        <f t="shared" si="8"/>
        <v>2023</v>
      </c>
      <c r="C86">
        <f t="shared" si="9"/>
        <v>1</v>
      </c>
      <c r="D86" s="31">
        <f>'Monthly Data'!Y86</f>
        <v>5321.6</v>
      </c>
      <c r="E86" s="33">
        <f>'Monthly Data'!DN86</f>
        <v>0</v>
      </c>
      <c r="F86" s="33">
        <f>'Monthly Data'!DO86</f>
        <v>0</v>
      </c>
      <c r="G86" s="33">
        <f>'Monthly Data'!AQ86</f>
        <v>821.78333333333342</v>
      </c>
      <c r="H86" s="33">
        <f>'Monthly Data'!BR86</f>
        <v>0</v>
      </c>
      <c r="J86" s="18">
        <f>'LC Predicted Monthly'!$T$9</f>
        <v>-22694.781953278001</v>
      </c>
      <c r="K86" s="18">
        <f>E86*'LC Predicted Monthly'!$T$10</f>
        <v>0</v>
      </c>
      <c r="L86" s="18">
        <f>F86*'LC Predicted Monthly'!$T$11</f>
        <v>0</v>
      </c>
      <c r="M86" s="18">
        <f t="shared" si="11"/>
        <v>168246.43064078173</v>
      </c>
      <c r="N86" s="18">
        <f t="shared" si="12"/>
        <v>0</v>
      </c>
      <c r="O86" s="18">
        <f t="shared" si="13"/>
        <v>145551.64868750374</v>
      </c>
      <c r="P86" s="18">
        <f t="shared" si="10"/>
        <v>140230.04868750373</v>
      </c>
      <c r="Q86" s="35">
        <f t="shared" si="14"/>
        <v>26.35110656334631</v>
      </c>
      <c r="S86" s="18"/>
    </row>
    <row r="87" spans="1:24">
      <c r="A87" s="541">
        <f>'Monthly Data'!A87</f>
        <v>44958</v>
      </c>
      <c r="B87">
        <f t="shared" si="8"/>
        <v>2023</v>
      </c>
      <c r="C87">
        <f t="shared" si="9"/>
        <v>2</v>
      </c>
      <c r="D87" s="31">
        <f>'Monthly Data'!Y87</f>
        <v>84355.36</v>
      </c>
      <c r="E87" s="33">
        <f>'Monthly Data'!DN87</f>
        <v>0</v>
      </c>
      <c r="F87" s="33">
        <f>'Monthly Data'!DO87</f>
        <v>0</v>
      </c>
      <c r="G87" s="33">
        <f>'Monthly Data'!AQ87</f>
        <v>793.05833333333328</v>
      </c>
      <c r="H87" s="33">
        <f>'Monthly Data'!BR87</f>
        <v>0</v>
      </c>
      <c r="J87" s="18">
        <f>'LC Predicted Monthly'!$T$9</f>
        <v>-22694.781953278001</v>
      </c>
      <c r="K87" s="18">
        <f>E87*'LC Predicted Monthly'!$T$10</f>
        <v>0</v>
      </c>
      <c r="L87" s="18">
        <f>F87*'LC Predicted Monthly'!$T$11</f>
        <v>0</v>
      </c>
      <c r="M87" s="18">
        <f t="shared" si="11"/>
        <v>162365.46600676651</v>
      </c>
      <c r="N87" s="18">
        <f t="shared" si="12"/>
        <v>0</v>
      </c>
      <c r="O87" s="18">
        <f t="shared" si="13"/>
        <v>139670.68405348851</v>
      </c>
      <c r="P87" s="18">
        <f t="shared" si="10"/>
        <v>55315.324053488512</v>
      </c>
      <c r="Q87" s="35">
        <f t="shared" si="14"/>
        <v>0.65574166304889825</v>
      </c>
      <c r="S87" s="18"/>
    </row>
    <row r="88" spans="1:24">
      <c r="A88" s="541">
        <f>'Monthly Data'!A88</f>
        <v>44986</v>
      </c>
      <c r="B88">
        <f t="shared" si="8"/>
        <v>2023</v>
      </c>
      <c r="C88">
        <f t="shared" si="9"/>
        <v>3</v>
      </c>
      <c r="D88" s="31">
        <f>'Monthly Data'!Y88</f>
        <v>1277.5999999999999</v>
      </c>
      <c r="E88" s="33">
        <f>'Monthly Data'!DN88</f>
        <v>0</v>
      </c>
      <c r="F88" s="33">
        <f>'Monthly Data'!DO88</f>
        <v>0</v>
      </c>
      <c r="G88" s="33">
        <f>'Monthly Data'!AQ88</f>
        <v>690.10000000000025</v>
      </c>
      <c r="H88" s="33">
        <f>'Monthly Data'!BR88</f>
        <v>0</v>
      </c>
      <c r="J88" s="18">
        <f>'LC Predicted Monthly'!$T$9</f>
        <v>-22694.781953278001</v>
      </c>
      <c r="K88" s="18">
        <f>E88*'LC Predicted Monthly'!$T$10</f>
        <v>0</v>
      </c>
      <c r="L88" s="18">
        <f>F88*'LC Predicted Monthly'!$T$11</f>
        <v>0</v>
      </c>
      <c r="M88" s="18">
        <f t="shared" si="11"/>
        <v>141286.46454077942</v>
      </c>
      <c r="N88" s="18">
        <f t="shared" si="12"/>
        <v>0</v>
      </c>
      <c r="O88" s="18">
        <f t="shared" si="13"/>
        <v>118591.68258750142</v>
      </c>
      <c r="P88" s="18">
        <f t="shared" si="10"/>
        <v>117314.08258750141</v>
      </c>
      <c r="Q88" s="35">
        <f t="shared" si="14"/>
        <v>91.823796640185833</v>
      </c>
    </row>
    <row r="89" spans="1:24">
      <c r="A89" s="541">
        <f>'Monthly Data'!A89</f>
        <v>45017</v>
      </c>
      <c r="B89">
        <f t="shared" si="8"/>
        <v>2023</v>
      </c>
      <c r="C89">
        <f t="shared" si="9"/>
        <v>4</v>
      </c>
      <c r="D89" s="31">
        <f>'Monthly Data'!Y89</f>
        <v>5946.72</v>
      </c>
      <c r="E89" s="33">
        <f>'Monthly Data'!DN89</f>
        <v>0</v>
      </c>
      <c r="F89" s="33">
        <f>'Monthly Data'!DO89</f>
        <v>0</v>
      </c>
      <c r="G89" s="33">
        <f>'Monthly Data'!AQ89</f>
        <v>420.70833333333337</v>
      </c>
      <c r="H89" s="33">
        <f>'Monthly Data'!BR89</f>
        <v>0</v>
      </c>
      <c r="J89" s="18">
        <f>'LC Predicted Monthly'!$T$9</f>
        <v>-22694.781953278001</v>
      </c>
      <c r="K89" s="18">
        <f>E89*'LC Predicted Monthly'!$T$10</f>
        <v>0</v>
      </c>
      <c r="L89" s="18">
        <f>F89*'LC Predicted Monthly'!$T$11</f>
        <v>0</v>
      </c>
      <c r="M89" s="18">
        <f t="shared" si="11"/>
        <v>86133.014084205744</v>
      </c>
      <c r="N89" s="18">
        <f t="shared" si="12"/>
        <v>0</v>
      </c>
      <c r="O89" s="18">
        <f t="shared" si="13"/>
        <v>63438.232130927747</v>
      </c>
      <c r="P89" s="18">
        <f t="shared" si="10"/>
        <v>57491.512130927746</v>
      </c>
      <c r="Q89" s="35">
        <f t="shared" si="14"/>
        <v>9.6677684725239708</v>
      </c>
      <c r="S89" s="18"/>
    </row>
    <row r="90" spans="1:24">
      <c r="A90" s="541">
        <f>'Monthly Data'!A90</f>
        <v>45047</v>
      </c>
      <c r="B90">
        <f t="shared" si="8"/>
        <v>2023</v>
      </c>
      <c r="C90">
        <f t="shared" si="9"/>
        <v>5</v>
      </c>
      <c r="D90" s="31">
        <f>'Monthly Data'!Y90</f>
        <v>5086.3999999999996</v>
      </c>
      <c r="E90" s="33">
        <f>'Monthly Data'!DN90</f>
        <v>0</v>
      </c>
      <c r="F90" s="33">
        <f>'Monthly Data'!DO90</f>
        <v>0</v>
      </c>
      <c r="G90" s="33">
        <f>'Monthly Data'!AQ90</f>
        <v>234.95208333333341</v>
      </c>
      <c r="H90" s="33">
        <f>'Monthly Data'!BR90</f>
        <v>0</v>
      </c>
      <c r="J90" s="18">
        <f>'LC Predicted Monthly'!$T$9</f>
        <v>-22694.781953278001</v>
      </c>
      <c r="K90" s="18">
        <f>E90*'LC Predicted Monthly'!$T$10</f>
        <v>0</v>
      </c>
      <c r="L90" s="18">
        <f>F90*'LC Predicted Monthly'!$T$11</f>
        <v>0</v>
      </c>
      <c r="M90" s="18">
        <f t="shared" si="11"/>
        <v>48102.520200923413</v>
      </c>
      <c r="N90" s="18">
        <f t="shared" si="12"/>
        <v>0</v>
      </c>
      <c r="O90" s="18">
        <f t="shared" si="13"/>
        <v>25407.738247645411</v>
      </c>
      <c r="P90" s="18">
        <f t="shared" si="10"/>
        <v>20321.338247645414</v>
      </c>
      <c r="Q90" s="35">
        <f t="shared" si="14"/>
        <v>3.995230073852905</v>
      </c>
      <c r="S90" s="18"/>
      <c r="V90" s="18"/>
      <c r="W90" s="18"/>
      <c r="X90" s="73"/>
    </row>
    <row r="91" spans="1:24">
      <c r="A91" s="541">
        <f>'Monthly Data'!A91</f>
        <v>45078</v>
      </c>
      <c r="B91">
        <f t="shared" si="8"/>
        <v>2023</v>
      </c>
      <c r="C91">
        <f t="shared" si="9"/>
        <v>6</v>
      </c>
      <c r="D91" s="31">
        <f>'Monthly Data'!Y91</f>
        <v>19736.8</v>
      </c>
      <c r="E91" s="33">
        <f>'Monthly Data'!DN91</f>
        <v>0</v>
      </c>
      <c r="F91" s="33">
        <f>'Monthly Data'!DO91</f>
        <v>0</v>
      </c>
      <c r="G91" s="33">
        <f>'Monthly Data'!AQ91</f>
        <v>79.324999999999989</v>
      </c>
      <c r="H91" s="33">
        <f>'Monthly Data'!BR91</f>
        <v>0</v>
      </c>
      <c r="J91" s="18">
        <f>'LC Predicted Monthly'!$T$9</f>
        <v>-22694.781953278001</v>
      </c>
      <c r="K91" s="18">
        <f>E91*'LC Predicted Monthly'!$T$10</f>
        <v>0</v>
      </c>
      <c r="L91" s="18">
        <f>F91*'LC Predicted Monthly'!$T$11</f>
        <v>0</v>
      </c>
      <c r="M91" s="18">
        <f t="shared" si="11"/>
        <v>16240.470655988003</v>
      </c>
      <c r="N91" s="18">
        <f t="shared" si="12"/>
        <v>0</v>
      </c>
      <c r="O91" s="18">
        <f t="shared" si="13"/>
        <v>-6454.311297289998</v>
      </c>
      <c r="P91" s="18">
        <f t="shared" si="10"/>
        <v>-26191.111297289997</v>
      </c>
      <c r="Q91" s="35">
        <f t="shared" si="14"/>
        <v>1.3270191367035182</v>
      </c>
      <c r="S91" s="18"/>
      <c r="V91" s="18"/>
      <c r="W91" s="18"/>
      <c r="X91" s="73"/>
    </row>
    <row r="92" spans="1:24">
      <c r="A92" s="541">
        <f>'Monthly Data'!A92</f>
        <v>45108</v>
      </c>
      <c r="B92">
        <f t="shared" si="8"/>
        <v>2023</v>
      </c>
      <c r="C92">
        <f t="shared" si="9"/>
        <v>7</v>
      </c>
      <c r="D92" s="31">
        <f>'Monthly Data'!Y92</f>
        <v>1885.6</v>
      </c>
      <c r="E92" s="33">
        <f>'Monthly Data'!DN92</f>
        <v>0</v>
      </c>
      <c r="F92" s="33">
        <f>'Monthly Data'!DO92</f>
        <v>0</v>
      </c>
      <c r="G92" s="33">
        <f>'Monthly Data'!AQ92</f>
        <v>27.016666666666673</v>
      </c>
      <c r="H92" s="33">
        <f>'Monthly Data'!BR92</f>
        <v>0</v>
      </c>
      <c r="J92" s="18">
        <f>'LC Predicted Monthly'!$T$9</f>
        <v>-22694.781953278001</v>
      </c>
      <c r="K92" s="18">
        <f>E92*'LC Predicted Monthly'!$T$10</f>
        <v>0</v>
      </c>
      <c r="L92" s="18">
        <f>F92*'LC Predicted Monthly'!$T$11</f>
        <v>0</v>
      </c>
      <c r="M92" s="18">
        <f t="shared" si="11"/>
        <v>5531.2118780032697</v>
      </c>
      <c r="N92" s="18">
        <f t="shared" si="12"/>
        <v>0</v>
      </c>
      <c r="O92" s="18">
        <f t="shared" si="13"/>
        <v>-17163.570075274733</v>
      </c>
      <c r="P92" s="18">
        <f t="shared" si="10"/>
        <v>-19049.170075274731</v>
      </c>
      <c r="Q92" s="35">
        <f t="shared" si="14"/>
        <v>10.102444885062967</v>
      </c>
      <c r="S92" s="18"/>
      <c r="V92" s="18"/>
      <c r="W92" s="18"/>
      <c r="X92" s="73"/>
    </row>
    <row r="93" spans="1:24">
      <c r="A93" s="541">
        <f>'Monthly Data'!A93</f>
        <v>45139</v>
      </c>
      <c r="B93">
        <f t="shared" si="8"/>
        <v>2023</v>
      </c>
      <c r="C93">
        <f t="shared" si="9"/>
        <v>8</v>
      </c>
      <c r="D93" s="31">
        <f>'Monthly Data'!Y93</f>
        <v>50262.080000000002</v>
      </c>
      <c r="E93" s="33">
        <f>'Monthly Data'!DN93</f>
        <v>0</v>
      </c>
      <c r="F93" s="33">
        <f>'Monthly Data'!DO93</f>
        <v>0</v>
      </c>
      <c r="G93" s="33">
        <f>'Monthly Data'!AQ93</f>
        <v>78.083333333333329</v>
      </c>
      <c r="H93" s="33">
        <f>'Monthly Data'!BR93</f>
        <v>0</v>
      </c>
      <c r="J93" s="18">
        <f>'LC Predicted Monthly'!$T$9</f>
        <v>-22694.781953278001</v>
      </c>
      <c r="K93" s="18">
        <f>E93*'LC Predicted Monthly'!$T$10</f>
        <v>0</v>
      </c>
      <c r="L93" s="18">
        <f>F93*'LC Predicted Monthly'!$T$11</f>
        <v>0</v>
      </c>
      <c r="M93" s="18">
        <f t="shared" si="11"/>
        <v>15986.260116252506</v>
      </c>
      <c r="N93" s="18">
        <f t="shared" si="12"/>
        <v>0</v>
      </c>
      <c r="O93" s="18">
        <f t="shared" si="13"/>
        <v>-6708.5218370254952</v>
      </c>
      <c r="P93" s="18">
        <f t="shared" si="10"/>
        <v>-56970.601837025497</v>
      </c>
      <c r="Q93" s="35">
        <f t="shared" si="14"/>
        <v>1.1334708360064982</v>
      </c>
      <c r="S93" s="18"/>
      <c r="V93" s="18"/>
      <c r="W93" s="18"/>
      <c r="X93" s="73"/>
    </row>
    <row r="94" spans="1:24">
      <c r="A94" s="541">
        <f>'Monthly Data'!A94</f>
        <v>45170</v>
      </c>
      <c r="B94">
        <f t="shared" si="8"/>
        <v>2023</v>
      </c>
      <c r="C94">
        <f t="shared" si="9"/>
        <v>9</v>
      </c>
      <c r="D94" s="31">
        <f>'Monthly Data'!Y94</f>
        <v>476.32</v>
      </c>
      <c r="E94" s="33">
        <f>'Monthly Data'!DN94</f>
        <v>0</v>
      </c>
      <c r="F94" s="33">
        <f>'Monthly Data'!DO94</f>
        <v>0</v>
      </c>
      <c r="G94" s="33">
        <f>'Monthly Data'!AQ94</f>
        <v>162.20833333333331</v>
      </c>
      <c r="H94" s="33">
        <f>'Monthly Data'!BR94</f>
        <v>1</v>
      </c>
      <c r="J94" s="18">
        <f>'LC Predicted Monthly'!$T$9</f>
        <v>-22694.781953278001</v>
      </c>
      <c r="K94" s="18">
        <f>E94*'LC Predicted Monthly'!$T$10</f>
        <v>0</v>
      </c>
      <c r="L94" s="18">
        <f>F94*'LC Predicted Monthly'!$T$11</f>
        <v>0</v>
      </c>
      <c r="M94" s="18">
        <f t="shared" si="11"/>
        <v>33209.45071108378</v>
      </c>
      <c r="N94" s="18">
        <f t="shared" si="12"/>
        <v>97970.228068396304</v>
      </c>
      <c r="O94" s="18">
        <f t="shared" si="13"/>
        <v>108484.89682620208</v>
      </c>
      <c r="P94" s="18">
        <f t="shared" si="10"/>
        <v>108008.57682620207</v>
      </c>
      <c r="Q94" s="35">
        <f t="shared" si="14"/>
        <v>226.75633361228182</v>
      </c>
      <c r="S94" s="18"/>
      <c r="V94" s="18"/>
      <c r="W94" s="18"/>
      <c r="X94" s="73"/>
    </row>
    <row r="95" spans="1:24">
      <c r="A95" s="541">
        <f>'Monthly Data'!A95</f>
        <v>45200</v>
      </c>
      <c r="B95">
        <f t="shared" si="8"/>
        <v>2023</v>
      </c>
      <c r="C95">
        <f t="shared" si="9"/>
        <v>10</v>
      </c>
      <c r="D95" s="31">
        <f>'Monthly Data'!Y95</f>
        <v>8698.08</v>
      </c>
      <c r="E95" s="33">
        <f>'Monthly Data'!DN95</f>
        <v>0</v>
      </c>
      <c r="F95" s="33">
        <f>'Monthly Data'!DO95</f>
        <v>0</v>
      </c>
      <c r="G95" s="33">
        <f>'Monthly Data'!AQ95</f>
        <v>308.94999999999993</v>
      </c>
      <c r="H95" s="33">
        <f>'Monthly Data'!BR95</f>
        <v>1</v>
      </c>
      <c r="J95" s="18">
        <f>'LC Predicted Monthly'!$T$9</f>
        <v>-22694.781953278001</v>
      </c>
      <c r="K95" s="18">
        <f>E95*'LC Predicted Monthly'!$T$10</f>
        <v>0</v>
      </c>
      <c r="L95" s="18">
        <f>F95*'LC Predicted Monthly'!$T$11</f>
        <v>0</v>
      </c>
      <c r="M95" s="18">
        <f t="shared" si="11"/>
        <v>63252.359397005901</v>
      </c>
      <c r="N95" s="18">
        <f t="shared" si="12"/>
        <v>97970.228068396304</v>
      </c>
      <c r="O95" s="18">
        <f t="shared" si="13"/>
        <v>138527.80551212421</v>
      </c>
      <c r="P95" s="18">
        <f t="shared" si="10"/>
        <v>129829.72551212421</v>
      </c>
      <c r="Q95" s="35">
        <f t="shared" si="14"/>
        <v>14.926251024608213</v>
      </c>
      <c r="S95" s="18"/>
      <c r="V95" s="18"/>
      <c r="W95" s="18"/>
      <c r="X95" s="73"/>
    </row>
    <row r="96" spans="1:24">
      <c r="A96" s="541">
        <f>'Monthly Data'!A96</f>
        <v>45231</v>
      </c>
      <c r="B96">
        <f t="shared" si="8"/>
        <v>2023</v>
      </c>
      <c r="C96">
        <f t="shared" si="9"/>
        <v>11</v>
      </c>
      <c r="D96" s="31">
        <f>'Monthly Data'!Y96</f>
        <v>112023.03999999999</v>
      </c>
      <c r="E96" s="33">
        <f>'Monthly Data'!DN96</f>
        <v>0</v>
      </c>
      <c r="F96" s="33">
        <f>'Monthly Data'!DO96</f>
        <v>0</v>
      </c>
      <c r="G96" s="33">
        <f>'Monthly Data'!AQ96</f>
        <v>616.27291666666667</v>
      </c>
      <c r="H96" s="33">
        <f>'Monthly Data'!BR96</f>
        <v>1</v>
      </c>
      <c r="J96" s="18">
        <f>'LC Predicted Monthly'!$T$9</f>
        <v>-22694.781953278001</v>
      </c>
      <c r="K96" s="18">
        <f>E96*'LC Predicted Monthly'!$T$10</f>
        <v>0</v>
      </c>
      <c r="L96" s="18">
        <f>F96*'LC Predicted Monthly'!$T$11</f>
        <v>0</v>
      </c>
      <c r="M96" s="18">
        <f t="shared" si="11"/>
        <v>126171.60062029804</v>
      </c>
      <c r="N96" s="18">
        <f t="shared" si="12"/>
        <v>97970.228068396304</v>
      </c>
      <c r="O96" s="18">
        <f t="shared" si="13"/>
        <v>201447.04673541634</v>
      </c>
      <c r="P96" s="18">
        <f t="shared" si="10"/>
        <v>89424.006735416348</v>
      </c>
      <c r="Q96" s="35">
        <f t="shared" si="14"/>
        <v>0.79826441717182783</v>
      </c>
      <c r="S96" s="18"/>
      <c r="V96" s="18"/>
      <c r="W96" s="18"/>
      <c r="X96" s="73"/>
    </row>
    <row r="97" spans="1:24">
      <c r="A97" s="541">
        <f>'Monthly Data'!A97</f>
        <v>45261</v>
      </c>
      <c r="B97">
        <f t="shared" si="8"/>
        <v>2023</v>
      </c>
      <c r="C97">
        <f t="shared" si="9"/>
        <v>12</v>
      </c>
      <c r="D97" s="31">
        <f>'Monthly Data'!Y97</f>
        <v>156736</v>
      </c>
      <c r="E97" s="33">
        <f>'Monthly Data'!DN97</f>
        <v>0</v>
      </c>
      <c r="F97" s="33">
        <f>'Monthly Data'!DO97</f>
        <v>0</v>
      </c>
      <c r="G97" s="33">
        <f>'Monthly Data'!AQ97</f>
        <v>713.16250000000014</v>
      </c>
      <c r="H97" s="33">
        <f>'Monthly Data'!BR97</f>
        <v>0</v>
      </c>
      <c r="J97" s="18">
        <f>'LC Predicted Monthly'!$T$9</f>
        <v>-22694.781953278001</v>
      </c>
      <c r="K97" s="18">
        <f>E97*'LC Predicted Monthly'!$T$10</f>
        <v>0</v>
      </c>
      <c r="L97" s="18">
        <f>F97*'LC Predicted Monthly'!$T$11</f>
        <v>0</v>
      </c>
      <c r="M97" s="18">
        <f t="shared" si="11"/>
        <v>146008.12674694043</v>
      </c>
      <c r="N97" s="18">
        <f t="shared" si="12"/>
        <v>0</v>
      </c>
      <c r="O97" s="18">
        <f t="shared" si="13"/>
        <v>123313.34479366243</v>
      </c>
      <c r="P97" s="18">
        <f t="shared" si="10"/>
        <v>-33422.655206337571</v>
      </c>
      <c r="Q97" s="35">
        <f t="shared" si="14"/>
        <v>0.21324172625521623</v>
      </c>
      <c r="S97" s="18"/>
      <c r="V97" s="18"/>
      <c r="W97" s="18"/>
      <c r="X97" s="73"/>
    </row>
    <row r="98" spans="1:24">
      <c r="A98" s="541">
        <f>'Monthly Data'!A98</f>
        <v>45292</v>
      </c>
      <c r="B98">
        <f t="shared" si="8"/>
        <v>2024</v>
      </c>
      <c r="C98">
        <f t="shared" si="9"/>
        <v>1</v>
      </c>
      <c r="D98" s="31">
        <f>'Monthly Data'!Y98</f>
        <v>4079.68</v>
      </c>
      <c r="E98" s="33">
        <f>'Monthly Data'!DN98</f>
        <v>0</v>
      </c>
      <c r="F98" s="33">
        <f>'Monthly Data'!DO98</f>
        <v>0</v>
      </c>
      <c r="G98" s="33">
        <f>'Monthly Data'!AQ98</f>
        <v>829.07916666666677</v>
      </c>
      <c r="H98" s="33">
        <f>'Monthly Data'!BR98</f>
        <v>0</v>
      </c>
      <c r="J98" s="18">
        <f>'LC Predicted Monthly'!$T$9</f>
        <v>-22694.781953278001</v>
      </c>
      <c r="K98" s="18">
        <f>E98*'LC Predicted Monthly'!$T$10</f>
        <v>0</v>
      </c>
      <c r="L98" s="18">
        <f>F98*'LC Predicted Monthly'!$T$11</f>
        <v>0</v>
      </c>
      <c r="M98" s="18">
        <f t="shared" si="11"/>
        <v>169740.13082560341</v>
      </c>
      <c r="N98" s="18">
        <f t="shared" si="12"/>
        <v>0</v>
      </c>
      <c r="O98" s="18">
        <f t="shared" si="13"/>
        <v>147045.34887232541</v>
      </c>
      <c r="P98" s="18">
        <f t="shared" ref="P98:P121" si="15">O98-D98</f>
        <v>142965.66887232542</v>
      </c>
      <c r="Q98" s="35">
        <f t="shared" si="14"/>
        <v>35.043353614088709</v>
      </c>
      <c r="S98" s="18"/>
      <c r="V98" s="18"/>
      <c r="W98" s="18"/>
      <c r="X98" s="73"/>
    </row>
    <row r="99" spans="1:24">
      <c r="A99" s="541">
        <f>'Monthly Data'!A99</f>
        <v>45323</v>
      </c>
      <c r="B99">
        <f t="shared" si="8"/>
        <v>2024</v>
      </c>
      <c r="C99">
        <f t="shared" si="9"/>
        <v>2</v>
      </c>
      <c r="D99" s="31">
        <f>'Monthly Data'!Y99</f>
        <v>38393.440000000002</v>
      </c>
      <c r="E99" s="33">
        <f>'Monthly Data'!DN99</f>
        <v>0</v>
      </c>
      <c r="F99" s="33">
        <f>'Monthly Data'!DO99</f>
        <v>0</v>
      </c>
      <c r="G99" s="33">
        <f>'Monthly Data'!AQ99</f>
        <v>711.87916666666661</v>
      </c>
      <c r="H99" s="33">
        <f>'Monthly Data'!BR99</f>
        <v>0</v>
      </c>
      <c r="J99" s="18">
        <f>'LC Predicted Monthly'!$T$9</f>
        <v>-22694.781953278001</v>
      </c>
      <c r="K99" s="18">
        <f>E99*'LC Predicted Monthly'!$T$10</f>
        <v>0</v>
      </c>
      <c r="L99" s="18">
        <f>F99*'LC Predicted Monthly'!$T$11</f>
        <v>0</v>
      </c>
      <c r="M99" s="18">
        <f t="shared" si="11"/>
        <v>145745.38565218021</v>
      </c>
      <c r="N99" s="18">
        <f t="shared" si="12"/>
        <v>0</v>
      </c>
      <c r="O99" s="18">
        <f t="shared" si="13"/>
        <v>123050.60369890221</v>
      </c>
      <c r="P99" s="18">
        <f t="shared" si="15"/>
        <v>84657.163698902208</v>
      </c>
      <c r="Q99" s="35">
        <f t="shared" si="14"/>
        <v>2.2049903238392341</v>
      </c>
      <c r="S99" s="18"/>
      <c r="V99" s="18"/>
      <c r="W99" s="18"/>
      <c r="X99" s="73"/>
    </row>
    <row r="100" spans="1:24">
      <c r="A100" s="541">
        <f>'Monthly Data'!A100</f>
        <v>45352</v>
      </c>
      <c r="B100">
        <f t="shared" si="8"/>
        <v>2024</v>
      </c>
      <c r="C100">
        <f t="shared" si="9"/>
        <v>3</v>
      </c>
      <c r="D100" s="31">
        <f>'Monthly Data'!Y100</f>
        <v>60396.32</v>
      </c>
      <c r="E100" s="33">
        <f>'Monthly Data'!DN100</f>
        <v>0</v>
      </c>
      <c r="F100" s="33">
        <f>'Monthly Data'!DO100</f>
        <v>0</v>
      </c>
      <c r="G100" s="33">
        <f>'Monthly Data'!AQ100</f>
        <v>596.57916666666665</v>
      </c>
      <c r="H100" s="33">
        <f>'Monthly Data'!BR100</f>
        <v>0</v>
      </c>
      <c r="J100" s="18">
        <f>'LC Predicted Monthly'!$T$9</f>
        <v>-22694.781953278001</v>
      </c>
      <c r="K100" s="18">
        <f>E100*'LC Predicted Monthly'!$T$10</f>
        <v>0</v>
      </c>
      <c r="L100" s="18">
        <f>F100*'LC Predicted Monthly'!$T$11</f>
        <v>0</v>
      </c>
      <c r="M100" s="18">
        <f t="shared" si="11"/>
        <v>122139.63378788247</v>
      </c>
      <c r="N100" s="18">
        <f t="shared" si="12"/>
        <v>0</v>
      </c>
      <c r="O100" s="18">
        <f t="shared" si="13"/>
        <v>99444.851834604473</v>
      </c>
      <c r="P100" s="18">
        <f t="shared" si="15"/>
        <v>39048.531834604473</v>
      </c>
      <c r="Q100" s="35">
        <f t="shared" si="14"/>
        <v>0.64653826316908836</v>
      </c>
      <c r="S100" s="18"/>
    </row>
    <row r="101" spans="1:24">
      <c r="A101" s="541">
        <f>'Monthly Data'!A101</f>
        <v>45383</v>
      </c>
      <c r="B101">
        <f t="shared" si="8"/>
        <v>2024</v>
      </c>
      <c r="C101">
        <f t="shared" si="9"/>
        <v>4</v>
      </c>
      <c r="D101" s="31">
        <f>'Monthly Data'!Y101</f>
        <v>537.76</v>
      </c>
      <c r="E101" s="33">
        <f>'Monthly Data'!DN101</f>
        <v>0</v>
      </c>
      <c r="F101" s="33">
        <f>'Monthly Data'!DO101</f>
        <v>0</v>
      </c>
      <c r="G101" s="33">
        <f>'Monthly Data'!AQ101</f>
        <v>417.11249999999995</v>
      </c>
      <c r="H101" s="33">
        <f>'Monthly Data'!BR101</f>
        <v>0</v>
      </c>
      <c r="J101" s="18">
        <f>'LC Predicted Monthly'!$T$9</f>
        <v>-22694.781953278001</v>
      </c>
      <c r="K101" s="18">
        <f>E101*'LC Predicted Monthly'!$T$10</f>
        <v>0</v>
      </c>
      <c r="L101" s="18">
        <f>F101*'LC Predicted Monthly'!$T$11</f>
        <v>0</v>
      </c>
      <c r="M101" s="18">
        <f t="shared" si="11"/>
        <v>85396.827185575748</v>
      </c>
      <c r="N101" s="18">
        <f t="shared" si="12"/>
        <v>0</v>
      </c>
      <c r="O101" s="18">
        <f t="shared" si="13"/>
        <v>62702.045232297751</v>
      </c>
      <c r="P101" s="18">
        <f t="shared" si="15"/>
        <v>62164.285232297749</v>
      </c>
      <c r="Q101" s="35">
        <f t="shared" si="14"/>
        <v>115.59856670689109</v>
      </c>
      <c r="X101" s="61"/>
    </row>
    <row r="102" spans="1:24">
      <c r="A102" s="541">
        <f>'Monthly Data'!A102</f>
        <v>45413</v>
      </c>
      <c r="B102">
        <f t="shared" si="8"/>
        <v>2024</v>
      </c>
      <c r="C102">
        <f t="shared" si="9"/>
        <v>5</v>
      </c>
      <c r="D102" s="31">
        <f>'Monthly Data'!Y102</f>
        <v>25.6</v>
      </c>
      <c r="E102" s="33">
        <f>'Monthly Data'!DN102</f>
        <v>0</v>
      </c>
      <c r="F102" s="33">
        <f>'Monthly Data'!DO102</f>
        <v>0</v>
      </c>
      <c r="G102" s="33">
        <f>'Monthly Data'!AQ102</f>
        <v>162.30416666666667</v>
      </c>
      <c r="H102" s="33">
        <f>'Monthly Data'!BR102</f>
        <v>0</v>
      </c>
      <c r="J102" s="18">
        <f>'LC Predicted Monthly'!$T$9</f>
        <v>-22694.781953278001</v>
      </c>
      <c r="K102" s="18">
        <f>E102*'LC Predicted Monthly'!$T$10</f>
        <v>0</v>
      </c>
      <c r="L102" s="18">
        <f>F102*'LC Predicted Monthly'!$T$11</f>
        <v>0</v>
      </c>
      <c r="M102" s="18">
        <f t="shared" si="11"/>
        <v>33229.070987640553</v>
      </c>
      <c r="N102" s="18">
        <f t="shared" si="12"/>
        <v>0</v>
      </c>
      <c r="O102" s="18">
        <f t="shared" si="13"/>
        <v>10534.289034362551</v>
      </c>
      <c r="P102" s="18">
        <f t="shared" si="15"/>
        <v>10508.689034362551</v>
      </c>
      <c r="Q102" s="35">
        <f t="shared" si="14"/>
        <v>410.49566540478713</v>
      </c>
    </row>
    <row r="103" spans="1:24">
      <c r="A103" s="541">
        <f>'Monthly Data'!A103</f>
        <v>45444</v>
      </c>
      <c r="B103">
        <f t="shared" si="8"/>
        <v>2024</v>
      </c>
      <c r="C103">
        <f t="shared" si="9"/>
        <v>6</v>
      </c>
      <c r="D103" s="31">
        <f>'Monthly Data'!Y103</f>
        <v>32</v>
      </c>
      <c r="E103" s="33">
        <f>'Monthly Data'!DN103</f>
        <v>0</v>
      </c>
      <c r="F103" s="33">
        <f>'Monthly Data'!DO103</f>
        <v>0</v>
      </c>
      <c r="G103" s="33">
        <f>'Monthly Data'!AQ103</f>
        <v>82.241666666666674</v>
      </c>
      <c r="H103" s="33">
        <f>'Monthly Data'!BR103</f>
        <v>0</v>
      </c>
      <c r="J103" s="18">
        <f>'LC Predicted Monthly'!$T$9</f>
        <v>-22694.781953278001</v>
      </c>
      <c r="K103" s="18">
        <f>E103*'LC Predicted Monthly'!$T$10</f>
        <v>0</v>
      </c>
      <c r="L103" s="18">
        <f>F103*'LC Predicted Monthly'!$T$11</f>
        <v>0</v>
      </c>
      <c r="M103" s="18">
        <f t="shared" si="11"/>
        <v>16837.60950771569</v>
      </c>
      <c r="N103" s="18">
        <f t="shared" si="12"/>
        <v>0</v>
      </c>
      <c r="O103" s="18">
        <f t="shared" si="13"/>
        <v>-5857.1724455623116</v>
      </c>
      <c r="P103" s="18">
        <f t="shared" si="15"/>
        <v>-5889.1724455623116</v>
      </c>
      <c r="Q103" s="35">
        <f t="shared" si="14"/>
        <v>184.03663892382224</v>
      </c>
    </row>
    <row r="104" spans="1:24">
      <c r="A104" s="541">
        <f>'Monthly Data'!A104</f>
        <v>45474</v>
      </c>
      <c r="B104">
        <f t="shared" si="8"/>
        <v>2024</v>
      </c>
      <c r="C104">
        <f t="shared" si="9"/>
        <v>7</v>
      </c>
      <c r="D104" s="31">
        <f>'Monthly Data'!Y104</f>
        <v>6252.8</v>
      </c>
      <c r="E104" s="33">
        <f>'Monthly Data'!DN104</f>
        <v>0</v>
      </c>
      <c r="F104" s="33">
        <f>'Monthly Data'!DO104</f>
        <v>0</v>
      </c>
      <c r="G104" s="33">
        <f>'Monthly Data'!AQ104</f>
        <v>17.166666666666668</v>
      </c>
      <c r="H104" s="33">
        <f>'Monthly Data'!BR104</f>
        <v>0</v>
      </c>
      <c r="J104" s="18">
        <f>'LC Predicted Monthly'!$T$9</f>
        <v>-22694.781953278001</v>
      </c>
      <c r="K104" s="18">
        <f>E104*'LC Predicted Monthly'!$T$10</f>
        <v>0</v>
      </c>
      <c r="L104" s="18">
        <f>F104*'LC Predicted Monthly'!$T$11</f>
        <v>0</v>
      </c>
      <c r="M104" s="18">
        <f t="shared" si="11"/>
        <v>3514.5886701686409</v>
      </c>
      <c r="N104" s="18">
        <f t="shared" si="12"/>
        <v>0</v>
      </c>
      <c r="O104" s="18">
        <f t="shared" si="13"/>
        <v>-19180.193283109362</v>
      </c>
      <c r="P104" s="18">
        <f t="shared" si="15"/>
        <v>-25432.993283109361</v>
      </c>
      <c r="Q104" s="35">
        <f t="shared" si="14"/>
        <v>4.0674567046937948</v>
      </c>
    </row>
    <row r="105" spans="1:24">
      <c r="A105" s="541">
        <f>'Monthly Data'!A105</f>
        <v>45505</v>
      </c>
      <c r="B105">
        <f t="shared" si="8"/>
        <v>2024</v>
      </c>
      <c r="C105">
        <f t="shared" si="9"/>
        <v>8</v>
      </c>
      <c r="D105" s="31">
        <f>'Monthly Data'!Y105</f>
        <v>371.2</v>
      </c>
      <c r="E105" s="33">
        <f>'Monthly Data'!DN105</f>
        <v>0</v>
      </c>
      <c r="F105" s="33">
        <f>'Monthly Data'!DO105</f>
        <v>0</v>
      </c>
      <c r="G105" s="33">
        <f>'Monthly Data'!AQ105</f>
        <v>63.7</v>
      </c>
      <c r="H105" s="33">
        <f>'Monthly Data'!BR105</f>
        <v>0</v>
      </c>
      <c r="J105" s="18">
        <f>'LC Predicted Monthly'!$T$9</f>
        <v>-22694.781953278001</v>
      </c>
      <c r="K105" s="18">
        <f>E105*'LC Predicted Monthly'!$T$10</f>
        <v>0</v>
      </c>
      <c r="L105" s="18">
        <f>F105*'LC Predicted Monthly'!$T$11</f>
        <v>0</v>
      </c>
      <c r="M105" s="18">
        <f t="shared" si="11"/>
        <v>13041.512521732569</v>
      </c>
      <c r="N105" s="18">
        <f t="shared" si="12"/>
        <v>0</v>
      </c>
      <c r="O105" s="18">
        <f t="shared" si="13"/>
        <v>-9653.2694315454319</v>
      </c>
      <c r="P105" s="18">
        <f t="shared" si="15"/>
        <v>-10024.469431545433</v>
      </c>
      <c r="Q105" s="35">
        <f t="shared" si="14"/>
        <v>27.005574977223688</v>
      </c>
    </row>
    <row r="106" spans="1:24">
      <c r="A106" s="541">
        <f>'Monthly Data'!A106</f>
        <v>45536</v>
      </c>
      <c r="B106">
        <f t="shared" si="8"/>
        <v>2024</v>
      </c>
      <c r="C106">
        <f t="shared" si="9"/>
        <v>9</v>
      </c>
      <c r="D106" s="31">
        <f>'Monthly Data'!Y106</f>
        <v>304</v>
      </c>
      <c r="E106" s="33">
        <f>'Monthly Data'!DN106</f>
        <v>0</v>
      </c>
      <c r="F106" s="33">
        <f>'Monthly Data'!DO106</f>
        <v>0</v>
      </c>
      <c r="G106" s="33">
        <f>'Monthly Data'!AQ106</f>
        <v>120.98333333333333</v>
      </c>
      <c r="H106" s="33">
        <f>'Monthly Data'!BR106</f>
        <v>1</v>
      </c>
      <c r="J106" s="18">
        <f>'LC Predicted Monthly'!$T$9</f>
        <v>-22694.781953278001</v>
      </c>
      <c r="K106" s="18">
        <f>E106*'LC Predicted Monthly'!$T$10</f>
        <v>0</v>
      </c>
      <c r="L106" s="18">
        <f>F106*'LC Predicted Monthly'!$T$11</f>
        <v>0</v>
      </c>
      <c r="M106" s="18">
        <f t="shared" si="11"/>
        <v>24769.319569664236</v>
      </c>
      <c r="N106" s="18">
        <f t="shared" si="12"/>
        <v>97970.228068396304</v>
      </c>
      <c r="O106" s="18">
        <f t="shared" si="13"/>
        <v>100044.76568478254</v>
      </c>
      <c r="P106" s="18">
        <f t="shared" si="15"/>
        <v>99740.765684782542</v>
      </c>
      <c r="Q106" s="35">
        <f t="shared" si="14"/>
        <v>328.09462396310045</v>
      </c>
    </row>
    <row r="107" spans="1:24">
      <c r="A107" s="541">
        <f>'Monthly Data'!A107</f>
        <v>45566</v>
      </c>
      <c r="B107">
        <f t="shared" si="8"/>
        <v>2024</v>
      </c>
      <c r="C107">
        <f t="shared" si="9"/>
        <v>10</v>
      </c>
      <c r="D107" s="31">
        <f>'Monthly Data'!Y107</f>
        <v>148430.39999999999</v>
      </c>
      <c r="E107" s="33">
        <f>'Monthly Data'!DN107</f>
        <v>0</v>
      </c>
      <c r="F107" s="33">
        <f>'Monthly Data'!DO107</f>
        <v>0</v>
      </c>
      <c r="G107" s="33">
        <f>'Monthly Data'!AQ107</f>
        <v>360.05833333333328</v>
      </c>
      <c r="H107" s="33">
        <f>'Monthly Data'!BR107</f>
        <v>1</v>
      </c>
      <c r="J107" s="18">
        <f>'LC Predicted Monthly'!$T$9</f>
        <v>-22694.781953278001</v>
      </c>
      <c r="K107" s="18">
        <f>E107*'LC Predicted Monthly'!$T$10</f>
        <v>0</v>
      </c>
      <c r="L107" s="18">
        <f>F107*'LC Predicted Monthly'!$T$11</f>
        <v>0</v>
      </c>
      <c r="M107" s="18">
        <f t="shared" si="11"/>
        <v>73715.93819027982</v>
      </c>
      <c r="N107" s="18">
        <f t="shared" si="12"/>
        <v>97970.228068396304</v>
      </c>
      <c r="O107" s="18">
        <f t="shared" si="13"/>
        <v>148991.38430539813</v>
      </c>
      <c r="P107" s="18">
        <f t="shared" si="15"/>
        <v>560.98430539813126</v>
      </c>
      <c r="Q107" s="35">
        <f t="shared" si="14"/>
        <v>3.7794434657464461E-3</v>
      </c>
    </row>
    <row r="108" spans="1:24">
      <c r="A108" s="541">
        <f>'Monthly Data'!A108</f>
        <v>45597</v>
      </c>
      <c r="B108">
        <f t="shared" si="8"/>
        <v>2024</v>
      </c>
      <c r="C108">
        <f t="shared" si="9"/>
        <v>11</v>
      </c>
      <c r="D108" s="31">
        <f>'Monthly Data'!Y108</f>
        <v>63941.599999999999</v>
      </c>
      <c r="E108" s="33">
        <f>'Monthly Data'!DN108</f>
        <v>0</v>
      </c>
      <c r="F108" s="33">
        <f>'Monthly Data'!DO108</f>
        <v>0</v>
      </c>
      <c r="G108" s="33">
        <f>'Monthly Data'!AQ108</f>
        <v>506.44583333333338</v>
      </c>
      <c r="H108" s="33">
        <f>'Monthly Data'!BR108</f>
        <v>1</v>
      </c>
      <c r="J108" s="18">
        <f>'LC Predicted Monthly'!$T$9</f>
        <v>-22694.781953278001</v>
      </c>
      <c r="K108" s="18">
        <f>E108*'LC Predicted Monthly'!$T$10</f>
        <v>0</v>
      </c>
      <c r="L108" s="18">
        <f>F108*'LC Predicted Monthly'!$T$11</f>
        <v>0</v>
      </c>
      <c r="M108" s="18">
        <f t="shared" si="11"/>
        <v>103686.33715849218</v>
      </c>
      <c r="N108" s="18">
        <f t="shared" si="12"/>
        <v>97970.228068396304</v>
      </c>
      <c r="O108" s="18">
        <f t="shared" si="13"/>
        <v>178961.78327361049</v>
      </c>
      <c r="P108" s="18">
        <f t="shared" si="15"/>
        <v>115020.18327361048</v>
      </c>
      <c r="Q108" s="35">
        <f t="shared" si="14"/>
        <v>1.7988317976655337</v>
      </c>
    </row>
    <row r="109" spans="1:24">
      <c r="A109" s="541">
        <f>'Monthly Data'!A109</f>
        <v>45627</v>
      </c>
      <c r="B109">
        <f t="shared" si="8"/>
        <v>2024</v>
      </c>
      <c r="C109">
        <f t="shared" si="9"/>
        <v>12</v>
      </c>
      <c r="D109" s="31">
        <f>'Monthly Data'!Y109</f>
        <v>426684.8</v>
      </c>
      <c r="E109" s="33">
        <f>'Monthly Data'!DN109</f>
        <v>0</v>
      </c>
      <c r="F109" s="33">
        <f>'Monthly Data'!DO109</f>
        <v>0</v>
      </c>
      <c r="G109" s="33">
        <f>'Monthly Data'!AQ109</f>
        <v>796.64791666666656</v>
      </c>
      <c r="H109" s="33">
        <f>'Monthly Data'!BR109</f>
        <v>0</v>
      </c>
      <c r="J109" s="18">
        <f>'LC Predicted Monthly'!$T$9</f>
        <v>-22694.781953278001</v>
      </c>
      <c r="K109" s="18">
        <f>E109*'LC Predicted Monthly'!$T$10</f>
        <v>0</v>
      </c>
      <c r="L109" s="18">
        <f>F109*'LC Predicted Monthly'!$T$11</f>
        <v>0</v>
      </c>
      <c r="M109" s="18">
        <f t="shared" si="11"/>
        <v>163100.37332214278</v>
      </c>
      <c r="N109" s="18">
        <f t="shared" si="12"/>
        <v>0</v>
      </c>
      <c r="O109" s="18">
        <f t="shared" si="13"/>
        <v>140405.59136886479</v>
      </c>
      <c r="P109" s="18">
        <f t="shared" si="15"/>
        <v>-286279.20863113517</v>
      </c>
      <c r="Q109" s="35">
        <f t="shared" si="14"/>
        <v>0.67093838034805831</v>
      </c>
    </row>
    <row r="110" spans="1:24">
      <c r="A110" s="541">
        <f>'Monthly Data'!A110</f>
        <v>45658</v>
      </c>
      <c r="B110">
        <f t="shared" si="8"/>
        <v>2025</v>
      </c>
      <c r="C110">
        <f t="shared" si="9"/>
        <v>1</v>
      </c>
      <c r="D110" s="31">
        <f>'Monthly Data'!Y110</f>
        <v>143449.60000000001</v>
      </c>
      <c r="E110" s="33">
        <f>'Monthly Data'!DN110</f>
        <v>0</v>
      </c>
      <c r="F110" s="33">
        <f>'Monthly Data'!DO110</f>
        <v>0</v>
      </c>
      <c r="G110" s="33">
        <f>'Monthly Data'!AQ110</f>
        <v>930.57291666666663</v>
      </c>
      <c r="H110" s="33">
        <f>'Monthly Data'!BR110</f>
        <v>0</v>
      </c>
      <c r="J110" s="18">
        <f>'LC Predicted Monthly'!$T$9</f>
        <v>-22694.781953278001</v>
      </c>
      <c r="K110" s="18">
        <f>E110*'LC Predicted Monthly'!$T$10</f>
        <v>0</v>
      </c>
      <c r="L110" s="18">
        <f>F110*'LC Predicted Monthly'!$T$11</f>
        <v>0</v>
      </c>
      <c r="M110" s="18">
        <f t="shared" si="11"/>
        <v>190519.28328247301</v>
      </c>
      <c r="N110" s="18">
        <f t="shared" si="12"/>
        <v>0</v>
      </c>
      <c r="O110" s="18">
        <f t="shared" si="13"/>
        <v>167824.50132919502</v>
      </c>
      <c r="P110" s="18">
        <f t="shared" si="15"/>
        <v>24374.90132919501</v>
      </c>
      <c r="Q110" s="35">
        <f t="shared" si="14"/>
        <v>0.16991961866185065</v>
      </c>
    </row>
    <row r="111" spans="1:24">
      <c r="A111" s="541">
        <f>'Monthly Data'!A111</f>
        <v>45689</v>
      </c>
      <c r="B111">
        <f t="shared" si="8"/>
        <v>2025</v>
      </c>
      <c r="C111">
        <f t="shared" si="9"/>
        <v>2</v>
      </c>
      <c r="D111" s="31">
        <f>'Monthly Data'!Y111</f>
        <v>393060</v>
      </c>
      <c r="E111" s="33">
        <f>'Monthly Data'!DN111</f>
        <v>0</v>
      </c>
      <c r="F111" s="33">
        <f>'Monthly Data'!DO111</f>
        <v>0</v>
      </c>
      <c r="G111" s="33">
        <f>'Monthly Data'!AQ111</f>
        <v>851.05000000000007</v>
      </c>
      <c r="H111" s="33">
        <f>'Monthly Data'!BR111</f>
        <v>0</v>
      </c>
      <c r="J111" s="18">
        <f>'LC Predicted Monthly'!$T$9</f>
        <v>-22694.781953278001</v>
      </c>
      <c r="K111" s="18">
        <f>E111*'LC Predicted Monthly'!$T$10</f>
        <v>0</v>
      </c>
      <c r="L111" s="18">
        <f>F111*'LC Predicted Monthly'!$T$11</f>
        <v>0</v>
      </c>
      <c r="M111" s="18">
        <f t="shared" si="11"/>
        <v>174238.29249011778</v>
      </c>
      <c r="N111" s="18">
        <f t="shared" si="12"/>
        <v>0</v>
      </c>
      <c r="O111" s="18">
        <f t="shared" si="13"/>
        <v>151543.51053683978</v>
      </c>
      <c r="P111" s="18">
        <f t="shared" si="15"/>
        <v>-241516.48946316022</v>
      </c>
      <c r="Q111" s="35">
        <f t="shared" si="14"/>
        <v>0.61445196525507617</v>
      </c>
    </row>
    <row r="112" spans="1:24">
      <c r="A112" s="541">
        <f>'Monthly Data'!A112</f>
        <v>45717</v>
      </c>
      <c r="B112">
        <f t="shared" si="8"/>
        <v>2025</v>
      </c>
      <c r="C112">
        <f t="shared" si="9"/>
        <v>3</v>
      </c>
      <c r="D112" s="31">
        <f>'Monthly Data'!Y112</f>
        <v>94755.199999999997</v>
      </c>
      <c r="E112" s="33">
        <f>'Monthly Data'!DN112</f>
        <v>0</v>
      </c>
      <c r="F112" s="33">
        <f>'Monthly Data'!DO112</f>
        <v>0</v>
      </c>
      <c r="G112" s="33">
        <f>'Monthly Data'!AQ112</f>
        <v>682.18333333333362</v>
      </c>
      <c r="H112" s="33">
        <f>'Monthly Data'!BR112</f>
        <v>0</v>
      </c>
      <c r="J112" s="18">
        <f>'LC Predicted Monthly'!$T$9</f>
        <v>-22694.781953278001</v>
      </c>
      <c r="K112" s="18">
        <f>E112*'LC Predicted Monthly'!$T$10</f>
        <v>0</v>
      </c>
      <c r="L112" s="18">
        <f>F112*'LC Predicted Monthly'!$T$11</f>
        <v>0</v>
      </c>
      <c r="M112" s="18">
        <f t="shared" si="11"/>
        <v>139665.65908608999</v>
      </c>
      <c r="N112" s="18">
        <f t="shared" si="12"/>
        <v>0</v>
      </c>
      <c r="O112" s="18">
        <f t="shared" si="13"/>
        <v>116970.87713281199</v>
      </c>
      <c r="P112" s="18">
        <f t="shared" si="15"/>
        <v>22215.677132811994</v>
      </c>
      <c r="Q112" s="35">
        <f t="shared" si="14"/>
        <v>0.23445338232426288</v>
      </c>
    </row>
    <row r="113" spans="1:17">
      <c r="A113" s="541">
        <f>'Monthly Data'!A113</f>
        <v>45748</v>
      </c>
      <c r="B113">
        <f t="shared" si="8"/>
        <v>2025</v>
      </c>
      <c r="C113">
        <f t="shared" si="9"/>
        <v>4</v>
      </c>
      <c r="D113" s="31">
        <f>'Monthly Data'!Y113</f>
        <v>4427.2</v>
      </c>
      <c r="E113" s="33">
        <f>'Monthly Data'!DN113</f>
        <v>0</v>
      </c>
      <c r="F113" s="33">
        <f>'Monthly Data'!DO113</f>
        <v>0</v>
      </c>
      <c r="G113" s="33">
        <f>'Monthly Data'!AQ113</f>
        <v>479.43541666666664</v>
      </c>
      <c r="H113" s="33">
        <f>'Monthly Data'!BR113</f>
        <v>0</v>
      </c>
      <c r="J113" s="18">
        <f>'LC Predicted Monthly'!$T$9</f>
        <v>-22694.781953278001</v>
      </c>
      <c r="K113" s="18">
        <f>E113*'LC Predicted Monthly'!$T$10</f>
        <v>0</v>
      </c>
      <c r="L113" s="18">
        <f>F113*'LC Predicted Monthly'!$T$11</f>
        <v>0</v>
      </c>
      <c r="M113" s="18">
        <f t="shared" si="11"/>
        <v>98156.404863742602</v>
      </c>
      <c r="N113" s="18">
        <f t="shared" si="12"/>
        <v>0</v>
      </c>
      <c r="O113" s="18">
        <f t="shared" si="13"/>
        <v>75461.622910464605</v>
      </c>
      <c r="P113" s="18">
        <f t="shared" si="15"/>
        <v>71034.422910464607</v>
      </c>
      <c r="Q113" s="35">
        <f t="shared" si="14"/>
        <v>16.044999753899667</v>
      </c>
    </row>
    <row r="114" spans="1:17">
      <c r="A114" s="541">
        <f>'Monthly Data'!A114</f>
        <v>45778</v>
      </c>
      <c r="B114">
        <f t="shared" si="8"/>
        <v>2025</v>
      </c>
      <c r="C114">
        <f t="shared" si="9"/>
        <v>5</v>
      </c>
      <c r="D114" s="31">
        <f>'Monthly Data'!Y114</f>
        <v>6524</v>
      </c>
      <c r="E114" s="33">
        <f>'Monthly Data'!DN114</f>
        <v>0</v>
      </c>
      <c r="F114" s="33">
        <f>'Monthly Data'!DO114</f>
        <v>0</v>
      </c>
      <c r="G114" s="33">
        <f>'Monthly Data'!AQ114</f>
        <v>237.32916666666665</v>
      </c>
      <c r="H114" s="33">
        <f>'Monthly Data'!BR114</f>
        <v>0</v>
      </c>
      <c r="J114" s="18">
        <f>'LC Predicted Monthly'!$T$9</f>
        <v>-22694.781953278001</v>
      </c>
      <c r="K114" s="18">
        <f>E114*'LC Predicted Monthly'!$T$10</f>
        <v>0</v>
      </c>
      <c r="L114" s="18">
        <f>F114*'LC Predicted Monthly'!$T$11</f>
        <v>0</v>
      </c>
      <c r="M114" s="18">
        <f t="shared" si="11"/>
        <v>48589.188365081456</v>
      </c>
      <c r="N114" s="18">
        <f t="shared" si="12"/>
        <v>0</v>
      </c>
      <c r="O114" s="18">
        <f t="shared" si="13"/>
        <v>25894.406411803455</v>
      </c>
      <c r="P114" s="18">
        <f t="shared" si="15"/>
        <v>19370.406411803455</v>
      </c>
      <c r="Q114" s="35">
        <f t="shared" si="14"/>
        <v>2.9690996952488433</v>
      </c>
    </row>
    <row r="115" spans="1:17">
      <c r="A115" s="541">
        <f>'Monthly Data'!A115</f>
        <v>45809</v>
      </c>
      <c r="B115">
        <f t="shared" si="8"/>
        <v>2025</v>
      </c>
      <c r="C115">
        <f t="shared" si="9"/>
        <v>6</v>
      </c>
      <c r="D115" s="31">
        <f>'Monthly Data'!Y115</f>
        <v>296.60000000000002</v>
      </c>
      <c r="E115" s="33">
        <f>'Monthly Data'!DN115</f>
        <v>0</v>
      </c>
      <c r="F115" s="33">
        <f>'Monthly Data'!DO115</f>
        <v>0</v>
      </c>
      <c r="G115" s="33">
        <f>'Monthly Data'!AQ115</f>
        <v>85.787499999999994</v>
      </c>
      <c r="H115" s="33">
        <f>'Monthly Data'!BR115</f>
        <v>0</v>
      </c>
      <c r="J115" s="18">
        <f>'LC Predicted Monthly'!$T$9</f>
        <v>-22694.781953278001</v>
      </c>
      <c r="K115" s="18">
        <f>E115*'LC Predicted Monthly'!$T$10</f>
        <v>0</v>
      </c>
      <c r="L115" s="18">
        <f>F115*'LC Predicted Monthly'!$T$11</f>
        <v>0</v>
      </c>
      <c r="M115" s="18">
        <f t="shared" si="11"/>
        <v>17563.559740316054</v>
      </c>
      <c r="N115" s="18">
        <f t="shared" si="12"/>
        <v>0</v>
      </c>
      <c r="O115" s="18">
        <f t="shared" si="13"/>
        <v>-5131.2222129619477</v>
      </c>
      <c r="P115" s="18">
        <f t="shared" si="15"/>
        <v>-5427.822212961948</v>
      </c>
      <c r="Q115" s="35">
        <f t="shared" si="14"/>
        <v>18.300142322865636</v>
      </c>
    </row>
    <row r="116" spans="1:17">
      <c r="A116" s="541">
        <f>'Monthly Data'!A116</f>
        <v>45839</v>
      </c>
      <c r="B116">
        <f t="shared" si="8"/>
        <v>2025</v>
      </c>
      <c r="C116">
        <f t="shared" si="9"/>
        <v>7</v>
      </c>
      <c r="D116" s="31">
        <f>'Monthly Data'!Y116</f>
        <v>2655.2</v>
      </c>
      <c r="E116" s="33">
        <f>'Monthly Data'!DN116</f>
        <v>0</v>
      </c>
      <c r="F116" s="33">
        <f>'Monthly Data'!DO116</f>
        <v>0</v>
      </c>
      <c r="G116" s="33">
        <f>'Monthly Data'!AQ116</f>
        <v>23.716666666666676</v>
      </c>
      <c r="H116" s="33">
        <f>'Monthly Data'!BR116</f>
        <v>0</v>
      </c>
      <c r="J116" s="18">
        <f>'LC Predicted Monthly'!$T$9</f>
        <v>-22694.781953278001</v>
      </c>
      <c r="K116" s="18">
        <f>E116*'LC Predicted Monthly'!$T$10</f>
        <v>0</v>
      </c>
      <c r="L116" s="18">
        <f>F116*'LC Predicted Monthly'!$T$11</f>
        <v>0</v>
      </c>
      <c r="M116" s="18">
        <f t="shared" si="11"/>
        <v>4855.5919200485223</v>
      </c>
      <c r="N116" s="18">
        <f t="shared" si="12"/>
        <v>0</v>
      </c>
      <c r="O116" s="18">
        <f t="shared" si="13"/>
        <v>-17839.190033229479</v>
      </c>
      <c r="P116" s="18">
        <f t="shared" si="15"/>
        <v>-20494.39003322948</v>
      </c>
      <c r="Q116" s="35">
        <f t="shared" si="14"/>
        <v>7.7185861830481626</v>
      </c>
    </row>
    <row r="117" spans="1:17">
      <c r="A117" s="541">
        <f>'Monthly Data'!A117</f>
        <v>45870</v>
      </c>
      <c r="B117">
        <f t="shared" si="8"/>
        <v>2025</v>
      </c>
      <c r="C117">
        <f t="shared" si="9"/>
        <v>8</v>
      </c>
      <c r="D117" s="31">
        <f>'Monthly Data'!Y117</f>
        <v>238.4</v>
      </c>
      <c r="E117" s="33">
        <f>'Monthly Data'!DN117</f>
        <v>0</v>
      </c>
      <c r="F117" s="33">
        <f>'Monthly Data'!DO117</f>
        <v>0</v>
      </c>
      <c r="G117" s="33">
        <f>'Monthly Data'!AQ117</f>
        <v>67.597916666666677</v>
      </c>
      <c r="H117" s="33">
        <f>'Monthly Data'!BR117</f>
        <v>0</v>
      </c>
      <c r="J117" s="18">
        <f>'LC Predicted Monthly'!$T$9</f>
        <v>-22694.781953278001</v>
      </c>
      <c r="K117" s="18">
        <f>E117*'LC Predicted Monthly'!$T$10</f>
        <v>0</v>
      </c>
      <c r="L117" s="18">
        <f>F117*'LC Predicted Monthly'!$T$11</f>
        <v>0</v>
      </c>
      <c r="M117" s="18">
        <f t="shared" si="11"/>
        <v>13839.545944291493</v>
      </c>
      <c r="N117" s="18">
        <f t="shared" si="12"/>
        <v>0</v>
      </c>
      <c r="O117" s="18">
        <f t="shared" si="13"/>
        <v>-8855.2360089865088</v>
      </c>
      <c r="P117" s="18">
        <f t="shared" si="15"/>
        <v>-9093.6360089865084</v>
      </c>
      <c r="Q117" s="35">
        <f t="shared" si="14"/>
        <v>38.144446346419919</v>
      </c>
    </row>
    <row r="118" spans="1:17">
      <c r="A118" s="541">
        <f>'Monthly Data'!A118</f>
        <v>45901</v>
      </c>
      <c r="B118">
        <f t="shared" si="8"/>
        <v>2025</v>
      </c>
      <c r="C118">
        <f t="shared" si="9"/>
        <v>9</v>
      </c>
      <c r="D118" s="31">
        <f>'Monthly Data'!Y118</f>
        <v>26308.799999999999</v>
      </c>
      <c r="E118" s="33">
        <f>'Monthly Data'!DN118</f>
        <v>0</v>
      </c>
      <c r="F118" s="33">
        <f>'Monthly Data'!DO118</f>
        <v>0</v>
      </c>
      <c r="G118" s="33">
        <f>'Monthly Data'!AQ118</f>
        <v>178.70416666666671</v>
      </c>
      <c r="H118" s="33">
        <f>'Monthly Data'!BR118</f>
        <v>1</v>
      </c>
      <c r="J118" s="18">
        <f>'LC Predicted Monthly'!$T$9</f>
        <v>-22694.781953278001</v>
      </c>
      <c r="K118" s="18">
        <f>E118*'LC Predicted Monthly'!$T$10</f>
        <v>0</v>
      </c>
      <c r="L118" s="18">
        <f>F118*'LC Predicted Monthly'!$T$11</f>
        <v>0</v>
      </c>
      <c r="M118" s="18">
        <f t="shared" si="11"/>
        <v>36586.697445355065</v>
      </c>
      <c r="N118" s="18">
        <f t="shared" si="12"/>
        <v>97970.228068396304</v>
      </c>
      <c r="O118" s="18">
        <f t="shared" si="13"/>
        <v>111862.14356047337</v>
      </c>
      <c r="P118" s="18">
        <f t="shared" si="15"/>
        <v>85553.343560473368</v>
      </c>
      <c r="Q118" s="35">
        <f t="shared" si="14"/>
        <v>3.2518907574831757</v>
      </c>
    </row>
    <row r="119" spans="1:17">
      <c r="A119" s="541">
        <f>'Monthly Data'!A119</f>
        <v>45931</v>
      </c>
      <c r="B119">
        <f t="shared" si="8"/>
        <v>2025</v>
      </c>
      <c r="C119">
        <f t="shared" si="9"/>
        <v>10</v>
      </c>
      <c r="D119" s="31">
        <f>'Monthly Data'!Y119</f>
        <v>785685.6</v>
      </c>
      <c r="E119" s="33">
        <f>'Monthly Data'!DN119</f>
        <v>0</v>
      </c>
      <c r="F119" s="33">
        <f>'Monthly Data'!DO119</f>
        <v>0</v>
      </c>
      <c r="G119" s="33">
        <f>'Monthly Data'!AQ119</f>
        <v>347.06666666666666</v>
      </c>
      <c r="H119" s="33">
        <f>'Monthly Data'!BR119</f>
        <v>1</v>
      </c>
      <c r="J119" s="18">
        <f>'LC Predicted Monthly'!$T$9</f>
        <v>-22694.781953278001</v>
      </c>
      <c r="K119" s="18">
        <f>E119*'LC Predicted Monthly'!$T$10</f>
        <v>0</v>
      </c>
      <c r="L119" s="18">
        <f>F119*'LC Predicted Monthly'!$T$11</f>
        <v>0</v>
      </c>
      <c r="M119" s="18">
        <f t="shared" si="11"/>
        <v>71056.111133584243</v>
      </c>
      <c r="N119" s="18">
        <f t="shared" si="12"/>
        <v>97970.228068396304</v>
      </c>
      <c r="O119" s="18">
        <f t="shared" si="13"/>
        <v>146331.55724870256</v>
      </c>
      <c r="P119" s="18">
        <f t="shared" si="15"/>
        <v>-639354.04275129735</v>
      </c>
      <c r="Q119" s="35">
        <f t="shared" si="14"/>
        <v>0.8137530365216028</v>
      </c>
    </row>
    <row r="120" spans="1:17">
      <c r="A120" s="541">
        <f>'Monthly Data'!A120</f>
        <v>45962</v>
      </c>
      <c r="B120">
        <f t="shared" si="8"/>
        <v>2025</v>
      </c>
      <c r="C120">
        <f t="shared" si="9"/>
        <v>11</v>
      </c>
      <c r="D120" s="31">
        <f>'Monthly Data'!Y120</f>
        <v>2541758.4</v>
      </c>
      <c r="E120" s="33">
        <f>'Monthly Data'!DN120</f>
        <v>1</v>
      </c>
      <c r="F120" s="33">
        <f>'Monthly Data'!DO120</f>
        <v>0</v>
      </c>
      <c r="G120" s="33">
        <f>'Monthly Data'!AQ120</f>
        <v>607.22916666666652</v>
      </c>
      <c r="H120" s="33">
        <f>'Monthly Data'!BR120</f>
        <v>1</v>
      </c>
      <c r="J120" s="18">
        <f>'LC Predicted Monthly'!$T$9</f>
        <v>-22694.781953278001</v>
      </c>
      <c r="K120" s="18">
        <f>E120*'LC Predicted Monthly'!$T$10</f>
        <v>2130493.30719493</v>
      </c>
      <c r="L120" s="18">
        <f>F120*'LC Predicted Monthly'!$T$11</f>
        <v>0</v>
      </c>
      <c r="M120" s="18">
        <f t="shared" si="11"/>
        <v>124320.04365219096</v>
      </c>
      <c r="N120" s="18">
        <f t="shared" si="12"/>
        <v>97970.228068396304</v>
      </c>
      <c r="O120" s="18">
        <f t="shared" si="13"/>
        <v>2330088.7969622393</v>
      </c>
      <c r="P120" s="18">
        <f t="shared" si="15"/>
        <v>-211669.60303776059</v>
      </c>
      <c r="Q120" s="35">
        <f t="shared" si="14"/>
        <v>8.327683820687308E-2</v>
      </c>
    </row>
    <row r="121" spans="1:17">
      <c r="A121" s="541">
        <f>'Monthly Data'!A121</f>
        <v>45992</v>
      </c>
      <c r="B121">
        <f t="shared" si="8"/>
        <v>2025</v>
      </c>
      <c r="C121">
        <f t="shared" si="9"/>
        <v>12</v>
      </c>
      <c r="D121" s="31">
        <f>'Monthly Data'!Y121</f>
        <v>4442053.5999999996</v>
      </c>
      <c r="E121" s="33">
        <f>'Monthly Data'!DN121</f>
        <v>0</v>
      </c>
      <c r="F121" s="33">
        <f>'Monthly Data'!DO121</f>
        <v>1</v>
      </c>
      <c r="G121" s="33">
        <f>'Monthly Data'!AQ121</f>
        <v>915.94583333333321</v>
      </c>
      <c r="H121" s="33">
        <f>'Monthly Data'!BR121</f>
        <v>0</v>
      </c>
      <c r="J121" s="18">
        <f>'LC Predicted Monthly'!$T$9</f>
        <v>-22694.781953278001</v>
      </c>
      <c r="K121" s="18">
        <f>E121*'LC Predicted Monthly'!$T$10</f>
        <v>0</v>
      </c>
      <c r="L121" s="18">
        <f>F121*'LC Predicted Monthly'!$T$11</f>
        <v>4207146.7381310398</v>
      </c>
      <c r="M121" s="18">
        <f t="shared" si="11"/>
        <v>187524.63194105867</v>
      </c>
      <c r="N121" s="18">
        <f t="shared" si="12"/>
        <v>0</v>
      </c>
      <c r="O121" s="18">
        <f t="shared" si="13"/>
        <v>4371976.5881188205</v>
      </c>
      <c r="P121" s="18">
        <f t="shared" si="15"/>
        <v>-70077.011881179176</v>
      </c>
      <c r="Q121" s="35">
        <f t="shared" si="14"/>
        <v>1.5775814114710185E-2</v>
      </c>
    </row>
    <row r="122" spans="1:17">
      <c r="A122" s="9"/>
      <c r="Q122" s="36">
        <f>AVERAGE(Q50:Q121)</f>
        <v>624.4371324980425</v>
      </c>
    </row>
    <row r="123" spans="1:17">
      <c r="A123" s="9"/>
    </row>
    <row r="124" spans="1:17">
      <c r="A124" s="9"/>
    </row>
    <row r="125" spans="1:17">
      <c r="A125" s="9"/>
    </row>
    <row r="126" spans="1:17">
      <c r="A126" s="9"/>
    </row>
    <row r="127" spans="1:17">
      <c r="A127" s="9"/>
    </row>
    <row r="128" spans="1:17">
      <c r="A128" s="9"/>
    </row>
    <row r="129" spans="1:1">
      <c r="A129" s="9"/>
    </row>
    <row r="130" spans="1:1">
      <c r="A130" s="9"/>
    </row>
    <row r="131" spans="1:1">
      <c r="A131" s="9"/>
    </row>
    <row r="132" spans="1:1">
      <c r="A132" s="9"/>
    </row>
    <row r="133" spans="1:1">
      <c r="A133" s="9"/>
    </row>
    <row r="134" spans="1:1">
      <c r="A134" s="9"/>
    </row>
    <row r="135" spans="1:1">
      <c r="A135" s="9"/>
    </row>
    <row r="136" spans="1:1">
      <c r="A136" s="9"/>
    </row>
    <row r="137" spans="1:1">
      <c r="A137" s="9"/>
    </row>
    <row r="138" spans="1:1">
      <c r="A138" s="9"/>
    </row>
    <row r="139" spans="1:1">
      <c r="A139" s="9"/>
    </row>
    <row r="140" spans="1:1">
      <c r="A140" s="9"/>
    </row>
    <row r="141" spans="1:1">
      <c r="A141" s="9"/>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44428-8CBC-41B3-BF32-084927293DA1}">
  <sheetPr codeName="Sheet14">
    <tabColor theme="3" tint="0.499984740745262"/>
  </sheetPr>
  <dimension ref="A1:AY267"/>
  <sheetViews>
    <sheetView workbookViewId="0">
      <pane xSplit="3" ySplit="4" topLeftCell="G237" activePane="bottomRight" state="frozen"/>
      <selection pane="bottomRight" activeCell="P245" sqref="P245"/>
      <selection pane="bottomLeft" activeCell="A5" sqref="A5"/>
      <selection pane="topRight" activeCell="D1" sqref="D1"/>
    </sheetView>
  </sheetViews>
  <sheetFormatPr defaultRowHeight="13.15"/>
  <cols>
    <col min="4" max="5" width="18.1640625" customWidth="1"/>
    <col min="6" max="6" width="10.83203125" customWidth="1"/>
    <col min="9" max="9" width="11.6640625" customWidth="1"/>
  </cols>
  <sheetData>
    <row r="1" spans="1:51" ht="14.45" thickBot="1">
      <c r="A1" s="408"/>
      <c r="B1" s="409" t="s">
        <v>226</v>
      </c>
      <c r="C1" s="408"/>
      <c r="D1" s="408"/>
      <c r="E1" s="408"/>
      <c r="F1" s="408"/>
      <c r="G1" s="408"/>
      <c r="H1" s="408"/>
      <c r="I1" s="408"/>
      <c r="J1" s="408"/>
      <c r="K1" s="408"/>
      <c r="L1" s="408"/>
      <c r="M1" s="408"/>
      <c r="N1" s="408"/>
      <c r="O1" s="408"/>
      <c r="P1" s="408"/>
      <c r="Q1" s="408"/>
      <c r="R1" s="408"/>
      <c r="S1" s="408"/>
      <c r="T1" s="408"/>
      <c r="U1" s="408"/>
      <c r="V1" s="408"/>
      <c r="W1" s="408"/>
      <c r="X1" s="408"/>
      <c r="Y1" s="408"/>
      <c r="Z1" s="408"/>
      <c r="AA1" s="408"/>
      <c r="AB1" s="408"/>
    </row>
    <row r="2" spans="1:51" ht="13.9">
      <c r="A2" s="408"/>
      <c r="B2" s="409" t="s">
        <v>227</v>
      </c>
      <c r="C2" s="410"/>
      <c r="D2" s="578" t="s">
        <v>228</v>
      </c>
      <c r="E2" s="579"/>
      <c r="F2" s="579"/>
      <c r="G2" s="579"/>
      <c r="H2" s="579"/>
      <c r="I2" s="579"/>
      <c r="J2" s="579"/>
      <c r="K2" s="579"/>
      <c r="L2" s="579"/>
      <c r="M2" s="579"/>
      <c r="N2" s="579"/>
      <c r="O2" s="580"/>
      <c r="P2" s="578" t="s">
        <v>229</v>
      </c>
      <c r="Q2" s="579"/>
      <c r="R2" s="579"/>
      <c r="S2" s="579"/>
      <c r="T2" s="579"/>
      <c r="U2" s="579"/>
      <c r="V2" s="579"/>
      <c r="W2" s="579"/>
      <c r="X2" s="579"/>
      <c r="Y2" s="579"/>
      <c r="Z2" s="579"/>
      <c r="AA2" s="580"/>
      <c r="AB2" s="578" t="s">
        <v>230</v>
      </c>
      <c r="AC2" s="579"/>
      <c r="AD2" s="579"/>
      <c r="AE2" s="579"/>
      <c r="AF2" s="579"/>
      <c r="AG2" s="579"/>
      <c r="AH2" s="579"/>
      <c r="AI2" s="579"/>
      <c r="AJ2" s="579"/>
      <c r="AK2" s="579"/>
      <c r="AL2" s="579"/>
      <c r="AM2" s="580"/>
      <c r="AO2" s="578" t="s">
        <v>4</v>
      </c>
      <c r="AP2" s="579"/>
      <c r="AQ2" s="579"/>
      <c r="AR2" s="579"/>
      <c r="AS2" s="579"/>
      <c r="AT2" s="579"/>
      <c r="AU2" s="579"/>
      <c r="AV2" s="579"/>
      <c r="AW2" s="579"/>
      <c r="AX2" s="579"/>
      <c r="AY2" s="580"/>
    </row>
    <row r="3" spans="1:51" ht="13.9" customHeight="1">
      <c r="A3" s="408"/>
      <c r="B3" s="411"/>
      <c r="C3" s="412"/>
      <c r="D3" s="581" t="s">
        <v>231</v>
      </c>
      <c r="E3" s="581" t="s">
        <v>232</v>
      </c>
      <c r="F3" s="583" t="s">
        <v>233</v>
      </c>
      <c r="G3" s="584"/>
      <c r="H3" s="584"/>
      <c r="I3" s="584"/>
      <c r="J3" s="585"/>
      <c r="K3" s="583" t="s">
        <v>234</v>
      </c>
      <c r="L3" s="584"/>
      <c r="M3" s="584"/>
      <c r="N3" s="584"/>
      <c r="O3" s="586"/>
      <c r="P3" s="524"/>
      <c r="Q3" s="584" t="s">
        <v>232</v>
      </c>
      <c r="R3" s="583" t="s">
        <v>233</v>
      </c>
      <c r="S3" s="584"/>
      <c r="T3" s="584"/>
      <c r="U3" s="584"/>
      <c r="V3" s="585"/>
      <c r="W3" s="583" t="s">
        <v>234</v>
      </c>
      <c r="X3" s="584"/>
      <c r="Y3" s="584"/>
      <c r="Z3" s="584"/>
      <c r="AA3" s="586"/>
      <c r="AB3" s="524"/>
      <c r="AC3" s="584" t="s">
        <v>232</v>
      </c>
      <c r="AD3" s="583" t="s">
        <v>233</v>
      </c>
      <c r="AE3" s="584"/>
      <c r="AF3" s="584"/>
      <c r="AG3" s="584"/>
      <c r="AH3" s="585"/>
      <c r="AI3" s="583" t="s">
        <v>234</v>
      </c>
      <c r="AJ3" s="584"/>
      <c r="AK3" s="584"/>
      <c r="AL3" s="584"/>
      <c r="AM3" s="586"/>
      <c r="AO3" s="581" t="s">
        <v>232</v>
      </c>
      <c r="AP3" s="583" t="s">
        <v>233</v>
      </c>
      <c r="AQ3" s="584"/>
      <c r="AR3" s="584"/>
      <c r="AS3" s="584"/>
      <c r="AT3" s="585"/>
      <c r="AU3" s="583" t="s">
        <v>234</v>
      </c>
      <c r="AV3" s="584"/>
      <c r="AW3" s="584"/>
      <c r="AX3" s="584"/>
      <c r="AY3" s="586"/>
    </row>
    <row r="4" spans="1:51" ht="41.45">
      <c r="A4" s="413"/>
      <c r="B4" s="414" t="s">
        <v>235</v>
      </c>
      <c r="C4" s="415"/>
      <c r="D4" s="582"/>
      <c r="E4" s="582"/>
      <c r="F4" s="416" t="s">
        <v>4</v>
      </c>
      <c r="G4" s="417" t="s">
        <v>236</v>
      </c>
      <c r="H4" s="417" t="s">
        <v>237</v>
      </c>
      <c r="I4" s="417" t="s">
        <v>238</v>
      </c>
      <c r="J4" s="418" t="s">
        <v>239</v>
      </c>
      <c r="K4" s="416" t="s">
        <v>4</v>
      </c>
      <c r="L4" s="417" t="s">
        <v>236</v>
      </c>
      <c r="M4" s="417" t="s">
        <v>237</v>
      </c>
      <c r="N4" s="417" t="s">
        <v>238</v>
      </c>
      <c r="O4" s="419" t="s">
        <v>239</v>
      </c>
      <c r="P4" s="525" t="s">
        <v>240</v>
      </c>
      <c r="Q4" s="588"/>
      <c r="R4" s="416" t="s">
        <v>4</v>
      </c>
      <c r="S4" s="417" t="s">
        <v>236</v>
      </c>
      <c r="T4" s="417" t="s">
        <v>237</v>
      </c>
      <c r="U4" s="417" t="s">
        <v>238</v>
      </c>
      <c r="V4" s="418" t="s">
        <v>239</v>
      </c>
      <c r="W4" s="416" t="s">
        <v>4</v>
      </c>
      <c r="X4" s="417" t="s">
        <v>236</v>
      </c>
      <c r="Y4" s="417" t="s">
        <v>237</v>
      </c>
      <c r="Z4" s="417" t="s">
        <v>238</v>
      </c>
      <c r="AA4" s="419" t="s">
        <v>239</v>
      </c>
      <c r="AB4" s="525" t="s">
        <v>240</v>
      </c>
      <c r="AC4" s="588"/>
      <c r="AD4" s="416" t="s">
        <v>4</v>
      </c>
      <c r="AE4" s="417" t="s">
        <v>236</v>
      </c>
      <c r="AF4" s="417" t="s">
        <v>237</v>
      </c>
      <c r="AG4" s="417" t="s">
        <v>238</v>
      </c>
      <c r="AH4" s="418" t="s">
        <v>239</v>
      </c>
      <c r="AI4" s="416" t="s">
        <v>4</v>
      </c>
      <c r="AJ4" s="417" t="s">
        <v>236</v>
      </c>
      <c r="AK4" s="417" t="s">
        <v>237</v>
      </c>
      <c r="AL4" s="417" t="s">
        <v>238</v>
      </c>
      <c r="AM4" s="419" t="s">
        <v>239</v>
      </c>
      <c r="AO4" s="582"/>
      <c r="AP4" s="416" t="s">
        <v>4</v>
      </c>
      <c r="AQ4" s="417" t="s">
        <v>236</v>
      </c>
      <c r="AR4" s="417" t="s">
        <v>237</v>
      </c>
      <c r="AS4" s="417" t="s">
        <v>238</v>
      </c>
      <c r="AT4" s="418" t="s">
        <v>239</v>
      </c>
      <c r="AU4" s="416" t="s">
        <v>4</v>
      </c>
      <c r="AV4" s="417" t="s">
        <v>236</v>
      </c>
      <c r="AW4" s="417" t="s">
        <v>237</v>
      </c>
      <c r="AX4" s="417" t="s">
        <v>238</v>
      </c>
      <c r="AY4" s="419" t="s">
        <v>239</v>
      </c>
    </row>
    <row r="5" spans="1:51" ht="13.9">
      <c r="A5" s="408"/>
      <c r="B5" s="411" t="s">
        <v>241</v>
      </c>
      <c r="C5" s="412">
        <v>2017</v>
      </c>
      <c r="D5" s="420">
        <v>168225</v>
      </c>
      <c r="E5" s="421">
        <f>F5+K5</f>
        <v>1320</v>
      </c>
      <c r="F5" s="422">
        <v>595</v>
      </c>
      <c r="G5" s="423">
        <v>414</v>
      </c>
      <c r="H5" s="423">
        <v>0</v>
      </c>
      <c r="I5" s="423">
        <v>181</v>
      </c>
      <c r="J5" s="424">
        <v>0</v>
      </c>
      <c r="K5" s="422">
        <v>725</v>
      </c>
      <c r="L5" s="423">
        <v>628</v>
      </c>
      <c r="M5" s="423">
        <v>0</v>
      </c>
      <c r="N5" s="423">
        <v>88</v>
      </c>
      <c r="O5" s="425">
        <v>9</v>
      </c>
      <c r="P5" s="526">
        <v>240</v>
      </c>
      <c r="Q5" s="423">
        <f>R5+W5</f>
        <v>0</v>
      </c>
      <c r="R5" s="422">
        <v>0</v>
      </c>
      <c r="S5" s="423">
        <v>0</v>
      </c>
      <c r="T5" s="423">
        <v>0</v>
      </c>
      <c r="U5" s="423">
        <v>0</v>
      </c>
      <c r="V5" s="424">
        <v>0</v>
      </c>
      <c r="W5" s="422">
        <v>0</v>
      </c>
      <c r="X5" s="423">
        <v>0</v>
      </c>
      <c r="Y5" s="423">
        <v>0</v>
      </c>
      <c r="Z5" s="423">
        <v>0</v>
      </c>
      <c r="AA5" s="425">
        <v>0</v>
      </c>
      <c r="AB5" s="526">
        <v>35</v>
      </c>
      <c r="AC5" s="423">
        <f>AD5+AI5</f>
        <v>1</v>
      </c>
      <c r="AD5" s="422">
        <v>0</v>
      </c>
      <c r="AE5" s="423">
        <v>0</v>
      </c>
      <c r="AF5" s="423">
        <v>0</v>
      </c>
      <c r="AG5" s="423">
        <v>0</v>
      </c>
      <c r="AH5" s="424">
        <v>0</v>
      </c>
      <c r="AI5" s="422">
        <v>1</v>
      </c>
      <c r="AJ5" s="423">
        <v>1</v>
      </c>
      <c r="AK5" s="423">
        <v>0</v>
      </c>
      <c r="AL5" s="423">
        <v>0</v>
      </c>
      <c r="AM5" s="425">
        <v>0</v>
      </c>
      <c r="AO5" s="421">
        <f>Q5+AC5</f>
        <v>1</v>
      </c>
      <c r="AP5" s="422">
        <f t="shared" ref="AP5:AP40" si="0">R5+AD5</f>
        <v>0</v>
      </c>
      <c r="AQ5" s="423">
        <f t="shared" ref="AQ5:AQ40" si="1">S5+AE5</f>
        <v>0</v>
      </c>
      <c r="AR5" s="423">
        <f t="shared" ref="AR5:AR40" si="2">T5+AF5</f>
        <v>0</v>
      </c>
      <c r="AS5" s="423">
        <f t="shared" ref="AS5:AS40" si="3">U5+AG5</f>
        <v>0</v>
      </c>
      <c r="AT5" s="424">
        <f t="shared" ref="AT5:AT40" si="4">V5+AH5</f>
        <v>0</v>
      </c>
      <c r="AU5" s="422">
        <f t="shared" ref="AU5:AU40" si="5">W5+AI5</f>
        <v>1</v>
      </c>
      <c r="AV5" s="423">
        <f t="shared" ref="AV5:AV40" si="6">X5+AJ5</f>
        <v>1</v>
      </c>
      <c r="AW5" s="423">
        <f t="shared" ref="AW5:AW40" si="7">Y5+AK5</f>
        <v>0</v>
      </c>
      <c r="AX5" s="423">
        <f t="shared" ref="AX5:AX40" si="8">Z5+AL5</f>
        <v>0</v>
      </c>
      <c r="AY5" s="425">
        <f t="shared" ref="AY5:AY40" si="9">AA5+AM5</f>
        <v>0</v>
      </c>
    </row>
    <row r="6" spans="1:51" ht="13.9">
      <c r="A6" s="408"/>
      <c r="B6" s="411" t="s">
        <v>242</v>
      </c>
      <c r="C6" s="412">
        <v>2017</v>
      </c>
      <c r="D6" s="420">
        <v>234021</v>
      </c>
      <c r="E6" s="421">
        <f t="shared" ref="E6:E19" si="10">F6+K6</f>
        <v>2089</v>
      </c>
      <c r="F6" s="422">
        <v>832</v>
      </c>
      <c r="G6" s="423">
        <v>605</v>
      </c>
      <c r="H6" s="423">
        <v>0</v>
      </c>
      <c r="I6" s="423">
        <v>227</v>
      </c>
      <c r="J6" s="424">
        <v>0</v>
      </c>
      <c r="K6" s="422">
        <v>1257</v>
      </c>
      <c r="L6" s="423">
        <v>937</v>
      </c>
      <c r="M6" s="423">
        <v>0</v>
      </c>
      <c r="N6" s="423">
        <v>153</v>
      </c>
      <c r="O6" s="425">
        <v>167</v>
      </c>
      <c r="P6" s="526">
        <v>461</v>
      </c>
      <c r="Q6" s="423">
        <f t="shared" ref="Q6:Q22" si="11">R6+W6</f>
        <v>3</v>
      </c>
      <c r="R6" s="422">
        <v>2</v>
      </c>
      <c r="S6" s="423">
        <v>2</v>
      </c>
      <c r="T6" s="423">
        <v>0</v>
      </c>
      <c r="U6" s="423">
        <v>0</v>
      </c>
      <c r="V6" s="424">
        <v>0</v>
      </c>
      <c r="W6" s="422">
        <v>1</v>
      </c>
      <c r="X6" s="423">
        <v>0</v>
      </c>
      <c r="Y6" s="423">
        <v>0</v>
      </c>
      <c r="Z6" s="423">
        <v>0</v>
      </c>
      <c r="AA6" s="425">
        <v>1</v>
      </c>
      <c r="AB6" s="526">
        <v>53</v>
      </c>
      <c r="AC6" s="423">
        <f t="shared" ref="AC6:AC22" si="12">AD6+AI6</f>
        <v>0</v>
      </c>
      <c r="AD6" s="422">
        <v>0</v>
      </c>
      <c r="AE6" s="423">
        <v>0</v>
      </c>
      <c r="AF6" s="423">
        <v>0</v>
      </c>
      <c r="AG6" s="423">
        <v>0</v>
      </c>
      <c r="AH6" s="424">
        <v>0</v>
      </c>
      <c r="AI6" s="422">
        <v>0</v>
      </c>
      <c r="AJ6" s="423">
        <v>0</v>
      </c>
      <c r="AK6" s="423">
        <v>0</v>
      </c>
      <c r="AL6" s="423">
        <v>0</v>
      </c>
      <c r="AM6" s="425">
        <v>0</v>
      </c>
      <c r="AO6" s="421">
        <f t="shared" ref="AO6:AO40" si="13">Q6+AC6</f>
        <v>3</v>
      </c>
      <c r="AP6" s="422">
        <f t="shared" si="0"/>
        <v>2</v>
      </c>
      <c r="AQ6" s="423">
        <f t="shared" si="1"/>
        <v>2</v>
      </c>
      <c r="AR6" s="423">
        <f t="shared" si="2"/>
        <v>0</v>
      </c>
      <c r="AS6" s="423">
        <f t="shared" si="3"/>
        <v>0</v>
      </c>
      <c r="AT6" s="424">
        <f t="shared" si="4"/>
        <v>0</v>
      </c>
      <c r="AU6" s="422">
        <f t="shared" si="5"/>
        <v>1</v>
      </c>
      <c r="AV6" s="423">
        <f t="shared" si="6"/>
        <v>0</v>
      </c>
      <c r="AW6" s="423">
        <f t="shared" si="7"/>
        <v>0</v>
      </c>
      <c r="AX6" s="423">
        <f t="shared" si="8"/>
        <v>0</v>
      </c>
      <c r="AY6" s="425">
        <f t="shared" si="9"/>
        <v>1</v>
      </c>
    </row>
    <row r="7" spans="1:51" ht="13.9">
      <c r="A7" s="408"/>
      <c r="B7" s="411" t="s">
        <v>243</v>
      </c>
      <c r="C7" s="412">
        <v>2017</v>
      </c>
      <c r="D7" s="420">
        <v>219632</v>
      </c>
      <c r="E7" s="421">
        <f t="shared" si="10"/>
        <v>2129</v>
      </c>
      <c r="F7" s="422">
        <v>950</v>
      </c>
      <c r="G7" s="423">
        <v>685</v>
      </c>
      <c r="H7" s="423">
        <v>0</v>
      </c>
      <c r="I7" s="423">
        <v>265</v>
      </c>
      <c r="J7" s="424">
        <v>0</v>
      </c>
      <c r="K7" s="422">
        <v>1179</v>
      </c>
      <c r="L7" s="423">
        <v>984</v>
      </c>
      <c r="M7" s="423">
        <v>0</v>
      </c>
      <c r="N7" s="423">
        <v>98</v>
      </c>
      <c r="O7" s="425">
        <v>97</v>
      </c>
      <c r="P7" s="526">
        <v>421</v>
      </c>
      <c r="Q7" s="423">
        <f t="shared" si="11"/>
        <v>2</v>
      </c>
      <c r="R7" s="422">
        <v>1</v>
      </c>
      <c r="S7" s="423">
        <v>1</v>
      </c>
      <c r="T7" s="423">
        <v>0</v>
      </c>
      <c r="U7" s="423">
        <v>0</v>
      </c>
      <c r="V7" s="424">
        <v>0</v>
      </c>
      <c r="W7" s="422">
        <v>1</v>
      </c>
      <c r="X7" s="423">
        <v>1</v>
      </c>
      <c r="Y7" s="423">
        <v>0</v>
      </c>
      <c r="Z7" s="423">
        <v>0</v>
      </c>
      <c r="AA7" s="425">
        <v>0</v>
      </c>
      <c r="AB7" s="526">
        <v>46</v>
      </c>
      <c r="AC7" s="423">
        <f t="shared" si="12"/>
        <v>0</v>
      </c>
      <c r="AD7" s="422">
        <v>0</v>
      </c>
      <c r="AE7" s="423">
        <v>0</v>
      </c>
      <c r="AF7" s="423">
        <v>0</v>
      </c>
      <c r="AG7" s="423">
        <v>0</v>
      </c>
      <c r="AH7" s="424">
        <v>0</v>
      </c>
      <c r="AI7" s="422">
        <v>0</v>
      </c>
      <c r="AJ7" s="423">
        <v>0</v>
      </c>
      <c r="AK7" s="423">
        <v>0</v>
      </c>
      <c r="AL7" s="423">
        <v>0</v>
      </c>
      <c r="AM7" s="425">
        <v>0</v>
      </c>
      <c r="AO7" s="421">
        <f t="shared" si="13"/>
        <v>2</v>
      </c>
      <c r="AP7" s="422">
        <f t="shared" si="0"/>
        <v>1</v>
      </c>
      <c r="AQ7" s="423">
        <f t="shared" si="1"/>
        <v>1</v>
      </c>
      <c r="AR7" s="423">
        <f t="shared" si="2"/>
        <v>0</v>
      </c>
      <c r="AS7" s="423">
        <f t="shared" si="3"/>
        <v>0</v>
      </c>
      <c r="AT7" s="424">
        <f t="shared" si="4"/>
        <v>0</v>
      </c>
      <c r="AU7" s="422">
        <f t="shared" si="5"/>
        <v>1</v>
      </c>
      <c r="AV7" s="423">
        <f t="shared" si="6"/>
        <v>1</v>
      </c>
      <c r="AW7" s="423">
        <f t="shared" si="7"/>
        <v>0</v>
      </c>
      <c r="AX7" s="423">
        <f t="shared" si="8"/>
        <v>0</v>
      </c>
      <c r="AY7" s="425">
        <f t="shared" si="9"/>
        <v>0</v>
      </c>
    </row>
    <row r="8" spans="1:51" ht="13.9">
      <c r="A8" s="408"/>
      <c r="B8" s="411" t="s">
        <v>244</v>
      </c>
      <c r="C8" s="412">
        <v>2017</v>
      </c>
      <c r="D8" s="420">
        <v>179517</v>
      </c>
      <c r="E8" s="421">
        <f t="shared" si="10"/>
        <v>2640</v>
      </c>
      <c r="F8" s="422">
        <v>1186</v>
      </c>
      <c r="G8" s="423">
        <v>828</v>
      </c>
      <c r="H8" s="423">
        <v>0</v>
      </c>
      <c r="I8" s="423">
        <v>358</v>
      </c>
      <c r="J8" s="424">
        <v>0</v>
      </c>
      <c r="K8" s="422">
        <v>1454</v>
      </c>
      <c r="L8" s="423">
        <v>1108</v>
      </c>
      <c r="M8" s="423">
        <v>0</v>
      </c>
      <c r="N8" s="423">
        <v>97</v>
      </c>
      <c r="O8" s="425">
        <v>249</v>
      </c>
      <c r="P8" s="526">
        <v>351</v>
      </c>
      <c r="Q8" s="423">
        <f t="shared" si="11"/>
        <v>4</v>
      </c>
      <c r="R8" s="422">
        <v>0</v>
      </c>
      <c r="S8" s="423">
        <v>0</v>
      </c>
      <c r="T8" s="423">
        <v>0</v>
      </c>
      <c r="U8" s="423">
        <v>0</v>
      </c>
      <c r="V8" s="424">
        <v>0</v>
      </c>
      <c r="W8" s="422">
        <v>4</v>
      </c>
      <c r="X8" s="423">
        <v>4</v>
      </c>
      <c r="Y8" s="423">
        <v>0</v>
      </c>
      <c r="Z8" s="423">
        <v>0</v>
      </c>
      <c r="AA8" s="425">
        <v>0</v>
      </c>
      <c r="AB8" s="526">
        <v>38</v>
      </c>
      <c r="AC8" s="423">
        <f t="shared" si="12"/>
        <v>0</v>
      </c>
      <c r="AD8" s="422">
        <v>0</v>
      </c>
      <c r="AE8" s="423">
        <v>0</v>
      </c>
      <c r="AF8" s="423">
        <v>0</v>
      </c>
      <c r="AG8" s="423">
        <v>0</v>
      </c>
      <c r="AH8" s="424">
        <v>0</v>
      </c>
      <c r="AI8" s="422">
        <v>0</v>
      </c>
      <c r="AJ8" s="423">
        <v>0</v>
      </c>
      <c r="AK8" s="423">
        <v>0</v>
      </c>
      <c r="AL8" s="423">
        <v>0</v>
      </c>
      <c r="AM8" s="425">
        <v>0</v>
      </c>
      <c r="AO8" s="421">
        <f t="shared" si="13"/>
        <v>4</v>
      </c>
      <c r="AP8" s="422">
        <f t="shared" si="0"/>
        <v>0</v>
      </c>
      <c r="AQ8" s="423">
        <f t="shared" si="1"/>
        <v>0</v>
      </c>
      <c r="AR8" s="423">
        <f t="shared" si="2"/>
        <v>0</v>
      </c>
      <c r="AS8" s="423">
        <f t="shared" si="3"/>
        <v>0</v>
      </c>
      <c r="AT8" s="424">
        <f t="shared" si="4"/>
        <v>0</v>
      </c>
      <c r="AU8" s="422">
        <f t="shared" si="5"/>
        <v>4</v>
      </c>
      <c r="AV8" s="423">
        <f t="shared" si="6"/>
        <v>4</v>
      </c>
      <c r="AW8" s="423">
        <f t="shared" si="7"/>
        <v>0</v>
      </c>
      <c r="AX8" s="423">
        <f t="shared" si="8"/>
        <v>0</v>
      </c>
      <c r="AY8" s="425">
        <f t="shared" si="9"/>
        <v>0</v>
      </c>
    </row>
    <row r="9" spans="1:51" ht="13.9">
      <c r="A9" s="408"/>
      <c r="B9" s="411" t="s">
        <v>245</v>
      </c>
      <c r="C9" s="412">
        <v>2018</v>
      </c>
      <c r="D9" s="420">
        <v>165397</v>
      </c>
      <c r="E9" s="421">
        <f t="shared" si="10"/>
        <v>2747</v>
      </c>
      <c r="F9" s="422">
        <v>928</v>
      </c>
      <c r="G9" s="423">
        <v>754</v>
      </c>
      <c r="H9" s="423">
        <v>0</v>
      </c>
      <c r="I9" s="423">
        <v>174</v>
      </c>
      <c r="J9" s="424">
        <v>0</v>
      </c>
      <c r="K9" s="422">
        <v>1819</v>
      </c>
      <c r="L9" s="423">
        <v>1251</v>
      </c>
      <c r="M9" s="423">
        <v>0</v>
      </c>
      <c r="N9" s="423">
        <v>359</v>
      </c>
      <c r="O9" s="425">
        <v>209</v>
      </c>
      <c r="P9" s="526">
        <v>237</v>
      </c>
      <c r="Q9" s="423">
        <f t="shared" si="11"/>
        <v>3</v>
      </c>
      <c r="R9" s="422">
        <v>0</v>
      </c>
      <c r="S9" s="423">
        <v>0</v>
      </c>
      <c r="T9" s="423">
        <v>0</v>
      </c>
      <c r="U9" s="423">
        <v>0</v>
      </c>
      <c r="V9" s="424">
        <v>0</v>
      </c>
      <c r="W9" s="422">
        <v>3</v>
      </c>
      <c r="X9" s="423">
        <v>1</v>
      </c>
      <c r="Y9" s="423">
        <v>0</v>
      </c>
      <c r="Z9" s="423">
        <v>1</v>
      </c>
      <c r="AA9" s="425">
        <v>1</v>
      </c>
      <c r="AB9" s="526">
        <v>18</v>
      </c>
      <c r="AC9" s="423">
        <f t="shared" si="12"/>
        <v>1</v>
      </c>
      <c r="AD9" s="422">
        <v>1</v>
      </c>
      <c r="AE9" s="423">
        <v>0</v>
      </c>
      <c r="AF9" s="423">
        <v>0</v>
      </c>
      <c r="AG9" s="423">
        <v>1</v>
      </c>
      <c r="AH9" s="424">
        <v>0</v>
      </c>
      <c r="AI9" s="422">
        <v>0</v>
      </c>
      <c r="AJ9" s="423">
        <v>0</v>
      </c>
      <c r="AK9" s="423">
        <v>0</v>
      </c>
      <c r="AL9" s="423">
        <v>0</v>
      </c>
      <c r="AM9" s="425">
        <v>0</v>
      </c>
      <c r="AO9" s="421">
        <f t="shared" si="13"/>
        <v>4</v>
      </c>
      <c r="AP9" s="422">
        <f t="shared" si="0"/>
        <v>1</v>
      </c>
      <c r="AQ9" s="423">
        <f t="shared" si="1"/>
        <v>0</v>
      </c>
      <c r="AR9" s="423">
        <f t="shared" si="2"/>
        <v>0</v>
      </c>
      <c r="AS9" s="423">
        <f t="shared" si="3"/>
        <v>1</v>
      </c>
      <c r="AT9" s="424">
        <f t="shared" si="4"/>
        <v>0</v>
      </c>
      <c r="AU9" s="422">
        <f t="shared" si="5"/>
        <v>3</v>
      </c>
      <c r="AV9" s="423">
        <f t="shared" si="6"/>
        <v>1</v>
      </c>
      <c r="AW9" s="423">
        <f t="shared" si="7"/>
        <v>0</v>
      </c>
      <c r="AX9" s="423">
        <f t="shared" si="8"/>
        <v>1</v>
      </c>
      <c r="AY9" s="425">
        <f t="shared" si="9"/>
        <v>1</v>
      </c>
    </row>
    <row r="10" spans="1:51" ht="13.9">
      <c r="A10" s="408"/>
      <c r="B10" s="411" t="s">
        <v>246</v>
      </c>
      <c r="C10" s="412">
        <v>2018</v>
      </c>
      <c r="D10" s="420">
        <v>239881</v>
      </c>
      <c r="E10" s="421">
        <f t="shared" si="10"/>
        <v>6949</v>
      </c>
      <c r="F10" s="422">
        <v>3617</v>
      </c>
      <c r="G10" s="423">
        <v>3306</v>
      </c>
      <c r="H10" s="423">
        <v>0</v>
      </c>
      <c r="I10" s="423">
        <v>311</v>
      </c>
      <c r="J10" s="424">
        <v>0</v>
      </c>
      <c r="K10" s="422">
        <v>3332</v>
      </c>
      <c r="L10" s="423">
        <v>2218</v>
      </c>
      <c r="M10" s="423">
        <v>0</v>
      </c>
      <c r="N10" s="423">
        <v>707</v>
      </c>
      <c r="O10" s="425">
        <v>407</v>
      </c>
      <c r="P10" s="526">
        <v>370</v>
      </c>
      <c r="Q10" s="423">
        <f t="shared" si="11"/>
        <v>2</v>
      </c>
      <c r="R10" s="422">
        <v>1</v>
      </c>
      <c r="S10" s="423">
        <v>1</v>
      </c>
      <c r="T10" s="423">
        <v>0</v>
      </c>
      <c r="U10" s="423">
        <v>0</v>
      </c>
      <c r="V10" s="424">
        <v>0</v>
      </c>
      <c r="W10" s="422">
        <v>1</v>
      </c>
      <c r="X10" s="423">
        <v>0</v>
      </c>
      <c r="Y10" s="423">
        <v>0</v>
      </c>
      <c r="Z10" s="423">
        <v>1</v>
      </c>
      <c r="AA10" s="425">
        <v>0</v>
      </c>
      <c r="AB10" s="526">
        <v>52</v>
      </c>
      <c r="AC10" s="423">
        <f t="shared" si="12"/>
        <v>0</v>
      </c>
      <c r="AD10" s="422">
        <v>0</v>
      </c>
      <c r="AE10" s="423">
        <v>0</v>
      </c>
      <c r="AF10" s="423">
        <v>0</v>
      </c>
      <c r="AG10" s="423">
        <v>0</v>
      </c>
      <c r="AH10" s="424">
        <v>0</v>
      </c>
      <c r="AI10" s="422">
        <v>0</v>
      </c>
      <c r="AJ10" s="423">
        <v>0</v>
      </c>
      <c r="AK10" s="423">
        <v>0</v>
      </c>
      <c r="AL10" s="423">
        <v>0</v>
      </c>
      <c r="AM10" s="425">
        <v>0</v>
      </c>
      <c r="AO10" s="421">
        <f t="shared" si="13"/>
        <v>2</v>
      </c>
      <c r="AP10" s="422">
        <f t="shared" si="0"/>
        <v>1</v>
      </c>
      <c r="AQ10" s="423">
        <f t="shared" si="1"/>
        <v>1</v>
      </c>
      <c r="AR10" s="423">
        <f t="shared" si="2"/>
        <v>0</v>
      </c>
      <c r="AS10" s="423">
        <f t="shared" si="3"/>
        <v>0</v>
      </c>
      <c r="AT10" s="424">
        <f t="shared" si="4"/>
        <v>0</v>
      </c>
      <c r="AU10" s="422">
        <f t="shared" si="5"/>
        <v>1</v>
      </c>
      <c r="AV10" s="423">
        <f t="shared" si="6"/>
        <v>0</v>
      </c>
      <c r="AW10" s="423">
        <f t="shared" si="7"/>
        <v>0</v>
      </c>
      <c r="AX10" s="423">
        <f t="shared" si="8"/>
        <v>1</v>
      </c>
      <c r="AY10" s="425">
        <f t="shared" si="9"/>
        <v>0</v>
      </c>
    </row>
    <row r="11" spans="1:51" ht="13.9">
      <c r="A11" s="408"/>
      <c r="B11" s="411" t="s">
        <v>247</v>
      </c>
      <c r="C11" s="412">
        <v>2018</v>
      </c>
      <c r="D11" s="420">
        <v>218772</v>
      </c>
      <c r="E11" s="421">
        <f t="shared" si="10"/>
        <v>5178</v>
      </c>
      <c r="F11" s="422">
        <v>2526</v>
      </c>
      <c r="G11" s="423">
        <v>2275</v>
      </c>
      <c r="H11" s="423">
        <v>0</v>
      </c>
      <c r="I11" s="423">
        <v>251</v>
      </c>
      <c r="J11" s="424">
        <v>0</v>
      </c>
      <c r="K11" s="422">
        <v>2652</v>
      </c>
      <c r="L11" s="423">
        <v>1603</v>
      </c>
      <c r="M11" s="423">
        <v>0</v>
      </c>
      <c r="N11" s="423">
        <v>844</v>
      </c>
      <c r="O11" s="425">
        <v>205</v>
      </c>
      <c r="P11" s="526">
        <v>389</v>
      </c>
      <c r="Q11" s="423">
        <f t="shared" si="11"/>
        <v>4</v>
      </c>
      <c r="R11" s="422">
        <v>1</v>
      </c>
      <c r="S11" s="423">
        <v>1</v>
      </c>
      <c r="T11" s="423">
        <v>0</v>
      </c>
      <c r="U11" s="423">
        <v>0</v>
      </c>
      <c r="V11" s="424">
        <v>0</v>
      </c>
      <c r="W11" s="422">
        <v>3</v>
      </c>
      <c r="X11" s="423">
        <v>1</v>
      </c>
      <c r="Y11" s="423">
        <v>0</v>
      </c>
      <c r="Z11" s="423">
        <v>2</v>
      </c>
      <c r="AA11" s="425">
        <v>0</v>
      </c>
      <c r="AB11" s="526">
        <v>38</v>
      </c>
      <c r="AC11" s="423">
        <f t="shared" si="12"/>
        <v>0</v>
      </c>
      <c r="AD11" s="422">
        <v>0</v>
      </c>
      <c r="AE11" s="423">
        <v>0</v>
      </c>
      <c r="AF11" s="423">
        <v>0</v>
      </c>
      <c r="AG11" s="423">
        <v>0</v>
      </c>
      <c r="AH11" s="424">
        <v>0</v>
      </c>
      <c r="AI11" s="422">
        <v>0</v>
      </c>
      <c r="AJ11" s="423">
        <v>0</v>
      </c>
      <c r="AK11" s="423">
        <v>0</v>
      </c>
      <c r="AL11" s="423">
        <v>0</v>
      </c>
      <c r="AM11" s="425">
        <v>0</v>
      </c>
      <c r="AO11" s="421">
        <f t="shared" si="13"/>
        <v>4</v>
      </c>
      <c r="AP11" s="422">
        <f t="shared" si="0"/>
        <v>1</v>
      </c>
      <c r="AQ11" s="423">
        <f t="shared" si="1"/>
        <v>1</v>
      </c>
      <c r="AR11" s="423">
        <f t="shared" si="2"/>
        <v>0</v>
      </c>
      <c r="AS11" s="423">
        <f t="shared" si="3"/>
        <v>0</v>
      </c>
      <c r="AT11" s="424">
        <f t="shared" si="4"/>
        <v>0</v>
      </c>
      <c r="AU11" s="422">
        <f t="shared" si="5"/>
        <v>3</v>
      </c>
      <c r="AV11" s="423">
        <f t="shared" si="6"/>
        <v>1</v>
      </c>
      <c r="AW11" s="423">
        <f t="shared" si="7"/>
        <v>0</v>
      </c>
      <c r="AX11" s="423">
        <f t="shared" si="8"/>
        <v>2</v>
      </c>
      <c r="AY11" s="425">
        <f t="shared" si="9"/>
        <v>0</v>
      </c>
    </row>
    <row r="12" spans="1:51" ht="13.9">
      <c r="A12" s="408"/>
      <c r="B12" s="411" t="s">
        <v>248</v>
      </c>
      <c r="C12" s="412">
        <v>2018</v>
      </c>
      <c r="D12" s="420">
        <v>174523</v>
      </c>
      <c r="E12" s="421">
        <f t="shared" si="10"/>
        <v>1886</v>
      </c>
      <c r="F12" s="422">
        <v>1145</v>
      </c>
      <c r="G12" s="423">
        <v>981</v>
      </c>
      <c r="H12" s="423">
        <v>0</v>
      </c>
      <c r="I12" s="423">
        <v>164</v>
      </c>
      <c r="J12" s="424">
        <v>0</v>
      </c>
      <c r="K12" s="422">
        <v>741</v>
      </c>
      <c r="L12" s="423">
        <v>446</v>
      </c>
      <c r="M12" s="423">
        <v>0</v>
      </c>
      <c r="N12" s="423">
        <v>242</v>
      </c>
      <c r="O12" s="425">
        <v>53</v>
      </c>
      <c r="P12" s="526">
        <v>271</v>
      </c>
      <c r="Q12" s="423">
        <f t="shared" si="11"/>
        <v>0</v>
      </c>
      <c r="R12" s="422">
        <v>0</v>
      </c>
      <c r="S12" s="423">
        <v>0</v>
      </c>
      <c r="T12" s="423">
        <v>0</v>
      </c>
      <c r="U12" s="423">
        <v>0</v>
      </c>
      <c r="V12" s="424">
        <v>0</v>
      </c>
      <c r="W12" s="422">
        <v>0</v>
      </c>
      <c r="X12" s="423">
        <v>0</v>
      </c>
      <c r="Y12" s="423">
        <v>0</v>
      </c>
      <c r="Z12" s="423">
        <v>0</v>
      </c>
      <c r="AA12" s="425">
        <v>0</v>
      </c>
      <c r="AB12" s="526">
        <v>31</v>
      </c>
      <c r="AC12" s="423">
        <f t="shared" si="12"/>
        <v>0</v>
      </c>
      <c r="AD12" s="422">
        <v>0</v>
      </c>
      <c r="AE12" s="423">
        <v>0</v>
      </c>
      <c r="AF12" s="423">
        <v>0</v>
      </c>
      <c r="AG12" s="423">
        <v>0</v>
      </c>
      <c r="AH12" s="424">
        <v>0</v>
      </c>
      <c r="AI12" s="422">
        <v>0</v>
      </c>
      <c r="AJ12" s="423">
        <v>0</v>
      </c>
      <c r="AK12" s="423">
        <v>0</v>
      </c>
      <c r="AL12" s="423">
        <v>0</v>
      </c>
      <c r="AM12" s="425">
        <v>0</v>
      </c>
      <c r="AO12" s="421">
        <f t="shared" si="13"/>
        <v>0</v>
      </c>
      <c r="AP12" s="422">
        <f t="shared" si="0"/>
        <v>0</v>
      </c>
      <c r="AQ12" s="423">
        <f t="shared" si="1"/>
        <v>0</v>
      </c>
      <c r="AR12" s="423">
        <f t="shared" si="2"/>
        <v>0</v>
      </c>
      <c r="AS12" s="423">
        <f t="shared" si="3"/>
        <v>0</v>
      </c>
      <c r="AT12" s="424">
        <f t="shared" si="4"/>
        <v>0</v>
      </c>
      <c r="AU12" s="422">
        <f t="shared" si="5"/>
        <v>0</v>
      </c>
      <c r="AV12" s="423">
        <f t="shared" si="6"/>
        <v>0</v>
      </c>
      <c r="AW12" s="423">
        <f t="shared" si="7"/>
        <v>0</v>
      </c>
      <c r="AX12" s="423">
        <f t="shared" si="8"/>
        <v>0</v>
      </c>
      <c r="AY12" s="425">
        <f t="shared" si="9"/>
        <v>0</v>
      </c>
    </row>
    <row r="13" spans="1:51" ht="13.9">
      <c r="A13" s="408"/>
      <c r="B13" s="411" t="s">
        <v>249</v>
      </c>
      <c r="C13" s="412">
        <v>2019</v>
      </c>
      <c r="D13" s="420">
        <v>168959</v>
      </c>
      <c r="E13" s="421">
        <f t="shared" si="10"/>
        <v>1343</v>
      </c>
      <c r="F13" s="422">
        <v>850</v>
      </c>
      <c r="G13" s="423">
        <v>565</v>
      </c>
      <c r="H13" s="423">
        <v>0</v>
      </c>
      <c r="I13" s="423">
        <v>285</v>
      </c>
      <c r="J13" s="424">
        <v>0</v>
      </c>
      <c r="K13" s="422">
        <v>493</v>
      </c>
      <c r="L13" s="423">
        <v>280</v>
      </c>
      <c r="M13" s="423">
        <v>0</v>
      </c>
      <c r="N13" s="423">
        <v>189</v>
      </c>
      <c r="O13" s="425">
        <v>24</v>
      </c>
      <c r="P13" s="526">
        <v>268</v>
      </c>
      <c r="Q13" s="423">
        <f t="shared" si="11"/>
        <v>0</v>
      </c>
      <c r="R13" s="422">
        <v>0</v>
      </c>
      <c r="S13" s="423">
        <v>0</v>
      </c>
      <c r="T13" s="423">
        <v>0</v>
      </c>
      <c r="U13" s="423">
        <v>0</v>
      </c>
      <c r="V13" s="424">
        <v>0</v>
      </c>
      <c r="W13" s="422">
        <v>0</v>
      </c>
      <c r="X13" s="423">
        <v>0</v>
      </c>
      <c r="Y13" s="423">
        <v>0</v>
      </c>
      <c r="Z13" s="423">
        <v>0</v>
      </c>
      <c r="AA13" s="425">
        <v>0</v>
      </c>
      <c r="AB13" s="526">
        <v>32</v>
      </c>
      <c r="AC13" s="423">
        <f t="shared" si="12"/>
        <v>0</v>
      </c>
      <c r="AD13" s="422">
        <v>0</v>
      </c>
      <c r="AE13" s="423">
        <v>0</v>
      </c>
      <c r="AF13" s="423">
        <v>0</v>
      </c>
      <c r="AG13" s="423">
        <v>0</v>
      </c>
      <c r="AH13" s="424">
        <v>0</v>
      </c>
      <c r="AI13" s="422">
        <v>0</v>
      </c>
      <c r="AJ13" s="423">
        <v>0</v>
      </c>
      <c r="AK13" s="423">
        <v>0</v>
      </c>
      <c r="AL13" s="423">
        <v>0</v>
      </c>
      <c r="AM13" s="425">
        <v>0</v>
      </c>
      <c r="AO13" s="421">
        <f t="shared" si="13"/>
        <v>0</v>
      </c>
      <c r="AP13" s="422">
        <f t="shared" si="0"/>
        <v>0</v>
      </c>
      <c r="AQ13" s="423">
        <f t="shared" si="1"/>
        <v>0</v>
      </c>
      <c r="AR13" s="423">
        <f t="shared" si="2"/>
        <v>0</v>
      </c>
      <c r="AS13" s="423">
        <f t="shared" si="3"/>
        <v>0</v>
      </c>
      <c r="AT13" s="424">
        <f t="shared" si="4"/>
        <v>0</v>
      </c>
      <c r="AU13" s="422">
        <f t="shared" si="5"/>
        <v>0</v>
      </c>
      <c r="AV13" s="423">
        <f t="shared" si="6"/>
        <v>0</v>
      </c>
      <c r="AW13" s="423">
        <f t="shared" si="7"/>
        <v>0</v>
      </c>
      <c r="AX13" s="423">
        <f t="shared" si="8"/>
        <v>0</v>
      </c>
      <c r="AY13" s="425">
        <f t="shared" si="9"/>
        <v>0</v>
      </c>
    </row>
    <row r="14" spans="1:51" ht="13.9">
      <c r="A14" s="408"/>
      <c r="B14" s="411" t="s">
        <v>250</v>
      </c>
      <c r="C14" s="412">
        <v>2019</v>
      </c>
      <c r="D14" s="420">
        <v>222792</v>
      </c>
      <c r="E14" s="421">
        <f t="shared" si="10"/>
        <v>2875</v>
      </c>
      <c r="F14" s="422">
        <v>1992</v>
      </c>
      <c r="G14" s="423">
        <v>1656</v>
      </c>
      <c r="H14" s="423">
        <v>0</v>
      </c>
      <c r="I14" s="423">
        <v>336</v>
      </c>
      <c r="J14" s="424">
        <v>0</v>
      </c>
      <c r="K14" s="422">
        <v>883</v>
      </c>
      <c r="L14" s="423">
        <v>497</v>
      </c>
      <c r="M14" s="423">
        <v>0</v>
      </c>
      <c r="N14" s="423">
        <v>349</v>
      </c>
      <c r="O14" s="425">
        <v>37</v>
      </c>
      <c r="P14" s="526">
        <v>376</v>
      </c>
      <c r="Q14" s="423">
        <f t="shared" si="11"/>
        <v>4</v>
      </c>
      <c r="R14" s="422">
        <v>2</v>
      </c>
      <c r="S14" s="423">
        <v>2</v>
      </c>
      <c r="T14" s="423">
        <v>0</v>
      </c>
      <c r="U14" s="423">
        <v>0</v>
      </c>
      <c r="V14" s="424">
        <v>0</v>
      </c>
      <c r="W14" s="422">
        <v>2</v>
      </c>
      <c r="X14" s="423">
        <v>1</v>
      </c>
      <c r="Y14" s="423">
        <v>0</v>
      </c>
      <c r="Z14" s="423">
        <v>1</v>
      </c>
      <c r="AA14" s="425">
        <v>0</v>
      </c>
      <c r="AB14" s="526">
        <v>43</v>
      </c>
      <c r="AC14" s="423">
        <f t="shared" si="12"/>
        <v>0</v>
      </c>
      <c r="AD14" s="422">
        <v>0</v>
      </c>
      <c r="AE14" s="423">
        <v>0</v>
      </c>
      <c r="AF14" s="423">
        <v>0</v>
      </c>
      <c r="AG14" s="423">
        <v>0</v>
      </c>
      <c r="AH14" s="424">
        <v>0</v>
      </c>
      <c r="AI14" s="422">
        <v>0</v>
      </c>
      <c r="AJ14" s="423">
        <v>0</v>
      </c>
      <c r="AK14" s="423">
        <v>0</v>
      </c>
      <c r="AL14" s="423">
        <v>0</v>
      </c>
      <c r="AM14" s="425">
        <v>0</v>
      </c>
      <c r="AO14" s="421">
        <f t="shared" si="13"/>
        <v>4</v>
      </c>
      <c r="AP14" s="422">
        <f t="shared" si="0"/>
        <v>2</v>
      </c>
      <c r="AQ14" s="423">
        <f t="shared" si="1"/>
        <v>2</v>
      </c>
      <c r="AR14" s="423">
        <f t="shared" si="2"/>
        <v>0</v>
      </c>
      <c r="AS14" s="423">
        <f t="shared" si="3"/>
        <v>0</v>
      </c>
      <c r="AT14" s="424">
        <f t="shared" si="4"/>
        <v>0</v>
      </c>
      <c r="AU14" s="422">
        <f t="shared" si="5"/>
        <v>2</v>
      </c>
      <c r="AV14" s="423">
        <f t="shared" si="6"/>
        <v>1</v>
      </c>
      <c r="AW14" s="423">
        <f t="shared" si="7"/>
        <v>0</v>
      </c>
      <c r="AX14" s="423">
        <f t="shared" si="8"/>
        <v>1</v>
      </c>
      <c r="AY14" s="425">
        <f t="shared" si="9"/>
        <v>0</v>
      </c>
    </row>
    <row r="15" spans="1:51" ht="13.9">
      <c r="A15" s="408"/>
      <c r="B15" s="411" t="s">
        <v>251</v>
      </c>
      <c r="C15" s="412">
        <v>2019</v>
      </c>
      <c r="D15" s="420">
        <v>219590</v>
      </c>
      <c r="E15" s="421">
        <f t="shared" si="10"/>
        <v>3149</v>
      </c>
      <c r="F15" s="422">
        <v>2181</v>
      </c>
      <c r="G15" s="423">
        <v>1844</v>
      </c>
      <c r="H15" s="423">
        <v>0</v>
      </c>
      <c r="I15" s="423">
        <v>337</v>
      </c>
      <c r="J15" s="424">
        <v>0</v>
      </c>
      <c r="K15" s="422">
        <v>968</v>
      </c>
      <c r="L15" s="423">
        <v>644</v>
      </c>
      <c r="M15" s="423">
        <v>0</v>
      </c>
      <c r="N15" s="423">
        <v>306</v>
      </c>
      <c r="O15" s="425">
        <v>18</v>
      </c>
      <c r="P15" s="526">
        <v>406</v>
      </c>
      <c r="Q15" s="423">
        <f t="shared" si="11"/>
        <v>3</v>
      </c>
      <c r="R15" s="422">
        <v>0</v>
      </c>
      <c r="S15" s="423">
        <v>0</v>
      </c>
      <c r="T15" s="423">
        <v>0</v>
      </c>
      <c r="U15" s="423">
        <v>0</v>
      </c>
      <c r="V15" s="424">
        <v>0</v>
      </c>
      <c r="W15" s="422">
        <v>3</v>
      </c>
      <c r="X15" s="423">
        <v>3</v>
      </c>
      <c r="Y15" s="423">
        <v>0</v>
      </c>
      <c r="Z15" s="423">
        <v>0</v>
      </c>
      <c r="AA15" s="425">
        <v>0</v>
      </c>
      <c r="AB15" s="526">
        <v>42</v>
      </c>
      <c r="AC15" s="423">
        <f t="shared" si="12"/>
        <v>0</v>
      </c>
      <c r="AD15" s="422">
        <v>0</v>
      </c>
      <c r="AE15" s="423">
        <v>0</v>
      </c>
      <c r="AF15" s="423">
        <v>0</v>
      </c>
      <c r="AG15" s="423">
        <v>0</v>
      </c>
      <c r="AH15" s="424">
        <v>0</v>
      </c>
      <c r="AI15" s="422">
        <v>0</v>
      </c>
      <c r="AJ15" s="423">
        <v>0</v>
      </c>
      <c r="AK15" s="423">
        <v>0</v>
      </c>
      <c r="AL15" s="423">
        <v>0</v>
      </c>
      <c r="AM15" s="425">
        <v>0</v>
      </c>
      <c r="AO15" s="421">
        <f t="shared" si="13"/>
        <v>3</v>
      </c>
      <c r="AP15" s="422">
        <f t="shared" si="0"/>
        <v>0</v>
      </c>
      <c r="AQ15" s="423">
        <f t="shared" si="1"/>
        <v>0</v>
      </c>
      <c r="AR15" s="423">
        <f t="shared" si="2"/>
        <v>0</v>
      </c>
      <c r="AS15" s="423">
        <f t="shared" si="3"/>
        <v>0</v>
      </c>
      <c r="AT15" s="424">
        <f t="shared" si="4"/>
        <v>0</v>
      </c>
      <c r="AU15" s="422">
        <f t="shared" si="5"/>
        <v>3</v>
      </c>
      <c r="AV15" s="423">
        <f t="shared" si="6"/>
        <v>3</v>
      </c>
      <c r="AW15" s="423">
        <f t="shared" si="7"/>
        <v>0</v>
      </c>
      <c r="AX15" s="423">
        <f t="shared" si="8"/>
        <v>0</v>
      </c>
      <c r="AY15" s="425">
        <f t="shared" si="9"/>
        <v>0</v>
      </c>
    </row>
    <row r="16" spans="1:51" ht="13.9">
      <c r="A16" s="408"/>
      <c r="B16" s="411" t="s">
        <v>252</v>
      </c>
      <c r="C16" s="412">
        <v>2019</v>
      </c>
      <c r="D16" s="420">
        <v>184737</v>
      </c>
      <c r="E16" s="421">
        <f t="shared" si="10"/>
        <v>2278</v>
      </c>
      <c r="F16" s="422">
        <v>1539</v>
      </c>
      <c r="G16" s="423">
        <v>1194</v>
      </c>
      <c r="H16" s="423">
        <v>0</v>
      </c>
      <c r="I16" s="423">
        <v>345</v>
      </c>
      <c r="J16" s="424">
        <v>0</v>
      </c>
      <c r="K16" s="422">
        <v>739</v>
      </c>
      <c r="L16" s="423">
        <v>442</v>
      </c>
      <c r="M16" s="423">
        <v>0</v>
      </c>
      <c r="N16" s="423">
        <v>284</v>
      </c>
      <c r="O16" s="425">
        <v>13</v>
      </c>
      <c r="P16" s="526">
        <v>269</v>
      </c>
      <c r="Q16" s="423">
        <f t="shared" si="11"/>
        <v>2</v>
      </c>
      <c r="R16" s="422">
        <v>0</v>
      </c>
      <c r="S16" s="423">
        <v>0</v>
      </c>
      <c r="T16" s="423">
        <v>0</v>
      </c>
      <c r="U16" s="423">
        <v>0</v>
      </c>
      <c r="V16" s="424">
        <v>0</v>
      </c>
      <c r="W16" s="422">
        <v>2</v>
      </c>
      <c r="X16" s="423">
        <v>0</v>
      </c>
      <c r="Y16" s="423">
        <v>0</v>
      </c>
      <c r="Z16" s="423">
        <v>2</v>
      </c>
      <c r="AA16" s="425">
        <v>0</v>
      </c>
      <c r="AB16" s="526">
        <v>26</v>
      </c>
      <c r="AC16" s="423">
        <f t="shared" si="12"/>
        <v>0</v>
      </c>
      <c r="AD16" s="422">
        <v>0</v>
      </c>
      <c r="AE16" s="423">
        <v>0</v>
      </c>
      <c r="AF16" s="423">
        <v>0</v>
      </c>
      <c r="AG16" s="423">
        <v>0</v>
      </c>
      <c r="AH16" s="424">
        <v>0</v>
      </c>
      <c r="AI16" s="422">
        <v>0</v>
      </c>
      <c r="AJ16" s="423">
        <v>0</v>
      </c>
      <c r="AK16" s="423">
        <v>0</v>
      </c>
      <c r="AL16" s="423">
        <v>0</v>
      </c>
      <c r="AM16" s="425">
        <v>0</v>
      </c>
      <c r="AO16" s="421">
        <f t="shared" si="13"/>
        <v>2</v>
      </c>
      <c r="AP16" s="422">
        <f t="shared" si="0"/>
        <v>0</v>
      </c>
      <c r="AQ16" s="423">
        <f t="shared" si="1"/>
        <v>0</v>
      </c>
      <c r="AR16" s="423">
        <f t="shared" si="2"/>
        <v>0</v>
      </c>
      <c r="AS16" s="423">
        <f t="shared" si="3"/>
        <v>0</v>
      </c>
      <c r="AT16" s="424">
        <f t="shared" si="4"/>
        <v>0</v>
      </c>
      <c r="AU16" s="422">
        <f t="shared" si="5"/>
        <v>2</v>
      </c>
      <c r="AV16" s="423">
        <f t="shared" si="6"/>
        <v>0</v>
      </c>
      <c r="AW16" s="423">
        <f t="shared" si="7"/>
        <v>0</v>
      </c>
      <c r="AX16" s="423">
        <f t="shared" si="8"/>
        <v>2</v>
      </c>
      <c r="AY16" s="425">
        <f t="shared" si="9"/>
        <v>0</v>
      </c>
    </row>
    <row r="17" spans="1:51" ht="13.9">
      <c r="A17" s="408"/>
      <c r="B17" s="411" t="s">
        <v>253</v>
      </c>
      <c r="C17" s="412">
        <v>2020</v>
      </c>
      <c r="D17" s="420">
        <v>139080</v>
      </c>
      <c r="E17" s="421">
        <f t="shared" si="10"/>
        <v>1712</v>
      </c>
      <c r="F17" s="422">
        <v>1184</v>
      </c>
      <c r="G17" s="423">
        <v>740</v>
      </c>
      <c r="H17" s="423">
        <v>0</v>
      </c>
      <c r="I17" s="423">
        <v>444</v>
      </c>
      <c r="J17" s="424">
        <v>0</v>
      </c>
      <c r="K17" s="422">
        <v>528</v>
      </c>
      <c r="L17" s="423">
        <v>253</v>
      </c>
      <c r="M17" s="423">
        <v>0</v>
      </c>
      <c r="N17" s="423">
        <v>234</v>
      </c>
      <c r="O17" s="425">
        <v>41</v>
      </c>
      <c r="P17" s="526">
        <v>251</v>
      </c>
      <c r="Q17" s="423">
        <f t="shared" si="11"/>
        <v>4</v>
      </c>
      <c r="R17" s="422">
        <v>0</v>
      </c>
      <c r="S17" s="423">
        <v>0</v>
      </c>
      <c r="T17" s="423">
        <v>0</v>
      </c>
      <c r="U17" s="423">
        <v>0</v>
      </c>
      <c r="V17" s="424">
        <v>0</v>
      </c>
      <c r="W17" s="422">
        <v>4</v>
      </c>
      <c r="X17" s="423">
        <v>2</v>
      </c>
      <c r="Y17" s="423">
        <v>0</v>
      </c>
      <c r="Z17" s="423">
        <v>1</v>
      </c>
      <c r="AA17" s="425">
        <v>1</v>
      </c>
      <c r="AB17" s="526">
        <v>16</v>
      </c>
      <c r="AC17" s="423">
        <f t="shared" si="12"/>
        <v>0</v>
      </c>
      <c r="AD17" s="422">
        <v>0</v>
      </c>
      <c r="AE17" s="423">
        <v>0</v>
      </c>
      <c r="AF17" s="423">
        <v>0</v>
      </c>
      <c r="AG17" s="423">
        <v>0</v>
      </c>
      <c r="AH17" s="424">
        <v>0</v>
      </c>
      <c r="AI17" s="422">
        <v>0</v>
      </c>
      <c r="AJ17" s="423">
        <v>0</v>
      </c>
      <c r="AK17" s="423">
        <v>0</v>
      </c>
      <c r="AL17" s="423">
        <v>0</v>
      </c>
      <c r="AM17" s="425">
        <v>0</v>
      </c>
      <c r="AO17" s="421">
        <f t="shared" si="13"/>
        <v>4</v>
      </c>
      <c r="AP17" s="422">
        <f t="shared" si="0"/>
        <v>0</v>
      </c>
      <c r="AQ17" s="423">
        <f t="shared" si="1"/>
        <v>0</v>
      </c>
      <c r="AR17" s="423">
        <f t="shared" si="2"/>
        <v>0</v>
      </c>
      <c r="AS17" s="423">
        <f t="shared" si="3"/>
        <v>0</v>
      </c>
      <c r="AT17" s="424">
        <f t="shared" si="4"/>
        <v>0</v>
      </c>
      <c r="AU17" s="422">
        <f t="shared" si="5"/>
        <v>4</v>
      </c>
      <c r="AV17" s="423">
        <f t="shared" si="6"/>
        <v>2</v>
      </c>
      <c r="AW17" s="423">
        <f t="shared" si="7"/>
        <v>0</v>
      </c>
      <c r="AX17" s="423">
        <f t="shared" si="8"/>
        <v>1</v>
      </c>
      <c r="AY17" s="425">
        <f t="shared" si="9"/>
        <v>1</v>
      </c>
    </row>
    <row r="18" spans="1:51" ht="13.9">
      <c r="A18" s="408"/>
      <c r="B18" s="411" t="s">
        <v>254</v>
      </c>
      <c r="C18" s="412">
        <v>2020</v>
      </c>
      <c r="D18" s="420">
        <v>109197</v>
      </c>
      <c r="E18" s="421">
        <f t="shared" si="10"/>
        <v>1761</v>
      </c>
      <c r="F18" s="422">
        <v>1337</v>
      </c>
      <c r="G18" s="423">
        <v>1122</v>
      </c>
      <c r="H18" s="423">
        <v>0</v>
      </c>
      <c r="I18" s="423">
        <v>215</v>
      </c>
      <c r="J18" s="424">
        <v>0</v>
      </c>
      <c r="K18" s="422">
        <v>424</v>
      </c>
      <c r="L18" s="423">
        <v>210</v>
      </c>
      <c r="M18" s="423">
        <v>0</v>
      </c>
      <c r="N18" s="423">
        <v>192</v>
      </c>
      <c r="O18" s="425">
        <v>22</v>
      </c>
      <c r="P18" s="526">
        <v>211</v>
      </c>
      <c r="Q18" s="423">
        <f t="shared" si="11"/>
        <v>1</v>
      </c>
      <c r="R18" s="422">
        <v>1</v>
      </c>
      <c r="S18" s="423">
        <v>0</v>
      </c>
      <c r="T18" s="423">
        <v>0</v>
      </c>
      <c r="U18" s="423">
        <v>1</v>
      </c>
      <c r="V18" s="424">
        <v>0</v>
      </c>
      <c r="W18" s="422">
        <v>0</v>
      </c>
      <c r="X18" s="423">
        <v>0</v>
      </c>
      <c r="Y18" s="423">
        <v>0</v>
      </c>
      <c r="Z18" s="423">
        <v>0</v>
      </c>
      <c r="AA18" s="425">
        <v>0</v>
      </c>
      <c r="AB18" s="526">
        <v>19</v>
      </c>
      <c r="AC18" s="423">
        <f t="shared" si="12"/>
        <v>0</v>
      </c>
      <c r="AD18" s="422">
        <v>0</v>
      </c>
      <c r="AE18" s="423">
        <v>0</v>
      </c>
      <c r="AF18" s="423">
        <v>0</v>
      </c>
      <c r="AG18" s="423">
        <v>0</v>
      </c>
      <c r="AH18" s="424">
        <v>0</v>
      </c>
      <c r="AI18" s="422">
        <v>0</v>
      </c>
      <c r="AJ18" s="423">
        <v>0</v>
      </c>
      <c r="AK18" s="423">
        <v>0</v>
      </c>
      <c r="AL18" s="423">
        <v>0</v>
      </c>
      <c r="AM18" s="425">
        <v>0</v>
      </c>
      <c r="AO18" s="421">
        <f t="shared" si="13"/>
        <v>1</v>
      </c>
      <c r="AP18" s="422">
        <f t="shared" si="0"/>
        <v>1</v>
      </c>
      <c r="AQ18" s="423">
        <f t="shared" si="1"/>
        <v>0</v>
      </c>
      <c r="AR18" s="423">
        <f t="shared" si="2"/>
        <v>0</v>
      </c>
      <c r="AS18" s="423">
        <f t="shared" si="3"/>
        <v>1</v>
      </c>
      <c r="AT18" s="424">
        <f t="shared" si="4"/>
        <v>0</v>
      </c>
      <c r="AU18" s="422">
        <f t="shared" si="5"/>
        <v>0</v>
      </c>
      <c r="AV18" s="423">
        <f t="shared" si="6"/>
        <v>0</v>
      </c>
      <c r="AW18" s="423">
        <f t="shared" si="7"/>
        <v>0</v>
      </c>
      <c r="AX18" s="423">
        <f t="shared" si="8"/>
        <v>0</v>
      </c>
      <c r="AY18" s="425">
        <f t="shared" si="9"/>
        <v>0</v>
      </c>
    </row>
    <row r="19" spans="1:51" ht="13.9">
      <c r="A19" s="408"/>
      <c r="B19" s="411" t="s">
        <v>255</v>
      </c>
      <c r="C19" s="412">
        <v>2020</v>
      </c>
      <c r="D19" s="420">
        <v>198406</v>
      </c>
      <c r="E19" s="421">
        <f t="shared" si="10"/>
        <v>3568</v>
      </c>
      <c r="F19" s="422">
        <v>2807</v>
      </c>
      <c r="G19" s="423">
        <v>1479</v>
      </c>
      <c r="H19" s="423">
        <v>0</v>
      </c>
      <c r="I19" s="423">
        <v>1328</v>
      </c>
      <c r="J19" s="424">
        <v>0</v>
      </c>
      <c r="K19" s="422">
        <v>761</v>
      </c>
      <c r="L19" s="423">
        <v>324</v>
      </c>
      <c r="M19" s="423">
        <v>0</v>
      </c>
      <c r="N19" s="423">
        <v>405</v>
      </c>
      <c r="O19" s="425">
        <v>32</v>
      </c>
      <c r="P19" s="526">
        <v>345</v>
      </c>
      <c r="Q19" s="423">
        <f t="shared" si="11"/>
        <v>1</v>
      </c>
      <c r="R19" s="422">
        <v>1</v>
      </c>
      <c r="S19" s="423">
        <v>1</v>
      </c>
      <c r="T19" s="423">
        <v>0</v>
      </c>
      <c r="U19" s="423">
        <v>0</v>
      </c>
      <c r="V19" s="424">
        <v>0</v>
      </c>
      <c r="W19" s="422">
        <v>0</v>
      </c>
      <c r="X19" s="423">
        <v>0</v>
      </c>
      <c r="Y19" s="423">
        <v>0</v>
      </c>
      <c r="Z19" s="423">
        <v>0</v>
      </c>
      <c r="AA19" s="425">
        <v>0</v>
      </c>
      <c r="AB19" s="526">
        <v>41</v>
      </c>
      <c r="AC19" s="423">
        <f t="shared" si="12"/>
        <v>0</v>
      </c>
      <c r="AD19" s="422">
        <v>0</v>
      </c>
      <c r="AE19" s="423">
        <v>0</v>
      </c>
      <c r="AF19" s="423">
        <v>0</v>
      </c>
      <c r="AG19" s="423">
        <v>0</v>
      </c>
      <c r="AH19" s="424">
        <v>0</v>
      </c>
      <c r="AI19" s="422">
        <v>0</v>
      </c>
      <c r="AJ19" s="423">
        <v>0</v>
      </c>
      <c r="AK19" s="423">
        <v>0</v>
      </c>
      <c r="AL19" s="423">
        <v>0</v>
      </c>
      <c r="AM19" s="425">
        <v>0</v>
      </c>
      <c r="AO19" s="421">
        <f t="shared" si="13"/>
        <v>1</v>
      </c>
      <c r="AP19" s="422">
        <f t="shared" si="0"/>
        <v>1</v>
      </c>
      <c r="AQ19" s="423">
        <f t="shared" si="1"/>
        <v>1</v>
      </c>
      <c r="AR19" s="423">
        <f t="shared" si="2"/>
        <v>0</v>
      </c>
      <c r="AS19" s="423">
        <f t="shared" si="3"/>
        <v>0</v>
      </c>
      <c r="AT19" s="424">
        <f t="shared" si="4"/>
        <v>0</v>
      </c>
      <c r="AU19" s="422">
        <f t="shared" si="5"/>
        <v>0</v>
      </c>
      <c r="AV19" s="423">
        <f t="shared" si="6"/>
        <v>0</v>
      </c>
      <c r="AW19" s="423">
        <f t="shared" si="7"/>
        <v>0</v>
      </c>
      <c r="AX19" s="423">
        <f t="shared" si="8"/>
        <v>0</v>
      </c>
      <c r="AY19" s="425">
        <f t="shared" si="9"/>
        <v>0</v>
      </c>
    </row>
    <row r="20" spans="1:51" ht="13.9">
      <c r="A20" s="408"/>
      <c r="B20" s="411" t="s">
        <v>256</v>
      </c>
      <c r="C20" s="412">
        <v>2020</v>
      </c>
      <c r="D20" s="420">
        <v>153874</v>
      </c>
      <c r="E20" s="421">
        <f t="shared" ref="E20:E40" si="14">F20+K20</f>
        <v>3476</v>
      </c>
      <c r="F20" s="422">
        <v>2833</v>
      </c>
      <c r="G20" s="423">
        <v>1358</v>
      </c>
      <c r="H20" s="423">
        <v>0</v>
      </c>
      <c r="I20" s="423">
        <v>1475</v>
      </c>
      <c r="J20" s="424">
        <v>0</v>
      </c>
      <c r="K20" s="422">
        <v>643</v>
      </c>
      <c r="L20" s="423">
        <v>219</v>
      </c>
      <c r="M20" s="423">
        <v>0</v>
      </c>
      <c r="N20" s="423">
        <v>384</v>
      </c>
      <c r="O20" s="425">
        <v>40</v>
      </c>
      <c r="P20" s="526">
        <v>285</v>
      </c>
      <c r="Q20" s="423">
        <f t="shared" si="11"/>
        <v>2</v>
      </c>
      <c r="R20" s="422">
        <v>2</v>
      </c>
      <c r="S20" s="423">
        <v>0</v>
      </c>
      <c r="T20" s="423">
        <v>0</v>
      </c>
      <c r="U20" s="423">
        <v>2</v>
      </c>
      <c r="V20" s="424">
        <v>0</v>
      </c>
      <c r="W20" s="422">
        <v>0</v>
      </c>
      <c r="X20" s="423">
        <v>0</v>
      </c>
      <c r="Y20" s="423">
        <v>0</v>
      </c>
      <c r="Z20" s="423">
        <v>0</v>
      </c>
      <c r="AA20" s="425">
        <v>0</v>
      </c>
      <c r="AB20" s="526">
        <v>28</v>
      </c>
      <c r="AC20" s="423">
        <f t="shared" si="12"/>
        <v>0</v>
      </c>
      <c r="AD20" s="422">
        <v>0</v>
      </c>
      <c r="AE20" s="423">
        <v>0</v>
      </c>
      <c r="AF20" s="423">
        <v>0</v>
      </c>
      <c r="AG20" s="423">
        <v>0</v>
      </c>
      <c r="AH20" s="424">
        <v>0</v>
      </c>
      <c r="AI20" s="422">
        <v>0</v>
      </c>
      <c r="AJ20" s="423">
        <v>0</v>
      </c>
      <c r="AK20" s="423">
        <v>0</v>
      </c>
      <c r="AL20" s="423">
        <v>0</v>
      </c>
      <c r="AM20" s="425">
        <v>0</v>
      </c>
      <c r="AO20" s="421">
        <f t="shared" si="13"/>
        <v>2</v>
      </c>
      <c r="AP20" s="422">
        <f t="shared" si="0"/>
        <v>2</v>
      </c>
      <c r="AQ20" s="423">
        <f t="shared" si="1"/>
        <v>0</v>
      </c>
      <c r="AR20" s="423">
        <f t="shared" si="2"/>
        <v>0</v>
      </c>
      <c r="AS20" s="423">
        <f t="shared" si="3"/>
        <v>2</v>
      </c>
      <c r="AT20" s="424">
        <f t="shared" si="4"/>
        <v>0</v>
      </c>
      <c r="AU20" s="422">
        <f t="shared" si="5"/>
        <v>0</v>
      </c>
      <c r="AV20" s="423">
        <f t="shared" si="6"/>
        <v>0</v>
      </c>
      <c r="AW20" s="423">
        <f t="shared" si="7"/>
        <v>0</v>
      </c>
      <c r="AX20" s="423">
        <f t="shared" si="8"/>
        <v>0</v>
      </c>
      <c r="AY20" s="425">
        <f t="shared" si="9"/>
        <v>0</v>
      </c>
    </row>
    <row r="21" spans="1:51" ht="13.9">
      <c r="A21" s="408"/>
      <c r="B21" s="411" t="s">
        <v>257</v>
      </c>
      <c r="C21" s="412">
        <v>2021</v>
      </c>
      <c r="D21" s="420">
        <v>141819</v>
      </c>
      <c r="E21" s="421">
        <f t="shared" si="14"/>
        <v>3362</v>
      </c>
      <c r="F21" s="422">
        <v>2600</v>
      </c>
      <c r="G21" s="423">
        <v>1018</v>
      </c>
      <c r="H21" s="423">
        <v>0</v>
      </c>
      <c r="I21" s="423">
        <v>1582</v>
      </c>
      <c r="J21" s="424">
        <v>0</v>
      </c>
      <c r="K21" s="422">
        <v>762</v>
      </c>
      <c r="L21" s="423">
        <v>183</v>
      </c>
      <c r="M21" s="423">
        <v>0</v>
      </c>
      <c r="N21" s="423">
        <v>512</v>
      </c>
      <c r="O21" s="425">
        <v>67</v>
      </c>
      <c r="P21" s="526">
        <v>261</v>
      </c>
      <c r="Q21" s="423">
        <f t="shared" si="11"/>
        <v>5</v>
      </c>
      <c r="R21" s="422">
        <v>5</v>
      </c>
      <c r="S21" s="423">
        <v>2</v>
      </c>
      <c r="T21" s="423">
        <v>0</v>
      </c>
      <c r="U21" s="423">
        <v>3</v>
      </c>
      <c r="V21" s="424">
        <v>0</v>
      </c>
      <c r="W21" s="422">
        <v>0</v>
      </c>
      <c r="X21" s="423">
        <v>0</v>
      </c>
      <c r="Y21" s="423">
        <v>0</v>
      </c>
      <c r="Z21" s="423">
        <v>0</v>
      </c>
      <c r="AA21" s="425">
        <v>0</v>
      </c>
      <c r="AB21" s="526">
        <v>25</v>
      </c>
      <c r="AC21" s="423">
        <f t="shared" si="12"/>
        <v>0</v>
      </c>
      <c r="AD21" s="422">
        <v>0</v>
      </c>
      <c r="AE21" s="423">
        <v>0</v>
      </c>
      <c r="AF21" s="423">
        <v>0</v>
      </c>
      <c r="AG21" s="423">
        <v>0</v>
      </c>
      <c r="AH21" s="424">
        <v>0</v>
      </c>
      <c r="AI21" s="422">
        <v>0</v>
      </c>
      <c r="AJ21" s="423">
        <v>0</v>
      </c>
      <c r="AK21" s="423">
        <v>0</v>
      </c>
      <c r="AL21" s="423">
        <v>0</v>
      </c>
      <c r="AM21" s="425">
        <v>0</v>
      </c>
      <c r="AO21" s="421">
        <f t="shared" si="13"/>
        <v>5</v>
      </c>
      <c r="AP21" s="422">
        <f t="shared" si="0"/>
        <v>5</v>
      </c>
      <c r="AQ21" s="423">
        <f t="shared" si="1"/>
        <v>2</v>
      </c>
      <c r="AR21" s="423">
        <f t="shared" si="2"/>
        <v>0</v>
      </c>
      <c r="AS21" s="423">
        <f t="shared" si="3"/>
        <v>3</v>
      </c>
      <c r="AT21" s="424">
        <f t="shared" si="4"/>
        <v>0</v>
      </c>
      <c r="AU21" s="422">
        <f t="shared" si="5"/>
        <v>0</v>
      </c>
      <c r="AV21" s="423">
        <f t="shared" si="6"/>
        <v>0</v>
      </c>
      <c r="AW21" s="423">
        <f t="shared" si="7"/>
        <v>0</v>
      </c>
      <c r="AX21" s="423">
        <f t="shared" si="8"/>
        <v>0</v>
      </c>
      <c r="AY21" s="425">
        <f t="shared" si="9"/>
        <v>0</v>
      </c>
    </row>
    <row r="22" spans="1:51" ht="13.9">
      <c r="A22" s="408"/>
      <c r="B22" s="411" t="s">
        <v>258</v>
      </c>
      <c r="C22" s="412">
        <v>2021</v>
      </c>
      <c r="D22" s="420">
        <v>180181</v>
      </c>
      <c r="E22" s="421">
        <f t="shared" si="14"/>
        <v>5148</v>
      </c>
      <c r="F22" s="422">
        <v>3762</v>
      </c>
      <c r="G22" s="423">
        <v>1702</v>
      </c>
      <c r="H22" s="423">
        <v>0</v>
      </c>
      <c r="I22" s="423">
        <v>2060</v>
      </c>
      <c r="J22" s="424">
        <v>0</v>
      </c>
      <c r="K22" s="422">
        <v>1386</v>
      </c>
      <c r="L22" s="423">
        <v>267</v>
      </c>
      <c r="M22" s="423">
        <v>0</v>
      </c>
      <c r="N22" s="423">
        <v>1063</v>
      </c>
      <c r="O22" s="425">
        <v>56</v>
      </c>
      <c r="P22" s="526">
        <v>375</v>
      </c>
      <c r="Q22" s="423">
        <f t="shared" si="11"/>
        <v>2</v>
      </c>
      <c r="R22" s="422">
        <v>2</v>
      </c>
      <c r="S22" s="423">
        <v>1</v>
      </c>
      <c r="T22" s="423">
        <v>0</v>
      </c>
      <c r="U22" s="423">
        <v>1</v>
      </c>
      <c r="V22" s="424">
        <v>0</v>
      </c>
      <c r="W22" s="422">
        <v>0</v>
      </c>
      <c r="X22" s="423">
        <v>0</v>
      </c>
      <c r="Y22" s="423">
        <v>0</v>
      </c>
      <c r="Z22" s="423">
        <v>0</v>
      </c>
      <c r="AA22" s="425">
        <v>0</v>
      </c>
      <c r="AB22" s="526">
        <v>42</v>
      </c>
      <c r="AC22" s="423">
        <f t="shared" si="12"/>
        <v>0</v>
      </c>
      <c r="AD22" s="422">
        <v>0</v>
      </c>
      <c r="AE22" s="423">
        <v>0</v>
      </c>
      <c r="AF22" s="423">
        <v>0</v>
      </c>
      <c r="AG22" s="423">
        <v>0</v>
      </c>
      <c r="AH22" s="424">
        <v>0</v>
      </c>
      <c r="AI22" s="422">
        <v>0</v>
      </c>
      <c r="AJ22" s="423">
        <v>0</v>
      </c>
      <c r="AK22" s="423">
        <v>0</v>
      </c>
      <c r="AL22" s="423">
        <v>0</v>
      </c>
      <c r="AM22" s="425">
        <v>0</v>
      </c>
      <c r="AO22" s="421">
        <f t="shared" si="13"/>
        <v>2</v>
      </c>
      <c r="AP22" s="422">
        <f t="shared" si="0"/>
        <v>2</v>
      </c>
      <c r="AQ22" s="423">
        <f t="shared" si="1"/>
        <v>1</v>
      </c>
      <c r="AR22" s="423">
        <f t="shared" si="2"/>
        <v>0</v>
      </c>
      <c r="AS22" s="423">
        <f t="shared" si="3"/>
        <v>1</v>
      </c>
      <c r="AT22" s="424">
        <f t="shared" si="4"/>
        <v>0</v>
      </c>
      <c r="AU22" s="422">
        <f t="shared" si="5"/>
        <v>0</v>
      </c>
      <c r="AV22" s="423">
        <f t="shared" si="6"/>
        <v>0</v>
      </c>
      <c r="AW22" s="423">
        <f t="shared" si="7"/>
        <v>0</v>
      </c>
      <c r="AX22" s="423">
        <f t="shared" si="8"/>
        <v>0</v>
      </c>
      <c r="AY22" s="425">
        <f t="shared" si="9"/>
        <v>0</v>
      </c>
    </row>
    <row r="23" spans="1:51" ht="13.9">
      <c r="A23" s="408"/>
      <c r="B23" s="411" t="s">
        <v>259</v>
      </c>
      <c r="C23" s="412">
        <v>2021</v>
      </c>
      <c r="D23" s="420">
        <v>174638</v>
      </c>
      <c r="E23" s="421">
        <f t="shared" si="14"/>
        <v>5171</v>
      </c>
      <c r="F23" s="422">
        <v>3672</v>
      </c>
      <c r="G23" s="423">
        <v>2018</v>
      </c>
      <c r="H23" s="423">
        <v>0</v>
      </c>
      <c r="I23" s="423">
        <v>1654</v>
      </c>
      <c r="J23" s="424">
        <v>0</v>
      </c>
      <c r="K23" s="422">
        <v>1499</v>
      </c>
      <c r="L23" s="423">
        <v>382</v>
      </c>
      <c r="M23" s="423">
        <v>0</v>
      </c>
      <c r="N23" s="423">
        <v>987</v>
      </c>
      <c r="O23" s="425">
        <v>130</v>
      </c>
      <c r="P23" s="526">
        <v>367</v>
      </c>
      <c r="Q23" s="423">
        <f t="shared" ref="Q23:Q40" si="15">R23+W23</f>
        <v>4</v>
      </c>
      <c r="R23" s="422">
        <v>2</v>
      </c>
      <c r="S23" s="423">
        <v>1</v>
      </c>
      <c r="T23" s="423">
        <v>0</v>
      </c>
      <c r="U23" s="423">
        <v>1</v>
      </c>
      <c r="V23" s="424">
        <v>0</v>
      </c>
      <c r="W23" s="422">
        <v>2</v>
      </c>
      <c r="X23" s="423">
        <v>0</v>
      </c>
      <c r="Y23" s="423">
        <v>0</v>
      </c>
      <c r="Z23" s="423">
        <v>2</v>
      </c>
      <c r="AA23" s="425">
        <v>0</v>
      </c>
      <c r="AB23" s="526">
        <v>39</v>
      </c>
      <c r="AC23" s="423">
        <f t="shared" ref="AC23:AC40" si="16">AD23+AI23</f>
        <v>0</v>
      </c>
      <c r="AD23" s="422">
        <v>0</v>
      </c>
      <c r="AE23" s="423">
        <v>0</v>
      </c>
      <c r="AF23" s="423">
        <v>0</v>
      </c>
      <c r="AG23" s="423">
        <v>0</v>
      </c>
      <c r="AH23" s="424">
        <v>0</v>
      </c>
      <c r="AI23" s="422">
        <v>0</v>
      </c>
      <c r="AJ23" s="423">
        <v>0</v>
      </c>
      <c r="AK23" s="423">
        <v>0</v>
      </c>
      <c r="AL23" s="423">
        <v>0</v>
      </c>
      <c r="AM23" s="425">
        <v>0</v>
      </c>
      <c r="AO23" s="421">
        <f t="shared" si="13"/>
        <v>4</v>
      </c>
      <c r="AP23" s="422">
        <f t="shared" si="0"/>
        <v>2</v>
      </c>
      <c r="AQ23" s="423">
        <f t="shared" si="1"/>
        <v>1</v>
      </c>
      <c r="AR23" s="423">
        <f t="shared" si="2"/>
        <v>0</v>
      </c>
      <c r="AS23" s="423">
        <f t="shared" si="3"/>
        <v>1</v>
      </c>
      <c r="AT23" s="424">
        <f t="shared" si="4"/>
        <v>0</v>
      </c>
      <c r="AU23" s="422">
        <f t="shared" si="5"/>
        <v>2</v>
      </c>
      <c r="AV23" s="423">
        <f t="shared" si="6"/>
        <v>0</v>
      </c>
      <c r="AW23" s="423">
        <f t="shared" si="7"/>
        <v>0</v>
      </c>
      <c r="AX23" s="423">
        <f t="shared" si="8"/>
        <v>2</v>
      </c>
      <c r="AY23" s="425">
        <f t="shared" si="9"/>
        <v>0</v>
      </c>
    </row>
    <row r="24" spans="1:51" ht="13.9">
      <c r="A24" s="408"/>
      <c r="B24" s="411" t="s">
        <v>260</v>
      </c>
      <c r="C24" s="412">
        <v>2021</v>
      </c>
      <c r="D24" s="420">
        <v>130630</v>
      </c>
      <c r="E24" s="421">
        <f t="shared" si="14"/>
        <v>6129</v>
      </c>
      <c r="F24" s="422">
        <v>4787</v>
      </c>
      <c r="G24" s="423">
        <v>2342</v>
      </c>
      <c r="H24" s="423">
        <v>0</v>
      </c>
      <c r="I24" s="423">
        <v>2445</v>
      </c>
      <c r="J24" s="424">
        <v>0</v>
      </c>
      <c r="K24" s="422">
        <v>1342</v>
      </c>
      <c r="L24" s="423">
        <v>199</v>
      </c>
      <c r="M24" s="423">
        <v>0</v>
      </c>
      <c r="N24" s="423">
        <v>1114</v>
      </c>
      <c r="O24" s="425">
        <v>29</v>
      </c>
      <c r="P24" s="526">
        <v>245</v>
      </c>
      <c r="Q24" s="423">
        <f t="shared" si="15"/>
        <v>2</v>
      </c>
      <c r="R24" s="422">
        <v>1</v>
      </c>
      <c r="S24" s="423">
        <v>1</v>
      </c>
      <c r="T24" s="423">
        <v>0</v>
      </c>
      <c r="U24" s="423">
        <v>0</v>
      </c>
      <c r="V24" s="424">
        <v>0</v>
      </c>
      <c r="W24" s="422">
        <v>1</v>
      </c>
      <c r="X24" s="423">
        <v>0</v>
      </c>
      <c r="Y24" s="423">
        <v>0</v>
      </c>
      <c r="Z24" s="423">
        <v>1</v>
      </c>
      <c r="AA24" s="425">
        <v>0</v>
      </c>
      <c r="AB24" s="526">
        <v>23</v>
      </c>
      <c r="AC24" s="423">
        <f t="shared" si="16"/>
        <v>0</v>
      </c>
      <c r="AD24" s="422">
        <v>0</v>
      </c>
      <c r="AE24" s="423">
        <v>0</v>
      </c>
      <c r="AF24" s="423">
        <v>0</v>
      </c>
      <c r="AG24" s="423">
        <v>0</v>
      </c>
      <c r="AH24" s="424">
        <v>0</v>
      </c>
      <c r="AI24" s="422">
        <v>0</v>
      </c>
      <c r="AJ24" s="423">
        <v>0</v>
      </c>
      <c r="AK24" s="423">
        <v>0</v>
      </c>
      <c r="AL24" s="423">
        <v>0</v>
      </c>
      <c r="AM24" s="425">
        <v>0</v>
      </c>
      <c r="AO24" s="421">
        <f t="shared" si="13"/>
        <v>2</v>
      </c>
      <c r="AP24" s="422">
        <f t="shared" si="0"/>
        <v>1</v>
      </c>
      <c r="AQ24" s="423">
        <f t="shared" si="1"/>
        <v>1</v>
      </c>
      <c r="AR24" s="423">
        <f t="shared" si="2"/>
        <v>0</v>
      </c>
      <c r="AS24" s="423">
        <f t="shared" si="3"/>
        <v>0</v>
      </c>
      <c r="AT24" s="424">
        <f t="shared" si="4"/>
        <v>0</v>
      </c>
      <c r="AU24" s="422">
        <f t="shared" si="5"/>
        <v>1</v>
      </c>
      <c r="AV24" s="423">
        <f t="shared" si="6"/>
        <v>0</v>
      </c>
      <c r="AW24" s="423">
        <f t="shared" si="7"/>
        <v>0</v>
      </c>
      <c r="AX24" s="423">
        <f t="shared" si="8"/>
        <v>1</v>
      </c>
      <c r="AY24" s="425">
        <f t="shared" si="9"/>
        <v>0</v>
      </c>
    </row>
    <row r="25" spans="1:51" ht="13.9">
      <c r="A25" s="408"/>
      <c r="B25" s="411" t="s">
        <v>261</v>
      </c>
      <c r="C25" s="412">
        <v>2022</v>
      </c>
      <c r="D25" s="420">
        <v>135138</v>
      </c>
      <c r="E25" s="421">
        <f t="shared" si="14"/>
        <v>7124</v>
      </c>
      <c r="F25" s="422">
        <v>5686</v>
      </c>
      <c r="G25" s="423">
        <v>2869</v>
      </c>
      <c r="H25" s="423">
        <v>0</v>
      </c>
      <c r="I25" s="423">
        <v>2813</v>
      </c>
      <c r="J25" s="424">
        <v>4</v>
      </c>
      <c r="K25" s="422">
        <v>1438</v>
      </c>
      <c r="L25" s="423">
        <v>152</v>
      </c>
      <c r="M25" s="423">
        <v>0</v>
      </c>
      <c r="N25" s="423">
        <v>1045</v>
      </c>
      <c r="O25" s="425">
        <v>241</v>
      </c>
      <c r="P25" s="526">
        <v>276</v>
      </c>
      <c r="Q25" s="423">
        <f t="shared" si="15"/>
        <v>4</v>
      </c>
      <c r="R25" s="422">
        <v>3</v>
      </c>
      <c r="S25" s="423">
        <v>2</v>
      </c>
      <c r="T25" s="423">
        <v>0</v>
      </c>
      <c r="U25" s="423">
        <v>1</v>
      </c>
      <c r="V25" s="424">
        <v>0</v>
      </c>
      <c r="W25" s="422">
        <v>1</v>
      </c>
      <c r="X25" s="423">
        <v>0</v>
      </c>
      <c r="Y25" s="423">
        <v>0</v>
      </c>
      <c r="Z25" s="423">
        <v>0</v>
      </c>
      <c r="AA25" s="425">
        <v>1</v>
      </c>
      <c r="AB25" s="526">
        <v>28</v>
      </c>
      <c r="AC25" s="423">
        <f t="shared" si="16"/>
        <v>0</v>
      </c>
      <c r="AD25" s="422">
        <v>0</v>
      </c>
      <c r="AE25" s="423">
        <v>0</v>
      </c>
      <c r="AF25" s="423">
        <v>0</v>
      </c>
      <c r="AG25" s="423">
        <v>0</v>
      </c>
      <c r="AH25" s="424">
        <v>0</v>
      </c>
      <c r="AI25" s="422">
        <v>0</v>
      </c>
      <c r="AJ25" s="423">
        <v>0</v>
      </c>
      <c r="AK25" s="423">
        <v>0</v>
      </c>
      <c r="AL25" s="423">
        <v>0</v>
      </c>
      <c r="AM25" s="425">
        <v>0</v>
      </c>
      <c r="AO25" s="421">
        <f t="shared" si="13"/>
        <v>4</v>
      </c>
      <c r="AP25" s="422">
        <f t="shared" si="0"/>
        <v>3</v>
      </c>
      <c r="AQ25" s="423">
        <f t="shared" si="1"/>
        <v>2</v>
      </c>
      <c r="AR25" s="423">
        <f t="shared" si="2"/>
        <v>0</v>
      </c>
      <c r="AS25" s="423">
        <f t="shared" si="3"/>
        <v>1</v>
      </c>
      <c r="AT25" s="424">
        <f t="shared" si="4"/>
        <v>0</v>
      </c>
      <c r="AU25" s="422">
        <f t="shared" si="5"/>
        <v>1</v>
      </c>
      <c r="AV25" s="423">
        <f t="shared" si="6"/>
        <v>0</v>
      </c>
      <c r="AW25" s="423">
        <f t="shared" si="7"/>
        <v>0</v>
      </c>
      <c r="AX25" s="423">
        <f t="shared" si="8"/>
        <v>0</v>
      </c>
      <c r="AY25" s="425">
        <f t="shared" si="9"/>
        <v>1</v>
      </c>
    </row>
    <row r="26" spans="1:51" ht="13.9">
      <c r="A26" s="408"/>
      <c r="B26" s="411" t="s">
        <v>262</v>
      </c>
      <c r="C26" s="412">
        <v>2022</v>
      </c>
      <c r="D26" s="420">
        <v>169244</v>
      </c>
      <c r="E26" s="421">
        <f t="shared" si="14"/>
        <v>9534</v>
      </c>
      <c r="F26" s="422">
        <v>7875</v>
      </c>
      <c r="G26" s="423">
        <v>2904</v>
      </c>
      <c r="H26" s="423">
        <v>59</v>
      </c>
      <c r="I26" s="423">
        <v>4868</v>
      </c>
      <c r="J26" s="424">
        <v>44</v>
      </c>
      <c r="K26" s="422">
        <v>1659</v>
      </c>
      <c r="L26" s="423">
        <v>271</v>
      </c>
      <c r="M26" s="423">
        <v>0</v>
      </c>
      <c r="N26" s="423">
        <v>1271</v>
      </c>
      <c r="O26" s="425">
        <v>117</v>
      </c>
      <c r="P26" s="526">
        <v>335</v>
      </c>
      <c r="Q26" s="423">
        <f t="shared" si="15"/>
        <v>11</v>
      </c>
      <c r="R26" s="422">
        <v>8</v>
      </c>
      <c r="S26" s="423">
        <v>4</v>
      </c>
      <c r="T26" s="423">
        <v>0</v>
      </c>
      <c r="U26" s="423">
        <v>4</v>
      </c>
      <c r="V26" s="424">
        <v>0</v>
      </c>
      <c r="W26" s="422">
        <v>3</v>
      </c>
      <c r="X26" s="423">
        <v>0</v>
      </c>
      <c r="Y26" s="423">
        <v>0</v>
      </c>
      <c r="Z26" s="423">
        <v>3</v>
      </c>
      <c r="AA26" s="425">
        <v>0</v>
      </c>
      <c r="AB26" s="526">
        <v>27</v>
      </c>
      <c r="AC26" s="423">
        <f t="shared" si="16"/>
        <v>0</v>
      </c>
      <c r="AD26" s="422">
        <v>0</v>
      </c>
      <c r="AE26" s="423">
        <v>0</v>
      </c>
      <c r="AF26" s="423">
        <v>0</v>
      </c>
      <c r="AG26" s="423">
        <v>0</v>
      </c>
      <c r="AH26" s="424">
        <v>0</v>
      </c>
      <c r="AI26" s="422">
        <v>0</v>
      </c>
      <c r="AJ26" s="423">
        <v>0</v>
      </c>
      <c r="AK26" s="423">
        <v>0</v>
      </c>
      <c r="AL26" s="423">
        <v>0</v>
      </c>
      <c r="AM26" s="425">
        <v>0</v>
      </c>
      <c r="AO26" s="421">
        <f t="shared" si="13"/>
        <v>11</v>
      </c>
      <c r="AP26" s="422">
        <f t="shared" si="0"/>
        <v>8</v>
      </c>
      <c r="AQ26" s="423">
        <f t="shared" si="1"/>
        <v>4</v>
      </c>
      <c r="AR26" s="423">
        <f t="shared" si="2"/>
        <v>0</v>
      </c>
      <c r="AS26" s="423">
        <f t="shared" si="3"/>
        <v>4</v>
      </c>
      <c r="AT26" s="424">
        <f t="shared" si="4"/>
        <v>0</v>
      </c>
      <c r="AU26" s="422">
        <f t="shared" si="5"/>
        <v>3</v>
      </c>
      <c r="AV26" s="423">
        <f t="shared" si="6"/>
        <v>0</v>
      </c>
      <c r="AW26" s="423">
        <f t="shared" si="7"/>
        <v>0</v>
      </c>
      <c r="AX26" s="423">
        <f t="shared" si="8"/>
        <v>3</v>
      </c>
      <c r="AY26" s="425">
        <f t="shared" si="9"/>
        <v>0</v>
      </c>
    </row>
    <row r="27" spans="1:51" ht="13.9">
      <c r="A27" s="408"/>
      <c r="B27" s="411" t="s">
        <v>263</v>
      </c>
      <c r="C27" s="412">
        <v>2022</v>
      </c>
      <c r="D27" s="420">
        <v>153779</v>
      </c>
      <c r="E27" s="421">
        <f t="shared" si="14"/>
        <v>11013</v>
      </c>
      <c r="F27" s="422">
        <v>9716</v>
      </c>
      <c r="G27" s="423">
        <v>3995</v>
      </c>
      <c r="H27" s="423">
        <v>469</v>
      </c>
      <c r="I27" s="423">
        <v>5206</v>
      </c>
      <c r="J27" s="424">
        <v>46</v>
      </c>
      <c r="K27" s="422">
        <v>1297</v>
      </c>
      <c r="L27" s="423">
        <v>201</v>
      </c>
      <c r="M27" s="423">
        <v>0</v>
      </c>
      <c r="N27" s="423">
        <v>1001</v>
      </c>
      <c r="O27" s="425">
        <v>95</v>
      </c>
      <c r="P27" s="526">
        <v>264</v>
      </c>
      <c r="Q27" s="423">
        <f t="shared" si="15"/>
        <v>16</v>
      </c>
      <c r="R27" s="422">
        <v>14</v>
      </c>
      <c r="S27" s="423">
        <v>7</v>
      </c>
      <c r="T27" s="423">
        <v>0</v>
      </c>
      <c r="U27" s="423">
        <v>7</v>
      </c>
      <c r="V27" s="424">
        <v>0</v>
      </c>
      <c r="W27" s="422">
        <v>2</v>
      </c>
      <c r="X27" s="423">
        <v>1</v>
      </c>
      <c r="Y27" s="423">
        <v>0</v>
      </c>
      <c r="Z27" s="423">
        <v>1</v>
      </c>
      <c r="AA27" s="425">
        <v>0</v>
      </c>
      <c r="AB27" s="526">
        <v>27</v>
      </c>
      <c r="AC27" s="423">
        <f t="shared" si="16"/>
        <v>2</v>
      </c>
      <c r="AD27" s="422">
        <v>2</v>
      </c>
      <c r="AE27" s="423">
        <v>1</v>
      </c>
      <c r="AF27" s="423">
        <v>0</v>
      </c>
      <c r="AG27" s="423">
        <v>1</v>
      </c>
      <c r="AH27" s="424">
        <v>0</v>
      </c>
      <c r="AI27" s="422">
        <v>0</v>
      </c>
      <c r="AJ27" s="423">
        <v>0</v>
      </c>
      <c r="AK27" s="423">
        <v>0</v>
      </c>
      <c r="AL27" s="423">
        <v>0</v>
      </c>
      <c r="AM27" s="425">
        <v>0</v>
      </c>
      <c r="AO27" s="421">
        <f t="shared" si="13"/>
        <v>18</v>
      </c>
      <c r="AP27" s="422">
        <f t="shared" si="0"/>
        <v>16</v>
      </c>
      <c r="AQ27" s="423">
        <f t="shared" si="1"/>
        <v>8</v>
      </c>
      <c r="AR27" s="423">
        <f t="shared" si="2"/>
        <v>0</v>
      </c>
      <c r="AS27" s="423">
        <f t="shared" si="3"/>
        <v>8</v>
      </c>
      <c r="AT27" s="424">
        <f t="shared" si="4"/>
        <v>0</v>
      </c>
      <c r="AU27" s="422">
        <f t="shared" si="5"/>
        <v>2</v>
      </c>
      <c r="AV27" s="423">
        <f t="shared" si="6"/>
        <v>1</v>
      </c>
      <c r="AW27" s="423">
        <f t="shared" si="7"/>
        <v>0</v>
      </c>
      <c r="AX27" s="423">
        <f t="shared" si="8"/>
        <v>1</v>
      </c>
      <c r="AY27" s="425">
        <f t="shared" si="9"/>
        <v>0</v>
      </c>
    </row>
    <row r="28" spans="1:51" ht="13.9">
      <c r="A28" s="408"/>
      <c r="B28" s="411" t="s">
        <v>264</v>
      </c>
      <c r="C28" s="412">
        <v>2022</v>
      </c>
      <c r="D28" s="420">
        <v>136338</v>
      </c>
      <c r="E28" s="421">
        <f t="shared" si="14"/>
        <v>10991</v>
      </c>
      <c r="F28" s="422">
        <v>9506</v>
      </c>
      <c r="G28" s="423">
        <v>2594</v>
      </c>
      <c r="H28" s="423">
        <v>344</v>
      </c>
      <c r="I28" s="423">
        <v>6486</v>
      </c>
      <c r="J28" s="424">
        <v>82</v>
      </c>
      <c r="K28" s="422">
        <v>1485</v>
      </c>
      <c r="L28" s="423">
        <v>171</v>
      </c>
      <c r="M28" s="423">
        <v>0</v>
      </c>
      <c r="N28" s="423">
        <v>1248</v>
      </c>
      <c r="O28" s="425">
        <v>66</v>
      </c>
      <c r="P28" s="526">
        <v>216</v>
      </c>
      <c r="Q28" s="423">
        <f t="shared" si="15"/>
        <v>2</v>
      </c>
      <c r="R28" s="422">
        <v>1</v>
      </c>
      <c r="S28" s="423">
        <v>0</v>
      </c>
      <c r="T28" s="423">
        <v>1</v>
      </c>
      <c r="U28" s="423">
        <v>0</v>
      </c>
      <c r="V28" s="424">
        <v>0</v>
      </c>
      <c r="W28" s="422">
        <v>1</v>
      </c>
      <c r="X28" s="423">
        <v>0</v>
      </c>
      <c r="Y28" s="423">
        <v>0</v>
      </c>
      <c r="Z28" s="423">
        <v>1</v>
      </c>
      <c r="AA28" s="425">
        <v>0</v>
      </c>
      <c r="AB28" s="526">
        <v>21</v>
      </c>
      <c r="AC28" s="423">
        <f t="shared" si="16"/>
        <v>3</v>
      </c>
      <c r="AD28" s="422">
        <v>2</v>
      </c>
      <c r="AE28" s="423">
        <v>0</v>
      </c>
      <c r="AF28" s="423">
        <v>0</v>
      </c>
      <c r="AG28" s="423">
        <v>2</v>
      </c>
      <c r="AH28" s="424">
        <v>0</v>
      </c>
      <c r="AI28" s="422">
        <v>1</v>
      </c>
      <c r="AJ28" s="423">
        <v>0</v>
      </c>
      <c r="AK28" s="423">
        <v>0</v>
      </c>
      <c r="AL28" s="423">
        <v>1</v>
      </c>
      <c r="AM28" s="425">
        <v>0</v>
      </c>
      <c r="AO28" s="421">
        <f t="shared" si="13"/>
        <v>5</v>
      </c>
      <c r="AP28" s="422">
        <f t="shared" si="0"/>
        <v>3</v>
      </c>
      <c r="AQ28" s="423">
        <f t="shared" si="1"/>
        <v>0</v>
      </c>
      <c r="AR28" s="423">
        <f t="shared" si="2"/>
        <v>1</v>
      </c>
      <c r="AS28" s="423">
        <f t="shared" si="3"/>
        <v>2</v>
      </c>
      <c r="AT28" s="424">
        <f t="shared" si="4"/>
        <v>0</v>
      </c>
      <c r="AU28" s="422">
        <f t="shared" si="5"/>
        <v>2</v>
      </c>
      <c r="AV28" s="423">
        <f t="shared" si="6"/>
        <v>0</v>
      </c>
      <c r="AW28" s="423">
        <f t="shared" si="7"/>
        <v>0</v>
      </c>
      <c r="AX28" s="423">
        <f t="shared" si="8"/>
        <v>2</v>
      </c>
      <c r="AY28" s="425">
        <f t="shared" si="9"/>
        <v>0</v>
      </c>
    </row>
    <row r="29" spans="1:51" ht="13.9">
      <c r="A29" s="408"/>
      <c r="B29" s="411" t="s">
        <v>265</v>
      </c>
      <c r="C29" s="412">
        <v>2023</v>
      </c>
      <c r="D29" s="420">
        <v>143618</v>
      </c>
      <c r="E29" s="421">
        <f t="shared" si="14"/>
        <v>8520</v>
      </c>
      <c r="F29" s="422">
        <v>6760</v>
      </c>
      <c r="G29" s="423">
        <v>2365</v>
      </c>
      <c r="H29" s="423">
        <v>354</v>
      </c>
      <c r="I29" s="423">
        <v>3938</v>
      </c>
      <c r="J29" s="424">
        <v>103</v>
      </c>
      <c r="K29" s="422">
        <v>1760</v>
      </c>
      <c r="L29" s="423">
        <v>85</v>
      </c>
      <c r="M29" s="423">
        <v>0</v>
      </c>
      <c r="N29" s="423">
        <v>1480</v>
      </c>
      <c r="O29" s="425">
        <v>195</v>
      </c>
      <c r="P29" s="526">
        <v>257</v>
      </c>
      <c r="Q29" s="423">
        <f t="shared" si="15"/>
        <v>7</v>
      </c>
      <c r="R29" s="422">
        <v>5</v>
      </c>
      <c r="S29" s="423">
        <v>2</v>
      </c>
      <c r="T29" s="423">
        <v>0</v>
      </c>
      <c r="U29" s="423">
        <v>3</v>
      </c>
      <c r="V29" s="424">
        <v>0</v>
      </c>
      <c r="W29" s="422">
        <v>2</v>
      </c>
      <c r="X29" s="423">
        <v>0</v>
      </c>
      <c r="Y29" s="423">
        <v>0</v>
      </c>
      <c r="Z29" s="423">
        <v>2</v>
      </c>
      <c r="AA29" s="425">
        <v>0</v>
      </c>
      <c r="AB29" s="526">
        <v>19</v>
      </c>
      <c r="AC29" s="423">
        <f t="shared" si="16"/>
        <v>0</v>
      </c>
      <c r="AD29" s="422">
        <v>0</v>
      </c>
      <c r="AE29" s="423">
        <v>0</v>
      </c>
      <c r="AF29" s="423">
        <v>0</v>
      </c>
      <c r="AG29" s="423">
        <v>0</v>
      </c>
      <c r="AH29" s="424">
        <v>0</v>
      </c>
      <c r="AI29" s="422">
        <v>0</v>
      </c>
      <c r="AJ29" s="423">
        <v>0</v>
      </c>
      <c r="AK29" s="423">
        <v>0</v>
      </c>
      <c r="AL29" s="423">
        <v>0</v>
      </c>
      <c r="AM29" s="425">
        <v>0</v>
      </c>
      <c r="AO29" s="421">
        <f t="shared" si="13"/>
        <v>7</v>
      </c>
      <c r="AP29" s="422">
        <f t="shared" si="0"/>
        <v>5</v>
      </c>
      <c r="AQ29" s="423">
        <f t="shared" si="1"/>
        <v>2</v>
      </c>
      <c r="AR29" s="423">
        <f t="shared" si="2"/>
        <v>0</v>
      </c>
      <c r="AS29" s="423">
        <f t="shared" si="3"/>
        <v>3</v>
      </c>
      <c r="AT29" s="424">
        <f t="shared" si="4"/>
        <v>0</v>
      </c>
      <c r="AU29" s="422">
        <f t="shared" si="5"/>
        <v>2</v>
      </c>
      <c r="AV29" s="423">
        <f t="shared" si="6"/>
        <v>0</v>
      </c>
      <c r="AW29" s="423">
        <f t="shared" si="7"/>
        <v>0</v>
      </c>
      <c r="AX29" s="423">
        <f t="shared" si="8"/>
        <v>2</v>
      </c>
      <c r="AY29" s="425">
        <f t="shared" si="9"/>
        <v>0</v>
      </c>
    </row>
    <row r="30" spans="1:51" ht="13.9">
      <c r="A30" s="408"/>
      <c r="B30" s="411" t="s">
        <v>266</v>
      </c>
      <c r="C30" s="412">
        <v>2023</v>
      </c>
      <c r="D30" s="420">
        <v>183652</v>
      </c>
      <c r="E30" s="421">
        <f t="shared" si="14"/>
        <v>12797</v>
      </c>
      <c r="F30" s="422">
        <v>9486</v>
      </c>
      <c r="G30" s="423">
        <v>2192</v>
      </c>
      <c r="H30" s="423">
        <v>382</v>
      </c>
      <c r="I30" s="423">
        <v>6743</v>
      </c>
      <c r="J30" s="424">
        <v>169</v>
      </c>
      <c r="K30" s="422">
        <v>3311</v>
      </c>
      <c r="L30" s="423">
        <v>210</v>
      </c>
      <c r="M30" s="423">
        <v>0</v>
      </c>
      <c r="N30" s="423">
        <v>2843</v>
      </c>
      <c r="O30" s="425">
        <v>258</v>
      </c>
      <c r="P30" s="526">
        <v>316</v>
      </c>
      <c r="Q30" s="423">
        <f t="shared" si="15"/>
        <v>7</v>
      </c>
      <c r="R30" s="422">
        <v>5</v>
      </c>
      <c r="S30" s="423">
        <v>1</v>
      </c>
      <c r="T30" s="423">
        <v>0</v>
      </c>
      <c r="U30" s="423">
        <v>4</v>
      </c>
      <c r="V30" s="424">
        <v>0</v>
      </c>
      <c r="W30" s="422">
        <v>2</v>
      </c>
      <c r="X30" s="423">
        <v>0</v>
      </c>
      <c r="Y30" s="423">
        <v>0</v>
      </c>
      <c r="Z30" s="423">
        <v>1</v>
      </c>
      <c r="AA30" s="425">
        <v>1</v>
      </c>
      <c r="AB30" s="526">
        <v>21</v>
      </c>
      <c r="AC30" s="423">
        <f t="shared" si="16"/>
        <v>0</v>
      </c>
      <c r="AD30" s="422">
        <v>0</v>
      </c>
      <c r="AE30" s="423">
        <v>0</v>
      </c>
      <c r="AF30" s="423">
        <v>0</v>
      </c>
      <c r="AG30" s="423">
        <v>0</v>
      </c>
      <c r="AH30" s="424">
        <v>0</v>
      </c>
      <c r="AI30" s="422">
        <v>0</v>
      </c>
      <c r="AJ30" s="423">
        <v>0</v>
      </c>
      <c r="AK30" s="423">
        <v>0</v>
      </c>
      <c r="AL30" s="423">
        <v>0</v>
      </c>
      <c r="AM30" s="425">
        <v>0</v>
      </c>
      <c r="AO30" s="421">
        <f t="shared" si="13"/>
        <v>7</v>
      </c>
      <c r="AP30" s="422">
        <f t="shared" si="0"/>
        <v>5</v>
      </c>
      <c r="AQ30" s="423">
        <f t="shared" si="1"/>
        <v>1</v>
      </c>
      <c r="AR30" s="423">
        <f t="shared" si="2"/>
        <v>0</v>
      </c>
      <c r="AS30" s="423">
        <f t="shared" si="3"/>
        <v>4</v>
      </c>
      <c r="AT30" s="424">
        <f t="shared" si="4"/>
        <v>0</v>
      </c>
      <c r="AU30" s="422">
        <f t="shared" si="5"/>
        <v>2</v>
      </c>
      <c r="AV30" s="423">
        <f t="shared" si="6"/>
        <v>0</v>
      </c>
      <c r="AW30" s="423">
        <f t="shared" si="7"/>
        <v>0</v>
      </c>
      <c r="AX30" s="423">
        <f t="shared" si="8"/>
        <v>1</v>
      </c>
      <c r="AY30" s="425">
        <f t="shared" si="9"/>
        <v>1</v>
      </c>
    </row>
    <row r="31" spans="1:51" ht="13.9">
      <c r="A31" s="408"/>
      <c r="B31" s="411" t="s">
        <v>267</v>
      </c>
      <c r="C31" s="412">
        <v>2023</v>
      </c>
      <c r="D31" s="420">
        <v>178596</v>
      </c>
      <c r="E31" s="421">
        <f t="shared" si="14"/>
        <v>14710</v>
      </c>
      <c r="F31" s="422">
        <v>11458</v>
      </c>
      <c r="G31" s="423">
        <v>3129</v>
      </c>
      <c r="H31" s="423">
        <v>523</v>
      </c>
      <c r="I31" s="423">
        <v>7730</v>
      </c>
      <c r="J31" s="424">
        <v>76</v>
      </c>
      <c r="K31" s="422">
        <v>3252</v>
      </c>
      <c r="L31" s="423">
        <v>322</v>
      </c>
      <c r="M31" s="423">
        <v>0</v>
      </c>
      <c r="N31" s="423">
        <v>2825</v>
      </c>
      <c r="O31" s="425">
        <v>105</v>
      </c>
      <c r="P31" s="526">
        <v>284</v>
      </c>
      <c r="Q31" s="423">
        <f t="shared" si="15"/>
        <v>17</v>
      </c>
      <c r="R31" s="422">
        <v>10</v>
      </c>
      <c r="S31" s="423">
        <v>2</v>
      </c>
      <c r="T31" s="423">
        <v>0</v>
      </c>
      <c r="U31" s="423">
        <v>8</v>
      </c>
      <c r="V31" s="424">
        <v>0</v>
      </c>
      <c r="W31" s="422">
        <v>7</v>
      </c>
      <c r="X31" s="423">
        <v>1</v>
      </c>
      <c r="Y31" s="423">
        <v>0</v>
      </c>
      <c r="Z31" s="423">
        <v>6</v>
      </c>
      <c r="AA31" s="425">
        <v>0</v>
      </c>
      <c r="AB31" s="526">
        <v>35</v>
      </c>
      <c r="AC31" s="423">
        <f t="shared" si="16"/>
        <v>1</v>
      </c>
      <c r="AD31" s="422">
        <v>1</v>
      </c>
      <c r="AE31" s="423">
        <v>0</v>
      </c>
      <c r="AF31" s="423">
        <v>0</v>
      </c>
      <c r="AG31" s="423">
        <v>1</v>
      </c>
      <c r="AH31" s="424">
        <v>0</v>
      </c>
      <c r="AI31" s="422">
        <v>0</v>
      </c>
      <c r="AJ31" s="423">
        <v>0</v>
      </c>
      <c r="AK31" s="423">
        <v>0</v>
      </c>
      <c r="AL31" s="423">
        <v>0</v>
      </c>
      <c r="AM31" s="425">
        <v>0</v>
      </c>
      <c r="AO31" s="421">
        <f t="shared" si="13"/>
        <v>18</v>
      </c>
      <c r="AP31" s="422">
        <f t="shared" si="0"/>
        <v>11</v>
      </c>
      <c r="AQ31" s="423">
        <f t="shared" si="1"/>
        <v>2</v>
      </c>
      <c r="AR31" s="423">
        <f t="shared" si="2"/>
        <v>0</v>
      </c>
      <c r="AS31" s="423">
        <f t="shared" si="3"/>
        <v>9</v>
      </c>
      <c r="AT31" s="424">
        <f t="shared" si="4"/>
        <v>0</v>
      </c>
      <c r="AU31" s="422">
        <f t="shared" si="5"/>
        <v>7</v>
      </c>
      <c r="AV31" s="423">
        <f t="shared" si="6"/>
        <v>1</v>
      </c>
      <c r="AW31" s="423">
        <f t="shared" si="7"/>
        <v>0</v>
      </c>
      <c r="AX31" s="423">
        <f t="shared" si="8"/>
        <v>6</v>
      </c>
      <c r="AY31" s="425">
        <f t="shared" si="9"/>
        <v>0</v>
      </c>
    </row>
    <row r="32" spans="1:51" ht="13.9">
      <c r="A32" s="408"/>
      <c r="B32" s="411" t="s">
        <v>268</v>
      </c>
      <c r="C32" s="412">
        <v>2023</v>
      </c>
      <c r="D32" s="420">
        <v>171135</v>
      </c>
      <c r="E32" s="421">
        <f t="shared" si="14"/>
        <v>14105</v>
      </c>
      <c r="F32" s="422">
        <v>10931</v>
      </c>
      <c r="G32" s="423">
        <v>2488</v>
      </c>
      <c r="H32" s="423">
        <v>550</v>
      </c>
      <c r="I32" s="423">
        <v>7734</v>
      </c>
      <c r="J32" s="424">
        <v>159</v>
      </c>
      <c r="K32" s="422">
        <v>3174</v>
      </c>
      <c r="L32" s="423">
        <v>210</v>
      </c>
      <c r="M32" s="423">
        <v>0</v>
      </c>
      <c r="N32" s="423">
        <v>2902</v>
      </c>
      <c r="O32" s="425">
        <v>62</v>
      </c>
      <c r="P32" s="526">
        <v>286</v>
      </c>
      <c r="Q32" s="423">
        <f t="shared" si="15"/>
        <v>7</v>
      </c>
      <c r="R32" s="422">
        <v>4</v>
      </c>
      <c r="S32" s="423">
        <v>0</v>
      </c>
      <c r="T32" s="423">
        <v>0</v>
      </c>
      <c r="U32" s="423">
        <v>4</v>
      </c>
      <c r="V32" s="424">
        <v>0</v>
      </c>
      <c r="W32" s="422">
        <v>3</v>
      </c>
      <c r="X32" s="423">
        <v>0</v>
      </c>
      <c r="Y32" s="423">
        <v>0</v>
      </c>
      <c r="Z32" s="423">
        <v>3</v>
      </c>
      <c r="AA32" s="425">
        <v>0</v>
      </c>
      <c r="AB32" s="526">
        <v>26</v>
      </c>
      <c r="AC32" s="423">
        <f t="shared" si="16"/>
        <v>1</v>
      </c>
      <c r="AD32" s="422">
        <v>0</v>
      </c>
      <c r="AE32" s="423">
        <v>0</v>
      </c>
      <c r="AF32" s="423">
        <v>0</v>
      </c>
      <c r="AG32" s="423">
        <v>0</v>
      </c>
      <c r="AH32" s="424">
        <v>0</v>
      </c>
      <c r="AI32" s="422">
        <v>1</v>
      </c>
      <c r="AJ32" s="423">
        <v>0</v>
      </c>
      <c r="AK32" s="423">
        <v>0</v>
      </c>
      <c r="AL32" s="423">
        <v>1</v>
      </c>
      <c r="AM32" s="425">
        <v>0</v>
      </c>
      <c r="AO32" s="421">
        <f t="shared" si="13"/>
        <v>8</v>
      </c>
      <c r="AP32" s="422">
        <f t="shared" si="0"/>
        <v>4</v>
      </c>
      <c r="AQ32" s="423">
        <f t="shared" si="1"/>
        <v>0</v>
      </c>
      <c r="AR32" s="423">
        <f t="shared" si="2"/>
        <v>0</v>
      </c>
      <c r="AS32" s="423">
        <f t="shared" si="3"/>
        <v>4</v>
      </c>
      <c r="AT32" s="424">
        <f t="shared" si="4"/>
        <v>0</v>
      </c>
      <c r="AU32" s="422">
        <f t="shared" si="5"/>
        <v>4</v>
      </c>
      <c r="AV32" s="423">
        <f t="shared" si="6"/>
        <v>0</v>
      </c>
      <c r="AW32" s="423">
        <f t="shared" si="7"/>
        <v>0</v>
      </c>
      <c r="AX32" s="423">
        <f t="shared" si="8"/>
        <v>4</v>
      </c>
      <c r="AY32" s="425">
        <f t="shared" si="9"/>
        <v>0</v>
      </c>
    </row>
    <row r="33" spans="1:51" ht="13.9">
      <c r="A33" s="408"/>
      <c r="B33" s="411" t="s">
        <v>269</v>
      </c>
      <c r="C33" s="412">
        <v>2024</v>
      </c>
      <c r="D33" s="420">
        <v>163027</v>
      </c>
      <c r="E33" s="421">
        <f t="shared" si="14"/>
        <v>11026</v>
      </c>
      <c r="F33" s="422">
        <v>8144</v>
      </c>
      <c r="G33" s="423">
        <v>1596</v>
      </c>
      <c r="H33" s="423">
        <v>469</v>
      </c>
      <c r="I33" s="423">
        <v>6030</v>
      </c>
      <c r="J33" s="424">
        <v>49</v>
      </c>
      <c r="K33" s="422">
        <v>2882</v>
      </c>
      <c r="L33" s="423">
        <v>388</v>
      </c>
      <c r="M33" s="423">
        <v>0</v>
      </c>
      <c r="N33" s="423">
        <v>2423</v>
      </c>
      <c r="O33" s="425">
        <v>71</v>
      </c>
      <c r="P33" s="526">
        <v>278</v>
      </c>
      <c r="Q33" s="423">
        <f t="shared" si="15"/>
        <v>12</v>
      </c>
      <c r="R33" s="422">
        <v>9</v>
      </c>
      <c r="S33" s="423">
        <v>1</v>
      </c>
      <c r="T33" s="423">
        <v>2</v>
      </c>
      <c r="U33" s="423">
        <v>6</v>
      </c>
      <c r="V33" s="424">
        <v>0</v>
      </c>
      <c r="W33" s="422">
        <v>3</v>
      </c>
      <c r="X33" s="423">
        <v>1</v>
      </c>
      <c r="Y33" s="423">
        <v>0</v>
      </c>
      <c r="Z33" s="423">
        <v>2</v>
      </c>
      <c r="AA33" s="425">
        <v>0</v>
      </c>
      <c r="AB33" s="526">
        <v>18</v>
      </c>
      <c r="AC33" s="423">
        <f t="shared" si="16"/>
        <v>0</v>
      </c>
      <c r="AD33" s="422">
        <v>0</v>
      </c>
      <c r="AE33" s="423">
        <v>0</v>
      </c>
      <c r="AF33" s="423">
        <v>0</v>
      </c>
      <c r="AG33" s="423">
        <v>0</v>
      </c>
      <c r="AH33" s="424">
        <v>0</v>
      </c>
      <c r="AI33" s="422">
        <v>0</v>
      </c>
      <c r="AJ33" s="423">
        <v>0</v>
      </c>
      <c r="AK33" s="423">
        <v>0</v>
      </c>
      <c r="AL33" s="423">
        <v>0</v>
      </c>
      <c r="AM33" s="425">
        <v>0</v>
      </c>
      <c r="AO33" s="421">
        <f t="shared" si="13"/>
        <v>12</v>
      </c>
      <c r="AP33" s="422">
        <f t="shared" si="0"/>
        <v>9</v>
      </c>
      <c r="AQ33" s="423">
        <f t="shared" si="1"/>
        <v>1</v>
      </c>
      <c r="AR33" s="423">
        <f t="shared" si="2"/>
        <v>2</v>
      </c>
      <c r="AS33" s="423">
        <f t="shared" si="3"/>
        <v>6</v>
      </c>
      <c r="AT33" s="424">
        <f t="shared" si="4"/>
        <v>0</v>
      </c>
      <c r="AU33" s="422">
        <f t="shared" si="5"/>
        <v>3</v>
      </c>
      <c r="AV33" s="423">
        <f t="shared" si="6"/>
        <v>1</v>
      </c>
      <c r="AW33" s="423">
        <f t="shared" si="7"/>
        <v>0</v>
      </c>
      <c r="AX33" s="423">
        <f t="shared" si="8"/>
        <v>2</v>
      </c>
      <c r="AY33" s="425">
        <f t="shared" si="9"/>
        <v>0</v>
      </c>
    </row>
    <row r="34" spans="1:51" ht="13.9">
      <c r="A34" s="408"/>
      <c r="B34" s="411" t="s">
        <v>270</v>
      </c>
      <c r="C34" s="412">
        <v>2024</v>
      </c>
      <c r="D34" s="420">
        <v>190530</v>
      </c>
      <c r="E34" s="421">
        <f t="shared" si="14"/>
        <v>14370</v>
      </c>
      <c r="F34" s="422">
        <v>10462</v>
      </c>
      <c r="G34" s="423">
        <v>2474</v>
      </c>
      <c r="H34" s="423">
        <v>730</v>
      </c>
      <c r="I34" s="423">
        <v>7209</v>
      </c>
      <c r="J34" s="424">
        <v>49</v>
      </c>
      <c r="K34" s="422">
        <v>3908</v>
      </c>
      <c r="L34" s="423">
        <v>196</v>
      </c>
      <c r="M34" s="423">
        <v>0</v>
      </c>
      <c r="N34" s="423">
        <v>3578</v>
      </c>
      <c r="O34" s="425">
        <v>134</v>
      </c>
      <c r="P34" s="526">
        <v>325</v>
      </c>
      <c r="Q34" s="423">
        <f t="shared" si="15"/>
        <v>11</v>
      </c>
      <c r="R34" s="422">
        <v>6</v>
      </c>
      <c r="S34" s="423">
        <v>1</v>
      </c>
      <c r="T34" s="423">
        <v>1</v>
      </c>
      <c r="U34" s="423">
        <v>4</v>
      </c>
      <c r="V34" s="424">
        <v>0</v>
      </c>
      <c r="W34" s="422">
        <v>5</v>
      </c>
      <c r="X34" s="423">
        <v>0</v>
      </c>
      <c r="Y34" s="423">
        <v>0</v>
      </c>
      <c r="Z34" s="423">
        <v>5</v>
      </c>
      <c r="AA34" s="425">
        <v>0</v>
      </c>
      <c r="AB34" s="526">
        <v>40</v>
      </c>
      <c r="AC34" s="423">
        <f t="shared" si="16"/>
        <v>1</v>
      </c>
      <c r="AD34" s="422">
        <v>0</v>
      </c>
      <c r="AE34" s="423">
        <v>0</v>
      </c>
      <c r="AF34" s="423">
        <v>0</v>
      </c>
      <c r="AG34" s="423">
        <v>0</v>
      </c>
      <c r="AH34" s="424">
        <v>0</v>
      </c>
      <c r="AI34" s="422">
        <v>1</v>
      </c>
      <c r="AJ34" s="423">
        <v>0</v>
      </c>
      <c r="AK34" s="423">
        <v>0</v>
      </c>
      <c r="AL34" s="423">
        <v>1</v>
      </c>
      <c r="AM34" s="425">
        <v>0</v>
      </c>
      <c r="AO34" s="421">
        <f t="shared" si="13"/>
        <v>12</v>
      </c>
      <c r="AP34" s="422">
        <f t="shared" si="0"/>
        <v>6</v>
      </c>
      <c r="AQ34" s="423">
        <f t="shared" si="1"/>
        <v>1</v>
      </c>
      <c r="AR34" s="423">
        <f t="shared" si="2"/>
        <v>1</v>
      </c>
      <c r="AS34" s="423">
        <f t="shared" si="3"/>
        <v>4</v>
      </c>
      <c r="AT34" s="424">
        <f t="shared" si="4"/>
        <v>0</v>
      </c>
      <c r="AU34" s="422">
        <f t="shared" si="5"/>
        <v>6</v>
      </c>
      <c r="AV34" s="423">
        <f t="shared" si="6"/>
        <v>0</v>
      </c>
      <c r="AW34" s="423">
        <f t="shared" si="7"/>
        <v>0</v>
      </c>
      <c r="AX34" s="423">
        <f t="shared" si="8"/>
        <v>6</v>
      </c>
      <c r="AY34" s="425">
        <f t="shared" si="9"/>
        <v>0</v>
      </c>
    </row>
    <row r="35" spans="1:51" ht="13.9">
      <c r="A35" s="408"/>
      <c r="B35" s="411" t="s">
        <v>271</v>
      </c>
      <c r="C35" s="412">
        <v>2024</v>
      </c>
      <c r="D35" s="420">
        <v>182361</v>
      </c>
      <c r="E35" s="421">
        <f t="shared" si="14"/>
        <v>15946</v>
      </c>
      <c r="F35" s="422">
        <v>11771</v>
      </c>
      <c r="G35" s="423">
        <v>2542</v>
      </c>
      <c r="H35" s="423">
        <v>967</v>
      </c>
      <c r="I35" s="423">
        <v>8192</v>
      </c>
      <c r="J35" s="424">
        <v>70</v>
      </c>
      <c r="K35" s="422">
        <v>4175</v>
      </c>
      <c r="L35" s="423">
        <v>435</v>
      </c>
      <c r="M35" s="423">
        <v>0</v>
      </c>
      <c r="N35" s="423">
        <v>3645</v>
      </c>
      <c r="O35" s="425">
        <v>95</v>
      </c>
      <c r="P35" s="526">
        <v>351</v>
      </c>
      <c r="Q35" s="423">
        <f t="shared" si="15"/>
        <v>15</v>
      </c>
      <c r="R35" s="422">
        <v>9</v>
      </c>
      <c r="S35" s="423">
        <v>1</v>
      </c>
      <c r="T35" s="423">
        <v>0</v>
      </c>
      <c r="U35" s="423">
        <v>8</v>
      </c>
      <c r="V35" s="424">
        <v>0</v>
      </c>
      <c r="W35" s="422">
        <v>6</v>
      </c>
      <c r="X35" s="423">
        <v>1</v>
      </c>
      <c r="Y35" s="423">
        <v>0</v>
      </c>
      <c r="Z35" s="423">
        <v>5</v>
      </c>
      <c r="AA35" s="425">
        <v>0</v>
      </c>
      <c r="AB35" s="526">
        <v>32</v>
      </c>
      <c r="AC35" s="423">
        <f t="shared" si="16"/>
        <v>0</v>
      </c>
      <c r="AD35" s="422">
        <v>0</v>
      </c>
      <c r="AE35" s="423">
        <v>0</v>
      </c>
      <c r="AF35" s="423">
        <v>0</v>
      </c>
      <c r="AG35" s="423">
        <v>0</v>
      </c>
      <c r="AH35" s="424">
        <v>0</v>
      </c>
      <c r="AI35" s="422">
        <v>0</v>
      </c>
      <c r="AJ35" s="423">
        <v>0</v>
      </c>
      <c r="AK35" s="423">
        <v>0</v>
      </c>
      <c r="AL35" s="423">
        <v>0</v>
      </c>
      <c r="AM35" s="425">
        <v>0</v>
      </c>
      <c r="AO35" s="421">
        <f t="shared" si="13"/>
        <v>15</v>
      </c>
      <c r="AP35" s="422">
        <f t="shared" si="0"/>
        <v>9</v>
      </c>
      <c r="AQ35" s="423">
        <f t="shared" si="1"/>
        <v>1</v>
      </c>
      <c r="AR35" s="423">
        <f t="shared" si="2"/>
        <v>0</v>
      </c>
      <c r="AS35" s="423">
        <f t="shared" si="3"/>
        <v>8</v>
      </c>
      <c r="AT35" s="424">
        <f t="shared" si="4"/>
        <v>0</v>
      </c>
      <c r="AU35" s="422">
        <f t="shared" si="5"/>
        <v>6</v>
      </c>
      <c r="AV35" s="423">
        <f t="shared" si="6"/>
        <v>1</v>
      </c>
      <c r="AW35" s="423">
        <f t="shared" si="7"/>
        <v>0</v>
      </c>
      <c r="AX35" s="423">
        <f t="shared" si="8"/>
        <v>5</v>
      </c>
      <c r="AY35" s="425">
        <f t="shared" si="9"/>
        <v>0</v>
      </c>
    </row>
    <row r="36" spans="1:51" ht="13.9">
      <c r="A36" s="408"/>
      <c r="B36" s="411" t="s">
        <v>272</v>
      </c>
      <c r="C36" s="412">
        <v>2024</v>
      </c>
      <c r="D36" s="420">
        <v>163345</v>
      </c>
      <c r="E36" s="421">
        <f t="shared" si="14"/>
        <v>15251</v>
      </c>
      <c r="F36" s="422">
        <v>11282</v>
      </c>
      <c r="G36" s="423">
        <v>1816</v>
      </c>
      <c r="H36" s="423">
        <v>1914</v>
      </c>
      <c r="I36" s="423">
        <v>7442</v>
      </c>
      <c r="J36" s="424">
        <v>110</v>
      </c>
      <c r="K36" s="422">
        <v>3969</v>
      </c>
      <c r="L36" s="423">
        <v>341</v>
      </c>
      <c r="M36" s="423">
        <v>0</v>
      </c>
      <c r="N36" s="423">
        <v>3574</v>
      </c>
      <c r="O36" s="425">
        <v>54</v>
      </c>
      <c r="P36" s="526">
        <v>272</v>
      </c>
      <c r="Q36" s="423">
        <f t="shared" si="15"/>
        <v>9</v>
      </c>
      <c r="R36" s="422">
        <v>5</v>
      </c>
      <c r="S36" s="423">
        <v>2</v>
      </c>
      <c r="T36" s="423">
        <v>1</v>
      </c>
      <c r="U36" s="423">
        <v>2</v>
      </c>
      <c r="V36" s="424">
        <v>0</v>
      </c>
      <c r="W36" s="422">
        <v>4</v>
      </c>
      <c r="X36" s="423">
        <v>1</v>
      </c>
      <c r="Y36" s="423">
        <v>0</v>
      </c>
      <c r="Z36" s="423">
        <v>3</v>
      </c>
      <c r="AA36" s="425">
        <v>0</v>
      </c>
      <c r="AB36" s="526">
        <v>28</v>
      </c>
      <c r="AC36" s="423">
        <f t="shared" si="16"/>
        <v>0</v>
      </c>
      <c r="AD36" s="422">
        <v>0</v>
      </c>
      <c r="AE36" s="423">
        <v>0</v>
      </c>
      <c r="AF36" s="423">
        <v>0</v>
      </c>
      <c r="AG36" s="423">
        <v>0</v>
      </c>
      <c r="AH36" s="424">
        <v>0</v>
      </c>
      <c r="AI36" s="422">
        <v>0</v>
      </c>
      <c r="AJ36" s="423">
        <v>0</v>
      </c>
      <c r="AK36" s="423">
        <v>0</v>
      </c>
      <c r="AL36" s="423">
        <v>0</v>
      </c>
      <c r="AM36" s="425">
        <v>0</v>
      </c>
      <c r="AO36" s="421">
        <f t="shared" si="13"/>
        <v>9</v>
      </c>
      <c r="AP36" s="422">
        <f t="shared" si="0"/>
        <v>5</v>
      </c>
      <c r="AQ36" s="423">
        <f t="shared" si="1"/>
        <v>2</v>
      </c>
      <c r="AR36" s="423">
        <f t="shared" si="2"/>
        <v>1</v>
      </c>
      <c r="AS36" s="423">
        <f t="shared" si="3"/>
        <v>2</v>
      </c>
      <c r="AT36" s="424">
        <f t="shared" si="4"/>
        <v>0</v>
      </c>
      <c r="AU36" s="422">
        <f t="shared" si="5"/>
        <v>4</v>
      </c>
      <c r="AV36" s="423">
        <f t="shared" si="6"/>
        <v>1</v>
      </c>
      <c r="AW36" s="423">
        <f t="shared" si="7"/>
        <v>0</v>
      </c>
      <c r="AX36" s="423">
        <f t="shared" si="8"/>
        <v>3</v>
      </c>
      <c r="AY36" s="425">
        <f t="shared" si="9"/>
        <v>0</v>
      </c>
    </row>
    <row r="37" spans="1:51" ht="13.9">
      <c r="A37" s="408"/>
      <c r="B37" s="411" t="s">
        <v>273</v>
      </c>
      <c r="C37" s="412">
        <v>2025</v>
      </c>
      <c r="D37" s="420">
        <v>173667</v>
      </c>
      <c r="E37" s="421">
        <f t="shared" si="14"/>
        <v>12006</v>
      </c>
      <c r="F37" s="422">
        <v>8450</v>
      </c>
      <c r="G37" s="423">
        <v>1121</v>
      </c>
      <c r="H37" s="423">
        <v>1188</v>
      </c>
      <c r="I37" s="423">
        <v>5991</v>
      </c>
      <c r="J37" s="424">
        <v>150</v>
      </c>
      <c r="K37" s="422">
        <v>3556</v>
      </c>
      <c r="L37" s="423">
        <v>404</v>
      </c>
      <c r="M37" s="423">
        <v>0</v>
      </c>
      <c r="N37" s="423">
        <v>3061</v>
      </c>
      <c r="O37" s="425">
        <v>91</v>
      </c>
      <c r="P37" s="526">
        <v>280</v>
      </c>
      <c r="Q37" s="423">
        <f t="shared" si="15"/>
        <v>5</v>
      </c>
      <c r="R37" s="422">
        <v>4</v>
      </c>
      <c r="S37" s="423">
        <v>0</v>
      </c>
      <c r="T37" s="423">
        <v>0</v>
      </c>
      <c r="U37" s="423">
        <v>4</v>
      </c>
      <c r="V37" s="424">
        <v>0</v>
      </c>
      <c r="W37" s="422">
        <v>1</v>
      </c>
      <c r="X37" s="423">
        <v>0</v>
      </c>
      <c r="Y37" s="423">
        <v>0</v>
      </c>
      <c r="Z37" s="423">
        <v>1</v>
      </c>
      <c r="AA37" s="425">
        <v>0</v>
      </c>
      <c r="AB37" s="526">
        <v>29</v>
      </c>
      <c r="AC37" s="423">
        <f t="shared" si="16"/>
        <v>1</v>
      </c>
      <c r="AD37" s="422">
        <v>1</v>
      </c>
      <c r="AE37" s="423">
        <v>0</v>
      </c>
      <c r="AF37" s="423">
        <v>1</v>
      </c>
      <c r="AG37" s="423">
        <v>0</v>
      </c>
      <c r="AH37" s="424">
        <v>0</v>
      </c>
      <c r="AI37" s="422">
        <v>0</v>
      </c>
      <c r="AJ37" s="423">
        <v>0</v>
      </c>
      <c r="AK37" s="423">
        <v>0</v>
      </c>
      <c r="AL37" s="423">
        <v>0</v>
      </c>
      <c r="AM37" s="425">
        <v>0</v>
      </c>
      <c r="AO37" s="421">
        <f t="shared" si="13"/>
        <v>6</v>
      </c>
      <c r="AP37" s="422">
        <f t="shared" si="0"/>
        <v>5</v>
      </c>
      <c r="AQ37" s="423">
        <f t="shared" si="1"/>
        <v>0</v>
      </c>
      <c r="AR37" s="423">
        <f t="shared" si="2"/>
        <v>1</v>
      </c>
      <c r="AS37" s="423">
        <f t="shared" si="3"/>
        <v>4</v>
      </c>
      <c r="AT37" s="424">
        <f t="shared" si="4"/>
        <v>0</v>
      </c>
      <c r="AU37" s="422">
        <f t="shared" si="5"/>
        <v>1</v>
      </c>
      <c r="AV37" s="423">
        <f t="shared" si="6"/>
        <v>0</v>
      </c>
      <c r="AW37" s="423">
        <f t="shared" si="7"/>
        <v>0</v>
      </c>
      <c r="AX37" s="423">
        <f t="shared" si="8"/>
        <v>1</v>
      </c>
      <c r="AY37" s="425">
        <f t="shared" si="9"/>
        <v>0</v>
      </c>
    </row>
    <row r="38" spans="1:51" ht="13.9">
      <c r="A38" s="408"/>
      <c r="B38" s="411" t="s">
        <v>274</v>
      </c>
      <c r="C38" s="412">
        <v>2025</v>
      </c>
      <c r="D38" s="420">
        <v>202204</v>
      </c>
      <c r="E38" s="421">
        <f t="shared" si="14"/>
        <v>11694</v>
      </c>
      <c r="F38" s="422">
        <v>7530</v>
      </c>
      <c r="G38" s="423">
        <v>1093</v>
      </c>
      <c r="H38" s="423">
        <v>1082</v>
      </c>
      <c r="I38" s="423">
        <v>5176</v>
      </c>
      <c r="J38" s="424">
        <v>179</v>
      </c>
      <c r="K38" s="422">
        <v>4164</v>
      </c>
      <c r="L38" s="423">
        <v>708</v>
      </c>
      <c r="M38" s="423">
        <v>0</v>
      </c>
      <c r="N38" s="423">
        <v>3389</v>
      </c>
      <c r="O38" s="425">
        <v>67</v>
      </c>
      <c r="P38" s="526">
        <v>389</v>
      </c>
      <c r="Q38" s="423">
        <f t="shared" si="15"/>
        <v>7</v>
      </c>
      <c r="R38" s="422">
        <v>3</v>
      </c>
      <c r="S38" s="423">
        <v>0</v>
      </c>
      <c r="T38" s="423">
        <v>0</v>
      </c>
      <c r="U38" s="423">
        <v>3</v>
      </c>
      <c r="V38" s="424">
        <v>0</v>
      </c>
      <c r="W38" s="422">
        <v>4</v>
      </c>
      <c r="X38" s="423">
        <v>0</v>
      </c>
      <c r="Y38" s="423">
        <v>0</v>
      </c>
      <c r="Z38" s="423">
        <v>4</v>
      </c>
      <c r="AA38" s="425">
        <v>0</v>
      </c>
      <c r="AB38" s="526">
        <v>38</v>
      </c>
      <c r="AC38" s="423">
        <f t="shared" si="16"/>
        <v>2</v>
      </c>
      <c r="AD38" s="422">
        <v>0</v>
      </c>
      <c r="AE38" s="423">
        <v>0</v>
      </c>
      <c r="AF38" s="423">
        <v>0</v>
      </c>
      <c r="AG38" s="423">
        <v>0</v>
      </c>
      <c r="AH38" s="424">
        <v>0</v>
      </c>
      <c r="AI38" s="422">
        <v>2</v>
      </c>
      <c r="AJ38" s="423">
        <v>0</v>
      </c>
      <c r="AK38" s="423">
        <v>0</v>
      </c>
      <c r="AL38" s="423">
        <v>2</v>
      </c>
      <c r="AM38" s="425">
        <v>0</v>
      </c>
      <c r="AO38" s="421">
        <f t="shared" si="13"/>
        <v>9</v>
      </c>
      <c r="AP38" s="422">
        <f t="shared" si="0"/>
        <v>3</v>
      </c>
      <c r="AQ38" s="423">
        <f t="shared" si="1"/>
        <v>0</v>
      </c>
      <c r="AR38" s="423">
        <f t="shared" si="2"/>
        <v>0</v>
      </c>
      <c r="AS38" s="423">
        <f t="shared" si="3"/>
        <v>3</v>
      </c>
      <c r="AT38" s="424">
        <f t="shared" si="4"/>
        <v>0</v>
      </c>
      <c r="AU38" s="422">
        <f t="shared" si="5"/>
        <v>6</v>
      </c>
      <c r="AV38" s="423">
        <f t="shared" si="6"/>
        <v>0</v>
      </c>
      <c r="AW38" s="423">
        <f t="shared" si="7"/>
        <v>0</v>
      </c>
      <c r="AX38" s="423">
        <f t="shared" si="8"/>
        <v>6</v>
      </c>
      <c r="AY38" s="425">
        <f t="shared" si="9"/>
        <v>0</v>
      </c>
    </row>
    <row r="39" spans="1:51" ht="13.9">
      <c r="A39" s="408"/>
      <c r="B39" s="411" t="s">
        <v>275</v>
      </c>
      <c r="C39" s="412">
        <v>2025</v>
      </c>
      <c r="D39" s="420">
        <v>184799</v>
      </c>
      <c r="E39" s="421">
        <f t="shared" si="14"/>
        <v>11890</v>
      </c>
      <c r="F39" s="422">
        <v>7426</v>
      </c>
      <c r="G39" s="423">
        <v>1158</v>
      </c>
      <c r="H39" s="423">
        <v>808</v>
      </c>
      <c r="I39" s="423">
        <v>5108</v>
      </c>
      <c r="J39" s="424">
        <v>352</v>
      </c>
      <c r="K39" s="422">
        <v>4464</v>
      </c>
      <c r="L39" s="423">
        <v>861</v>
      </c>
      <c r="M39" s="423">
        <v>0</v>
      </c>
      <c r="N39" s="423">
        <v>3539</v>
      </c>
      <c r="O39" s="425">
        <v>64</v>
      </c>
      <c r="P39" s="526">
        <v>345</v>
      </c>
      <c r="Q39" s="423">
        <f t="shared" si="15"/>
        <v>11</v>
      </c>
      <c r="R39" s="422">
        <v>6</v>
      </c>
      <c r="S39" s="423">
        <v>0</v>
      </c>
      <c r="T39" s="423">
        <v>3</v>
      </c>
      <c r="U39" s="423">
        <v>3</v>
      </c>
      <c r="V39" s="424">
        <v>0</v>
      </c>
      <c r="W39" s="422">
        <v>5</v>
      </c>
      <c r="X39" s="423">
        <v>0</v>
      </c>
      <c r="Y39" s="423">
        <v>0</v>
      </c>
      <c r="Z39" s="423">
        <v>5</v>
      </c>
      <c r="AA39" s="425">
        <v>0</v>
      </c>
      <c r="AB39" s="526">
        <v>37</v>
      </c>
      <c r="AC39" s="423">
        <f t="shared" si="16"/>
        <v>0</v>
      </c>
      <c r="AD39" s="422">
        <v>0</v>
      </c>
      <c r="AE39" s="423">
        <v>0</v>
      </c>
      <c r="AF39" s="423">
        <v>0</v>
      </c>
      <c r="AG39" s="423">
        <v>0</v>
      </c>
      <c r="AH39" s="424">
        <v>0</v>
      </c>
      <c r="AI39" s="422">
        <v>0</v>
      </c>
      <c r="AJ39" s="423">
        <v>0</v>
      </c>
      <c r="AK39" s="423">
        <v>0</v>
      </c>
      <c r="AL39" s="423">
        <v>0</v>
      </c>
      <c r="AM39" s="425">
        <v>0</v>
      </c>
      <c r="AO39" s="421">
        <f t="shared" si="13"/>
        <v>11</v>
      </c>
      <c r="AP39" s="422">
        <f t="shared" si="0"/>
        <v>6</v>
      </c>
      <c r="AQ39" s="423">
        <f t="shared" si="1"/>
        <v>0</v>
      </c>
      <c r="AR39" s="423">
        <f t="shared" si="2"/>
        <v>3</v>
      </c>
      <c r="AS39" s="423">
        <f t="shared" si="3"/>
        <v>3</v>
      </c>
      <c r="AT39" s="424">
        <f t="shared" si="4"/>
        <v>0</v>
      </c>
      <c r="AU39" s="422">
        <f t="shared" si="5"/>
        <v>5</v>
      </c>
      <c r="AV39" s="423">
        <f t="shared" si="6"/>
        <v>0</v>
      </c>
      <c r="AW39" s="423">
        <f t="shared" si="7"/>
        <v>0</v>
      </c>
      <c r="AX39" s="423">
        <f t="shared" si="8"/>
        <v>5</v>
      </c>
      <c r="AY39" s="425">
        <f t="shared" si="9"/>
        <v>0</v>
      </c>
    </row>
    <row r="40" spans="1:51" ht="14.45" thickBot="1">
      <c r="A40" s="380"/>
      <c r="B40" s="500" t="s">
        <v>276</v>
      </c>
      <c r="C40" s="501">
        <v>2025</v>
      </c>
      <c r="D40" s="507">
        <v>154190</v>
      </c>
      <c r="E40" s="502">
        <f t="shared" si="14"/>
        <v>11261</v>
      </c>
      <c r="F40" s="503">
        <v>7488</v>
      </c>
      <c r="G40" s="504">
        <v>740</v>
      </c>
      <c r="H40" s="504">
        <v>627</v>
      </c>
      <c r="I40" s="504">
        <v>5784</v>
      </c>
      <c r="J40" s="505">
        <v>337</v>
      </c>
      <c r="K40" s="503">
        <v>3773</v>
      </c>
      <c r="L40" s="504">
        <v>728</v>
      </c>
      <c r="M40" s="504">
        <v>0</v>
      </c>
      <c r="N40" s="504">
        <v>2980</v>
      </c>
      <c r="O40" s="506">
        <v>65</v>
      </c>
      <c r="P40" s="527">
        <v>265</v>
      </c>
      <c r="Q40" s="504">
        <f t="shared" si="15"/>
        <v>16</v>
      </c>
      <c r="R40" s="503">
        <v>8</v>
      </c>
      <c r="S40" s="504">
        <v>0</v>
      </c>
      <c r="T40" s="504">
        <v>1</v>
      </c>
      <c r="U40" s="504">
        <v>7</v>
      </c>
      <c r="V40" s="505">
        <v>0</v>
      </c>
      <c r="W40" s="503">
        <v>8</v>
      </c>
      <c r="X40" s="504">
        <v>0</v>
      </c>
      <c r="Y40" s="504">
        <v>0</v>
      </c>
      <c r="Z40" s="504">
        <v>8</v>
      </c>
      <c r="AA40" s="506">
        <v>0</v>
      </c>
      <c r="AB40" s="527">
        <v>14</v>
      </c>
      <c r="AC40" s="504">
        <f t="shared" si="16"/>
        <v>0</v>
      </c>
      <c r="AD40" s="503">
        <v>0</v>
      </c>
      <c r="AE40" s="504">
        <v>0</v>
      </c>
      <c r="AF40" s="504">
        <v>0</v>
      </c>
      <c r="AG40" s="504">
        <v>0</v>
      </c>
      <c r="AH40" s="505">
        <v>0</v>
      </c>
      <c r="AI40" s="503">
        <v>0</v>
      </c>
      <c r="AJ40" s="504">
        <v>0</v>
      </c>
      <c r="AK40" s="504">
        <v>0</v>
      </c>
      <c r="AL40" s="504">
        <v>0</v>
      </c>
      <c r="AM40" s="506">
        <v>0</v>
      </c>
      <c r="AO40" s="502">
        <f t="shared" si="13"/>
        <v>16</v>
      </c>
      <c r="AP40" s="503">
        <f t="shared" si="0"/>
        <v>8</v>
      </c>
      <c r="AQ40" s="504">
        <f t="shared" si="1"/>
        <v>0</v>
      </c>
      <c r="AR40" s="504">
        <f t="shared" si="2"/>
        <v>1</v>
      </c>
      <c r="AS40" s="504">
        <f t="shared" si="3"/>
        <v>7</v>
      </c>
      <c r="AT40" s="505">
        <f t="shared" si="4"/>
        <v>0</v>
      </c>
      <c r="AU40" s="503">
        <f t="shared" si="5"/>
        <v>8</v>
      </c>
      <c r="AV40" s="504">
        <f t="shared" si="6"/>
        <v>0</v>
      </c>
      <c r="AW40" s="504">
        <f t="shared" si="7"/>
        <v>0</v>
      </c>
      <c r="AX40" s="504">
        <f t="shared" si="8"/>
        <v>8</v>
      </c>
      <c r="AY40" s="506">
        <f t="shared" si="9"/>
        <v>0</v>
      </c>
    </row>
    <row r="41" spans="1:51" ht="13.9">
      <c r="A41" s="408"/>
      <c r="B41" s="408"/>
      <c r="C41" s="408"/>
      <c r="D41" s="408"/>
      <c r="E41" s="408"/>
      <c r="F41" s="408"/>
      <c r="G41" s="408"/>
      <c r="H41" s="408"/>
      <c r="I41" s="408"/>
      <c r="J41" s="408"/>
      <c r="K41" s="408"/>
      <c r="L41" s="408"/>
      <c r="M41" s="408"/>
      <c r="N41" s="408"/>
      <c r="O41" s="408"/>
      <c r="P41" s="408"/>
      <c r="Q41" s="408"/>
      <c r="R41" s="408"/>
      <c r="S41" s="408"/>
      <c r="T41" s="408"/>
      <c r="U41" s="408"/>
      <c r="V41" s="408"/>
      <c r="W41" s="408"/>
      <c r="X41" s="408"/>
      <c r="Y41" s="408"/>
      <c r="Z41" s="408"/>
      <c r="AA41" s="408"/>
      <c r="AB41" s="408"/>
      <c r="AC41" s="408"/>
      <c r="AD41" s="408"/>
      <c r="AE41" s="408"/>
      <c r="AF41" s="408"/>
      <c r="AG41" s="408"/>
      <c r="AH41" s="408"/>
      <c r="AI41" s="408"/>
      <c r="AJ41" s="408"/>
      <c r="AK41" s="408"/>
      <c r="AL41" s="408"/>
      <c r="AM41" s="408"/>
      <c r="AO41" s="408"/>
      <c r="AP41" s="408"/>
      <c r="AQ41" s="408"/>
      <c r="AR41" s="408"/>
      <c r="AS41" s="408"/>
      <c r="AT41" s="408"/>
      <c r="AU41" s="408"/>
      <c r="AV41" s="408"/>
      <c r="AW41" s="408"/>
      <c r="AX41" s="408"/>
      <c r="AY41" s="408"/>
    </row>
    <row r="42" spans="1:51" ht="13.9">
      <c r="A42" s="587" t="s">
        <v>277</v>
      </c>
      <c r="B42" s="587"/>
      <c r="C42" s="587"/>
      <c r="D42" s="587"/>
      <c r="E42" s="587"/>
      <c r="F42" s="587"/>
      <c r="G42" s="587"/>
      <c r="H42" s="587"/>
      <c r="I42" s="587"/>
      <c r="J42" s="587"/>
      <c r="K42" s="587"/>
      <c r="L42" s="587"/>
      <c r="M42" s="587"/>
      <c r="N42" s="587"/>
      <c r="O42" s="587"/>
      <c r="P42" s="587"/>
      <c r="Q42" s="587"/>
      <c r="R42" s="587"/>
      <c r="S42" s="587"/>
      <c r="T42" s="587"/>
      <c r="U42" s="587"/>
      <c r="V42" s="587"/>
      <c r="W42" s="587"/>
      <c r="X42" s="587"/>
      <c r="Y42" s="587"/>
      <c r="Z42" s="587"/>
      <c r="AA42" s="587"/>
      <c r="AB42" s="426"/>
      <c r="AC42" s="426"/>
      <c r="AD42" s="426"/>
      <c r="AE42" s="426"/>
      <c r="AF42" s="426"/>
      <c r="AG42" s="426"/>
      <c r="AH42" s="426"/>
      <c r="AI42" s="426"/>
      <c r="AJ42" s="426"/>
      <c r="AK42" s="426"/>
      <c r="AL42" s="426"/>
      <c r="AM42" s="426"/>
      <c r="AO42" s="426"/>
      <c r="AP42" s="426"/>
      <c r="AQ42" s="426"/>
      <c r="AR42" s="426"/>
      <c r="AS42" s="426"/>
      <c r="AT42" s="426"/>
      <c r="AU42" s="426"/>
      <c r="AV42" s="426"/>
      <c r="AW42" s="426"/>
      <c r="AX42" s="426"/>
      <c r="AY42" s="426"/>
    </row>
    <row r="43" spans="1:51" ht="14.45" thickBot="1">
      <c r="A43" s="408"/>
      <c r="B43" s="408"/>
      <c r="C43" s="408"/>
      <c r="D43" s="408"/>
      <c r="E43" s="408"/>
      <c r="F43" s="408"/>
      <c r="G43" s="408"/>
      <c r="H43" s="408"/>
      <c r="I43" s="408"/>
      <c r="J43" s="408"/>
      <c r="K43" s="408"/>
      <c r="L43" s="408"/>
      <c r="M43" s="408"/>
      <c r="N43" s="408"/>
      <c r="O43" s="408"/>
      <c r="P43" s="408"/>
      <c r="Q43" s="408"/>
      <c r="R43" s="408"/>
      <c r="S43" s="408"/>
      <c r="T43" s="408"/>
      <c r="U43" s="408"/>
      <c r="V43" s="408"/>
      <c r="W43" s="408"/>
      <c r="X43" s="408"/>
      <c r="Y43" s="408"/>
      <c r="Z43" s="408"/>
      <c r="AA43" s="408"/>
      <c r="AB43" s="408"/>
      <c r="AC43" s="408"/>
      <c r="AD43" s="408"/>
      <c r="AE43" s="408"/>
      <c r="AF43" s="408"/>
      <c r="AG43" s="408"/>
      <c r="AH43" s="408"/>
      <c r="AI43" s="408"/>
      <c r="AJ43" s="408"/>
      <c r="AK43" s="408"/>
      <c r="AL43" s="408"/>
      <c r="AM43" s="408"/>
      <c r="AO43" s="408"/>
      <c r="AP43" s="408"/>
      <c r="AQ43" s="408"/>
      <c r="AR43" s="408"/>
      <c r="AS43" s="408"/>
      <c r="AT43" s="408"/>
      <c r="AU43" s="408"/>
      <c r="AV43" s="408"/>
      <c r="AW43" s="408"/>
      <c r="AX43" s="408"/>
      <c r="AY43" s="408"/>
    </row>
    <row r="44" spans="1:51" ht="13.9">
      <c r="A44" s="427" t="s">
        <v>241</v>
      </c>
      <c r="B44" s="428">
        <v>42736</v>
      </c>
      <c r="C44" s="429">
        <v>2017</v>
      </c>
      <c r="D44" s="430">
        <f t="shared" ref="D44:T59" si="17">SUMIFS(D$5:D$40,$B$5:$B$40,$A44)</f>
        <v>168225</v>
      </c>
      <c r="E44" s="430">
        <f t="shared" si="17"/>
        <v>1320</v>
      </c>
      <c r="F44" s="431">
        <f t="shared" si="17"/>
        <v>595</v>
      </c>
      <c r="G44" s="432">
        <f t="shared" si="17"/>
        <v>414</v>
      </c>
      <c r="H44" s="432">
        <f t="shared" si="17"/>
        <v>0</v>
      </c>
      <c r="I44" s="432">
        <f t="shared" si="17"/>
        <v>181</v>
      </c>
      <c r="J44" s="433">
        <f t="shared" si="17"/>
        <v>0</v>
      </c>
      <c r="K44" s="431">
        <f t="shared" si="17"/>
        <v>725</v>
      </c>
      <c r="L44" s="432">
        <f t="shared" si="17"/>
        <v>628</v>
      </c>
      <c r="M44" s="432">
        <f t="shared" si="17"/>
        <v>0</v>
      </c>
      <c r="N44" s="432">
        <f t="shared" si="17"/>
        <v>88</v>
      </c>
      <c r="O44" s="434">
        <f t="shared" si="17"/>
        <v>9</v>
      </c>
      <c r="P44" s="528">
        <f t="shared" ref="P44:P107" si="18">SUMIFS(P$5:P$40,$B$5:$B$40,$A44)</f>
        <v>240</v>
      </c>
      <c r="Q44" s="432">
        <f t="shared" si="17"/>
        <v>0</v>
      </c>
      <c r="R44" s="431">
        <f t="shared" si="17"/>
        <v>0</v>
      </c>
      <c r="S44" s="432">
        <f t="shared" si="17"/>
        <v>0</v>
      </c>
      <c r="T44" s="432">
        <f t="shared" si="17"/>
        <v>0</v>
      </c>
      <c r="U44" s="432">
        <f t="shared" ref="U44:AK59" si="19">SUMIFS(U$5:U$40,$B$5:$B$40,$A44)</f>
        <v>0</v>
      </c>
      <c r="V44" s="433">
        <f t="shared" si="19"/>
        <v>0</v>
      </c>
      <c r="W44" s="431">
        <f t="shared" si="19"/>
        <v>0</v>
      </c>
      <c r="X44" s="432">
        <f t="shared" si="19"/>
        <v>0</v>
      </c>
      <c r="Y44" s="432">
        <f t="shared" si="19"/>
        <v>0</v>
      </c>
      <c r="Z44" s="432">
        <f t="shared" si="19"/>
        <v>0</v>
      </c>
      <c r="AA44" s="434">
        <f t="shared" si="19"/>
        <v>0</v>
      </c>
      <c r="AB44" s="433">
        <f t="shared" si="19"/>
        <v>35</v>
      </c>
      <c r="AC44" s="432">
        <f t="shared" si="19"/>
        <v>1</v>
      </c>
      <c r="AD44" s="431">
        <f t="shared" si="19"/>
        <v>0</v>
      </c>
      <c r="AE44" s="432">
        <f t="shared" si="19"/>
        <v>0</v>
      </c>
      <c r="AF44" s="432">
        <f t="shared" si="19"/>
        <v>0</v>
      </c>
      <c r="AG44" s="432">
        <f t="shared" si="19"/>
        <v>0</v>
      </c>
      <c r="AH44" s="433">
        <f t="shared" si="19"/>
        <v>0</v>
      </c>
      <c r="AI44" s="431">
        <f t="shared" si="19"/>
        <v>1</v>
      </c>
      <c r="AJ44" s="432">
        <f t="shared" si="19"/>
        <v>1</v>
      </c>
      <c r="AK44" s="432">
        <f t="shared" si="19"/>
        <v>0</v>
      </c>
      <c r="AL44" s="432">
        <f t="shared" ref="AG44:AM59" si="20">SUMIFS(AL$5:AL$40,$B$5:$B$40,$A44)</f>
        <v>0</v>
      </c>
      <c r="AM44" s="434">
        <f t="shared" si="20"/>
        <v>0</v>
      </c>
      <c r="AO44" s="430">
        <f t="shared" ref="AO44:AO107" si="21">Q44+AC44</f>
        <v>1</v>
      </c>
      <c r="AP44" s="431">
        <f t="shared" ref="AP44:AP107" si="22">R44+AD44</f>
        <v>0</v>
      </c>
      <c r="AQ44" s="432">
        <f t="shared" ref="AQ44:AQ107" si="23">S44+AE44</f>
        <v>0</v>
      </c>
      <c r="AR44" s="432">
        <f t="shared" ref="AR44:AR107" si="24">T44+AF44</f>
        <v>0</v>
      </c>
      <c r="AS44" s="432">
        <f t="shared" ref="AS44:AS107" si="25">U44+AG44</f>
        <v>0</v>
      </c>
      <c r="AT44" s="433">
        <f t="shared" ref="AT44:AT107" si="26">V44+AH44</f>
        <v>0</v>
      </c>
      <c r="AU44" s="431">
        <f t="shared" ref="AU44:AU107" si="27">W44+AI44</f>
        <v>1</v>
      </c>
      <c r="AV44" s="432">
        <f t="shared" ref="AV44:AV107" si="28">X44+AJ44</f>
        <v>1</v>
      </c>
      <c r="AW44" s="432">
        <f t="shared" ref="AW44:AW107" si="29">Y44+AK44</f>
        <v>0</v>
      </c>
      <c r="AX44" s="432">
        <f t="shared" ref="AX44:AX107" si="30">Z44+AL44</f>
        <v>0</v>
      </c>
      <c r="AY44" s="434">
        <f t="shared" ref="AY44:AY107" si="31">AA44+AM44</f>
        <v>0</v>
      </c>
    </row>
    <row r="45" spans="1:51" ht="13.9">
      <c r="A45" s="435" t="s">
        <v>241</v>
      </c>
      <c r="B45" s="436">
        <v>42767</v>
      </c>
      <c r="C45" s="437">
        <v>2017</v>
      </c>
      <c r="D45" s="421">
        <f t="shared" si="17"/>
        <v>168225</v>
      </c>
      <c r="E45" s="421">
        <f t="shared" si="17"/>
        <v>1320</v>
      </c>
      <c r="F45" s="422">
        <f t="shared" si="17"/>
        <v>595</v>
      </c>
      <c r="G45" s="423">
        <f t="shared" si="17"/>
        <v>414</v>
      </c>
      <c r="H45" s="423">
        <f t="shared" si="17"/>
        <v>0</v>
      </c>
      <c r="I45" s="423">
        <f t="shared" si="17"/>
        <v>181</v>
      </c>
      <c r="J45" s="424">
        <f t="shared" si="17"/>
        <v>0</v>
      </c>
      <c r="K45" s="422">
        <f t="shared" si="17"/>
        <v>725</v>
      </c>
      <c r="L45" s="423">
        <f t="shared" si="17"/>
        <v>628</v>
      </c>
      <c r="M45" s="423">
        <f t="shared" si="17"/>
        <v>0</v>
      </c>
      <c r="N45" s="423">
        <f t="shared" si="17"/>
        <v>88</v>
      </c>
      <c r="O45" s="425">
        <f t="shared" si="17"/>
        <v>9</v>
      </c>
      <c r="P45" s="526">
        <f t="shared" si="18"/>
        <v>240</v>
      </c>
      <c r="Q45" s="423">
        <f t="shared" si="17"/>
        <v>0</v>
      </c>
      <c r="R45" s="422">
        <f t="shared" si="17"/>
        <v>0</v>
      </c>
      <c r="S45" s="423">
        <f t="shared" si="17"/>
        <v>0</v>
      </c>
      <c r="T45" s="423">
        <f t="shared" si="17"/>
        <v>0</v>
      </c>
      <c r="U45" s="423">
        <f t="shared" si="19"/>
        <v>0</v>
      </c>
      <c r="V45" s="424">
        <f t="shared" si="19"/>
        <v>0</v>
      </c>
      <c r="W45" s="422">
        <f t="shared" si="19"/>
        <v>0</v>
      </c>
      <c r="X45" s="423">
        <f t="shared" si="19"/>
        <v>0</v>
      </c>
      <c r="Y45" s="423">
        <f t="shared" si="19"/>
        <v>0</v>
      </c>
      <c r="Z45" s="423">
        <f t="shared" si="19"/>
        <v>0</v>
      </c>
      <c r="AA45" s="425">
        <f t="shared" si="19"/>
        <v>0</v>
      </c>
      <c r="AB45" s="424">
        <f t="shared" si="19"/>
        <v>35</v>
      </c>
      <c r="AC45" s="423">
        <f t="shared" si="19"/>
        <v>1</v>
      </c>
      <c r="AD45" s="422">
        <f t="shared" si="19"/>
        <v>0</v>
      </c>
      <c r="AE45" s="423">
        <f t="shared" si="19"/>
        <v>0</v>
      </c>
      <c r="AF45" s="423">
        <f t="shared" si="19"/>
        <v>0</v>
      </c>
      <c r="AG45" s="423">
        <f t="shared" si="20"/>
        <v>0</v>
      </c>
      <c r="AH45" s="424">
        <f t="shared" si="20"/>
        <v>0</v>
      </c>
      <c r="AI45" s="422">
        <f t="shared" si="20"/>
        <v>1</v>
      </c>
      <c r="AJ45" s="423">
        <f t="shared" si="20"/>
        <v>1</v>
      </c>
      <c r="AK45" s="423">
        <f t="shared" si="20"/>
        <v>0</v>
      </c>
      <c r="AL45" s="423">
        <f t="shared" si="20"/>
        <v>0</v>
      </c>
      <c r="AM45" s="425">
        <f t="shared" si="20"/>
        <v>0</v>
      </c>
      <c r="AO45" s="421">
        <f t="shared" si="21"/>
        <v>1</v>
      </c>
      <c r="AP45" s="422">
        <f t="shared" si="22"/>
        <v>0</v>
      </c>
      <c r="AQ45" s="423">
        <f t="shared" si="23"/>
        <v>0</v>
      </c>
      <c r="AR45" s="423">
        <f t="shared" si="24"/>
        <v>0</v>
      </c>
      <c r="AS45" s="423">
        <f t="shared" si="25"/>
        <v>0</v>
      </c>
      <c r="AT45" s="424">
        <f t="shared" si="26"/>
        <v>0</v>
      </c>
      <c r="AU45" s="422">
        <f t="shared" si="27"/>
        <v>1</v>
      </c>
      <c r="AV45" s="423">
        <f t="shared" si="28"/>
        <v>1</v>
      </c>
      <c r="AW45" s="423">
        <f t="shared" si="29"/>
        <v>0</v>
      </c>
      <c r="AX45" s="423">
        <f t="shared" si="30"/>
        <v>0</v>
      </c>
      <c r="AY45" s="425">
        <f t="shared" si="31"/>
        <v>0</v>
      </c>
    </row>
    <row r="46" spans="1:51" ht="13.9">
      <c r="A46" s="435" t="s">
        <v>241</v>
      </c>
      <c r="B46" s="436">
        <v>42795</v>
      </c>
      <c r="C46" s="437">
        <v>2017</v>
      </c>
      <c r="D46" s="421">
        <f t="shared" si="17"/>
        <v>168225</v>
      </c>
      <c r="E46" s="421">
        <f t="shared" si="17"/>
        <v>1320</v>
      </c>
      <c r="F46" s="422">
        <f t="shared" si="17"/>
        <v>595</v>
      </c>
      <c r="G46" s="423">
        <f t="shared" si="17"/>
        <v>414</v>
      </c>
      <c r="H46" s="423">
        <f t="shared" si="17"/>
        <v>0</v>
      </c>
      <c r="I46" s="423">
        <f t="shared" si="17"/>
        <v>181</v>
      </c>
      <c r="J46" s="424">
        <f t="shared" si="17"/>
        <v>0</v>
      </c>
      <c r="K46" s="422">
        <f t="shared" si="17"/>
        <v>725</v>
      </c>
      <c r="L46" s="423">
        <f t="shared" si="17"/>
        <v>628</v>
      </c>
      <c r="M46" s="423">
        <f t="shared" si="17"/>
        <v>0</v>
      </c>
      <c r="N46" s="423">
        <f t="shared" si="17"/>
        <v>88</v>
      </c>
      <c r="O46" s="425">
        <f t="shared" si="17"/>
        <v>9</v>
      </c>
      <c r="P46" s="526">
        <f t="shared" si="18"/>
        <v>240</v>
      </c>
      <c r="Q46" s="423">
        <f t="shared" si="17"/>
        <v>0</v>
      </c>
      <c r="R46" s="422">
        <f t="shared" si="17"/>
        <v>0</v>
      </c>
      <c r="S46" s="423">
        <f t="shared" si="17"/>
        <v>0</v>
      </c>
      <c r="T46" s="423">
        <f t="shared" si="17"/>
        <v>0</v>
      </c>
      <c r="U46" s="423">
        <f t="shared" si="19"/>
        <v>0</v>
      </c>
      <c r="V46" s="424">
        <f t="shared" si="19"/>
        <v>0</v>
      </c>
      <c r="W46" s="422">
        <f t="shared" si="19"/>
        <v>0</v>
      </c>
      <c r="X46" s="423">
        <f t="shared" si="19"/>
        <v>0</v>
      </c>
      <c r="Y46" s="423">
        <f t="shared" si="19"/>
        <v>0</v>
      </c>
      <c r="Z46" s="423">
        <f t="shared" si="19"/>
        <v>0</v>
      </c>
      <c r="AA46" s="425">
        <f t="shared" si="19"/>
        <v>0</v>
      </c>
      <c r="AB46" s="424">
        <f t="shared" si="19"/>
        <v>35</v>
      </c>
      <c r="AC46" s="423">
        <f t="shared" si="19"/>
        <v>1</v>
      </c>
      <c r="AD46" s="422">
        <f t="shared" si="19"/>
        <v>0</v>
      </c>
      <c r="AE46" s="423">
        <f t="shared" si="19"/>
        <v>0</v>
      </c>
      <c r="AF46" s="423">
        <f t="shared" si="19"/>
        <v>0</v>
      </c>
      <c r="AG46" s="423">
        <f t="shared" si="20"/>
        <v>0</v>
      </c>
      <c r="AH46" s="424">
        <f t="shared" si="20"/>
        <v>0</v>
      </c>
      <c r="AI46" s="422">
        <f t="shared" si="20"/>
        <v>1</v>
      </c>
      <c r="AJ46" s="423">
        <f t="shared" si="20"/>
        <v>1</v>
      </c>
      <c r="AK46" s="423">
        <f t="shared" si="20"/>
        <v>0</v>
      </c>
      <c r="AL46" s="423">
        <f t="shared" si="20"/>
        <v>0</v>
      </c>
      <c r="AM46" s="425">
        <f t="shared" si="20"/>
        <v>0</v>
      </c>
      <c r="AO46" s="421">
        <f t="shared" si="21"/>
        <v>1</v>
      </c>
      <c r="AP46" s="422">
        <f t="shared" si="22"/>
        <v>0</v>
      </c>
      <c r="AQ46" s="423">
        <f t="shared" si="23"/>
        <v>0</v>
      </c>
      <c r="AR46" s="423">
        <f t="shared" si="24"/>
        <v>0</v>
      </c>
      <c r="AS46" s="423">
        <f t="shared" si="25"/>
        <v>0</v>
      </c>
      <c r="AT46" s="424">
        <f t="shared" si="26"/>
        <v>0</v>
      </c>
      <c r="AU46" s="422">
        <f t="shared" si="27"/>
        <v>1</v>
      </c>
      <c r="AV46" s="423">
        <f t="shared" si="28"/>
        <v>1</v>
      </c>
      <c r="AW46" s="423">
        <f t="shared" si="29"/>
        <v>0</v>
      </c>
      <c r="AX46" s="423">
        <f t="shared" si="30"/>
        <v>0</v>
      </c>
      <c r="AY46" s="425">
        <f t="shared" si="31"/>
        <v>0</v>
      </c>
    </row>
    <row r="47" spans="1:51" ht="13.9">
      <c r="A47" s="435" t="s">
        <v>242</v>
      </c>
      <c r="B47" s="436">
        <v>42826</v>
      </c>
      <c r="C47" s="437">
        <v>2017</v>
      </c>
      <c r="D47" s="421">
        <f t="shared" si="17"/>
        <v>234021</v>
      </c>
      <c r="E47" s="421">
        <f t="shared" si="17"/>
        <v>2089</v>
      </c>
      <c r="F47" s="422">
        <f t="shared" si="17"/>
        <v>832</v>
      </c>
      <c r="G47" s="423">
        <f t="shared" si="17"/>
        <v>605</v>
      </c>
      <c r="H47" s="423">
        <f t="shared" si="17"/>
        <v>0</v>
      </c>
      <c r="I47" s="423">
        <f t="shared" si="17"/>
        <v>227</v>
      </c>
      <c r="J47" s="424">
        <f t="shared" si="17"/>
        <v>0</v>
      </c>
      <c r="K47" s="422">
        <f t="shared" si="17"/>
        <v>1257</v>
      </c>
      <c r="L47" s="423">
        <f t="shared" si="17"/>
        <v>937</v>
      </c>
      <c r="M47" s="423">
        <f t="shared" si="17"/>
        <v>0</v>
      </c>
      <c r="N47" s="423">
        <f t="shared" si="17"/>
        <v>153</v>
      </c>
      <c r="O47" s="425">
        <f t="shared" si="17"/>
        <v>167</v>
      </c>
      <c r="P47" s="526">
        <f t="shared" si="18"/>
        <v>461</v>
      </c>
      <c r="Q47" s="423">
        <f t="shared" si="17"/>
        <v>3</v>
      </c>
      <c r="R47" s="422">
        <f t="shared" si="17"/>
        <v>2</v>
      </c>
      <c r="S47" s="423">
        <f t="shared" si="17"/>
        <v>2</v>
      </c>
      <c r="T47" s="423">
        <f t="shared" si="17"/>
        <v>0</v>
      </c>
      <c r="U47" s="423">
        <f t="shared" si="19"/>
        <v>0</v>
      </c>
      <c r="V47" s="424">
        <f t="shared" si="19"/>
        <v>0</v>
      </c>
      <c r="W47" s="422">
        <f t="shared" si="19"/>
        <v>1</v>
      </c>
      <c r="X47" s="423">
        <f t="shared" si="19"/>
        <v>0</v>
      </c>
      <c r="Y47" s="423">
        <f t="shared" si="19"/>
        <v>0</v>
      </c>
      <c r="Z47" s="423">
        <f t="shared" si="19"/>
        <v>0</v>
      </c>
      <c r="AA47" s="425">
        <f t="shared" si="19"/>
        <v>1</v>
      </c>
      <c r="AB47" s="424">
        <f t="shared" si="19"/>
        <v>53</v>
      </c>
      <c r="AC47" s="423">
        <f t="shared" si="19"/>
        <v>0</v>
      </c>
      <c r="AD47" s="422">
        <f t="shared" si="19"/>
        <v>0</v>
      </c>
      <c r="AE47" s="423">
        <f t="shared" si="19"/>
        <v>0</v>
      </c>
      <c r="AF47" s="423">
        <f t="shared" si="19"/>
        <v>0</v>
      </c>
      <c r="AG47" s="423">
        <f t="shared" si="20"/>
        <v>0</v>
      </c>
      <c r="AH47" s="424">
        <f t="shared" si="20"/>
        <v>0</v>
      </c>
      <c r="AI47" s="422">
        <f t="shared" si="20"/>
        <v>0</v>
      </c>
      <c r="AJ47" s="423">
        <f t="shared" si="20"/>
        <v>0</v>
      </c>
      <c r="AK47" s="423">
        <f t="shared" si="20"/>
        <v>0</v>
      </c>
      <c r="AL47" s="423">
        <f t="shared" si="20"/>
        <v>0</v>
      </c>
      <c r="AM47" s="425">
        <f t="shared" si="20"/>
        <v>0</v>
      </c>
      <c r="AO47" s="421">
        <f t="shared" si="21"/>
        <v>3</v>
      </c>
      <c r="AP47" s="422">
        <f t="shared" si="22"/>
        <v>2</v>
      </c>
      <c r="AQ47" s="423">
        <f t="shared" si="23"/>
        <v>2</v>
      </c>
      <c r="AR47" s="423">
        <f t="shared" si="24"/>
        <v>0</v>
      </c>
      <c r="AS47" s="423">
        <f t="shared" si="25"/>
        <v>0</v>
      </c>
      <c r="AT47" s="424">
        <f t="shared" si="26"/>
        <v>0</v>
      </c>
      <c r="AU47" s="422">
        <f t="shared" si="27"/>
        <v>1</v>
      </c>
      <c r="AV47" s="423">
        <f t="shared" si="28"/>
        <v>0</v>
      </c>
      <c r="AW47" s="423">
        <f t="shared" si="29"/>
        <v>0</v>
      </c>
      <c r="AX47" s="423">
        <f t="shared" si="30"/>
        <v>0</v>
      </c>
      <c r="AY47" s="425">
        <f t="shared" si="31"/>
        <v>1</v>
      </c>
    </row>
    <row r="48" spans="1:51" ht="13.9">
      <c r="A48" s="435" t="s">
        <v>242</v>
      </c>
      <c r="B48" s="436">
        <v>42856</v>
      </c>
      <c r="C48" s="437">
        <v>2017</v>
      </c>
      <c r="D48" s="421">
        <f t="shared" si="17"/>
        <v>234021</v>
      </c>
      <c r="E48" s="421">
        <f t="shared" si="17"/>
        <v>2089</v>
      </c>
      <c r="F48" s="422">
        <f t="shared" si="17"/>
        <v>832</v>
      </c>
      <c r="G48" s="423">
        <f t="shared" si="17"/>
        <v>605</v>
      </c>
      <c r="H48" s="423">
        <f t="shared" si="17"/>
        <v>0</v>
      </c>
      <c r="I48" s="423">
        <f t="shared" si="17"/>
        <v>227</v>
      </c>
      <c r="J48" s="424">
        <f t="shared" si="17"/>
        <v>0</v>
      </c>
      <c r="K48" s="422">
        <f t="shared" si="17"/>
        <v>1257</v>
      </c>
      <c r="L48" s="423">
        <f t="shared" si="17"/>
        <v>937</v>
      </c>
      <c r="M48" s="423">
        <f t="shared" si="17"/>
        <v>0</v>
      </c>
      <c r="N48" s="423">
        <f t="shared" si="17"/>
        <v>153</v>
      </c>
      <c r="O48" s="425">
        <f t="shared" si="17"/>
        <v>167</v>
      </c>
      <c r="P48" s="526">
        <f t="shared" si="18"/>
        <v>461</v>
      </c>
      <c r="Q48" s="423">
        <f t="shared" si="17"/>
        <v>3</v>
      </c>
      <c r="R48" s="422">
        <f t="shared" si="17"/>
        <v>2</v>
      </c>
      <c r="S48" s="423">
        <f t="shared" si="17"/>
        <v>2</v>
      </c>
      <c r="T48" s="423">
        <f t="shared" si="17"/>
        <v>0</v>
      </c>
      <c r="U48" s="423">
        <f t="shared" si="19"/>
        <v>0</v>
      </c>
      <c r="V48" s="424">
        <f t="shared" si="19"/>
        <v>0</v>
      </c>
      <c r="W48" s="422">
        <f t="shared" si="19"/>
        <v>1</v>
      </c>
      <c r="X48" s="423">
        <f t="shared" si="19"/>
        <v>0</v>
      </c>
      <c r="Y48" s="423">
        <f t="shared" si="19"/>
        <v>0</v>
      </c>
      <c r="Z48" s="423">
        <f t="shared" si="19"/>
        <v>0</v>
      </c>
      <c r="AA48" s="425">
        <f t="shared" si="19"/>
        <v>1</v>
      </c>
      <c r="AB48" s="424">
        <f t="shared" si="19"/>
        <v>53</v>
      </c>
      <c r="AC48" s="423">
        <f t="shared" si="19"/>
        <v>0</v>
      </c>
      <c r="AD48" s="422">
        <f t="shared" si="19"/>
        <v>0</v>
      </c>
      <c r="AE48" s="423">
        <f t="shared" si="19"/>
        <v>0</v>
      </c>
      <c r="AF48" s="423">
        <f t="shared" si="19"/>
        <v>0</v>
      </c>
      <c r="AG48" s="423">
        <f t="shared" si="20"/>
        <v>0</v>
      </c>
      <c r="AH48" s="424">
        <f t="shared" si="20"/>
        <v>0</v>
      </c>
      <c r="AI48" s="422">
        <f t="shared" si="20"/>
        <v>0</v>
      </c>
      <c r="AJ48" s="423">
        <f t="shared" si="20"/>
        <v>0</v>
      </c>
      <c r="AK48" s="423">
        <f t="shared" si="20"/>
        <v>0</v>
      </c>
      <c r="AL48" s="423">
        <f t="shared" si="20"/>
        <v>0</v>
      </c>
      <c r="AM48" s="425">
        <f t="shared" si="20"/>
        <v>0</v>
      </c>
      <c r="AO48" s="421">
        <f t="shared" si="21"/>
        <v>3</v>
      </c>
      <c r="AP48" s="422">
        <f t="shared" si="22"/>
        <v>2</v>
      </c>
      <c r="AQ48" s="423">
        <f t="shared" si="23"/>
        <v>2</v>
      </c>
      <c r="AR48" s="423">
        <f t="shared" si="24"/>
        <v>0</v>
      </c>
      <c r="AS48" s="423">
        <f t="shared" si="25"/>
        <v>0</v>
      </c>
      <c r="AT48" s="424">
        <f t="shared" si="26"/>
        <v>0</v>
      </c>
      <c r="AU48" s="422">
        <f t="shared" si="27"/>
        <v>1</v>
      </c>
      <c r="AV48" s="423">
        <f t="shared" si="28"/>
        <v>0</v>
      </c>
      <c r="AW48" s="423">
        <f t="shared" si="29"/>
        <v>0</v>
      </c>
      <c r="AX48" s="423">
        <f t="shared" si="30"/>
        <v>0</v>
      </c>
      <c r="AY48" s="425">
        <f t="shared" si="31"/>
        <v>1</v>
      </c>
    </row>
    <row r="49" spans="1:51" ht="13.9">
      <c r="A49" s="435" t="s">
        <v>242</v>
      </c>
      <c r="B49" s="436">
        <v>42887</v>
      </c>
      <c r="C49" s="437">
        <v>2017</v>
      </c>
      <c r="D49" s="421">
        <f t="shared" si="17"/>
        <v>234021</v>
      </c>
      <c r="E49" s="421">
        <f t="shared" si="17"/>
        <v>2089</v>
      </c>
      <c r="F49" s="422">
        <f t="shared" si="17"/>
        <v>832</v>
      </c>
      <c r="G49" s="423">
        <f t="shared" si="17"/>
        <v>605</v>
      </c>
      <c r="H49" s="423">
        <f t="shared" si="17"/>
        <v>0</v>
      </c>
      <c r="I49" s="423">
        <f t="shared" si="17"/>
        <v>227</v>
      </c>
      <c r="J49" s="424">
        <f t="shared" si="17"/>
        <v>0</v>
      </c>
      <c r="K49" s="422">
        <f t="shared" si="17"/>
        <v>1257</v>
      </c>
      <c r="L49" s="423">
        <f t="shared" si="17"/>
        <v>937</v>
      </c>
      <c r="M49" s="423">
        <f t="shared" si="17"/>
        <v>0</v>
      </c>
      <c r="N49" s="423">
        <f t="shared" si="17"/>
        <v>153</v>
      </c>
      <c r="O49" s="425">
        <f t="shared" si="17"/>
        <v>167</v>
      </c>
      <c r="P49" s="526">
        <f t="shared" si="18"/>
        <v>461</v>
      </c>
      <c r="Q49" s="423">
        <f t="shared" si="17"/>
        <v>3</v>
      </c>
      <c r="R49" s="422">
        <f t="shared" si="17"/>
        <v>2</v>
      </c>
      <c r="S49" s="423">
        <f t="shared" si="17"/>
        <v>2</v>
      </c>
      <c r="T49" s="423">
        <f t="shared" si="17"/>
        <v>0</v>
      </c>
      <c r="U49" s="423">
        <f t="shared" si="19"/>
        <v>0</v>
      </c>
      <c r="V49" s="424">
        <f t="shared" si="19"/>
        <v>0</v>
      </c>
      <c r="W49" s="422">
        <f t="shared" si="19"/>
        <v>1</v>
      </c>
      <c r="X49" s="423">
        <f t="shared" si="19"/>
        <v>0</v>
      </c>
      <c r="Y49" s="423">
        <f t="shared" si="19"/>
        <v>0</v>
      </c>
      <c r="Z49" s="423">
        <f t="shared" si="19"/>
        <v>0</v>
      </c>
      <c r="AA49" s="425">
        <f t="shared" si="19"/>
        <v>1</v>
      </c>
      <c r="AB49" s="424">
        <f t="shared" si="19"/>
        <v>53</v>
      </c>
      <c r="AC49" s="423">
        <f t="shared" si="19"/>
        <v>0</v>
      </c>
      <c r="AD49" s="422">
        <f t="shared" si="19"/>
        <v>0</v>
      </c>
      <c r="AE49" s="423">
        <f t="shared" si="19"/>
        <v>0</v>
      </c>
      <c r="AF49" s="423">
        <f t="shared" si="19"/>
        <v>0</v>
      </c>
      <c r="AG49" s="423">
        <f t="shared" si="20"/>
        <v>0</v>
      </c>
      <c r="AH49" s="424">
        <f t="shared" si="20"/>
        <v>0</v>
      </c>
      <c r="AI49" s="422">
        <f t="shared" si="20"/>
        <v>0</v>
      </c>
      <c r="AJ49" s="423">
        <f t="shared" si="20"/>
        <v>0</v>
      </c>
      <c r="AK49" s="423">
        <f t="shared" si="20"/>
        <v>0</v>
      </c>
      <c r="AL49" s="423">
        <f t="shared" si="20"/>
        <v>0</v>
      </c>
      <c r="AM49" s="425">
        <f t="shared" si="20"/>
        <v>0</v>
      </c>
      <c r="AO49" s="421">
        <f t="shared" si="21"/>
        <v>3</v>
      </c>
      <c r="AP49" s="422">
        <f t="shared" si="22"/>
        <v>2</v>
      </c>
      <c r="AQ49" s="423">
        <f t="shared" si="23"/>
        <v>2</v>
      </c>
      <c r="AR49" s="423">
        <f t="shared" si="24"/>
        <v>0</v>
      </c>
      <c r="AS49" s="423">
        <f t="shared" si="25"/>
        <v>0</v>
      </c>
      <c r="AT49" s="424">
        <f t="shared" si="26"/>
        <v>0</v>
      </c>
      <c r="AU49" s="422">
        <f t="shared" si="27"/>
        <v>1</v>
      </c>
      <c r="AV49" s="423">
        <f t="shared" si="28"/>
        <v>0</v>
      </c>
      <c r="AW49" s="423">
        <f t="shared" si="29"/>
        <v>0</v>
      </c>
      <c r="AX49" s="423">
        <f t="shared" si="30"/>
        <v>0</v>
      </c>
      <c r="AY49" s="425">
        <f t="shared" si="31"/>
        <v>1</v>
      </c>
    </row>
    <row r="50" spans="1:51" ht="13.9">
      <c r="A50" s="435" t="s">
        <v>243</v>
      </c>
      <c r="B50" s="436">
        <v>42917</v>
      </c>
      <c r="C50" s="437">
        <v>2017</v>
      </c>
      <c r="D50" s="421">
        <f t="shared" si="17"/>
        <v>219632</v>
      </c>
      <c r="E50" s="421">
        <f t="shared" si="17"/>
        <v>2129</v>
      </c>
      <c r="F50" s="422">
        <f t="shared" si="17"/>
        <v>950</v>
      </c>
      <c r="G50" s="423">
        <f t="shared" si="17"/>
        <v>685</v>
      </c>
      <c r="H50" s="423">
        <f t="shared" si="17"/>
        <v>0</v>
      </c>
      <c r="I50" s="423">
        <f t="shared" si="17"/>
        <v>265</v>
      </c>
      <c r="J50" s="424">
        <f t="shared" si="17"/>
        <v>0</v>
      </c>
      <c r="K50" s="422">
        <f t="shared" si="17"/>
        <v>1179</v>
      </c>
      <c r="L50" s="423">
        <f t="shared" si="17"/>
        <v>984</v>
      </c>
      <c r="M50" s="423">
        <f t="shared" si="17"/>
        <v>0</v>
      </c>
      <c r="N50" s="423">
        <f t="shared" si="17"/>
        <v>98</v>
      </c>
      <c r="O50" s="425">
        <f t="shared" si="17"/>
        <v>97</v>
      </c>
      <c r="P50" s="526">
        <f t="shared" si="18"/>
        <v>421</v>
      </c>
      <c r="Q50" s="423">
        <f t="shared" si="17"/>
        <v>2</v>
      </c>
      <c r="R50" s="422">
        <f t="shared" si="17"/>
        <v>1</v>
      </c>
      <c r="S50" s="423">
        <f t="shared" si="17"/>
        <v>1</v>
      </c>
      <c r="T50" s="423">
        <f t="shared" si="17"/>
        <v>0</v>
      </c>
      <c r="U50" s="423">
        <f t="shared" si="19"/>
        <v>0</v>
      </c>
      <c r="V50" s="424">
        <f t="shared" si="19"/>
        <v>0</v>
      </c>
      <c r="W50" s="422">
        <f t="shared" si="19"/>
        <v>1</v>
      </c>
      <c r="X50" s="423">
        <f t="shared" si="19"/>
        <v>1</v>
      </c>
      <c r="Y50" s="423">
        <f t="shared" si="19"/>
        <v>0</v>
      </c>
      <c r="Z50" s="423">
        <f t="shared" si="19"/>
        <v>0</v>
      </c>
      <c r="AA50" s="425">
        <f t="shared" si="19"/>
        <v>0</v>
      </c>
      <c r="AB50" s="424">
        <f t="shared" si="19"/>
        <v>46</v>
      </c>
      <c r="AC50" s="423">
        <f t="shared" si="19"/>
        <v>0</v>
      </c>
      <c r="AD50" s="422">
        <f t="shared" si="19"/>
        <v>0</v>
      </c>
      <c r="AE50" s="423">
        <f t="shared" si="19"/>
        <v>0</v>
      </c>
      <c r="AF50" s="423">
        <f t="shared" si="19"/>
        <v>0</v>
      </c>
      <c r="AG50" s="423">
        <f t="shared" si="20"/>
        <v>0</v>
      </c>
      <c r="AH50" s="424">
        <f t="shared" si="20"/>
        <v>0</v>
      </c>
      <c r="AI50" s="422">
        <f t="shared" si="20"/>
        <v>0</v>
      </c>
      <c r="AJ50" s="423">
        <f t="shared" si="20"/>
        <v>0</v>
      </c>
      <c r="AK50" s="423">
        <f t="shared" si="20"/>
        <v>0</v>
      </c>
      <c r="AL50" s="423">
        <f t="shared" si="20"/>
        <v>0</v>
      </c>
      <c r="AM50" s="425">
        <f t="shared" si="20"/>
        <v>0</v>
      </c>
      <c r="AO50" s="421">
        <f t="shared" si="21"/>
        <v>2</v>
      </c>
      <c r="AP50" s="422">
        <f t="shared" si="22"/>
        <v>1</v>
      </c>
      <c r="AQ50" s="423">
        <f t="shared" si="23"/>
        <v>1</v>
      </c>
      <c r="AR50" s="423">
        <f t="shared" si="24"/>
        <v>0</v>
      </c>
      <c r="AS50" s="423">
        <f t="shared" si="25"/>
        <v>0</v>
      </c>
      <c r="AT50" s="424">
        <f t="shared" si="26"/>
        <v>0</v>
      </c>
      <c r="AU50" s="422">
        <f t="shared" si="27"/>
        <v>1</v>
      </c>
      <c r="AV50" s="423">
        <f t="shared" si="28"/>
        <v>1</v>
      </c>
      <c r="AW50" s="423">
        <f t="shared" si="29"/>
        <v>0</v>
      </c>
      <c r="AX50" s="423">
        <f t="shared" si="30"/>
        <v>0</v>
      </c>
      <c r="AY50" s="425">
        <f t="shared" si="31"/>
        <v>0</v>
      </c>
    </row>
    <row r="51" spans="1:51" ht="13.9">
      <c r="A51" s="435" t="s">
        <v>243</v>
      </c>
      <c r="B51" s="436">
        <v>42948</v>
      </c>
      <c r="C51" s="437">
        <v>2017</v>
      </c>
      <c r="D51" s="421">
        <f t="shared" si="17"/>
        <v>219632</v>
      </c>
      <c r="E51" s="421">
        <f t="shared" si="17"/>
        <v>2129</v>
      </c>
      <c r="F51" s="422">
        <f t="shared" si="17"/>
        <v>950</v>
      </c>
      <c r="G51" s="423">
        <f t="shared" si="17"/>
        <v>685</v>
      </c>
      <c r="H51" s="423">
        <f t="shared" si="17"/>
        <v>0</v>
      </c>
      <c r="I51" s="423">
        <f t="shared" si="17"/>
        <v>265</v>
      </c>
      <c r="J51" s="424">
        <f t="shared" si="17"/>
        <v>0</v>
      </c>
      <c r="K51" s="422">
        <f t="shared" si="17"/>
        <v>1179</v>
      </c>
      <c r="L51" s="423">
        <f t="shared" si="17"/>
        <v>984</v>
      </c>
      <c r="M51" s="423">
        <f t="shared" si="17"/>
        <v>0</v>
      </c>
      <c r="N51" s="423">
        <f t="shared" si="17"/>
        <v>98</v>
      </c>
      <c r="O51" s="425">
        <f t="shared" si="17"/>
        <v>97</v>
      </c>
      <c r="P51" s="526">
        <f t="shared" si="18"/>
        <v>421</v>
      </c>
      <c r="Q51" s="423">
        <f t="shared" si="17"/>
        <v>2</v>
      </c>
      <c r="R51" s="422">
        <f t="shared" si="17"/>
        <v>1</v>
      </c>
      <c r="S51" s="423">
        <f t="shared" si="17"/>
        <v>1</v>
      </c>
      <c r="T51" s="423">
        <f t="shared" si="17"/>
        <v>0</v>
      </c>
      <c r="U51" s="423">
        <f t="shared" si="19"/>
        <v>0</v>
      </c>
      <c r="V51" s="424">
        <f t="shared" si="19"/>
        <v>0</v>
      </c>
      <c r="W51" s="422">
        <f t="shared" si="19"/>
        <v>1</v>
      </c>
      <c r="X51" s="423">
        <f t="shared" si="19"/>
        <v>1</v>
      </c>
      <c r="Y51" s="423">
        <f t="shared" si="19"/>
        <v>0</v>
      </c>
      <c r="Z51" s="423">
        <f t="shared" si="19"/>
        <v>0</v>
      </c>
      <c r="AA51" s="425">
        <f t="shared" si="19"/>
        <v>0</v>
      </c>
      <c r="AB51" s="424">
        <f t="shared" si="19"/>
        <v>46</v>
      </c>
      <c r="AC51" s="423">
        <f t="shared" si="19"/>
        <v>0</v>
      </c>
      <c r="AD51" s="422">
        <f t="shared" si="19"/>
        <v>0</v>
      </c>
      <c r="AE51" s="423">
        <f t="shared" si="19"/>
        <v>0</v>
      </c>
      <c r="AF51" s="423">
        <f t="shared" si="19"/>
        <v>0</v>
      </c>
      <c r="AG51" s="423">
        <f t="shared" si="20"/>
        <v>0</v>
      </c>
      <c r="AH51" s="424">
        <f t="shared" si="20"/>
        <v>0</v>
      </c>
      <c r="AI51" s="422">
        <f t="shared" si="20"/>
        <v>0</v>
      </c>
      <c r="AJ51" s="423">
        <f t="shared" si="20"/>
        <v>0</v>
      </c>
      <c r="AK51" s="423">
        <f t="shared" si="20"/>
        <v>0</v>
      </c>
      <c r="AL51" s="423">
        <f t="shared" si="20"/>
        <v>0</v>
      </c>
      <c r="AM51" s="425">
        <f t="shared" si="20"/>
        <v>0</v>
      </c>
      <c r="AO51" s="421">
        <f t="shared" si="21"/>
        <v>2</v>
      </c>
      <c r="AP51" s="422">
        <f t="shared" si="22"/>
        <v>1</v>
      </c>
      <c r="AQ51" s="423">
        <f t="shared" si="23"/>
        <v>1</v>
      </c>
      <c r="AR51" s="423">
        <f t="shared" si="24"/>
        <v>0</v>
      </c>
      <c r="AS51" s="423">
        <f t="shared" si="25"/>
        <v>0</v>
      </c>
      <c r="AT51" s="424">
        <f t="shared" si="26"/>
        <v>0</v>
      </c>
      <c r="AU51" s="422">
        <f t="shared" si="27"/>
        <v>1</v>
      </c>
      <c r="AV51" s="423">
        <f t="shared" si="28"/>
        <v>1</v>
      </c>
      <c r="AW51" s="423">
        <f t="shared" si="29"/>
        <v>0</v>
      </c>
      <c r="AX51" s="423">
        <f t="shared" si="30"/>
        <v>0</v>
      </c>
      <c r="AY51" s="425">
        <f t="shared" si="31"/>
        <v>0</v>
      </c>
    </row>
    <row r="52" spans="1:51" ht="13.9">
      <c r="A52" s="435" t="s">
        <v>243</v>
      </c>
      <c r="B52" s="436">
        <v>42979</v>
      </c>
      <c r="C52" s="437">
        <v>2017</v>
      </c>
      <c r="D52" s="421">
        <f t="shared" si="17"/>
        <v>219632</v>
      </c>
      <c r="E52" s="421">
        <f t="shared" si="17"/>
        <v>2129</v>
      </c>
      <c r="F52" s="422">
        <f t="shared" si="17"/>
        <v>950</v>
      </c>
      <c r="G52" s="423">
        <f t="shared" si="17"/>
        <v>685</v>
      </c>
      <c r="H52" s="423">
        <f t="shared" si="17"/>
        <v>0</v>
      </c>
      <c r="I52" s="423">
        <f t="shared" si="17"/>
        <v>265</v>
      </c>
      <c r="J52" s="424">
        <f t="shared" si="17"/>
        <v>0</v>
      </c>
      <c r="K52" s="422">
        <f t="shared" si="17"/>
        <v>1179</v>
      </c>
      <c r="L52" s="423">
        <f t="shared" si="17"/>
        <v>984</v>
      </c>
      <c r="M52" s="423">
        <f t="shared" si="17"/>
        <v>0</v>
      </c>
      <c r="N52" s="423">
        <f t="shared" si="17"/>
        <v>98</v>
      </c>
      <c r="O52" s="425">
        <f t="shared" si="17"/>
        <v>97</v>
      </c>
      <c r="P52" s="526">
        <f t="shared" si="18"/>
        <v>421</v>
      </c>
      <c r="Q52" s="423">
        <f t="shared" si="17"/>
        <v>2</v>
      </c>
      <c r="R52" s="422">
        <f t="shared" si="17"/>
        <v>1</v>
      </c>
      <c r="S52" s="423">
        <f t="shared" si="17"/>
        <v>1</v>
      </c>
      <c r="T52" s="423">
        <f t="shared" si="17"/>
        <v>0</v>
      </c>
      <c r="U52" s="423">
        <f t="shared" si="19"/>
        <v>0</v>
      </c>
      <c r="V52" s="424">
        <f t="shared" si="19"/>
        <v>0</v>
      </c>
      <c r="W52" s="422">
        <f t="shared" si="19"/>
        <v>1</v>
      </c>
      <c r="X52" s="423">
        <f t="shared" si="19"/>
        <v>1</v>
      </c>
      <c r="Y52" s="423">
        <f t="shared" si="19"/>
        <v>0</v>
      </c>
      <c r="Z52" s="423">
        <f t="shared" si="19"/>
        <v>0</v>
      </c>
      <c r="AA52" s="425">
        <f t="shared" si="19"/>
        <v>0</v>
      </c>
      <c r="AB52" s="424">
        <f t="shared" si="19"/>
        <v>46</v>
      </c>
      <c r="AC52" s="423">
        <f t="shared" si="19"/>
        <v>0</v>
      </c>
      <c r="AD52" s="422">
        <f t="shared" si="19"/>
        <v>0</v>
      </c>
      <c r="AE52" s="423">
        <f t="shared" si="19"/>
        <v>0</v>
      </c>
      <c r="AF52" s="423">
        <f t="shared" si="19"/>
        <v>0</v>
      </c>
      <c r="AG52" s="423">
        <f t="shared" si="20"/>
        <v>0</v>
      </c>
      <c r="AH52" s="424">
        <f t="shared" si="20"/>
        <v>0</v>
      </c>
      <c r="AI52" s="422">
        <f t="shared" si="20"/>
        <v>0</v>
      </c>
      <c r="AJ52" s="423">
        <f t="shared" si="20"/>
        <v>0</v>
      </c>
      <c r="AK52" s="423">
        <f t="shared" si="20"/>
        <v>0</v>
      </c>
      <c r="AL52" s="423">
        <f t="shared" si="20"/>
        <v>0</v>
      </c>
      <c r="AM52" s="425">
        <f t="shared" si="20"/>
        <v>0</v>
      </c>
      <c r="AO52" s="421">
        <f t="shared" si="21"/>
        <v>2</v>
      </c>
      <c r="AP52" s="422">
        <f t="shared" si="22"/>
        <v>1</v>
      </c>
      <c r="AQ52" s="423">
        <f t="shared" si="23"/>
        <v>1</v>
      </c>
      <c r="AR52" s="423">
        <f t="shared" si="24"/>
        <v>0</v>
      </c>
      <c r="AS52" s="423">
        <f t="shared" si="25"/>
        <v>0</v>
      </c>
      <c r="AT52" s="424">
        <f t="shared" si="26"/>
        <v>0</v>
      </c>
      <c r="AU52" s="422">
        <f t="shared" si="27"/>
        <v>1</v>
      </c>
      <c r="AV52" s="423">
        <f t="shared" si="28"/>
        <v>1</v>
      </c>
      <c r="AW52" s="423">
        <f t="shared" si="29"/>
        <v>0</v>
      </c>
      <c r="AX52" s="423">
        <f t="shared" si="30"/>
        <v>0</v>
      </c>
      <c r="AY52" s="425">
        <f t="shared" si="31"/>
        <v>0</v>
      </c>
    </row>
    <row r="53" spans="1:51" ht="13.9">
      <c r="A53" s="435" t="s">
        <v>244</v>
      </c>
      <c r="B53" s="436">
        <v>43009</v>
      </c>
      <c r="C53" s="437">
        <v>2017</v>
      </c>
      <c r="D53" s="421">
        <f t="shared" si="17"/>
        <v>179517</v>
      </c>
      <c r="E53" s="421">
        <f t="shared" si="17"/>
        <v>2640</v>
      </c>
      <c r="F53" s="422">
        <f t="shared" si="17"/>
        <v>1186</v>
      </c>
      <c r="G53" s="423">
        <f t="shared" si="17"/>
        <v>828</v>
      </c>
      <c r="H53" s="423">
        <f t="shared" si="17"/>
        <v>0</v>
      </c>
      <c r="I53" s="423">
        <f t="shared" si="17"/>
        <v>358</v>
      </c>
      <c r="J53" s="424">
        <f t="shared" si="17"/>
        <v>0</v>
      </c>
      <c r="K53" s="422">
        <f t="shared" si="17"/>
        <v>1454</v>
      </c>
      <c r="L53" s="423">
        <f t="shared" si="17"/>
        <v>1108</v>
      </c>
      <c r="M53" s="423">
        <f t="shared" si="17"/>
        <v>0</v>
      </c>
      <c r="N53" s="423">
        <f t="shared" si="17"/>
        <v>97</v>
      </c>
      <c r="O53" s="425">
        <f t="shared" si="17"/>
        <v>249</v>
      </c>
      <c r="P53" s="526">
        <f t="shared" si="18"/>
        <v>351</v>
      </c>
      <c r="Q53" s="423">
        <f t="shared" si="17"/>
        <v>4</v>
      </c>
      <c r="R53" s="422">
        <f t="shared" si="17"/>
        <v>0</v>
      </c>
      <c r="S53" s="423">
        <f t="shared" si="17"/>
        <v>0</v>
      </c>
      <c r="T53" s="423">
        <f t="shared" si="17"/>
        <v>0</v>
      </c>
      <c r="U53" s="423">
        <f t="shared" si="19"/>
        <v>0</v>
      </c>
      <c r="V53" s="424">
        <f t="shared" si="19"/>
        <v>0</v>
      </c>
      <c r="W53" s="422">
        <f t="shared" si="19"/>
        <v>4</v>
      </c>
      <c r="X53" s="423">
        <f t="shared" si="19"/>
        <v>4</v>
      </c>
      <c r="Y53" s="423">
        <f t="shared" si="19"/>
        <v>0</v>
      </c>
      <c r="Z53" s="423">
        <f t="shared" si="19"/>
        <v>0</v>
      </c>
      <c r="AA53" s="425">
        <f t="shared" si="19"/>
        <v>0</v>
      </c>
      <c r="AB53" s="424">
        <f t="shared" si="19"/>
        <v>38</v>
      </c>
      <c r="AC53" s="423">
        <f t="shared" si="19"/>
        <v>0</v>
      </c>
      <c r="AD53" s="422">
        <f t="shared" si="19"/>
        <v>0</v>
      </c>
      <c r="AE53" s="423">
        <f t="shared" si="19"/>
        <v>0</v>
      </c>
      <c r="AF53" s="423">
        <f t="shared" si="19"/>
        <v>0</v>
      </c>
      <c r="AG53" s="423">
        <f t="shared" si="20"/>
        <v>0</v>
      </c>
      <c r="AH53" s="424">
        <f t="shared" si="20"/>
        <v>0</v>
      </c>
      <c r="AI53" s="422">
        <f t="shared" si="20"/>
        <v>0</v>
      </c>
      <c r="AJ53" s="423">
        <f t="shared" si="20"/>
        <v>0</v>
      </c>
      <c r="AK53" s="423">
        <f t="shared" si="20"/>
        <v>0</v>
      </c>
      <c r="AL53" s="423">
        <f t="shared" si="20"/>
        <v>0</v>
      </c>
      <c r="AM53" s="425">
        <f t="shared" si="20"/>
        <v>0</v>
      </c>
      <c r="AO53" s="421">
        <f t="shared" si="21"/>
        <v>4</v>
      </c>
      <c r="AP53" s="422">
        <f t="shared" si="22"/>
        <v>0</v>
      </c>
      <c r="AQ53" s="423">
        <f t="shared" si="23"/>
        <v>0</v>
      </c>
      <c r="AR53" s="423">
        <f t="shared" si="24"/>
        <v>0</v>
      </c>
      <c r="AS53" s="423">
        <f t="shared" si="25"/>
        <v>0</v>
      </c>
      <c r="AT53" s="424">
        <f t="shared" si="26"/>
        <v>0</v>
      </c>
      <c r="AU53" s="422">
        <f t="shared" si="27"/>
        <v>4</v>
      </c>
      <c r="AV53" s="423">
        <f t="shared" si="28"/>
        <v>4</v>
      </c>
      <c r="AW53" s="423">
        <f t="shared" si="29"/>
        <v>0</v>
      </c>
      <c r="AX53" s="423">
        <f t="shared" si="30"/>
        <v>0</v>
      </c>
      <c r="AY53" s="425">
        <f t="shared" si="31"/>
        <v>0</v>
      </c>
    </row>
    <row r="54" spans="1:51" ht="13.9">
      <c r="A54" s="435" t="s">
        <v>244</v>
      </c>
      <c r="B54" s="436">
        <v>43040</v>
      </c>
      <c r="C54" s="437">
        <v>2017</v>
      </c>
      <c r="D54" s="421">
        <f t="shared" si="17"/>
        <v>179517</v>
      </c>
      <c r="E54" s="421">
        <f t="shared" si="17"/>
        <v>2640</v>
      </c>
      <c r="F54" s="422">
        <f t="shared" si="17"/>
        <v>1186</v>
      </c>
      <c r="G54" s="423">
        <f t="shared" si="17"/>
        <v>828</v>
      </c>
      <c r="H54" s="423">
        <f t="shared" si="17"/>
        <v>0</v>
      </c>
      <c r="I54" s="423">
        <f t="shared" si="17"/>
        <v>358</v>
      </c>
      <c r="J54" s="424">
        <f t="shared" si="17"/>
        <v>0</v>
      </c>
      <c r="K54" s="422">
        <f t="shared" si="17"/>
        <v>1454</v>
      </c>
      <c r="L54" s="423">
        <f t="shared" si="17"/>
        <v>1108</v>
      </c>
      <c r="M54" s="423">
        <f t="shared" si="17"/>
        <v>0</v>
      </c>
      <c r="N54" s="423">
        <f t="shared" si="17"/>
        <v>97</v>
      </c>
      <c r="O54" s="425">
        <f t="shared" si="17"/>
        <v>249</v>
      </c>
      <c r="P54" s="526">
        <f t="shared" si="18"/>
        <v>351</v>
      </c>
      <c r="Q54" s="423">
        <f t="shared" si="17"/>
        <v>4</v>
      </c>
      <c r="R54" s="422">
        <f t="shared" si="17"/>
        <v>0</v>
      </c>
      <c r="S54" s="423">
        <f t="shared" si="17"/>
        <v>0</v>
      </c>
      <c r="T54" s="423">
        <f t="shared" si="17"/>
        <v>0</v>
      </c>
      <c r="U54" s="423">
        <f t="shared" si="19"/>
        <v>0</v>
      </c>
      <c r="V54" s="424">
        <f t="shared" si="19"/>
        <v>0</v>
      </c>
      <c r="W54" s="422">
        <f t="shared" si="19"/>
        <v>4</v>
      </c>
      <c r="X54" s="423">
        <f t="shared" si="19"/>
        <v>4</v>
      </c>
      <c r="Y54" s="423">
        <f t="shared" si="19"/>
        <v>0</v>
      </c>
      <c r="Z54" s="423">
        <f t="shared" si="19"/>
        <v>0</v>
      </c>
      <c r="AA54" s="425">
        <f t="shared" si="19"/>
        <v>0</v>
      </c>
      <c r="AB54" s="424">
        <f t="shared" si="19"/>
        <v>38</v>
      </c>
      <c r="AC54" s="423">
        <f t="shared" si="19"/>
        <v>0</v>
      </c>
      <c r="AD54" s="422">
        <f t="shared" si="19"/>
        <v>0</v>
      </c>
      <c r="AE54" s="423">
        <f t="shared" si="19"/>
        <v>0</v>
      </c>
      <c r="AF54" s="423">
        <f t="shared" si="19"/>
        <v>0</v>
      </c>
      <c r="AG54" s="423">
        <f t="shared" si="20"/>
        <v>0</v>
      </c>
      <c r="AH54" s="424">
        <f t="shared" si="20"/>
        <v>0</v>
      </c>
      <c r="AI54" s="422">
        <f t="shared" si="20"/>
        <v>0</v>
      </c>
      <c r="AJ54" s="423">
        <f t="shared" si="20"/>
        <v>0</v>
      </c>
      <c r="AK54" s="423">
        <f t="shared" si="20"/>
        <v>0</v>
      </c>
      <c r="AL54" s="423">
        <f t="shared" si="20"/>
        <v>0</v>
      </c>
      <c r="AM54" s="425">
        <f t="shared" si="20"/>
        <v>0</v>
      </c>
      <c r="AO54" s="421">
        <f t="shared" si="21"/>
        <v>4</v>
      </c>
      <c r="AP54" s="422">
        <f t="shared" si="22"/>
        <v>0</v>
      </c>
      <c r="AQ54" s="423">
        <f t="shared" si="23"/>
        <v>0</v>
      </c>
      <c r="AR54" s="423">
        <f t="shared" si="24"/>
        <v>0</v>
      </c>
      <c r="AS54" s="423">
        <f t="shared" si="25"/>
        <v>0</v>
      </c>
      <c r="AT54" s="424">
        <f t="shared" si="26"/>
        <v>0</v>
      </c>
      <c r="AU54" s="422">
        <f t="shared" si="27"/>
        <v>4</v>
      </c>
      <c r="AV54" s="423">
        <f t="shared" si="28"/>
        <v>4</v>
      </c>
      <c r="AW54" s="423">
        <f t="shared" si="29"/>
        <v>0</v>
      </c>
      <c r="AX54" s="423">
        <f t="shared" si="30"/>
        <v>0</v>
      </c>
      <c r="AY54" s="425">
        <f t="shared" si="31"/>
        <v>0</v>
      </c>
    </row>
    <row r="55" spans="1:51" ht="13.9">
      <c r="A55" s="435" t="s">
        <v>244</v>
      </c>
      <c r="B55" s="436">
        <v>43070</v>
      </c>
      <c r="C55" s="437">
        <v>2017</v>
      </c>
      <c r="D55" s="421">
        <f t="shared" si="17"/>
        <v>179517</v>
      </c>
      <c r="E55" s="421">
        <f t="shared" si="17"/>
        <v>2640</v>
      </c>
      <c r="F55" s="422">
        <f t="shared" si="17"/>
        <v>1186</v>
      </c>
      <c r="G55" s="423">
        <f t="shared" si="17"/>
        <v>828</v>
      </c>
      <c r="H55" s="423">
        <f t="shared" si="17"/>
        <v>0</v>
      </c>
      <c r="I55" s="423">
        <f t="shared" si="17"/>
        <v>358</v>
      </c>
      <c r="J55" s="424">
        <f t="shared" si="17"/>
        <v>0</v>
      </c>
      <c r="K55" s="422">
        <f t="shared" si="17"/>
        <v>1454</v>
      </c>
      <c r="L55" s="423">
        <f t="shared" si="17"/>
        <v>1108</v>
      </c>
      <c r="M55" s="423">
        <f t="shared" si="17"/>
        <v>0</v>
      </c>
      <c r="N55" s="423">
        <f t="shared" si="17"/>
        <v>97</v>
      </c>
      <c r="O55" s="425">
        <f t="shared" si="17"/>
        <v>249</v>
      </c>
      <c r="P55" s="526">
        <f t="shared" si="18"/>
        <v>351</v>
      </c>
      <c r="Q55" s="423">
        <f t="shared" si="17"/>
        <v>4</v>
      </c>
      <c r="R55" s="422">
        <f t="shared" si="17"/>
        <v>0</v>
      </c>
      <c r="S55" s="423">
        <f t="shared" si="17"/>
        <v>0</v>
      </c>
      <c r="T55" s="423">
        <f t="shared" si="17"/>
        <v>0</v>
      </c>
      <c r="U55" s="423">
        <f t="shared" si="19"/>
        <v>0</v>
      </c>
      <c r="V55" s="424">
        <f t="shared" si="19"/>
        <v>0</v>
      </c>
      <c r="W55" s="422">
        <f t="shared" si="19"/>
        <v>4</v>
      </c>
      <c r="X55" s="423">
        <f t="shared" si="19"/>
        <v>4</v>
      </c>
      <c r="Y55" s="423">
        <f t="shared" si="19"/>
        <v>0</v>
      </c>
      <c r="Z55" s="423">
        <f t="shared" si="19"/>
        <v>0</v>
      </c>
      <c r="AA55" s="425">
        <f t="shared" si="19"/>
        <v>0</v>
      </c>
      <c r="AB55" s="424">
        <f t="shared" si="19"/>
        <v>38</v>
      </c>
      <c r="AC55" s="423">
        <f t="shared" si="19"/>
        <v>0</v>
      </c>
      <c r="AD55" s="422">
        <f t="shared" si="19"/>
        <v>0</v>
      </c>
      <c r="AE55" s="423">
        <f t="shared" si="19"/>
        <v>0</v>
      </c>
      <c r="AF55" s="423">
        <f t="shared" si="19"/>
        <v>0</v>
      </c>
      <c r="AG55" s="423">
        <f t="shared" si="20"/>
        <v>0</v>
      </c>
      <c r="AH55" s="424">
        <f t="shared" si="20"/>
        <v>0</v>
      </c>
      <c r="AI55" s="422">
        <f t="shared" si="20"/>
        <v>0</v>
      </c>
      <c r="AJ55" s="423">
        <f t="shared" si="20"/>
        <v>0</v>
      </c>
      <c r="AK55" s="423">
        <f t="shared" si="20"/>
        <v>0</v>
      </c>
      <c r="AL55" s="423">
        <f t="shared" si="20"/>
        <v>0</v>
      </c>
      <c r="AM55" s="425">
        <f t="shared" si="20"/>
        <v>0</v>
      </c>
      <c r="AO55" s="421">
        <f t="shared" si="21"/>
        <v>4</v>
      </c>
      <c r="AP55" s="422">
        <f t="shared" si="22"/>
        <v>0</v>
      </c>
      <c r="AQ55" s="423">
        <f t="shared" si="23"/>
        <v>0</v>
      </c>
      <c r="AR55" s="423">
        <f t="shared" si="24"/>
        <v>0</v>
      </c>
      <c r="AS55" s="423">
        <f t="shared" si="25"/>
        <v>0</v>
      </c>
      <c r="AT55" s="424">
        <f t="shared" si="26"/>
        <v>0</v>
      </c>
      <c r="AU55" s="422">
        <f t="shared" si="27"/>
        <v>4</v>
      </c>
      <c r="AV55" s="423">
        <f t="shared" si="28"/>
        <v>4</v>
      </c>
      <c r="AW55" s="423">
        <f t="shared" si="29"/>
        <v>0</v>
      </c>
      <c r="AX55" s="423">
        <f t="shared" si="30"/>
        <v>0</v>
      </c>
      <c r="AY55" s="425">
        <f t="shared" si="31"/>
        <v>0</v>
      </c>
    </row>
    <row r="56" spans="1:51" ht="13.9">
      <c r="A56" s="435" t="s">
        <v>245</v>
      </c>
      <c r="B56" s="436">
        <v>43101</v>
      </c>
      <c r="C56" s="437">
        <v>2018</v>
      </c>
      <c r="D56" s="421">
        <f t="shared" si="17"/>
        <v>165397</v>
      </c>
      <c r="E56" s="421">
        <f t="shared" si="17"/>
        <v>2747</v>
      </c>
      <c r="F56" s="422">
        <f t="shared" si="17"/>
        <v>928</v>
      </c>
      <c r="G56" s="423">
        <f t="shared" si="17"/>
        <v>754</v>
      </c>
      <c r="H56" s="423">
        <f t="shared" si="17"/>
        <v>0</v>
      </c>
      <c r="I56" s="423">
        <f t="shared" si="17"/>
        <v>174</v>
      </c>
      <c r="J56" s="424">
        <f t="shared" si="17"/>
        <v>0</v>
      </c>
      <c r="K56" s="422">
        <f t="shared" si="17"/>
        <v>1819</v>
      </c>
      <c r="L56" s="423">
        <f t="shared" si="17"/>
        <v>1251</v>
      </c>
      <c r="M56" s="423">
        <f t="shared" si="17"/>
        <v>0</v>
      </c>
      <c r="N56" s="423">
        <f t="shared" si="17"/>
        <v>359</v>
      </c>
      <c r="O56" s="425">
        <f t="shared" si="17"/>
        <v>209</v>
      </c>
      <c r="P56" s="526">
        <f t="shared" si="18"/>
        <v>237</v>
      </c>
      <c r="Q56" s="423">
        <f t="shared" si="17"/>
        <v>3</v>
      </c>
      <c r="R56" s="422">
        <f t="shared" si="17"/>
        <v>0</v>
      </c>
      <c r="S56" s="423">
        <f t="shared" si="17"/>
        <v>0</v>
      </c>
      <c r="T56" s="423">
        <f t="shared" si="17"/>
        <v>0</v>
      </c>
      <c r="U56" s="423">
        <f t="shared" si="19"/>
        <v>0</v>
      </c>
      <c r="V56" s="424">
        <f t="shared" si="19"/>
        <v>0</v>
      </c>
      <c r="W56" s="422">
        <f t="shared" si="19"/>
        <v>3</v>
      </c>
      <c r="X56" s="423">
        <f t="shared" si="19"/>
        <v>1</v>
      </c>
      <c r="Y56" s="423">
        <f t="shared" si="19"/>
        <v>0</v>
      </c>
      <c r="Z56" s="423">
        <f t="shared" si="19"/>
        <v>1</v>
      </c>
      <c r="AA56" s="425">
        <f t="shared" si="19"/>
        <v>1</v>
      </c>
      <c r="AB56" s="424">
        <f t="shared" si="19"/>
        <v>18</v>
      </c>
      <c r="AC56" s="423">
        <f t="shared" si="19"/>
        <v>1</v>
      </c>
      <c r="AD56" s="422">
        <f t="shared" si="19"/>
        <v>1</v>
      </c>
      <c r="AE56" s="423">
        <f t="shared" si="19"/>
        <v>0</v>
      </c>
      <c r="AF56" s="423">
        <f t="shared" si="19"/>
        <v>0</v>
      </c>
      <c r="AG56" s="423">
        <f t="shared" si="20"/>
        <v>1</v>
      </c>
      <c r="AH56" s="424">
        <f t="shared" si="20"/>
        <v>0</v>
      </c>
      <c r="AI56" s="422">
        <f t="shared" si="20"/>
        <v>0</v>
      </c>
      <c r="AJ56" s="423">
        <f t="shared" si="20"/>
        <v>0</v>
      </c>
      <c r="AK56" s="423">
        <f t="shared" si="20"/>
        <v>0</v>
      </c>
      <c r="AL56" s="423">
        <f t="shared" si="20"/>
        <v>0</v>
      </c>
      <c r="AM56" s="425">
        <f t="shared" si="20"/>
        <v>0</v>
      </c>
      <c r="AO56" s="421">
        <f t="shared" si="21"/>
        <v>4</v>
      </c>
      <c r="AP56" s="422">
        <f t="shared" si="22"/>
        <v>1</v>
      </c>
      <c r="AQ56" s="423">
        <f t="shared" si="23"/>
        <v>0</v>
      </c>
      <c r="AR56" s="423">
        <f t="shared" si="24"/>
        <v>0</v>
      </c>
      <c r="AS56" s="423">
        <f t="shared" si="25"/>
        <v>1</v>
      </c>
      <c r="AT56" s="424">
        <f t="shared" si="26"/>
        <v>0</v>
      </c>
      <c r="AU56" s="422">
        <f t="shared" si="27"/>
        <v>3</v>
      </c>
      <c r="AV56" s="423">
        <f t="shared" si="28"/>
        <v>1</v>
      </c>
      <c r="AW56" s="423">
        <f t="shared" si="29"/>
        <v>0</v>
      </c>
      <c r="AX56" s="423">
        <f t="shared" si="30"/>
        <v>1</v>
      </c>
      <c r="AY56" s="425">
        <f t="shared" si="31"/>
        <v>1</v>
      </c>
    </row>
    <row r="57" spans="1:51" ht="13.9">
      <c r="A57" s="435" t="s">
        <v>245</v>
      </c>
      <c r="B57" s="436">
        <v>43132</v>
      </c>
      <c r="C57" s="437">
        <v>2018</v>
      </c>
      <c r="D57" s="421">
        <f t="shared" si="17"/>
        <v>165397</v>
      </c>
      <c r="E57" s="421">
        <f t="shared" si="17"/>
        <v>2747</v>
      </c>
      <c r="F57" s="422">
        <f t="shared" si="17"/>
        <v>928</v>
      </c>
      <c r="G57" s="423">
        <f t="shared" si="17"/>
        <v>754</v>
      </c>
      <c r="H57" s="423">
        <f t="shared" si="17"/>
        <v>0</v>
      </c>
      <c r="I57" s="423">
        <f t="shared" si="17"/>
        <v>174</v>
      </c>
      <c r="J57" s="424">
        <f t="shared" si="17"/>
        <v>0</v>
      </c>
      <c r="K57" s="422">
        <f t="shared" si="17"/>
        <v>1819</v>
      </c>
      <c r="L57" s="423">
        <f t="shared" si="17"/>
        <v>1251</v>
      </c>
      <c r="M57" s="423">
        <f t="shared" si="17"/>
        <v>0</v>
      </c>
      <c r="N57" s="423">
        <f t="shared" si="17"/>
        <v>359</v>
      </c>
      <c r="O57" s="425">
        <f t="shared" si="17"/>
        <v>209</v>
      </c>
      <c r="P57" s="526">
        <f t="shared" si="18"/>
        <v>237</v>
      </c>
      <c r="Q57" s="423">
        <f t="shared" si="17"/>
        <v>3</v>
      </c>
      <c r="R57" s="422">
        <f t="shared" si="17"/>
        <v>0</v>
      </c>
      <c r="S57" s="423">
        <f t="shared" si="17"/>
        <v>0</v>
      </c>
      <c r="T57" s="423">
        <f t="shared" si="17"/>
        <v>0</v>
      </c>
      <c r="U57" s="423">
        <f t="shared" si="19"/>
        <v>0</v>
      </c>
      <c r="V57" s="424">
        <f t="shared" si="19"/>
        <v>0</v>
      </c>
      <c r="W57" s="422">
        <f t="shared" si="19"/>
        <v>3</v>
      </c>
      <c r="X57" s="423">
        <f t="shared" si="19"/>
        <v>1</v>
      </c>
      <c r="Y57" s="423">
        <f t="shared" si="19"/>
        <v>0</v>
      </c>
      <c r="Z57" s="423">
        <f t="shared" si="19"/>
        <v>1</v>
      </c>
      <c r="AA57" s="425">
        <f t="shared" si="19"/>
        <v>1</v>
      </c>
      <c r="AB57" s="424">
        <f t="shared" si="19"/>
        <v>18</v>
      </c>
      <c r="AC57" s="423">
        <f t="shared" si="19"/>
        <v>1</v>
      </c>
      <c r="AD57" s="422">
        <f t="shared" si="19"/>
        <v>1</v>
      </c>
      <c r="AE57" s="423">
        <f t="shared" si="19"/>
        <v>0</v>
      </c>
      <c r="AF57" s="423">
        <f t="shared" si="19"/>
        <v>0</v>
      </c>
      <c r="AG57" s="423">
        <f t="shared" si="20"/>
        <v>1</v>
      </c>
      <c r="AH57" s="424">
        <f t="shared" si="20"/>
        <v>0</v>
      </c>
      <c r="AI57" s="422">
        <f t="shared" si="20"/>
        <v>0</v>
      </c>
      <c r="AJ57" s="423">
        <f t="shared" si="20"/>
        <v>0</v>
      </c>
      <c r="AK57" s="423">
        <f t="shared" si="20"/>
        <v>0</v>
      </c>
      <c r="AL57" s="423">
        <f t="shared" si="20"/>
        <v>0</v>
      </c>
      <c r="AM57" s="425">
        <f t="shared" si="20"/>
        <v>0</v>
      </c>
      <c r="AO57" s="421">
        <f t="shared" si="21"/>
        <v>4</v>
      </c>
      <c r="AP57" s="422">
        <f t="shared" si="22"/>
        <v>1</v>
      </c>
      <c r="AQ57" s="423">
        <f t="shared" si="23"/>
        <v>0</v>
      </c>
      <c r="AR57" s="423">
        <f t="shared" si="24"/>
        <v>0</v>
      </c>
      <c r="AS57" s="423">
        <f t="shared" si="25"/>
        <v>1</v>
      </c>
      <c r="AT57" s="424">
        <f t="shared" si="26"/>
        <v>0</v>
      </c>
      <c r="AU57" s="422">
        <f t="shared" si="27"/>
        <v>3</v>
      </c>
      <c r="AV57" s="423">
        <f t="shared" si="28"/>
        <v>1</v>
      </c>
      <c r="AW57" s="423">
        <f t="shared" si="29"/>
        <v>0</v>
      </c>
      <c r="AX57" s="423">
        <f t="shared" si="30"/>
        <v>1</v>
      </c>
      <c r="AY57" s="425">
        <f t="shared" si="31"/>
        <v>1</v>
      </c>
    </row>
    <row r="58" spans="1:51" ht="13.9">
      <c r="A58" s="435" t="s">
        <v>245</v>
      </c>
      <c r="B58" s="436">
        <v>43160</v>
      </c>
      <c r="C58" s="437">
        <v>2018</v>
      </c>
      <c r="D58" s="421">
        <f t="shared" si="17"/>
        <v>165397</v>
      </c>
      <c r="E58" s="421">
        <f t="shared" si="17"/>
        <v>2747</v>
      </c>
      <c r="F58" s="422">
        <f t="shared" si="17"/>
        <v>928</v>
      </c>
      <c r="G58" s="423">
        <f t="shared" si="17"/>
        <v>754</v>
      </c>
      <c r="H58" s="423">
        <f t="shared" si="17"/>
        <v>0</v>
      </c>
      <c r="I58" s="423">
        <f t="shared" si="17"/>
        <v>174</v>
      </c>
      <c r="J58" s="424">
        <f t="shared" si="17"/>
        <v>0</v>
      </c>
      <c r="K58" s="422">
        <f t="shared" si="17"/>
        <v>1819</v>
      </c>
      <c r="L58" s="423">
        <f t="shared" si="17"/>
        <v>1251</v>
      </c>
      <c r="M58" s="423">
        <f t="shared" si="17"/>
        <v>0</v>
      </c>
      <c r="N58" s="423">
        <f t="shared" si="17"/>
        <v>359</v>
      </c>
      <c r="O58" s="425">
        <f t="shared" si="17"/>
        <v>209</v>
      </c>
      <c r="P58" s="526">
        <f t="shared" si="18"/>
        <v>237</v>
      </c>
      <c r="Q58" s="423">
        <f t="shared" si="17"/>
        <v>3</v>
      </c>
      <c r="R58" s="422">
        <f t="shared" si="17"/>
        <v>0</v>
      </c>
      <c r="S58" s="423">
        <f t="shared" si="17"/>
        <v>0</v>
      </c>
      <c r="T58" s="423">
        <f t="shared" si="17"/>
        <v>0</v>
      </c>
      <c r="U58" s="423">
        <f t="shared" si="19"/>
        <v>0</v>
      </c>
      <c r="V58" s="424">
        <f t="shared" si="19"/>
        <v>0</v>
      </c>
      <c r="W58" s="422">
        <f t="shared" si="19"/>
        <v>3</v>
      </c>
      <c r="X58" s="423">
        <f t="shared" si="19"/>
        <v>1</v>
      </c>
      <c r="Y58" s="423">
        <f t="shared" si="19"/>
        <v>0</v>
      </c>
      <c r="Z58" s="423">
        <f t="shared" si="19"/>
        <v>1</v>
      </c>
      <c r="AA58" s="425">
        <f t="shared" si="19"/>
        <v>1</v>
      </c>
      <c r="AB58" s="424">
        <f t="shared" si="19"/>
        <v>18</v>
      </c>
      <c r="AC58" s="423">
        <f t="shared" si="19"/>
        <v>1</v>
      </c>
      <c r="AD58" s="422">
        <f t="shared" si="19"/>
        <v>1</v>
      </c>
      <c r="AE58" s="423">
        <f t="shared" si="19"/>
        <v>0</v>
      </c>
      <c r="AF58" s="423">
        <f t="shared" si="19"/>
        <v>0</v>
      </c>
      <c r="AG58" s="423">
        <f t="shared" si="20"/>
        <v>1</v>
      </c>
      <c r="AH58" s="424">
        <f t="shared" si="20"/>
        <v>0</v>
      </c>
      <c r="AI58" s="422">
        <f t="shared" si="20"/>
        <v>0</v>
      </c>
      <c r="AJ58" s="423">
        <f t="shared" si="20"/>
        <v>0</v>
      </c>
      <c r="AK58" s="423">
        <f t="shared" si="20"/>
        <v>0</v>
      </c>
      <c r="AL58" s="423">
        <f t="shared" si="20"/>
        <v>0</v>
      </c>
      <c r="AM58" s="425">
        <f t="shared" si="20"/>
        <v>0</v>
      </c>
      <c r="AO58" s="421">
        <f t="shared" si="21"/>
        <v>4</v>
      </c>
      <c r="AP58" s="422">
        <f t="shared" si="22"/>
        <v>1</v>
      </c>
      <c r="AQ58" s="423">
        <f t="shared" si="23"/>
        <v>0</v>
      </c>
      <c r="AR58" s="423">
        <f t="shared" si="24"/>
        <v>0</v>
      </c>
      <c r="AS58" s="423">
        <f t="shared" si="25"/>
        <v>1</v>
      </c>
      <c r="AT58" s="424">
        <f t="shared" si="26"/>
        <v>0</v>
      </c>
      <c r="AU58" s="422">
        <f t="shared" si="27"/>
        <v>3</v>
      </c>
      <c r="AV58" s="423">
        <f t="shared" si="28"/>
        <v>1</v>
      </c>
      <c r="AW58" s="423">
        <f t="shared" si="29"/>
        <v>0</v>
      </c>
      <c r="AX58" s="423">
        <f t="shared" si="30"/>
        <v>1</v>
      </c>
      <c r="AY58" s="425">
        <f t="shared" si="31"/>
        <v>1</v>
      </c>
    </row>
    <row r="59" spans="1:51" ht="13.9">
      <c r="A59" s="435" t="s">
        <v>246</v>
      </c>
      <c r="B59" s="436">
        <v>43191</v>
      </c>
      <c r="C59" s="437">
        <v>2018</v>
      </c>
      <c r="D59" s="421">
        <f t="shared" si="17"/>
        <v>239881</v>
      </c>
      <c r="E59" s="421">
        <f t="shared" si="17"/>
        <v>6949</v>
      </c>
      <c r="F59" s="422">
        <f t="shared" si="17"/>
        <v>3617</v>
      </c>
      <c r="G59" s="423">
        <f t="shared" si="17"/>
        <v>3306</v>
      </c>
      <c r="H59" s="423">
        <f t="shared" si="17"/>
        <v>0</v>
      </c>
      <c r="I59" s="423">
        <f t="shared" si="17"/>
        <v>311</v>
      </c>
      <c r="J59" s="424">
        <f t="shared" si="17"/>
        <v>0</v>
      </c>
      <c r="K59" s="422">
        <f t="shared" si="17"/>
        <v>3332</v>
      </c>
      <c r="L59" s="423">
        <f t="shared" si="17"/>
        <v>2218</v>
      </c>
      <c r="M59" s="423">
        <f t="shared" si="17"/>
        <v>0</v>
      </c>
      <c r="N59" s="423">
        <f t="shared" si="17"/>
        <v>707</v>
      </c>
      <c r="O59" s="425">
        <f t="shared" si="17"/>
        <v>407</v>
      </c>
      <c r="P59" s="526">
        <f t="shared" si="18"/>
        <v>370</v>
      </c>
      <c r="Q59" s="423">
        <f t="shared" si="17"/>
        <v>2</v>
      </c>
      <c r="R59" s="422">
        <f t="shared" si="17"/>
        <v>1</v>
      </c>
      <c r="S59" s="423">
        <f t="shared" si="17"/>
        <v>1</v>
      </c>
      <c r="T59" s="423">
        <f t="shared" ref="T59:AJ74" si="32">SUMIFS(T$5:T$40,$B$5:$B$40,$A59)</f>
        <v>0</v>
      </c>
      <c r="U59" s="423">
        <f t="shared" si="32"/>
        <v>0</v>
      </c>
      <c r="V59" s="424">
        <f t="shared" si="32"/>
        <v>0</v>
      </c>
      <c r="W59" s="422">
        <f t="shared" si="32"/>
        <v>1</v>
      </c>
      <c r="X59" s="423">
        <f t="shared" si="32"/>
        <v>0</v>
      </c>
      <c r="Y59" s="423">
        <f t="shared" si="32"/>
        <v>0</v>
      </c>
      <c r="Z59" s="423">
        <f t="shared" si="32"/>
        <v>1</v>
      </c>
      <c r="AA59" s="425">
        <f t="shared" si="32"/>
        <v>0</v>
      </c>
      <c r="AB59" s="424">
        <f t="shared" si="19"/>
        <v>52</v>
      </c>
      <c r="AC59" s="423">
        <f t="shared" si="19"/>
        <v>0</v>
      </c>
      <c r="AD59" s="422">
        <f t="shared" si="19"/>
        <v>0</v>
      </c>
      <c r="AE59" s="423">
        <f t="shared" si="19"/>
        <v>0</v>
      </c>
      <c r="AF59" s="423">
        <f t="shared" si="32"/>
        <v>0</v>
      </c>
      <c r="AG59" s="423">
        <f t="shared" si="32"/>
        <v>0</v>
      </c>
      <c r="AH59" s="424">
        <f t="shared" si="32"/>
        <v>0</v>
      </c>
      <c r="AI59" s="422">
        <f t="shared" si="32"/>
        <v>0</v>
      </c>
      <c r="AJ59" s="423">
        <f t="shared" si="32"/>
        <v>0</v>
      </c>
      <c r="AK59" s="423">
        <f t="shared" si="20"/>
        <v>0</v>
      </c>
      <c r="AL59" s="423">
        <f t="shared" si="20"/>
        <v>0</v>
      </c>
      <c r="AM59" s="425">
        <f t="shared" si="20"/>
        <v>0</v>
      </c>
      <c r="AO59" s="421">
        <f t="shared" si="21"/>
        <v>2</v>
      </c>
      <c r="AP59" s="422">
        <f t="shared" si="22"/>
        <v>1</v>
      </c>
      <c r="AQ59" s="423">
        <f t="shared" si="23"/>
        <v>1</v>
      </c>
      <c r="AR59" s="423">
        <f t="shared" si="24"/>
        <v>0</v>
      </c>
      <c r="AS59" s="423">
        <f t="shared" si="25"/>
        <v>0</v>
      </c>
      <c r="AT59" s="424">
        <f t="shared" si="26"/>
        <v>0</v>
      </c>
      <c r="AU59" s="422">
        <f t="shared" si="27"/>
        <v>1</v>
      </c>
      <c r="AV59" s="423">
        <f t="shared" si="28"/>
        <v>0</v>
      </c>
      <c r="AW59" s="423">
        <f t="shared" si="29"/>
        <v>0</v>
      </c>
      <c r="AX59" s="423">
        <f t="shared" si="30"/>
        <v>1</v>
      </c>
      <c r="AY59" s="425">
        <f t="shared" si="31"/>
        <v>0</v>
      </c>
    </row>
    <row r="60" spans="1:51" ht="13.9">
      <c r="A60" s="435" t="s">
        <v>246</v>
      </c>
      <c r="B60" s="436">
        <v>43221</v>
      </c>
      <c r="C60" s="437">
        <v>2018</v>
      </c>
      <c r="D60" s="421">
        <f t="shared" ref="D60:T75" si="33">SUMIFS(D$5:D$40,$B$5:$B$40,$A60)</f>
        <v>239881</v>
      </c>
      <c r="E60" s="421">
        <f t="shared" si="33"/>
        <v>6949</v>
      </c>
      <c r="F60" s="422">
        <f t="shared" si="33"/>
        <v>3617</v>
      </c>
      <c r="G60" s="423">
        <f t="shared" si="33"/>
        <v>3306</v>
      </c>
      <c r="H60" s="423">
        <f t="shared" si="33"/>
        <v>0</v>
      </c>
      <c r="I60" s="423">
        <f t="shared" si="33"/>
        <v>311</v>
      </c>
      <c r="J60" s="424">
        <f t="shared" si="33"/>
        <v>0</v>
      </c>
      <c r="K60" s="422">
        <f t="shared" si="33"/>
        <v>3332</v>
      </c>
      <c r="L60" s="423">
        <f t="shared" si="33"/>
        <v>2218</v>
      </c>
      <c r="M60" s="423">
        <f t="shared" si="33"/>
        <v>0</v>
      </c>
      <c r="N60" s="423">
        <f t="shared" si="33"/>
        <v>707</v>
      </c>
      <c r="O60" s="425">
        <f t="shared" si="33"/>
        <v>407</v>
      </c>
      <c r="P60" s="526">
        <f t="shared" si="18"/>
        <v>370</v>
      </c>
      <c r="Q60" s="423">
        <f t="shared" si="33"/>
        <v>2</v>
      </c>
      <c r="R60" s="422">
        <f t="shared" si="33"/>
        <v>1</v>
      </c>
      <c r="S60" s="423">
        <f t="shared" si="33"/>
        <v>1</v>
      </c>
      <c r="T60" s="423">
        <f t="shared" si="33"/>
        <v>0</v>
      </c>
      <c r="U60" s="423">
        <f t="shared" si="32"/>
        <v>0</v>
      </c>
      <c r="V60" s="424">
        <f t="shared" si="32"/>
        <v>0</v>
      </c>
      <c r="W60" s="422">
        <f t="shared" si="32"/>
        <v>1</v>
      </c>
      <c r="X60" s="423">
        <f t="shared" si="32"/>
        <v>0</v>
      </c>
      <c r="Y60" s="423">
        <f t="shared" si="32"/>
        <v>0</v>
      </c>
      <c r="Z60" s="423">
        <f t="shared" si="32"/>
        <v>1</v>
      </c>
      <c r="AA60" s="425">
        <f t="shared" si="32"/>
        <v>0</v>
      </c>
      <c r="AB60" s="424">
        <f t="shared" si="32"/>
        <v>52</v>
      </c>
      <c r="AC60" s="423">
        <f t="shared" si="32"/>
        <v>0</v>
      </c>
      <c r="AD60" s="422">
        <f t="shared" si="32"/>
        <v>0</v>
      </c>
      <c r="AE60" s="423">
        <f t="shared" si="32"/>
        <v>0</v>
      </c>
      <c r="AF60" s="423">
        <f t="shared" si="32"/>
        <v>0</v>
      </c>
      <c r="AG60" s="423">
        <f t="shared" ref="AG60:AM75" si="34">SUMIFS(AG$5:AG$40,$B$5:$B$40,$A60)</f>
        <v>0</v>
      </c>
      <c r="AH60" s="424">
        <f t="shared" si="34"/>
        <v>0</v>
      </c>
      <c r="AI60" s="422">
        <f t="shared" si="34"/>
        <v>0</v>
      </c>
      <c r="AJ60" s="423">
        <f t="shared" si="34"/>
        <v>0</v>
      </c>
      <c r="AK60" s="423">
        <f t="shared" si="34"/>
        <v>0</v>
      </c>
      <c r="AL60" s="423">
        <f t="shared" si="34"/>
        <v>0</v>
      </c>
      <c r="AM60" s="425">
        <f t="shared" si="34"/>
        <v>0</v>
      </c>
      <c r="AO60" s="421">
        <f t="shared" si="21"/>
        <v>2</v>
      </c>
      <c r="AP60" s="422">
        <f t="shared" si="22"/>
        <v>1</v>
      </c>
      <c r="AQ60" s="423">
        <f t="shared" si="23"/>
        <v>1</v>
      </c>
      <c r="AR60" s="423">
        <f t="shared" si="24"/>
        <v>0</v>
      </c>
      <c r="AS60" s="423">
        <f t="shared" si="25"/>
        <v>0</v>
      </c>
      <c r="AT60" s="424">
        <f t="shared" si="26"/>
        <v>0</v>
      </c>
      <c r="AU60" s="422">
        <f t="shared" si="27"/>
        <v>1</v>
      </c>
      <c r="AV60" s="423">
        <f t="shared" si="28"/>
        <v>0</v>
      </c>
      <c r="AW60" s="423">
        <f t="shared" si="29"/>
        <v>0</v>
      </c>
      <c r="AX60" s="423">
        <f t="shared" si="30"/>
        <v>1</v>
      </c>
      <c r="AY60" s="425">
        <f t="shared" si="31"/>
        <v>0</v>
      </c>
    </row>
    <row r="61" spans="1:51" ht="13.9">
      <c r="A61" s="435" t="s">
        <v>246</v>
      </c>
      <c r="B61" s="436">
        <v>43252</v>
      </c>
      <c r="C61" s="437">
        <v>2018</v>
      </c>
      <c r="D61" s="421">
        <f t="shared" si="33"/>
        <v>239881</v>
      </c>
      <c r="E61" s="421">
        <f t="shared" si="33"/>
        <v>6949</v>
      </c>
      <c r="F61" s="422">
        <f t="shared" si="33"/>
        <v>3617</v>
      </c>
      <c r="G61" s="423">
        <f t="shared" si="33"/>
        <v>3306</v>
      </c>
      <c r="H61" s="423">
        <f t="shared" si="33"/>
        <v>0</v>
      </c>
      <c r="I61" s="423">
        <f t="shared" si="33"/>
        <v>311</v>
      </c>
      <c r="J61" s="424">
        <f t="shared" si="33"/>
        <v>0</v>
      </c>
      <c r="K61" s="422">
        <f t="shared" si="33"/>
        <v>3332</v>
      </c>
      <c r="L61" s="423">
        <f t="shared" si="33"/>
        <v>2218</v>
      </c>
      <c r="M61" s="423">
        <f t="shared" si="33"/>
        <v>0</v>
      </c>
      <c r="N61" s="423">
        <f t="shared" si="33"/>
        <v>707</v>
      </c>
      <c r="O61" s="425">
        <f t="shared" si="33"/>
        <v>407</v>
      </c>
      <c r="P61" s="526">
        <f t="shared" si="18"/>
        <v>370</v>
      </c>
      <c r="Q61" s="423">
        <f t="shared" si="33"/>
        <v>2</v>
      </c>
      <c r="R61" s="422">
        <f t="shared" si="33"/>
        <v>1</v>
      </c>
      <c r="S61" s="423">
        <f t="shared" si="33"/>
        <v>1</v>
      </c>
      <c r="T61" s="423">
        <f t="shared" si="33"/>
        <v>0</v>
      </c>
      <c r="U61" s="423">
        <f t="shared" si="32"/>
        <v>0</v>
      </c>
      <c r="V61" s="424">
        <f t="shared" si="32"/>
        <v>0</v>
      </c>
      <c r="W61" s="422">
        <f t="shared" si="32"/>
        <v>1</v>
      </c>
      <c r="X61" s="423">
        <f t="shared" si="32"/>
        <v>0</v>
      </c>
      <c r="Y61" s="423">
        <f t="shared" si="32"/>
        <v>0</v>
      </c>
      <c r="Z61" s="423">
        <f t="shared" si="32"/>
        <v>1</v>
      </c>
      <c r="AA61" s="425">
        <f t="shared" si="32"/>
        <v>0</v>
      </c>
      <c r="AB61" s="424">
        <f t="shared" si="32"/>
        <v>52</v>
      </c>
      <c r="AC61" s="423">
        <f t="shared" si="32"/>
        <v>0</v>
      </c>
      <c r="AD61" s="422">
        <f t="shared" si="32"/>
        <v>0</v>
      </c>
      <c r="AE61" s="423">
        <f t="shared" si="32"/>
        <v>0</v>
      </c>
      <c r="AF61" s="423">
        <f t="shared" si="32"/>
        <v>0</v>
      </c>
      <c r="AG61" s="423">
        <f t="shared" si="34"/>
        <v>0</v>
      </c>
      <c r="AH61" s="424">
        <f t="shared" si="34"/>
        <v>0</v>
      </c>
      <c r="AI61" s="422">
        <f t="shared" si="34"/>
        <v>0</v>
      </c>
      <c r="AJ61" s="423">
        <f t="shared" si="34"/>
        <v>0</v>
      </c>
      <c r="AK61" s="423">
        <f t="shared" si="34"/>
        <v>0</v>
      </c>
      <c r="AL61" s="423">
        <f t="shared" si="34"/>
        <v>0</v>
      </c>
      <c r="AM61" s="425">
        <f t="shared" si="34"/>
        <v>0</v>
      </c>
      <c r="AO61" s="421">
        <f t="shared" si="21"/>
        <v>2</v>
      </c>
      <c r="AP61" s="422">
        <f t="shared" si="22"/>
        <v>1</v>
      </c>
      <c r="AQ61" s="423">
        <f t="shared" si="23"/>
        <v>1</v>
      </c>
      <c r="AR61" s="423">
        <f t="shared" si="24"/>
        <v>0</v>
      </c>
      <c r="AS61" s="423">
        <f t="shared" si="25"/>
        <v>0</v>
      </c>
      <c r="AT61" s="424">
        <f t="shared" si="26"/>
        <v>0</v>
      </c>
      <c r="AU61" s="422">
        <f t="shared" si="27"/>
        <v>1</v>
      </c>
      <c r="AV61" s="423">
        <f t="shared" si="28"/>
        <v>0</v>
      </c>
      <c r="AW61" s="423">
        <f t="shared" si="29"/>
        <v>0</v>
      </c>
      <c r="AX61" s="423">
        <f t="shared" si="30"/>
        <v>1</v>
      </c>
      <c r="AY61" s="425">
        <f t="shared" si="31"/>
        <v>0</v>
      </c>
    </row>
    <row r="62" spans="1:51" ht="13.9">
      <c r="A62" s="435" t="s">
        <v>247</v>
      </c>
      <c r="B62" s="436">
        <v>43282</v>
      </c>
      <c r="C62" s="437">
        <v>2018</v>
      </c>
      <c r="D62" s="421">
        <f t="shared" si="33"/>
        <v>218772</v>
      </c>
      <c r="E62" s="421">
        <f t="shared" si="33"/>
        <v>5178</v>
      </c>
      <c r="F62" s="422">
        <f t="shared" si="33"/>
        <v>2526</v>
      </c>
      <c r="G62" s="423">
        <f t="shared" si="33"/>
        <v>2275</v>
      </c>
      <c r="H62" s="423">
        <f t="shared" si="33"/>
        <v>0</v>
      </c>
      <c r="I62" s="423">
        <f t="shared" si="33"/>
        <v>251</v>
      </c>
      <c r="J62" s="424">
        <f t="shared" si="33"/>
        <v>0</v>
      </c>
      <c r="K62" s="422">
        <f t="shared" si="33"/>
        <v>2652</v>
      </c>
      <c r="L62" s="423">
        <f t="shared" si="33"/>
        <v>1603</v>
      </c>
      <c r="M62" s="423">
        <f t="shared" si="33"/>
        <v>0</v>
      </c>
      <c r="N62" s="423">
        <f t="shared" si="33"/>
        <v>844</v>
      </c>
      <c r="O62" s="425">
        <f t="shared" si="33"/>
        <v>205</v>
      </c>
      <c r="P62" s="526">
        <f t="shared" si="18"/>
        <v>389</v>
      </c>
      <c r="Q62" s="423">
        <f t="shared" si="33"/>
        <v>4</v>
      </c>
      <c r="R62" s="422">
        <f t="shared" si="33"/>
        <v>1</v>
      </c>
      <c r="S62" s="423">
        <f t="shared" si="33"/>
        <v>1</v>
      </c>
      <c r="T62" s="423">
        <f t="shared" si="33"/>
        <v>0</v>
      </c>
      <c r="U62" s="423">
        <f t="shared" si="32"/>
        <v>0</v>
      </c>
      <c r="V62" s="424">
        <f t="shared" si="32"/>
        <v>0</v>
      </c>
      <c r="W62" s="422">
        <f t="shared" si="32"/>
        <v>3</v>
      </c>
      <c r="X62" s="423">
        <f t="shared" si="32"/>
        <v>1</v>
      </c>
      <c r="Y62" s="423">
        <f t="shared" si="32"/>
        <v>0</v>
      </c>
      <c r="Z62" s="423">
        <f t="shared" si="32"/>
        <v>2</v>
      </c>
      <c r="AA62" s="425">
        <f t="shared" si="32"/>
        <v>0</v>
      </c>
      <c r="AB62" s="424">
        <f t="shared" si="32"/>
        <v>38</v>
      </c>
      <c r="AC62" s="423">
        <f t="shared" si="32"/>
        <v>0</v>
      </c>
      <c r="AD62" s="422">
        <f t="shared" si="32"/>
        <v>0</v>
      </c>
      <c r="AE62" s="423">
        <f t="shared" si="32"/>
        <v>0</v>
      </c>
      <c r="AF62" s="423">
        <f t="shared" si="32"/>
        <v>0</v>
      </c>
      <c r="AG62" s="423">
        <f t="shared" si="34"/>
        <v>0</v>
      </c>
      <c r="AH62" s="424">
        <f t="shared" si="34"/>
        <v>0</v>
      </c>
      <c r="AI62" s="422">
        <f t="shared" si="34"/>
        <v>0</v>
      </c>
      <c r="AJ62" s="423">
        <f t="shared" si="34"/>
        <v>0</v>
      </c>
      <c r="AK62" s="423">
        <f t="shared" si="34"/>
        <v>0</v>
      </c>
      <c r="AL62" s="423">
        <f t="shared" si="34"/>
        <v>0</v>
      </c>
      <c r="AM62" s="425">
        <f t="shared" si="34"/>
        <v>0</v>
      </c>
      <c r="AO62" s="421">
        <f t="shared" si="21"/>
        <v>4</v>
      </c>
      <c r="AP62" s="422">
        <f t="shared" si="22"/>
        <v>1</v>
      </c>
      <c r="AQ62" s="423">
        <f t="shared" si="23"/>
        <v>1</v>
      </c>
      <c r="AR62" s="423">
        <f t="shared" si="24"/>
        <v>0</v>
      </c>
      <c r="AS62" s="423">
        <f t="shared" si="25"/>
        <v>0</v>
      </c>
      <c r="AT62" s="424">
        <f t="shared" si="26"/>
        <v>0</v>
      </c>
      <c r="AU62" s="422">
        <f t="shared" si="27"/>
        <v>3</v>
      </c>
      <c r="AV62" s="423">
        <f t="shared" si="28"/>
        <v>1</v>
      </c>
      <c r="AW62" s="423">
        <f t="shared" si="29"/>
        <v>0</v>
      </c>
      <c r="AX62" s="423">
        <f t="shared" si="30"/>
        <v>2</v>
      </c>
      <c r="AY62" s="425">
        <f t="shared" si="31"/>
        <v>0</v>
      </c>
    </row>
    <row r="63" spans="1:51" ht="13.9">
      <c r="A63" s="435" t="s">
        <v>247</v>
      </c>
      <c r="B63" s="436">
        <v>43313</v>
      </c>
      <c r="C63" s="437">
        <v>2018</v>
      </c>
      <c r="D63" s="421">
        <f t="shared" si="33"/>
        <v>218772</v>
      </c>
      <c r="E63" s="421">
        <f t="shared" si="33"/>
        <v>5178</v>
      </c>
      <c r="F63" s="422">
        <f t="shared" si="33"/>
        <v>2526</v>
      </c>
      <c r="G63" s="423">
        <f t="shared" si="33"/>
        <v>2275</v>
      </c>
      <c r="H63" s="423">
        <f t="shared" si="33"/>
        <v>0</v>
      </c>
      <c r="I63" s="423">
        <f t="shared" si="33"/>
        <v>251</v>
      </c>
      <c r="J63" s="424">
        <f t="shared" si="33"/>
        <v>0</v>
      </c>
      <c r="K63" s="422">
        <f t="shared" si="33"/>
        <v>2652</v>
      </c>
      <c r="L63" s="423">
        <f t="shared" si="33"/>
        <v>1603</v>
      </c>
      <c r="M63" s="423">
        <f t="shared" si="33"/>
        <v>0</v>
      </c>
      <c r="N63" s="423">
        <f t="shared" si="33"/>
        <v>844</v>
      </c>
      <c r="O63" s="425">
        <f t="shared" si="33"/>
        <v>205</v>
      </c>
      <c r="P63" s="526">
        <f t="shared" si="18"/>
        <v>389</v>
      </c>
      <c r="Q63" s="423">
        <f t="shared" si="33"/>
        <v>4</v>
      </c>
      <c r="R63" s="422">
        <f t="shared" si="33"/>
        <v>1</v>
      </c>
      <c r="S63" s="423">
        <f t="shared" si="33"/>
        <v>1</v>
      </c>
      <c r="T63" s="423">
        <f t="shared" si="33"/>
        <v>0</v>
      </c>
      <c r="U63" s="423">
        <f t="shared" si="32"/>
        <v>0</v>
      </c>
      <c r="V63" s="424">
        <f t="shared" si="32"/>
        <v>0</v>
      </c>
      <c r="W63" s="422">
        <f t="shared" si="32"/>
        <v>3</v>
      </c>
      <c r="X63" s="423">
        <f t="shared" si="32"/>
        <v>1</v>
      </c>
      <c r="Y63" s="423">
        <f t="shared" si="32"/>
        <v>0</v>
      </c>
      <c r="Z63" s="423">
        <f t="shared" si="32"/>
        <v>2</v>
      </c>
      <c r="AA63" s="425">
        <f t="shared" si="32"/>
        <v>0</v>
      </c>
      <c r="AB63" s="424">
        <f t="shared" si="32"/>
        <v>38</v>
      </c>
      <c r="AC63" s="423">
        <f t="shared" si="32"/>
        <v>0</v>
      </c>
      <c r="AD63" s="422">
        <f t="shared" si="32"/>
        <v>0</v>
      </c>
      <c r="AE63" s="423">
        <f t="shared" si="32"/>
        <v>0</v>
      </c>
      <c r="AF63" s="423">
        <f t="shared" si="32"/>
        <v>0</v>
      </c>
      <c r="AG63" s="423">
        <f t="shared" si="34"/>
        <v>0</v>
      </c>
      <c r="AH63" s="424">
        <f t="shared" si="34"/>
        <v>0</v>
      </c>
      <c r="AI63" s="422">
        <f t="shared" si="34"/>
        <v>0</v>
      </c>
      <c r="AJ63" s="423">
        <f t="shared" si="34"/>
        <v>0</v>
      </c>
      <c r="AK63" s="423">
        <f t="shared" si="34"/>
        <v>0</v>
      </c>
      <c r="AL63" s="423">
        <f t="shared" si="34"/>
        <v>0</v>
      </c>
      <c r="AM63" s="425">
        <f t="shared" si="34"/>
        <v>0</v>
      </c>
      <c r="AO63" s="421">
        <f t="shared" si="21"/>
        <v>4</v>
      </c>
      <c r="AP63" s="422">
        <f t="shared" si="22"/>
        <v>1</v>
      </c>
      <c r="AQ63" s="423">
        <f t="shared" si="23"/>
        <v>1</v>
      </c>
      <c r="AR63" s="423">
        <f t="shared" si="24"/>
        <v>0</v>
      </c>
      <c r="AS63" s="423">
        <f t="shared" si="25"/>
        <v>0</v>
      </c>
      <c r="AT63" s="424">
        <f t="shared" si="26"/>
        <v>0</v>
      </c>
      <c r="AU63" s="422">
        <f t="shared" si="27"/>
        <v>3</v>
      </c>
      <c r="AV63" s="423">
        <f t="shared" si="28"/>
        <v>1</v>
      </c>
      <c r="AW63" s="423">
        <f t="shared" si="29"/>
        <v>0</v>
      </c>
      <c r="AX63" s="423">
        <f t="shared" si="30"/>
        <v>2</v>
      </c>
      <c r="AY63" s="425">
        <f t="shared" si="31"/>
        <v>0</v>
      </c>
    </row>
    <row r="64" spans="1:51" ht="13.9">
      <c r="A64" s="435" t="s">
        <v>247</v>
      </c>
      <c r="B64" s="436">
        <v>43344</v>
      </c>
      <c r="C64" s="437">
        <v>2018</v>
      </c>
      <c r="D64" s="421">
        <f t="shared" si="33"/>
        <v>218772</v>
      </c>
      <c r="E64" s="421">
        <f t="shared" si="33"/>
        <v>5178</v>
      </c>
      <c r="F64" s="422">
        <f t="shared" si="33"/>
        <v>2526</v>
      </c>
      <c r="G64" s="423">
        <f t="shared" si="33"/>
        <v>2275</v>
      </c>
      <c r="H64" s="423">
        <f t="shared" si="33"/>
        <v>0</v>
      </c>
      <c r="I64" s="423">
        <f t="shared" si="33"/>
        <v>251</v>
      </c>
      <c r="J64" s="424">
        <f t="shared" si="33"/>
        <v>0</v>
      </c>
      <c r="K64" s="422">
        <f t="shared" si="33"/>
        <v>2652</v>
      </c>
      <c r="L64" s="423">
        <f t="shared" si="33"/>
        <v>1603</v>
      </c>
      <c r="M64" s="423">
        <f t="shared" si="33"/>
        <v>0</v>
      </c>
      <c r="N64" s="423">
        <f t="shared" si="33"/>
        <v>844</v>
      </c>
      <c r="O64" s="425">
        <f t="shared" si="33"/>
        <v>205</v>
      </c>
      <c r="P64" s="526">
        <f t="shared" si="18"/>
        <v>389</v>
      </c>
      <c r="Q64" s="423">
        <f t="shared" si="33"/>
        <v>4</v>
      </c>
      <c r="R64" s="422">
        <f t="shared" si="33"/>
        <v>1</v>
      </c>
      <c r="S64" s="423">
        <f t="shared" si="33"/>
        <v>1</v>
      </c>
      <c r="T64" s="423">
        <f t="shared" si="33"/>
        <v>0</v>
      </c>
      <c r="U64" s="423">
        <f t="shared" si="32"/>
        <v>0</v>
      </c>
      <c r="V64" s="424">
        <f t="shared" si="32"/>
        <v>0</v>
      </c>
      <c r="W64" s="422">
        <f t="shared" si="32"/>
        <v>3</v>
      </c>
      <c r="X64" s="423">
        <f t="shared" si="32"/>
        <v>1</v>
      </c>
      <c r="Y64" s="423">
        <f t="shared" si="32"/>
        <v>0</v>
      </c>
      <c r="Z64" s="423">
        <f t="shared" si="32"/>
        <v>2</v>
      </c>
      <c r="AA64" s="425">
        <f t="shared" si="32"/>
        <v>0</v>
      </c>
      <c r="AB64" s="424">
        <f t="shared" si="32"/>
        <v>38</v>
      </c>
      <c r="AC64" s="423">
        <f t="shared" si="32"/>
        <v>0</v>
      </c>
      <c r="AD64" s="422">
        <f t="shared" si="32"/>
        <v>0</v>
      </c>
      <c r="AE64" s="423">
        <f t="shared" si="32"/>
        <v>0</v>
      </c>
      <c r="AF64" s="423">
        <f t="shared" si="32"/>
        <v>0</v>
      </c>
      <c r="AG64" s="423">
        <f t="shared" si="34"/>
        <v>0</v>
      </c>
      <c r="AH64" s="424">
        <f t="shared" si="34"/>
        <v>0</v>
      </c>
      <c r="AI64" s="422">
        <f t="shared" si="34"/>
        <v>0</v>
      </c>
      <c r="AJ64" s="423">
        <f t="shared" si="34"/>
        <v>0</v>
      </c>
      <c r="AK64" s="423">
        <f t="shared" si="34"/>
        <v>0</v>
      </c>
      <c r="AL64" s="423">
        <f t="shared" si="34"/>
        <v>0</v>
      </c>
      <c r="AM64" s="425">
        <f t="shared" si="34"/>
        <v>0</v>
      </c>
      <c r="AO64" s="421">
        <f t="shared" si="21"/>
        <v>4</v>
      </c>
      <c r="AP64" s="422">
        <f t="shared" si="22"/>
        <v>1</v>
      </c>
      <c r="AQ64" s="423">
        <f t="shared" si="23"/>
        <v>1</v>
      </c>
      <c r="AR64" s="423">
        <f t="shared" si="24"/>
        <v>0</v>
      </c>
      <c r="AS64" s="423">
        <f t="shared" si="25"/>
        <v>0</v>
      </c>
      <c r="AT64" s="424">
        <f t="shared" si="26"/>
        <v>0</v>
      </c>
      <c r="AU64" s="422">
        <f t="shared" si="27"/>
        <v>3</v>
      </c>
      <c r="AV64" s="423">
        <f t="shared" si="28"/>
        <v>1</v>
      </c>
      <c r="AW64" s="423">
        <f t="shared" si="29"/>
        <v>0</v>
      </c>
      <c r="AX64" s="423">
        <f t="shared" si="30"/>
        <v>2</v>
      </c>
      <c r="AY64" s="425">
        <f t="shared" si="31"/>
        <v>0</v>
      </c>
    </row>
    <row r="65" spans="1:51" ht="13.9">
      <c r="A65" s="435" t="s">
        <v>248</v>
      </c>
      <c r="B65" s="436">
        <v>43374</v>
      </c>
      <c r="C65" s="437">
        <v>2018</v>
      </c>
      <c r="D65" s="421">
        <f t="shared" si="33"/>
        <v>174523</v>
      </c>
      <c r="E65" s="421">
        <f t="shared" si="33"/>
        <v>1886</v>
      </c>
      <c r="F65" s="422">
        <f t="shared" si="33"/>
        <v>1145</v>
      </c>
      <c r="G65" s="423">
        <f t="shared" si="33"/>
        <v>981</v>
      </c>
      <c r="H65" s="423">
        <f t="shared" si="33"/>
        <v>0</v>
      </c>
      <c r="I65" s="423">
        <f t="shared" si="33"/>
        <v>164</v>
      </c>
      <c r="J65" s="424">
        <f t="shared" si="33"/>
        <v>0</v>
      </c>
      <c r="K65" s="422">
        <f t="shared" si="33"/>
        <v>741</v>
      </c>
      <c r="L65" s="423">
        <f t="shared" si="33"/>
        <v>446</v>
      </c>
      <c r="M65" s="423">
        <f t="shared" si="33"/>
        <v>0</v>
      </c>
      <c r="N65" s="423">
        <f t="shared" si="33"/>
        <v>242</v>
      </c>
      <c r="O65" s="425">
        <f t="shared" si="33"/>
        <v>53</v>
      </c>
      <c r="P65" s="526">
        <f t="shared" si="18"/>
        <v>271</v>
      </c>
      <c r="Q65" s="423">
        <f t="shared" si="33"/>
        <v>0</v>
      </c>
      <c r="R65" s="422">
        <f t="shared" si="33"/>
        <v>0</v>
      </c>
      <c r="S65" s="423">
        <f t="shared" si="33"/>
        <v>0</v>
      </c>
      <c r="T65" s="423">
        <f t="shared" si="33"/>
        <v>0</v>
      </c>
      <c r="U65" s="423">
        <f t="shared" si="32"/>
        <v>0</v>
      </c>
      <c r="V65" s="424">
        <f t="shared" si="32"/>
        <v>0</v>
      </c>
      <c r="W65" s="422">
        <f t="shared" si="32"/>
        <v>0</v>
      </c>
      <c r="X65" s="423">
        <f t="shared" si="32"/>
        <v>0</v>
      </c>
      <c r="Y65" s="423">
        <f t="shared" si="32"/>
        <v>0</v>
      </c>
      <c r="Z65" s="423">
        <f t="shared" si="32"/>
        <v>0</v>
      </c>
      <c r="AA65" s="425">
        <f t="shared" si="32"/>
        <v>0</v>
      </c>
      <c r="AB65" s="424">
        <f t="shared" si="32"/>
        <v>31</v>
      </c>
      <c r="AC65" s="423">
        <f t="shared" si="32"/>
        <v>0</v>
      </c>
      <c r="AD65" s="422">
        <f t="shared" si="32"/>
        <v>0</v>
      </c>
      <c r="AE65" s="423">
        <f t="shared" si="32"/>
        <v>0</v>
      </c>
      <c r="AF65" s="423">
        <f t="shared" si="32"/>
        <v>0</v>
      </c>
      <c r="AG65" s="423">
        <f t="shared" si="34"/>
        <v>0</v>
      </c>
      <c r="AH65" s="424">
        <f t="shared" si="34"/>
        <v>0</v>
      </c>
      <c r="AI65" s="422">
        <f t="shared" si="34"/>
        <v>0</v>
      </c>
      <c r="AJ65" s="423">
        <f t="shared" si="34"/>
        <v>0</v>
      </c>
      <c r="AK65" s="423">
        <f t="shared" si="34"/>
        <v>0</v>
      </c>
      <c r="AL65" s="423">
        <f t="shared" si="34"/>
        <v>0</v>
      </c>
      <c r="AM65" s="425">
        <f t="shared" si="34"/>
        <v>0</v>
      </c>
      <c r="AO65" s="421">
        <f t="shared" si="21"/>
        <v>0</v>
      </c>
      <c r="AP65" s="422">
        <f t="shared" si="22"/>
        <v>0</v>
      </c>
      <c r="AQ65" s="423">
        <f t="shared" si="23"/>
        <v>0</v>
      </c>
      <c r="AR65" s="423">
        <f t="shared" si="24"/>
        <v>0</v>
      </c>
      <c r="AS65" s="423">
        <f t="shared" si="25"/>
        <v>0</v>
      </c>
      <c r="AT65" s="424">
        <f t="shared" si="26"/>
        <v>0</v>
      </c>
      <c r="AU65" s="422">
        <f t="shared" si="27"/>
        <v>0</v>
      </c>
      <c r="AV65" s="423">
        <f t="shared" si="28"/>
        <v>0</v>
      </c>
      <c r="AW65" s="423">
        <f t="shared" si="29"/>
        <v>0</v>
      </c>
      <c r="AX65" s="423">
        <f t="shared" si="30"/>
        <v>0</v>
      </c>
      <c r="AY65" s="425">
        <f t="shared" si="31"/>
        <v>0</v>
      </c>
    </row>
    <row r="66" spans="1:51" ht="13.9">
      <c r="A66" s="435" t="s">
        <v>248</v>
      </c>
      <c r="B66" s="436">
        <v>43405</v>
      </c>
      <c r="C66" s="437">
        <v>2018</v>
      </c>
      <c r="D66" s="421">
        <f t="shared" si="33"/>
        <v>174523</v>
      </c>
      <c r="E66" s="421">
        <f t="shared" si="33"/>
        <v>1886</v>
      </c>
      <c r="F66" s="422">
        <f t="shared" si="33"/>
        <v>1145</v>
      </c>
      <c r="G66" s="423">
        <f t="shared" si="33"/>
        <v>981</v>
      </c>
      <c r="H66" s="423">
        <f t="shared" si="33"/>
        <v>0</v>
      </c>
      <c r="I66" s="423">
        <f t="shared" si="33"/>
        <v>164</v>
      </c>
      <c r="J66" s="424">
        <f t="shared" si="33"/>
        <v>0</v>
      </c>
      <c r="K66" s="422">
        <f t="shared" si="33"/>
        <v>741</v>
      </c>
      <c r="L66" s="423">
        <f t="shared" si="33"/>
        <v>446</v>
      </c>
      <c r="M66" s="423">
        <f t="shared" si="33"/>
        <v>0</v>
      </c>
      <c r="N66" s="423">
        <f t="shared" si="33"/>
        <v>242</v>
      </c>
      <c r="O66" s="425">
        <f t="shared" si="33"/>
        <v>53</v>
      </c>
      <c r="P66" s="526">
        <f t="shared" si="18"/>
        <v>271</v>
      </c>
      <c r="Q66" s="423">
        <f t="shared" si="33"/>
        <v>0</v>
      </c>
      <c r="R66" s="422">
        <f t="shared" si="33"/>
        <v>0</v>
      </c>
      <c r="S66" s="423">
        <f t="shared" si="33"/>
        <v>0</v>
      </c>
      <c r="T66" s="423">
        <f t="shared" si="33"/>
        <v>0</v>
      </c>
      <c r="U66" s="423">
        <f t="shared" si="32"/>
        <v>0</v>
      </c>
      <c r="V66" s="424">
        <f t="shared" si="32"/>
        <v>0</v>
      </c>
      <c r="W66" s="422">
        <f t="shared" si="32"/>
        <v>0</v>
      </c>
      <c r="X66" s="423">
        <f t="shared" si="32"/>
        <v>0</v>
      </c>
      <c r="Y66" s="423">
        <f t="shared" si="32"/>
        <v>0</v>
      </c>
      <c r="Z66" s="423">
        <f t="shared" si="32"/>
        <v>0</v>
      </c>
      <c r="AA66" s="425">
        <f t="shared" si="32"/>
        <v>0</v>
      </c>
      <c r="AB66" s="424">
        <f t="shared" si="32"/>
        <v>31</v>
      </c>
      <c r="AC66" s="423">
        <f t="shared" si="32"/>
        <v>0</v>
      </c>
      <c r="AD66" s="422">
        <f t="shared" si="32"/>
        <v>0</v>
      </c>
      <c r="AE66" s="423">
        <f t="shared" si="32"/>
        <v>0</v>
      </c>
      <c r="AF66" s="423">
        <f t="shared" si="32"/>
        <v>0</v>
      </c>
      <c r="AG66" s="423">
        <f t="shared" si="34"/>
        <v>0</v>
      </c>
      <c r="AH66" s="424">
        <f t="shared" si="34"/>
        <v>0</v>
      </c>
      <c r="AI66" s="422">
        <f t="shared" si="34"/>
        <v>0</v>
      </c>
      <c r="AJ66" s="423">
        <f t="shared" si="34"/>
        <v>0</v>
      </c>
      <c r="AK66" s="423">
        <f t="shared" si="34"/>
        <v>0</v>
      </c>
      <c r="AL66" s="423">
        <f t="shared" si="34"/>
        <v>0</v>
      </c>
      <c r="AM66" s="425">
        <f t="shared" si="34"/>
        <v>0</v>
      </c>
      <c r="AO66" s="421">
        <f t="shared" si="21"/>
        <v>0</v>
      </c>
      <c r="AP66" s="422">
        <f t="shared" si="22"/>
        <v>0</v>
      </c>
      <c r="AQ66" s="423">
        <f t="shared" si="23"/>
        <v>0</v>
      </c>
      <c r="AR66" s="423">
        <f t="shared" si="24"/>
        <v>0</v>
      </c>
      <c r="AS66" s="423">
        <f t="shared" si="25"/>
        <v>0</v>
      </c>
      <c r="AT66" s="424">
        <f t="shared" si="26"/>
        <v>0</v>
      </c>
      <c r="AU66" s="422">
        <f t="shared" si="27"/>
        <v>0</v>
      </c>
      <c r="AV66" s="423">
        <f t="shared" si="28"/>
        <v>0</v>
      </c>
      <c r="AW66" s="423">
        <f t="shared" si="29"/>
        <v>0</v>
      </c>
      <c r="AX66" s="423">
        <f t="shared" si="30"/>
        <v>0</v>
      </c>
      <c r="AY66" s="425">
        <f t="shared" si="31"/>
        <v>0</v>
      </c>
    </row>
    <row r="67" spans="1:51" ht="13.9">
      <c r="A67" s="435" t="s">
        <v>248</v>
      </c>
      <c r="B67" s="436">
        <v>43435</v>
      </c>
      <c r="C67" s="437">
        <v>2018</v>
      </c>
      <c r="D67" s="421">
        <f t="shared" si="33"/>
        <v>174523</v>
      </c>
      <c r="E67" s="421">
        <f t="shared" si="33"/>
        <v>1886</v>
      </c>
      <c r="F67" s="422">
        <f t="shared" si="33"/>
        <v>1145</v>
      </c>
      <c r="G67" s="423">
        <f t="shared" si="33"/>
        <v>981</v>
      </c>
      <c r="H67" s="423">
        <f t="shared" si="33"/>
        <v>0</v>
      </c>
      <c r="I67" s="423">
        <f t="shared" si="33"/>
        <v>164</v>
      </c>
      <c r="J67" s="424">
        <f t="shared" si="33"/>
        <v>0</v>
      </c>
      <c r="K67" s="422">
        <f t="shared" si="33"/>
        <v>741</v>
      </c>
      <c r="L67" s="423">
        <f t="shared" si="33"/>
        <v>446</v>
      </c>
      <c r="M67" s="423">
        <f t="shared" si="33"/>
        <v>0</v>
      </c>
      <c r="N67" s="423">
        <f t="shared" si="33"/>
        <v>242</v>
      </c>
      <c r="O67" s="425">
        <f t="shared" si="33"/>
        <v>53</v>
      </c>
      <c r="P67" s="526">
        <f t="shared" si="18"/>
        <v>271</v>
      </c>
      <c r="Q67" s="423">
        <f t="shared" si="33"/>
        <v>0</v>
      </c>
      <c r="R67" s="422">
        <f t="shared" si="33"/>
        <v>0</v>
      </c>
      <c r="S67" s="423">
        <f t="shared" si="33"/>
        <v>0</v>
      </c>
      <c r="T67" s="423">
        <f t="shared" si="33"/>
        <v>0</v>
      </c>
      <c r="U67" s="423">
        <f t="shared" si="32"/>
        <v>0</v>
      </c>
      <c r="V67" s="424">
        <f t="shared" si="32"/>
        <v>0</v>
      </c>
      <c r="W67" s="422">
        <f t="shared" si="32"/>
        <v>0</v>
      </c>
      <c r="X67" s="423">
        <f t="shared" si="32"/>
        <v>0</v>
      </c>
      <c r="Y67" s="423">
        <f t="shared" si="32"/>
        <v>0</v>
      </c>
      <c r="Z67" s="423">
        <f t="shared" si="32"/>
        <v>0</v>
      </c>
      <c r="AA67" s="425">
        <f t="shared" si="32"/>
        <v>0</v>
      </c>
      <c r="AB67" s="424">
        <f t="shared" si="32"/>
        <v>31</v>
      </c>
      <c r="AC67" s="423">
        <f t="shared" si="32"/>
        <v>0</v>
      </c>
      <c r="AD67" s="422">
        <f t="shared" si="32"/>
        <v>0</v>
      </c>
      <c r="AE67" s="423">
        <f t="shared" si="32"/>
        <v>0</v>
      </c>
      <c r="AF67" s="423">
        <f t="shared" si="32"/>
        <v>0</v>
      </c>
      <c r="AG67" s="423">
        <f t="shared" si="34"/>
        <v>0</v>
      </c>
      <c r="AH67" s="424">
        <f t="shared" si="34"/>
        <v>0</v>
      </c>
      <c r="AI67" s="422">
        <f t="shared" si="34"/>
        <v>0</v>
      </c>
      <c r="AJ67" s="423">
        <f t="shared" si="34"/>
        <v>0</v>
      </c>
      <c r="AK67" s="423">
        <f t="shared" si="34"/>
        <v>0</v>
      </c>
      <c r="AL67" s="423">
        <f t="shared" si="34"/>
        <v>0</v>
      </c>
      <c r="AM67" s="425">
        <f t="shared" si="34"/>
        <v>0</v>
      </c>
      <c r="AO67" s="421">
        <f t="shared" si="21"/>
        <v>0</v>
      </c>
      <c r="AP67" s="422">
        <f t="shared" si="22"/>
        <v>0</v>
      </c>
      <c r="AQ67" s="423">
        <f t="shared" si="23"/>
        <v>0</v>
      </c>
      <c r="AR67" s="423">
        <f t="shared" si="24"/>
        <v>0</v>
      </c>
      <c r="AS67" s="423">
        <f t="shared" si="25"/>
        <v>0</v>
      </c>
      <c r="AT67" s="424">
        <f t="shared" si="26"/>
        <v>0</v>
      </c>
      <c r="AU67" s="422">
        <f t="shared" si="27"/>
        <v>0</v>
      </c>
      <c r="AV67" s="423">
        <f t="shared" si="28"/>
        <v>0</v>
      </c>
      <c r="AW67" s="423">
        <f t="shared" si="29"/>
        <v>0</v>
      </c>
      <c r="AX67" s="423">
        <f t="shared" si="30"/>
        <v>0</v>
      </c>
      <c r="AY67" s="425">
        <f t="shared" si="31"/>
        <v>0</v>
      </c>
    </row>
    <row r="68" spans="1:51" ht="13.9">
      <c r="A68" s="435" t="s">
        <v>249</v>
      </c>
      <c r="B68" s="436">
        <v>43466</v>
      </c>
      <c r="C68" s="437">
        <v>2019</v>
      </c>
      <c r="D68" s="421">
        <f t="shared" si="33"/>
        <v>168959</v>
      </c>
      <c r="E68" s="421">
        <f t="shared" si="33"/>
        <v>1343</v>
      </c>
      <c r="F68" s="422">
        <f t="shared" si="33"/>
        <v>850</v>
      </c>
      <c r="G68" s="423">
        <f t="shared" si="33"/>
        <v>565</v>
      </c>
      <c r="H68" s="423">
        <f t="shared" si="33"/>
        <v>0</v>
      </c>
      <c r="I68" s="423">
        <f t="shared" si="33"/>
        <v>285</v>
      </c>
      <c r="J68" s="424">
        <f t="shared" si="33"/>
        <v>0</v>
      </c>
      <c r="K68" s="422">
        <f t="shared" si="33"/>
        <v>493</v>
      </c>
      <c r="L68" s="423">
        <f t="shared" si="33"/>
        <v>280</v>
      </c>
      <c r="M68" s="423">
        <f t="shared" si="33"/>
        <v>0</v>
      </c>
      <c r="N68" s="423">
        <f t="shared" si="33"/>
        <v>189</v>
      </c>
      <c r="O68" s="425">
        <f t="shared" si="33"/>
        <v>24</v>
      </c>
      <c r="P68" s="526">
        <f t="shared" si="18"/>
        <v>268</v>
      </c>
      <c r="Q68" s="423">
        <f t="shared" si="33"/>
        <v>0</v>
      </c>
      <c r="R68" s="422">
        <f t="shared" si="33"/>
        <v>0</v>
      </c>
      <c r="S68" s="423">
        <f t="shared" si="33"/>
        <v>0</v>
      </c>
      <c r="T68" s="423">
        <f t="shared" si="33"/>
        <v>0</v>
      </c>
      <c r="U68" s="423">
        <f t="shared" si="32"/>
        <v>0</v>
      </c>
      <c r="V68" s="424">
        <f t="shared" si="32"/>
        <v>0</v>
      </c>
      <c r="W68" s="422">
        <f t="shared" si="32"/>
        <v>0</v>
      </c>
      <c r="X68" s="423">
        <f t="shared" si="32"/>
        <v>0</v>
      </c>
      <c r="Y68" s="423">
        <f t="shared" si="32"/>
        <v>0</v>
      </c>
      <c r="Z68" s="423">
        <f t="shared" si="32"/>
        <v>0</v>
      </c>
      <c r="AA68" s="425">
        <f t="shared" si="32"/>
        <v>0</v>
      </c>
      <c r="AB68" s="424">
        <f t="shared" si="32"/>
        <v>32</v>
      </c>
      <c r="AC68" s="423">
        <f t="shared" si="32"/>
        <v>0</v>
      </c>
      <c r="AD68" s="422">
        <f t="shared" si="32"/>
        <v>0</v>
      </c>
      <c r="AE68" s="423">
        <f t="shared" si="32"/>
        <v>0</v>
      </c>
      <c r="AF68" s="423">
        <f t="shared" si="32"/>
        <v>0</v>
      </c>
      <c r="AG68" s="423">
        <f t="shared" si="34"/>
        <v>0</v>
      </c>
      <c r="AH68" s="424">
        <f t="shared" si="34"/>
        <v>0</v>
      </c>
      <c r="AI68" s="422">
        <f t="shared" si="34"/>
        <v>0</v>
      </c>
      <c r="AJ68" s="423">
        <f t="shared" si="34"/>
        <v>0</v>
      </c>
      <c r="AK68" s="423">
        <f t="shared" si="34"/>
        <v>0</v>
      </c>
      <c r="AL68" s="423">
        <f t="shared" si="34"/>
        <v>0</v>
      </c>
      <c r="AM68" s="425">
        <f t="shared" si="34"/>
        <v>0</v>
      </c>
      <c r="AO68" s="421">
        <f t="shared" si="21"/>
        <v>0</v>
      </c>
      <c r="AP68" s="422">
        <f t="shared" si="22"/>
        <v>0</v>
      </c>
      <c r="AQ68" s="423">
        <f t="shared" si="23"/>
        <v>0</v>
      </c>
      <c r="AR68" s="423">
        <f t="shared" si="24"/>
        <v>0</v>
      </c>
      <c r="AS68" s="423">
        <f t="shared" si="25"/>
        <v>0</v>
      </c>
      <c r="AT68" s="424">
        <f t="shared" si="26"/>
        <v>0</v>
      </c>
      <c r="AU68" s="422">
        <f t="shared" si="27"/>
        <v>0</v>
      </c>
      <c r="AV68" s="423">
        <f t="shared" si="28"/>
        <v>0</v>
      </c>
      <c r="AW68" s="423">
        <f t="shared" si="29"/>
        <v>0</v>
      </c>
      <c r="AX68" s="423">
        <f t="shared" si="30"/>
        <v>0</v>
      </c>
      <c r="AY68" s="425">
        <f t="shared" si="31"/>
        <v>0</v>
      </c>
    </row>
    <row r="69" spans="1:51" ht="13.9">
      <c r="A69" s="435" t="s">
        <v>249</v>
      </c>
      <c r="B69" s="436">
        <v>43497</v>
      </c>
      <c r="C69" s="437">
        <v>2019</v>
      </c>
      <c r="D69" s="421">
        <f t="shared" si="33"/>
        <v>168959</v>
      </c>
      <c r="E69" s="421">
        <f t="shared" si="33"/>
        <v>1343</v>
      </c>
      <c r="F69" s="422">
        <f t="shared" si="33"/>
        <v>850</v>
      </c>
      <c r="G69" s="423">
        <f t="shared" si="33"/>
        <v>565</v>
      </c>
      <c r="H69" s="423">
        <f t="shared" si="33"/>
        <v>0</v>
      </c>
      <c r="I69" s="423">
        <f t="shared" si="33"/>
        <v>285</v>
      </c>
      <c r="J69" s="424">
        <f t="shared" si="33"/>
        <v>0</v>
      </c>
      <c r="K69" s="422">
        <f t="shared" si="33"/>
        <v>493</v>
      </c>
      <c r="L69" s="423">
        <f t="shared" si="33"/>
        <v>280</v>
      </c>
      <c r="M69" s="423">
        <f t="shared" si="33"/>
        <v>0</v>
      </c>
      <c r="N69" s="423">
        <f t="shared" si="33"/>
        <v>189</v>
      </c>
      <c r="O69" s="425">
        <f t="shared" si="33"/>
        <v>24</v>
      </c>
      <c r="P69" s="526">
        <f t="shared" si="18"/>
        <v>268</v>
      </c>
      <c r="Q69" s="423">
        <f t="shared" si="33"/>
        <v>0</v>
      </c>
      <c r="R69" s="422">
        <f t="shared" si="33"/>
        <v>0</v>
      </c>
      <c r="S69" s="423">
        <f t="shared" si="33"/>
        <v>0</v>
      </c>
      <c r="T69" s="423">
        <f t="shared" si="33"/>
        <v>0</v>
      </c>
      <c r="U69" s="423">
        <f t="shared" si="32"/>
        <v>0</v>
      </c>
      <c r="V69" s="424">
        <f t="shared" si="32"/>
        <v>0</v>
      </c>
      <c r="W69" s="422">
        <f t="shared" si="32"/>
        <v>0</v>
      </c>
      <c r="X69" s="423">
        <f t="shared" si="32"/>
        <v>0</v>
      </c>
      <c r="Y69" s="423">
        <f t="shared" si="32"/>
        <v>0</v>
      </c>
      <c r="Z69" s="423">
        <f t="shared" si="32"/>
        <v>0</v>
      </c>
      <c r="AA69" s="425">
        <f t="shared" si="32"/>
        <v>0</v>
      </c>
      <c r="AB69" s="424">
        <f t="shared" si="32"/>
        <v>32</v>
      </c>
      <c r="AC69" s="423">
        <f t="shared" si="32"/>
        <v>0</v>
      </c>
      <c r="AD69" s="422">
        <f t="shared" si="32"/>
        <v>0</v>
      </c>
      <c r="AE69" s="423">
        <f t="shared" si="32"/>
        <v>0</v>
      </c>
      <c r="AF69" s="423">
        <f t="shared" si="32"/>
        <v>0</v>
      </c>
      <c r="AG69" s="423">
        <f t="shared" si="34"/>
        <v>0</v>
      </c>
      <c r="AH69" s="424">
        <f t="shared" si="34"/>
        <v>0</v>
      </c>
      <c r="AI69" s="422">
        <f t="shared" si="34"/>
        <v>0</v>
      </c>
      <c r="AJ69" s="423">
        <f t="shared" si="34"/>
        <v>0</v>
      </c>
      <c r="AK69" s="423">
        <f t="shared" si="34"/>
        <v>0</v>
      </c>
      <c r="AL69" s="423">
        <f t="shared" si="34"/>
        <v>0</v>
      </c>
      <c r="AM69" s="425">
        <f t="shared" si="34"/>
        <v>0</v>
      </c>
      <c r="AO69" s="421">
        <f t="shared" si="21"/>
        <v>0</v>
      </c>
      <c r="AP69" s="422">
        <f t="shared" si="22"/>
        <v>0</v>
      </c>
      <c r="AQ69" s="423">
        <f t="shared" si="23"/>
        <v>0</v>
      </c>
      <c r="AR69" s="423">
        <f t="shared" si="24"/>
        <v>0</v>
      </c>
      <c r="AS69" s="423">
        <f t="shared" si="25"/>
        <v>0</v>
      </c>
      <c r="AT69" s="424">
        <f t="shared" si="26"/>
        <v>0</v>
      </c>
      <c r="AU69" s="422">
        <f t="shared" si="27"/>
        <v>0</v>
      </c>
      <c r="AV69" s="423">
        <f t="shared" si="28"/>
        <v>0</v>
      </c>
      <c r="AW69" s="423">
        <f t="shared" si="29"/>
        <v>0</v>
      </c>
      <c r="AX69" s="423">
        <f t="shared" si="30"/>
        <v>0</v>
      </c>
      <c r="AY69" s="425">
        <f t="shared" si="31"/>
        <v>0</v>
      </c>
    </row>
    <row r="70" spans="1:51" ht="13.9">
      <c r="A70" s="435" t="s">
        <v>249</v>
      </c>
      <c r="B70" s="436">
        <v>43525</v>
      </c>
      <c r="C70" s="437">
        <v>2019</v>
      </c>
      <c r="D70" s="421">
        <f t="shared" si="33"/>
        <v>168959</v>
      </c>
      <c r="E70" s="421">
        <f t="shared" si="33"/>
        <v>1343</v>
      </c>
      <c r="F70" s="422">
        <f t="shared" si="33"/>
        <v>850</v>
      </c>
      <c r="G70" s="423">
        <f t="shared" si="33"/>
        <v>565</v>
      </c>
      <c r="H70" s="423">
        <f t="shared" si="33"/>
        <v>0</v>
      </c>
      <c r="I70" s="423">
        <f t="shared" si="33"/>
        <v>285</v>
      </c>
      <c r="J70" s="424">
        <f t="shared" si="33"/>
        <v>0</v>
      </c>
      <c r="K70" s="422">
        <f t="shared" si="33"/>
        <v>493</v>
      </c>
      <c r="L70" s="423">
        <f t="shared" si="33"/>
        <v>280</v>
      </c>
      <c r="M70" s="423">
        <f t="shared" si="33"/>
        <v>0</v>
      </c>
      <c r="N70" s="423">
        <f t="shared" si="33"/>
        <v>189</v>
      </c>
      <c r="O70" s="425">
        <f t="shared" si="33"/>
        <v>24</v>
      </c>
      <c r="P70" s="526">
        <f t="shared" si="18"/>
        <v>268</v>
      </c>
      <c r="Q70" s="423">
        <f t="shared" si="33"/>
        <v>0</v>
      </c>
      <c r="R70" s="422">
        <f t="shared" si="33"/>
        <v>0</v>
      </c>
      <c r="S70" s="423">
        <f t="shared" si="33"/>
        <v>0</v>
      </c>
      <c r="T70" s="423">
        <f t="shared" si="33"/>
        <v>0</v>
      </c>
      <c r="U70" s="423">
        <f t="shared" si="32"/>
        <v>0</v>
      </c>
      <c r="V70" s="424">
        <f t="shared" si="32"/>
        <v>0</v>
      </c>
      <c r="W70" s="422">
        <f t="shared" si="32"/>
        <v>0</v>
      </c>
      <c r="X70" s="423">
        <f t="shared" si="32"/>
        <v>0</v>
      </c>
      <c r="Y70" s="423">
        <f t="shared" si="32"/>
        <v>0</v>
      </c>
      <c r="Z70" s="423">
        <f t="shared" si="32"/>
        <v>0</v>
      </c>
      <c r="AA70" s="425">
        <f t="shared" si="32"/>
        <v>0</v>
      </c>
      <c r="AB70" s="424">
        <f t="shared" si="32"/>
        <v>32</v>
      </c>
      <c r="AC70" s="423">
        <f t="shared" si="32"/>
        <v>0</v>
      </c>
      <c r="AD70" s="422">
        <f t="shared" si="32"/>
        <v>0</v>
      </c>
      <c r="AE70" s="423">
        <f t="shared" si="32"/>
        <v>0</v>
      </c>
      <c r="AF70" s="423">
        <f t="shared" si="32"/>
        <v>0</v>
      </c>
      <c r="AG70" s="423">
        <f t="shared" si="34"/>
        <v>0</v>
      </c>
      <c r="AH70" s="424">
        <f t="shared" si="34"/>
        <v>0</v>
      </c>
      <c r="AI70" s="422">
        <f t="shared" si="34"/>
        <v>0</v>
      </c>
      <c r="AJ70" s="423">
        <f t="shared" si="34"/>
        <v>0</v>
      </c>
      <c r="AK70" s="423">
        <f t="shared" si="34"/>
        <v>0</v>
      </c>
      <c r="AL70" s="423">
        <f t="shared" si="34"/>
        <v>0</v>
      </c>
      <c r="AM70" s="425">
        <f t="shared" si="34"/>
        <v>0</v>
      </c>
      <c r="AO70" s="421">
        <f t="shared" si="21"/>
        <v>0</v>
      </c>
      <c r="AP70" s="422">
        <f t="shared" si="22"/>
        <v>0</v>
      </c>
      <c r="AQ70" s="423">
        <f t="shared" si="23"/>
        <v>0</v>
      </c>
      <c r="AR70" s="423">
        <f t="shared" si="24"/>
        <v>0</v>
      </c>
      <c r="AS70" s="423">
        <f t="shared" si="25"/>
        <v>0</v>
      </c>
      <c r="AT70" s="424">
        <f t="shared" si="26"/>
        <v>0</v>
      </c>
      <c r="AU70" s="422">
        <f t="shared" si="27"/>
        <v>0</v>
      </c>
      <c r="AV70" s="423">
        <f t="shared" si="28"/>
        <v>0</v>
      </c>
      <c r="AW70" s="423">
        <f t="shared" si="29"/>
        <v>0</v>
      </c>
      <c r="AX70" s="423">
        <f t="shared" si="30"/>
        <v>0</v>
      </c>
      <c r="AY70" s="425">
        <f t="shared" si="31"/>
        <v>0</v>
      </c>
    </row>
    <row r="71" spans="1:51" ht="13.9">
      <c r="A71" s="435" t="s">
        <v>250</v>
      </c>
      <c r="B71" s="436">
        <v>43556</v>
      </c>
      <c r="C71" s="437">
        <v>2019</v>
      </c>
      <c r="D71" s="421">
        <f t="shared" si="33"/>
        <v>222792</v>
      </c>
      <c r="E71" s="421">
        <f t="shared" si="33"/>
        <v>2875</v>
      </c>
      <c r="F71" s="422">
        <f t="shared" si="33"/>
        <v>1992</v>
      </c>
      <c r="G71" s="423">
        <f t="shared" si="33"/>
        <v>1656</v>
      </c>
      <c r="H71" s="423">
        <f t="shared" si="33"/>
        <v>0</v>
      </c>
      <c r="I71" s="423">
        <f t="shared" si="33"/>
        <v>336</v>
      </c>
      <c r="J71" s="424">
        <f t="shared" si="33"/>
        <v>0</v>
      </c>
      <c r="K71" s="422">
        <f t="shared" si="33"/>
        <v>883</v>
      </c>
      <c r="L71" s="423">
        <f t="shared" si="33"/>
        <v>497</v>
      </c>
      <c r="M71" s="423">
        <f t="shared" si="33"/>
        <v>0</v>
      </c>
      <c r="N71" s="423">
        <f t="shared" si="33"/>
        <v>349</v>
      </c>
      <c r="O71" s="425">
        <f t="shared" si="33"/>
        <v>37</v>
      </c>
      <c r="P71" s="526">
        <f t="shared" si="18"/>
        <v>376</v>
      </c>
      <c r="Q71" s="423">
        <f t="shared" si="33"/>
        <v>4</v>
      </c>
      <c r="R71" s="422">
        <f t="shared" si="33"/>
        <v>2</v>
      </c>
      <c r="S71" s="423">
        <f t="shared" si="33"/>
        <v>2</v>
      </c>
      <c r="T71" s="423">
        <f t="shared" si="33"/>
        <v>0</v>
      </c>
      <c r="U71" s="423">
        <f t="shared" si="32"/>
        <v>0</v>
      </c>
      <c r="V71" s="424">
        <f t="shared" si="32"/>
        <v>0</v>
      </c>
      <c r="W71" s="422">
        <f t="shared" si="32"/>
        <v>2</v>
      </c>
      <c r="X71" s="423">
        <f t="shared" si="32"/>
        <v>1</v>
      </c>
      <c r="Y71" s="423">
        <f t="shared" si="32"/>
        <v>0</v>
      </c>
      <c r="Z71" s="423">
        <f t="shared" si="32"/>
        <v>1</v>
      </c>
      <c r="AA71" s="425">
        <f t="shared" si="32"/>
        <v>0</v>
      </c>
      <c r="AB71" s="424">
        <f t="shared" si="32"/>
        <v>43</v>
      </c>
      <c r="AC71" s="423">
        <f t="shared" si="32"/>
        <v>0</v>
      </c>
      <c r="AD71" s="422">
        <f t="shared" si="32"/>
        <v>0</v>
      </c>
      <c r="AE71" s="423">
        <f t="shared" si="32"/>
        <v>0</v>
      </c>
      <c r="AF71" s="423">
        <f t="shared" si="32"/>
        <v>0</v>
      </c>
      <c r="AG71" s="423">
        <f t="shared" si="34"/>
        <v>0</v>
      </c>
      <c r="AH71" s="424">
        <f t="shared" si="34"/>
        <v>0</v>
      </c>
      <c r="AI71" s="422">
        <f t="shared" si="34"/>
        <v>0</v>
      </c>
      <c r="AJ71" s="423">
        <f t="shared" si="34"/>
        <v>0</v>
      </c>
      <c r="AK71" s="423">
        <f t="shared" si="34"/>
        <v>0</v>
      </c>
      <c r="AL71" s="423">
        <f t="shared" si="34"/>
        <v>0</v>
      </c>
      <c r="AM71" s="425">
        <f t="shared" si="34"/>
        <v>0</v>
      </c>
      <c r="AO71" s="421">
        <f t="shared" si="21"/>
        <v>4</v>
      </c>
      <c r="AP71" s="422">
        <f t="shared" si="22"/>
        <v>2</v>
      </c>
      <c r="AQ71" s="423">
        <f t="shared" si="23"/>
        <v>2</v>
      </c>
      <c r="AR71" s="423">
        <f t="shared" si="24"/>
        <v>0</v>
      </c>
      <c r="AS71" s="423">
        <f t="shared" si="25"/>
        <v>0</v>
      </c>
      <c r="AT71" s="424">
        <f t="shared" si="26"/>
        <v>0</v>
      </c>
      <c r="AU71" s="422">
        <f t="shared" si="27"/>
        <v>2</v>
      </c>
      <c r="AV71" s="423">
        <f t="shared" si="28"/>
        <v>1</v>
      </c>
      <c r="AW71" s="423">
        <f t="shared" si="29"/>
        <v>0</v>
      </c>
      <c r="AX71" s="423">
        <f t="shared" si="30"/>
        <v>1</v>
      </c>
      <c r="AY71" s="425">
        <f t="shared" si="31"/>
        <v>0</v>
      </c>
    </row>
    <row r="72" spans="1:51" ht="13.9">
      <c r="A72" s="435" t="s">
        <v>250</v>
      </c>
      <c r="B72" s="436">
        <v>43586</v>
      </c>
      <c r="C72" s="437">
        <v>2019</v>
      </c>
      <c r="D72" s="421">
        <f t="shared" si="33"/>
        <v>222792</v>
      </c>
      <c r="E72" s="421">
        <f t="shared" si="33"/>
        <v>2875</v>
      </c>
      <c r="F72" s="422">
        <f t="shared" si="33"/>
        <v>1992</v>
      </c>
      <c r="G72" s="423">
        <f t="shared" si="33"/>
        <v>1656</v>
      </c>
      <c r="H72" s="423">
        <f t="shared" si="33"/>
        <v>0</v>
      </c>
      <c r="I72" s="423">
        <f t="shared" si="33"/>
        <v>336</v>
      </c>
      <c r="J72" s="424">
        <f t="shared" si="33"/>
        <v>0</v>
      </c>
      <c r="K72" s="422">
        <f t="shared" si="33"/>
        <v>883</v>
      </c>
      <c r="L72" s="423">
        <f t="shared" si="33"/>
        <v>497</v>
      </c>
      <c r="M72" s="423">
        <f t="shared" si="33"/>
        <v>0</v>
      </c>
      <c r="N72" s="423">
        <f t="shared" si="33"/>
        <v>349</v>
      </c>
      <c r="O72" s="425">
        <f t="shared" si="33"/>
        <v>37</v>
      </c>
      <c r="P72" s="526">
        <f t="shared" si="18"/>
        <v>376</v>
      </c>
      <c r="Q72" s="423">
        <f t="shared" si="33"/>
        <v>4</v>
      </c>
      <c r="R72" s="422">
        <f t="shared" si="33"/>
        <v>2</v>
      </c>
      <c r="S72" s="423">
        <f t="shared" si="33"/>
        <v>2</v>
      </c>
      <c r="T72" s="423">
        <f t="shared" si="33"/>
        <v>0</v>
      </c>
      <c r="U72" s="423">
        <f t="shared" si="32"/>
        <v>0</v>
      </c>
      <c r="V72" s="424">
        <f t="shared" si="32"/>
        <v>0</v>
      </c>
      <c r="W72" s="422">
        <f t="shared" si="32"/>
        <v>2</v>
      </c>
      <c r="X72" s="423">
        <f t="shared" si="32"/>
        <v>1</v>
      </c>
      <c r="Y72" s="423">
        <f t="shared" si="32"/>
        <v>0</v>
      </c>
      <c r="Z72" s="423">
        <f t="shared" si="32"/>
        <v>1</v>
      </c>
      <c r="AA72" s="425">
        <f t="shared" si="32"/>
        <v>0</v>
      </c>
      <c r="AB72" s="424">
        <f t="shared" si="32"/>
        <v>43</v>
      </c>
      <c r="AC72" s="423">
        <f t="shared" si="32"/>
        <v>0</v>
      </c>
      <c r="AD72" s="422">
        <f t="shared" si="32"/>
        <v>0</v>
      </c>
      <c r="AE72" s="423">
        <f t="shared" si="32"/>
        <v>0</v>
      </c>
      <c r="AF72" s="423">
        <f t="shared" si="32"/>
        <v>0</v>
      </c>
      <c r="AG72" s="423">
        <f t="shared" si="34"/>
        <v>0</v>
      </c>
      <c r="AH72" s="424">
        <f t="shared" si="34"/>
        <v>0</v>
      </c>
      <c r="AI72" s="422">
        <f t="shared" si="34"/>
        <v>0</v>
      </c>
      <c r="AJ72" s="423">
        <f t="shared" si="34"/>
        <v>0</v>
      </c>
      <c r="AK72" s="423">
        <f t="shared" si="34"/>
        <v>0</v>
      </c>
      <c r="AL72" s="423">
        <f t="shared" si="34"/>
        <v>0</v>
      </c>
      <c r="AM72" s="425">
        <f t="shared" si="34"/>
        <v>0</v>
      </c>
      <c r="AO72" s="421">
        <f t="shared" si="21"/>
        <v>4</v>
      </c>
      <c r="AP72" s="422">
        <f t="shared" si="22"/>
        <v>2</v>
      </c>
      <c r="AQ72" s="423">
        <f t="shared" si="23"/>
        <v>2</v>
      </c>
      <c r="AR72" s="423">
        <f t="shared" si="24"/>
        <v>0</v>
      </c>
      <c r="AS72" s="423">
        <f t="shared" si="25"/>
        <v>0</v>
      </c>
      <c r="AT72" s="424">
        <f t="shared" si="26"/>
        <v>0</v>
      </c>
      <c r="AU72" s="422">
        <f t="shared" si="27"/>
        <v>2</v>
      </c>
      <c r="AV72" s="423">
        <f t="shared" si="28"/>
        <v>1</v>
      </c>
      <c r="AW72" s="423">
        <f t="shared" si="29"/>
        <v>0</v>
      </c>
      <c r="AX72" s="423">
        <f t="shared" si="30"/>
        <v>1</v>
      </c>
      <c r="AY72" s="425">
        <f t="shared" si="31"/>
        <v>0</v>
      </c>
    </row>
    <row r="73" spans="1:51" ht="13.9">
      <c r="A73" s="435" t="s">
        <v>250</v>
      </c>
      <c r="B73" s="436">
        <v>43617</v>
      </c>
      <c r="C73" s="437">
        <v>2019</v>
      </c>
      <c r="D73" s="421">
        <f t="shared" si="33"/>
        <v>222792</v>
      </c>
      <c r="E73" s="421">
        <f t="shared" si="33"/>
        <v>2875</v>
      </c>
      <c r="F73" s="422">
        <f t="shared" si="33"/>
        <v>1992</v>
      </c>
      <c r="G73" s="423">
        <f t="shared" si="33"/>
        <v>1656</v>
      </c>
      <c r="H73" s="423">
        <f t="shared" si="33"/>
        <v>0</v>
      </c>
      <c r="I73" s="423">
        <f t="shared" si="33"/>
        <v>336</v>
      </c>
      <c r="J73" s="424">
        <f t="shared" si="33"/>
        <v>0</v>
      </c>
      <c r="K73" s="422">
        <f t="shared" si="33"/>
        <v>883</v>
      </c>
      <c r="L73" s="423">
        <f t="shared" si="33"/>
        <v>497</v>
      </c>
      <c r="M73" s="423">
        <f t="shared" si="33"/>
        <v>0</v>
      </c>
      <c r="N73" s="423">
        <f t="shared" si="33"/>
        <v>349</v>
      </c>
      <c r="O73" s="425">
        <f t="shared" si="33"/>
        <v>37</v>
      </c>
      <c r="P73" s="526">
        <f t="shared" si="18"/>
        <v>376</v>
      </c>
      <c r="Q73" s="423">
        <f t="shared" si="33"/>
        <v>4</v>
      </c>
      <c r="R73" s="422">
        <f t="shared" si="33"/>
        <v>2</v>
      </c>
      <c r="S73" s="423">
        <f t="shared" si="33"/>
        <v>2</v>
      </c>
      <c r="T73" s="423">
        <f t="shared" si="33"/>
        <v>0</v>
      </c>
      <c r="U73" s="423">
        <f t="shared" si="32"/>
        <v>0</v>
      </c>
      <c r="V73" s="424">
        <f t="shared" si="32"/>
        <v>0</v>
      </c>
      <c r="W73" s="422">
        <f t="shared" si="32"/>
        <v>2</v>
      </c>
      <c r="X73" s="423">
        <f t="shared" si="32"/>
        <v>1</v>
      </c>
      <c r="Y73" s="423">
        <f t="shared" si="32"/>
        <v>0</v>
      </c>
      <c r="Z73" s="423">
        <f t="shared" si="32"/>
        <v>1</v>
      </c>
      <c r="AA73" s="425">
        <f t="shared" si="32"/>
        <v>0</v>
      </c>
      <c r="AB73" s="424">
        <f t="shared" si="32"/>
        <v>43</v>
      </c>
      <c r="AC73" s="423">
        <f t="shared" si="32"/>
        <v>0</v>
      </c>
      <c r="AD73" s="422">
        <f t="shared" si="32"/>
        <v>0</v>
      </c>
      <c r="AE73" s="423">
        <f t="shared" si="32"/>
        <v>0</v>
      </c>
      <c r="AF73" s="423">
        <f t="shared" si="32"/>
        <v>0</v>
      </c>
      <c r="AG73" s="423">
        <f t="shared" si="34"/>
        <v>0</v>
      </c>
      <c r="AH73" s="424">
        <f t="shared" si="34"/>
        <v>0</v>
      </c>
      <c r="AI73" s="422">
        <f t="shared" si="34"/>
        <v>0</v>
      </c>
      <c r="AJ73" s="423">
        <f t="shared" si="34"/>
        <v>0</v>
      </c>
      <c r="AK73" s="423">
        <f t="shared" si="34"/>
        <v>0</v>
      </c>
      <c r="AL73" s="423">
        <f t="shared" si="34"/>
        <v>0</v>
      </c>
      <c r="AM73" s="425">
        <f t="shared" si="34"/>
        <v>0</v>
      </c>
      <c r="AO73" s="421">
        <f t="shared" si="21"/>
        <v>4</v>
      </c>
      <c r="AP73" s="422">
        <f t="shared" si="22"/>
        <v>2</v>
      </c>
      <c r="AQ73" s="423">
        <f t="shared" si="23"/>
        <v>2</v>
      </c>
      <c r="AR73" s="423">
        <f t="shared" si="24"/>
        <v>0</v>
      </c>
      <c r="AS73" s="423">
        <f t="shared" si="25"/>
        <v>0</v>
      </c>
      <c r="AT73" s="424">
        <f t="shared" si="26"/>
        <v>0</v>
      </c>
      <c r="AU73" s="422">
        <f t="shared" si="27"/>
        <v>2</v>
      </c>
      <c r="AV73" s="423">
        <f t="shared" si="28"/>
        <v>1</v>
      </c>
      <c r="AW73" s="423">
        <f t="shared" si="29"/>
        <v>0</v>
      </c>
      <c r="AX73" s="423">
        <f t="shared" si="30"/>
        <v>1</v>
      </c>
      <c r="AY73" s="425">
        <f t="shared" si="31"/>
        <v>0</v>
      </c>
    </row>
    <row r="74" spans="1:51" ht="13.9">
      <c r="A74" s="435" t="s">
        <v>251</v>
      </c>
      <c r="B74" s="436">
        <v>43647</v>
      </c>
      <c r="C74" s="437">
        <v>2019</v>
      </c>
      <c r="D74" s="421">
        <f t="shared" si="33"/>
        <v>219590</v>
      </c>
      <c r="E74" s="421">
        <f t="shared" si="33"/>
        <v>3149</v>
      </c>
      <c r="F74" s="422">
        <f t="shared" si="33"/>
        <v>2181</v>
      </c>
      <c r="G74" s="423">
        <f t="shared" si="33"/>
        <v>1844</v>
      </c>
      <c r="H74" s="423">
        <f t="shared" si="33"/>
        <v>0</v>
      </c>
      <c r="I74" s="423">
        <f t="shared" si="33"/>
        <v>337</v>
      </c>
      <c r="J74" s="424">
        <f t="shared" si="33"/>
        <v>0</v>
      </c>
      <c r="K74" s="422">
        <f t="shared" si="33"/>
        <v>968</v>
      </c>
      <c r="L74" s="423">
        <f t="shared" si="33"/>
        <v>644</v>
      </c>
      <c r="M74" s="423">
        <f t="shared" si="33"/>
        <v>0</v>
      </c>
      <c r="N74" s="423">
        <f t="shared" si="33"/>
        <v>306</v>
      </c>
      <c r="O74" s="425">
        <f t="shared" si="33"/>
        <v>18</v>
      </c>
      <c r="P74" s="526">
        <f t="shared" si="18"/>
        <v>406</v>
      </c>
      <c r="Q74" s="423">
        <f t="shared" si="33"/>
        <v>3</v>
      </c>
      <c r="R74" s="422">
        <f t="shared" si="33"/>
        <v>0</v>
      </c>
      <c r="S74" s="423">
        <f t="shared" si="33"/>
        <v>0</v>
      </c>
      <c r="T74" s="423">
        <f t="shared" si="33"/>
        <v>0</v>
      </c>
      <c r="U74" s="423">
        <f t="shared" si="32"/>
        <v>0</v>
      </c>
      <c r="V74" s="424">
        <f t="shared" si="32"/>
        <v>0</v>
      </c>
      <c r="W74" s="422">
        <f t="shared" si="32"/>
        <v>3</v>
      </c>
      <c r="X74" s="423">
        <f t="shared" si="32"/>
        <v>3</v>
      </c>
      <c r="Y74" s="423">
        <f t="shared" si="32"/>
        <v>0</v>
      </c>
      <c r="Z74" s="423">
        <f t="shared" si="32"/>
        <v>0</v>
      </c>
      <c r="AA74" s="425">
        <f t="shared" si="32"/>
        <v>0</v>
      </c>
      <c r="AB74" s="424">
        <f t="shared" si="32"/>
        <v>42</v>
      </c>
      <c r="AC74" s="423">
        <f t="shared" si="32"/>
        <v>0</v>
      </c>
      <c r="AD74" s="422">
        <f t="shared" si="32"/>
        <v>0</v>
      </c>
      <c r="AE74" s="423">
        <f t="shared" si="32"/>
        <v>0</v>
      </c>
      <c r="AF74" s="423">
        <f t="shared" si="32"/>
        <v>0</v>
      </c>
      <c r="AG74" s="423">
        <f t="shared" si="34"/>
        <v>0</v>
      </c>
      <c r="AH74" s="424">
        <f t="shared" si="34"/>
        <v>0</v>
      </c>
      <c r="AI74" s="422">
        <f t="shared" si="34"/>
        <v>0</v>
      </c>
      <c r="AJ74" s="423">
        <f t="shared" si="34"/>
        <v>0</v>
      </c>
      <c r="AK74" s="423">
        <f t="shared" si="34"/>
        <v>0</v>
      </c>
      <c r="AL74" s="423">
        <f t="shared" si="34"/>
        <v>0</v>
      </c>
      <c r="AM74" s="425">
        <f t="shared" si="34"/>
        <v>0</v>
      </c>
      <c r="AO74" s="421">
        <f t="shared" si="21"/>
        <v>3</v>
      </c>
      <c r="AP74" s="422">
        <f t="shared" si="22"/>
        <v>0</v>
      </c>
      <c r="AQ74" s="423">
        <f t="shared" si="23"/>
        <v>0</v>
      </c>
      <c r="AR74" s="423">
        <f t="shared" si="24"/>
        <v>0</v>
      </c>
      <c r="AS74" s="423">
        <f t="shared" si="25"/>
        <v>0</v>
      </c>
      <c r="AT74" s="424">
        <f t="shared" si="26"/>
        <v>0</v>
      </c>
      <c r="AU74" s="422">
        <f t="shared" si="27"/>
        <v>3</v>
      </c>
      <c r="AV74" s="423">
        <f t="shared" si="28"/>
        <v>3</v>
      </c>
      <c r="AW74" s="423">
        <f t="shared" si="29"/>
        <v>0</v>
      </c>
      <c r="AX74" s="423">
        <f t="shared" si="30"/>
        <v>0</v>
      </c>
      <c r="AY74" s="425">
        <f t="shared" si="31"/>
        <v>0</v>
      </c>
    </row>
    <row r="75" spans="1:51" ht="13.9">
      <c r="A75" s="435" t="s">
        <v>251</v>
      </c>
      <c r="B75" s="436">
        <v>43678</v>
      </c>
      <c r="C75" s="437">
        <v>2019</v>
      </c>
      <c r="D75" s="421">
        <f t="shared" si="33"/>
        <v>219590</v>
      </c>
      <c r="E75" s="421">
        <f t="shared" si="33"/>
        <v>3149</v>
      </c>
      <c r="F75" s="422">
        <f t="shared" si="33"/>
        <v>2181</v>
      </c>
      <c r="G75" s="423">
        <f t="shared" si="33"/>
        <v>1844</v>
      </c>
      <c r="H75" s="423">
        <f t="shared" si="33"/>
        <v>0</v>
      </c>
      <c r="I75" s="423">
        <f t="shared" si="33"/>
        <v>337</v>
      </c>
      <c r="J75" s="424">
        <f t="shared" si="33"/>
        <v>0</v>
      </c>
      <c r="K75" s="422">
        <f t="shared" si="33"/>
        <v>968</v>
      </c>
      <c r="L75" s="423">
        <f t="shared" si="33"/>
        <v>644</v>
      </c>
      <c r="M75" s="423">
        <f t="shared" si="33"/>
        <v>0</v>
      </c>
      <c r="N75" s="423">
        <f t="shared" si="33"/>
        <v>306</v>
      </c>
      <c r="O75" s="425">
        <f t="shared" si="33"/>
        <v>18</v>
      </c>
      <c r="P75" s="526">
        <f t="shared" si="18"/>
        <v>406</v>
      </c>
      <c r="Q75" s="423">
        <f t="shared" si="33"/>
        <v>3</v>
      </c>
      <c r="R75" s="422">
        <f t="shared" si="33"/>
        <v>0</v>
      </c>
      <c r="S75" s="423">
        <f t="shared" si="33"/>
        <v>0</v>
      </c>
      <c r="T75" s="423">
        <f t="shared" ref="T75:AJ90" si="35">SUMIFS(T$5:T$40,$B$5:$B$40,$A75)</f>
        <v>0</v>
      </c>
      <c r="U75" s="423">
        <f t="shared" si="35"/>
        <v>0</v>
      </c>
      <c r="V75" s="424">
        <f t="shared" si="35"/>
        <v>0</v>
      </c>
      <c r="W75" s="422">
        <f t="shared" si="35"/>
        <v>3</v>
      </c>
      <c r="X75" s="423">
        <f t="shared" si="35"/>
        <v>3</v>
      </c>
      <c r="Y75" s="423">
        <f t="shared" si="35"/>
        <v>0</v>
      </c>
      <c r="Z75" s="423">
        <f t="shared" si="35"/>
        <v>0</v>
      </c>
      <c r="AA75" s="425">
        <f t="shared" si="35"/>
        <v>0</v>
      </c>
      <c r="AB75" s="424">
        <f t="shared" si="35"/>
        <v>42</v>
      </c>
      <c r="AC75" s="423">
        <f t="shared" si="35"/>
        <v>0</v>
      </c>
      <c r="AD75" s="422">
        <f t="shared" si="35"/>
        <v>0</v>
      </c>
      <c r="AE75" s="423">
        <f t="shared" si="35"/>
        <v>0</v>
      </c>
      <c r="AF75" s="423">
        <f t="shared" si="35"/>
        <v>0</v>
      </c>
      <c r="AG75" s="423">
        <f t="shared" si="35"/>
        <v>0</v>
      </c>
      <c r="AH75" s="424">
        <f t="shared" si="35"/>
        <v>0</v>
      </c>
      <c r="AI75" s="422">
        <f t="shared" si="35"/>
        <v>0</v>
      </c>
      <c r="AJ75" s="423">
        <f t="shared" si="35"/>
        <v>0</v>
      </c>
      <c r="AK75" s="423">
        <f t="shared" si="34"/>
        <v>0</v>
      </c>
      <c r="AL75" s="423">
        <f t="shared" si="34"/>
        <v>0</v>
      </c>
      <c r="AM75" s="425">
        <f t="shared" si="34"/>
        <v>0</v>
      </c>
      <c r="AO75" s="421">
        <f t="shared" si="21"/>
        <v>3</v>
      </c>
      <c r="AP75" s="422">
        <f t="shared" si="22"/>
        <v>0</v>
      </c>
      <c r="AQ75" s="423">
        <f t="shared" si="23"/>
        <v>0</v>
      </c>
      <c r="AR75" s="423">
        <f t="shared" si="24"/>
        <v>0</v>
      </c>
      <c r="AS75" s="423">
        <f t="shared" si="25"/>
        <v>0</v>
      </c>
      <c r="AT75" s="424">
        <f t="shared" si="26"/>
        <v>0</v>
      </c>
      <c r="AU75" s="422">
        <f t="shared" si="27"/>
        <v>3</v>
      </c>
      <c r="AV75" s="423">
        <f t="shared" si="28"/>
        <v>3</v>
      </c>
      <c r="AW75" s="423">
        <f t="shared" si="29"/>
        <v>0</v>
      </c>
      <c r="AX75" s="423">
        <f t="shared" si="30"/>
        <v>0</v>
      </c>
      <c r="AY75" s="425">
        <f t="shared" si="31"/>
        <v>0</v>
      </c>
    </row>
    <row r="76" spans="1:51" ht="13.9">
      <c r="A76" s="435" t="s">
        <v>251</v>
      </c>
      <c r="B76" s="436">
        <v>43709</v>
      </c>
      <c r="C76" s="437">
        <v>2019</v>
      </c>
      <c r="D76" s="421">
        <f t="shared" ref="D76:T91" si="36">SUMIFS(D$5:D$40,$B$5:$B$40,$A76)</f>
        <v>219590</v>
      </c>
      <c r="E76" s="421">
        <f t="shared" si="36"/>
        <v>3149</v>
      </c>
      <c r="F76" s="422">
        <f t="shared" si="36"/>
        <v>2181</v>
      </c>
      <c r="G76" s="423">
        <f t="shared" si="36"/>
        <v>1844</v>
      </c>
      <c r="H76" s="423">
        <f t="shared" si="36"/>
        <v>0</v>
      </c>
      <c r="I76" s="423">
        <f t="shared" si="36"/>
        <v>337</v>
      </c>
      <c r="J76" s="424">
        <f t="shared" si="36"/>
        <v>0</v>
      </c>
      <c r="K76" s="422">
        <f t="shared" si="36"/>
        <v>968</v>
      </c>
      <c r="L76" s="423">
        <f t="shared" si="36"/>
        <v>644</v>
      </c>
      <c r="M76" s="423">
        <f t="shared" si="36"/>
        <v>0</v>
      </c>
      <c r="N76" s="423">
        <f t="shared" si="36"/>
        <v>306</v>
      </c>
      <c r="O76" s="425">
        <f t="shared" si="36"/>
        <v>18</v>
      </c>
      <c r="P76" s="526">
        <f t="shared" si="18"/>
        <v>406</v>
      </c>
      <c r="Q76" s="423">
        <f t="shared" si="36"/>
        <v>3</v>
      </c>
      <c r="R76" s="422">
        <f t="shared" si="36"/>
        <v>0</v>
      </c>
      <c r="S76" s="423">
        <f t="shared" si="36"/>
        <v>0</v>
      </c>
      <c r="T76" s="423">
        <f t="shared" si="36"/>
        <v>0</v>
      </c>
      <c r="U76" s="423">
        <f t="shared" si="35"/>
        <v>0</v>
      </c>
      <c r="V76" s="424">
        <f t="shared" si="35"/>
        <v>0</v>
      </c>
      <c r="W76" s="422">
        <f t="shared" si="35"/>
        <v>3</v>
      </c>
      <c r="X76" s="423">
        <f t="shared" si="35"/>
        <v>3</v>
      </c>
      <c r="Y76" s="423">
        <f t="shared" si="35"/>
        <v>0</v>
      </c>
      <c r="Z76" s="423">
        <f t="shared" si="35"/>
        <v>0</v>
      </c>
      <c r="AA76" s="425">
        <f t="shared" si="35"/>
        <v>0</v>
      </c>
      <c r="AB76" s="424">
        <f t="shared" si="35"/>
        <v>42</v>
      </c>
      <c r="AC76" s="423">
        <f t="shared" si="35"/>
        <v>0</v>
      </c>
      <c r="AD76" s="422">
        <f t="shared" si="35"/>
        <v>0</v>
      </c>
      <c r="AE76" s="423">
        <f t="shared" si="35"/>
        <v>0</v>
      </c>
      <c r="AF76" s="423">
        <f t="shared" si="35"/>
        <v>0</v>
      </c>
      <c r="AG76" s="423">
        <f t="shared" ref="AG76:AM91" si="37">SUMIFS(AG$5:AG$40,$B$5:$B$40,$A76)</f>
        <v>0</v>
      </c>
      <c r="AH76" s="424">
        <f t="shared" si="37"/>
        <v>0</v>
      </c>
      <c r="AI76" s="422">
        <f t="shared" si="37"/>
        <v>0</v>
      </c>
      <c r="AJ76" s="423">
        <f t="shared" si="37"/>
        <v>0</v>
      </c>
      <c r="AK76" s="423">
        <f t="shared" si="37"/>
        <v>0</v>
      </c>
      <c r="AL76" s="423">
        <f t="shared" si="37"/>
        <v>0</v>
      </c>
      <c r="AM76" s="425">
        <f t="shared" si="37"/>
        <v>0</v>
      </c>
      <c r="AO76" s="421">
        <f t="shared" si="21"/>
        <v>3</v>
      </c>
      <c r="AP76" s="422">
        <f t="shared" si="22"/>
        <v>0</v>
      </c>
      <c r="AQ76" s="423">
        <f t="shared" si="23"/>
        <v>0</v>
      </c>
      <c r="AR76" s="423">
        <f t="shared" si="24"/>
        <v>0</v>
      </c>
      <c r="AS76" s="423">
        <f t="shared" si="25"/>
        <v>0</v>
      </c>
      <c r="AT76" s="424">
        <f t="shared" si="26"/>
        <v>0</v>
      </c>
      <c r="AU76" s="422">
        <f t="shared" si="27"/>
        <v>3</v>
      </c>
      <c r="AV76" s="423">
        <f t="shared" si="28"/>
        <v>3</v>
      </c>
      <c r="AW76" s="423">
        <f t="shared" si="29"/>
        <v>0</v>
      </c>
      <c r="AX76" s="423">
        <f t="shared" si="30"/>
        <v>0</v>
      </c>
      <c r="AY76" s="425">
        <f t="shared" si="31"/>
        <v>0</v>
      </c>
    </row>
    <row r="77" spans="1:51" ht="13.9">
      <c r="A77" s="435" t="s">
        <v>252</v>
      </c>
      <c r="B77" s="436">
        <v>43739</v>
      </c>
      <c r="C77" s="437">
        <v>2019</v>
      </c>
      <c r="D77" s="421">
        <f t="shared" si="36"/>
        <v>184737</v>
      </c>
      <c r="E77" s="421">
        <f t="shared" si="36"/>
        <v>2278</v>
      </c>
      <c r="F77" s="422">
        <f t="shared" si="36"/>
        <v>1539</v>
      </c>
      <c r="G77" s="423">
        <f t="shared" si="36"/>
        <v>1194</v>
      </c>
      <c r="H77" s="423">
        <f t="shared" si="36"/>
        <v>0</v>
      </c>
      <c r="I77" s="423">
        <f t="shared" si="36"/>
        <v>345</v>
      </c>
      <c r="J77" s="424">
        <f t="shared" si="36"/>
        <v>0</v>
      </c>
      <c r="K77" s="422">
        <f t="shared" si="36"/>
        <v>739</v>
      </c>
      <c r="L77" s="423">
        <f t="shared" si="36"/>
        <v>442</v>
      </c>
      <c r="M77" s="423">
        <f t="shared" si="36"/>
        <v>0</v>
      </c>
      <c r="N77" s="423">
        <f t="shared" si="36"/>
        <v>284</v>
      </c>
      <c r="O77" s="425">
        <f t="shared" si="36"/>
        <v>13</v>
      </c>
      <c r="P77" s="526">
        <f t="shared" si="18"/>
        <v>269</v>
      </c>
      <c r="Q77" s="423">
        <f t="shared" si="36"/>
        <v>2</v>
      </c>
      <c r="R77" s="422">
        <f t="shared" si="36"/>
        <v>0</v>
      </c>
      <c r="S77" s="423">
        <f t="shared" si="36"/>
        <v>0</v>
      </c>
      <c r="T77" s="423">
        <f t="shared" si="36"/>
        <v>0</v>
      </c>
      <c r="U77" s="423">
        <f t="shared" si="35"/>
        <v>0</v>
      </c>
      <c r="V77" s="424">
        <f t="shared" si="35"/>
        <v>0</v>
      </c>
      <c r="W77" s="422">
        <f t="shared" si="35"/>
        <v>2</v>
      </c>
      <c r="X77" s="423">
        <f t="shared" si="35"/>
        <v>0</v>
      </c>
      <c r="Y77" s="423">
        <f t="shared" si="35"/>
        <v>0</v>
      </c>
      <c r="Z77" s="423">
        <f t="shared" si="35"/>
        <v>2</v>
      </c>
      <c r="AA77" s="425">
        <f t="shared" si="35"/>
        <v>0</v>
      </c>
      <c r="AB77" s="424">
        <f t="shared" si="35"/>
        <v>26</v>
      </c>
      <c r="AC77" s="423">
        <f t="shared" si="35"/>
        <v>0</v>
      </c>
      <c r="AD77" s="422">
        <f t="shared" si="35"/>
        <v>0</v>
      </c>
      <c r="AE77" s="423">
        <f t="shared" si="35"/>
        <v>0</v>
      </c>
      <c r="AF77" s="423">
        <f t="shared" si="35"/>
        <v>0</v>
      </c>
      <c r="AG77" s="423">
        <f t="shared" si="37"/>
        <v>0</v>
      </c>
      <c r="AH77" s="424">
        <f t="shared" si="37"/>
        <v>0</v>
      </c>
      <c r="AI77" s="422">
        <f t="shared" si="37"/>
        <v>0</v>
      </c>
      <c r="AJ77" s="423">
        <f t="shared" si="37"/>
        <v>0</v>
      </c>
      <c r="AK77" s="423">
        <f t="shared" si="37"/>
        <v>0</v>
      </c>
      <c r="AL77" s="423">
        <f t="shared" si="37"/>
        <v>0</v>
      </c>
      <c r="AM77" s="425">
        <f t="shared" si="37"/>
        <v>0</v>
      </c>
      <c r="AO77" s="421">
        <f t="shared" si="21"/>
        <v>2</v>
      </c>
      <c r="AP77" s="422">
        <f t="shared" si="22"/>
        <v>0</v>
      </c>
      <c r="AQ77" s="423">
        <f t="shared" si="23"/>
        <v>0</v>
      </c>
      <c r="AR77" s="423">
        <f t="shared" si="24"/>
        <v>0</v>
      </c>
      <c r="AS77" s="423">
        <f t="shared" si="25"/>
        <v>0</v>
      </c>
      <c r="AT77" s="424">
        <f t="shared" si="26"/>
        <v>0</v>
      </c>
      <c r="AU77" s="422">
        <f t="shared" si="27"/>
        <v>2</v>
      </c>
      <c r="AV77" s="423">
        <f t="shared" si="28"/>
        <v>0</v>
      </c>
      <c r="AW77" s="423">
        <f t="shared" si="29"/>
        <v>0</v>
      </c>
      <c r="AX77" s="423">
        <f t="shared" si="30"/>
        <v>2</v>
      </c>
      <c r="AY77" s="425">
        <f t="shared" si="31"/>
        <v>0</v>
      </c>
    </row>
    <row r="78" spans="1:51" ht="13.9">
      <c r="A78" s="435" t="s">
        <v>252</v>
      </c>
      <c r="B78" s="436">
        <v>43770</v>
      </c>
      <c r="C78" s="437">
        <v>2019</v>
      </c>
      <c r="D78" s="421">
        <f t="shared" si="36"/>
        <v>184737</v>
      </c>
      <c r="E78" s="421">
        <f t="shared" si="36"/>
        <v>2278</v>
      </c>
      <c r="F78" s="422">
        <f t="shared" si="36"/>
        <v>1539</v>
      </c>
      <c r="G78" s="423">
        <f t="shared" si="36"/>
        <v>1194</v>
      </c>
      <c r="H78" s="423">
        <f t="shared" si="36"/>
        <v>0</v>
      </c>
      <c r="I78" s="423">
        <f t="shared" si="36"/>
        <v>345</v>
      </c>
      <c r="J78" s="424">
        <f t="shared" si="36"/>
        <v>0</v>
      </c>
      <c r="K78" s="422">
        <f t="shared" si="36"/>
        <v>739</v>
      </c>
      <c r="L78" s="423">
        <f t="shared" si="36"/>
        <v>442</v>
      </c>
      <c r="M78" s="423">
        <f t="shared" si="36"/>
        <v>0</v>
      </c>
      <c r="N78" s="423">
        <f t="shared" si="36"/>
        <v>284</v>
      </c>
      <c r="O78" s="425">
        <f t="shared" si="36"/>
        <v>13</v>
      </c>
      <c r="P78" s="526">
        <f t="shared" si="18"/>
        <v>269</v>
      </c>
      <c r="Q78" s="423">
        <f t="shared" si="36"/>
        <v>2</v>
      </c>
      <c r="R78" s="422">
        <f t="shared" si="36"/>
        <v>0</v>
      </c>
      <c r="S78" s="423">
        <f t="shared" si="36"/>
        <v>0</v>
      </c>
      <c r="T78" s="423">
        <f t="shared" si="36"/>
        <v>0</v>
      </c>
      <c r="U78" s="423">
        <f t="shared" si="35"/>
        <v>0</v>
      </c>
      <c r="V78" s="424">
        <f t="shared" si="35"/>
        <v>0</v>
      </c>
      <c r="W78" s="422">
        <f t="shared" si="35"/>
        <v>2</v>
      </c>
      <c r="X78" s="423">
        <f t="shared" si="35"/>
        <v>0</v>
      </c>
      <c r="Y78" s="423">
        <f t="shared" si="35"/>
        <v>0</v>
      </c>
      <c r="Z78" s="423">
        <f t="shared" si="35"/>
        <v>2</v>
      </c>
      <c r="AA78" s="425">
        <f t="shared" si="35"/>
        <v>0</v>
      </c>
      <c r="AB78" s="424">
        <f t="shared" si="35"/>
        <v>26</v>
      </c>
      <c r="AC78" s="423">
        <f t="shared" si="35"/>
        <v>0</v>
      </c>
      <c r="AD78" s="422">
        <f t="shared" si="35"/>
        <v>0</v>
      </c>
      <c r="AE78" s="423">
        <f t="shared" si="35"/>
        <v>0</v>
      </c>
      <c r="AF78" s="423">
        <f t="shared" si="35"/>
        <v>0</v>
      </c>
      <c r="AG78" s="423">
        <f t="shared" si="37"/>
        <v>0</v>
      </c>
      <c r="AH78" s="424">
        <f t="shared" si="37"/>
        <v>0</v>
      </c>
      <c r="AI78" s="422">
        <f t="shared" si="37"/>
        <v>0</v>
      </c>
      <c r="AJ78" s="423">
        <f t="shared" si="37"/>
        <v>0</v>
      </c>
      <c r="AK78" s="423">
        <f t="shared" si="37"/>
        <v>0</v>
      </c>
      <c r="AL78" s="423">
        <f t="shared" si="37"/>
        <v>0</v>
      </c>
      <c r="AM78" s="425">
        <f t="shared" si="37"/>
        <v>0</v>
      </c>
      <c r="AO78" s="421">
        <f t="shared" si="21"/>
        <v>2</v>
      </c>
      <c r="AP78" s="422">
        <f t="shared" si="22"/>
        <v>0</v>
      </c>
      <c r="AQ78" s="423">
        <f t="shared" si="23"/>
        <v>0</v>
      </c>
      <c r="AR78" s="423">
        <f t="shared" si="24"/>
        <v>0</v>
      </c>
      <c r="AS78" s="423">
        <f t="shared" si="25"/>
        <v>0</v>
      </c>
      <c r="AT78" s="424">
        <f t="shared" si="26"/>
        <v>0</v>
      </c>
      <c r="AU78" s="422">
        <f t="shared" si="27"/>
        <v>2</v>
      </c>
      <c r="AV78" s="423">
        <f t="shared" si="28"/>
        <v>0</v>
      </c>
      <c r="AW78" s="423">
        <f t="shared" si="29"/>
        <v>0</v>
      </c>
      <c r="AX78" s="423">
        <f t="shared" si="30"/>
        <v>2</v>
      </c>
      <c r="AY78" s="425">
        <f t="shared" si="31"/>
        <v>0</v>
      </c>
    </row>
    <row r="79" spans="1:51" ht="13.9">
      <c r="A79" s="435" t="s">
        <v>252</v>
      </c>
      <c r="B79" s="436">
        <v>43800</v>
      </c>
      <c r="C79" s="437">
        <v>2019</v>
      </c>
      <c r="D79" s="421">
        <f t="shared" si="36"/>
        <v>184737</v>
      </c>
      <c r="E79" s="421">
        <f t="shared" si="36"/>
        <v>2278</v>
      </c>
      <c r="F79" s="422">
        <f t="shared" si="36"/>
        <v>1539</v>
      </c>
      <c r="G79" s="423">
        <f t="shared" si="36"/>
        <v>1194</v>
      </c>
      <c r="H79" s="423">
        <f t="shared" si="36"/>
        <v>0</v>
      </c>
      <c r="I79" s="423">
        <f t="shared" si="36"/>
        <v>345</v>
      </c>
      <c r="J79" s="424">
        <f t="shared" si="36"/>
        <v>0</v>
      </c>
      <c r="K79" s="422">
        <f t="shared" si="36"/>
        <v>739</v>
      </c>
      <c r="L79" s="423">
        <f t="shared" si="36"/>
        <v>442</v>
      </c>
      <c r="M79" s="423">
        <f t="shared" si="36"/>
        <v>0</v>
      </c>
      <c r="N79" s="423">
        <f t="shared" si="36"/>
        <v>284</v>
      </c>
      <c r="O79" s="425">
        <f t="shared" si="36"/>
        <v>13</v>
      </c>
      <c r="P79" s="526">
        <f t="shared" si="18"/>
        <v>269</v>
      </c>
      <c r="Q79" s="423">
        <f t="shared" si="36"/>
        <v>2</v>
      </c>
      <c r="R79" s="422">
        <f t="shared" si="36"/>
        <v>0</v>
      </c>
      <c r="S79" s="423">
        <f t="shared" si="36"/>
        <v>0</v>
      </c>
      <c r="T79" s="423">
        <f t="shared" si="36"/>
        <v>0</v>
      </c>
      <c r="U79" s="423">
        <f t="shared" si="35"/>
        <v>0</v>
      </c>
      <c r="V79" s="424">
        <f t="shared" si="35"/>
        <v>0</v>
      </c>
      <c r="W79" s="422">
        <f t="shared" si="35"/>
        <v>2</v>
      </c>
      <c r="X79" s="423">
        <f t="shared" si="35"/>
        <v>0</v>
      </c>
      <c r="Y79" s="423">
        <f t="shared" si="35"/>
        <v>0</v>
      </c>
      <c r="Z79" s="423">
        <f t="shared" si="35"/>
        <v>2</v>
      </c>
      <c r="AA79" s="425">
        <f t="shared" si="35"/>
        <v>0</v>
      </c>
      <c r="AB79" s="424">
        <f t="shared" si="35"/>
        <v>26</v>
      </c>
      <c r="AC79" s="423">
        <f t="shared" si="35"/>
        <v>0</v>
      </c>
      <c r="AD79" s="422">
        <f t="shared" si="35"/>
        <v>0</v>
      </c>
      <c r="AE79" s="423">
        <f t="shared" si="35"/>
        <v>0</v>
      </c>
      <c r="AF79" s="423">
        <f t="shared" si="35"/>
        <v>0</v>
      </c>
      <c r="AG79" s="423">
        <f t="shared" si="37"/>
        <v>0</v>
      </c>
      <c r="AH79" s="424">
        <f t="shared" si="37"/>
        <v>0</v>
      </c>
      <c r="AI79" s="422">
        <f t="shared" si="37"/>
        <v>0</v>
      </c>
      <c r="AJ79" s="423">
        <f t="shared" si="37"/>
        <v>0</v>
      </c>
      <c r="AK79" s="423">
        <f t="shared" si="37"/>
        <v>0</v>
      </c>
      <c r="AL79" s="423">
        <f t="shared" si="37"/>
        <v>0</v>
      </c>
      <c r="AM79" s="425">
        <f t="shared" si="37"/>
        <v>0</v>
      </c>
      <c r="AO79" s="421">
        <f t="shared" si="21"/>
        <v>2</v>
      </c>
      <c r="AP79" s="422">
        <f t="shared" si="22"/>
        <v>0</v>
      </c>
      <c r="AQ79" s="423">
        <f t="shared" si="23"/>
        <v>0</v>
      </c>
      <c r="AR79" s="423">
        <f t="shared" si="24"/>
        <v>0</v>
      </c>
      <c r="AS79" s="423">
        <f t="shared" si="25"/>
        <v>0</v>
      </c>
      <c r="AT79" s="424">
        <f t="shared" si="26"/>
        <v>0</v>
      </c>
      <c r="AU79" s="422">
        <f t="shared" si="27"/>
        <v>2</v>
      </c>
      <c r="AV79" s="423">
        <f t="shared" si="28"/>
        <v>0</v>
      </c>
      <c r="AW79" s="423">
        <f t="shared" si="29"/>
        <v>0</v>
      </c>
      <c r="AX79" s="423">
        <f t="shared" si="30"/>
        <v>2</v>
      </c>
      <c r="AY79" s="425">
        <f t="shared" si="31"/>
        <v>0</v>
      </c>
    </row>
    <row r="80" spans="1:51" ht="13.9">
      <c r="A80" s="435" t="s">
        <v>253</v>
      </c>
      <c r="B80" s="436">
        <v>43831</v>
      </c>
      <c r="C80" s="437">
        <v>2020</v>
      </c>
      <c r="D80" s="421">
        <f t="shared" si="36"/>
        <v>139080</v>
      </c>
      <c r="E80" s="421">
        <f t="shared" si="36"/>
        <v>1712</v>
      </c>
      <c r="F80" s="422">
        <f t="shared" si="36"/>
        <v>1184</v>
      </c>
      <c r="G80" s="423">
        <f t="shared" si="36"/>
        <v>740</v>
      </c>
      <c r="H80" s="423">
        <f t="shared" si="36"/>
        <v>0</v>
      </c>
      <c r="I80" s="423">
        <f t="shared" si="36"/>
        <v>444</v>
      </c>
      <c r="J80" s="424">
        <f t="shared" si="36"/>
        <v>0</v>
      </c>
      <c r="K80" s="422">
        <f t="shared" si="36"/>
        <v>528</v>
      </c>
      <c r="L80" s="423">
        <f t="shared" si="36"/>
        <v>253</v>
      </c>
      <c r="M80" s="423">
        <f t="shared" si="36"/>
        <v>0</v>
      </c>
      <c r="N80" s="423">
        <f t="shared" si="36"/>
        <v>234</v>
      </c>
      <c r="O80" s="425">
        <f t="shared" si="36"/>
        <v>41</v>
      </c>
      <c r="P80" s="526">
        <f t="shared" si="18"/>
        <v>251</v>
      </c>
      <c r="Q80" s="423">
        <f t="shared" si="36"/>
        <v>4</v>
      </c>
      <c r="R80" s="422">
        <f t="shared" si="36"/>
        <v>0</v>
      </c>
      <c r="S80" s="423">
        <f t="shared" si="36"/>
        <v>0</v>
      </c>
      <c r="T80" s="423">
        <f t="shared" si="36"/>
        <v>0</v>
      </c>
      <c r="U80" s="423">
        <f t="shared" si="35"/>
        <v>0</v>
      </c>
      <c r="V80" s="424">
        <f t="shared" si="35"/>
        <v>0</v>
      </c>
      <c r="W80" s="422">
        <f t="shared" si="35"/>
        <v>4</v>
      </c>
      <c r="X80" s="423">
        <f t="shared" si="35"/>
        <v>2</v>
      </c>
      <c r="Y80" s="423">
        <f t="shared" si="35"/>
        <v>0</v>
      </c>
      <c r="Z80" s="423">
        <f t="shared" si="35"/>
        <v>1</v>
      </c>
      <c r="AA80" s="425">
        <f t="shared" si="35"/>
        <v>1</v>
      </c>
      <c r="AB80" s="424">
        <f t="shared" si="35"/>
        <v>16</v>
      </c>
      <c r="AC80" s="423">
        <f t="shared" si="35"/>
        <v>0</v>
      </c>
      <c r="AD80" s="422">
        <f t="shared" si="35"/>
        <v>0</v>
      </c>
      <c r="AE80" s="423">
        <f t="shared" si="35"/>
        <v>0</v>
      </c>
      <c r="AF80" s="423">
        <f t="shared" si="35"/>
        <v>0</v>
      </c>
      <c r="AG80" s="423">
        <f t="shared" si="37"/>
        <v>0</v>
      </c>
      <c r="AH80" s="424">
        <f t="shared" si="37"/>
        <v>0</v>
      </c>
      <c r="AI80" s="422">
        <f t="shared" si="37"/>
        <v>0</v>
      </c>
      <c r="AJ80" s="423">
        <f t="shared" si="37"/>
        <v>0</v>
      </c>
      <c r="AK80" s="423">
        <f t="shared" si="37"/>
        <v>0</v>
      </c>
      <c r="AL80" s="423">
        <f t="shared" si="37"/>
        <v>0</v>
      </c>
      <c r="AM80" s="425">
        <f t="shared" si="37"/>
        <v>0</v>
      </c>
      <c r="AO80" s="421">
        <f t="shared" si="21"/>
        <v>4</v>
      </c>
      <c r="AP80" s="422">
        <f t="shared" si="22"/>
        <v>0</v>
      </c>
      <c r="AQ80" s="423">
        <f t="shared" si="23"/>
        <v>0</v>
      </c>
      <c r="AR80" s="423">
        <f t="shared" si="24"/>
        <v>0</v>
      </c>
      <c r="AS80" s="423">
        <f t="shared" si="25"/>
        <v>0</v>
      </c>
      <c r="AT80" s="424">
        <f t="shared" si="26"/>
        <v>0</v>
      </c>
      <c r="AU80" s="422">
        <f t="shared" si="27"/>
        <v>4</v>
      </c>
      <c r="AV80" s="423">
        <f t="shared" si="28"/>
        <v>2</v>
      </c>
      <c r="AW80" s="423">
        <f t="shared" si="29"/>
        <v>0</v>
      </c>
      <c r="AX80" s="423">
        <f t="shared" si="30"/>
        <v>1</v>
      </c>
      <c r="AY80" s="425">
        <f t="shared" si="31"/>
        <v>1</v>
      </c>
    </row>
    <row r="81" spans="1:51" ht="13.9">
      <c r="A81" s="435" t="s">
        <v>253</v>
      </c>
      <c r="B81" s="436">
        <v>43862</v>
      </c>
      <c r="C81" s="437">
        <v>2020</v>
      </c>
      <c r="D81" s="421">
        <f t="shared" si="36"/>
        <v>139080</v>
      </c>
      <c r="E81" s="421">
        <f t="shared" si="36"/>
        <v>1712</v>
      </c>
      <c r="F81" s="422">
        <f t="shared" si="36"/>
        <v>1184</v>
      </c>
      <c r="G81" s="423">
        <f t="shared" si="36"/>
        <v>740</v>
      </c>
      <c r="H81" s="423">
        <f t="shared" si="36"/>
        <v>0</v>
      </c>
      <c r="I81" s="423">
        <f t="shared" si="36"/>
        <v>444</v>
      </c>
      <c r="J81" s="424">
        <f t="shared" si="36"/>
        <v>0</v>
      </c>
      <c r="K81" s="422">
        <f t="shared" si="36"/>
        <v>528</v>
      </c>
      <c r="L81" s="423">
        <f t="shared" si="36"/>
        <v>253</v>
      </c>
      <c r="M81" s="423">
        <f t="shared" si="36"/>
        <v>0</v>
      </c>
      <c r="N81" s="423">
        <f t="shared" si="36"/>
        <v>234</v>
      </c>
      <c r="O81" s="425">
        <f t="shared" si="36"/>
        <v>41</v>
      </c>
      <c r="P81" s="526">
        <f t="shared" si="18"/>
        <v>251</v>
      </c>
      <c r="Q81" s="423">
        <f t="shared" si="36"/>
        <v>4</v>
      </c>
      <c r="R81" s="422">
        <f t="shared" si="36"/>
        <v>0</v>
      </c>
      <c r="S81" s="423">
        <f t="shared" si="36"/>
        <v>0</v>
      </c>
      <c r="T81" s="423">
        <f t="shared" si="36"/>
        <v>0</v>
      </c>
      <c r="U81" s="423">
        <f t="shared" si="35"/>
        <v>0</v>
      </c>
      <c r="V81" s="424">
        <f t="shared" si="35"/>
        <v>0</v>
      </c>
      <c r="W81" s="422">
        <f t="shared" si="35"/>
        <v>4</v>
      </c>
      <c r="X81" s="423">
        <f t="shared" si="35"/>
        <v>2</v>
      </c>
      <c r="Y81" s="423">
        <f t="shared" si="35"/>
        <v>0</v>
      </c>
      <c r="Z81" s="423">
        <f t="shared" si="35"/>
        <v>1</v>
      </c>
      <c r="AA81" s="425">
        <f t="shared" si="35"/>
        <v>1</v>
      </c>
      <c r="AB81" s="424">
        <f t="shared" si="35"/>
        <v>16</v>
      </c>
      <c r="AC81" s="423">
        <f t="shared" si="35"/>
        <v>0</v>
      </c>
      <c r="AD81" s="422">
        <f t="shared" si="35"/>
        <v>0</v>
      </c>
      <c r="AE81" s="423">
        <f t="shared" si="35"/>
        <v>0</v>
      </c>
      <c r="AF81" s="423">
        <f t="shared" si="35"/>
        <v>0</v>
      </c>
      <c r="AG81" s="423">
        <f t="shared" si="37"/>
        <v>0</v>
      </c>
      <c r="AH81" s="424">
        <f t="shared" si="37"/>
        <v>0</v>
      </c>
      <c r="AI81" s="422">
        <f t="shared" si="37"/>
        <v>0</v>
      </c>
      <c r="AJ81" s="423">
        <f t="shared" si="37"/>
        <v>0</v>
      </c>
      <c r="AK81" s="423">
        <f t="shared" si="37"/>
        <v>0</v>
      </c>
      <c r="AL81" s="423">
        <f t="shared" si="37"/>
        <v>0</v>
      </c>
      <c r="AM81" s="425">
        <f t="shared" si="37"/>
        <v>0</v>
      </c>
      <c r="AO81" s="421">
        <f t="shared" si="21"/>
        <v>4</v>
      </c>
      <c r="AP81" s="422">
        <f t="shared" si="22"/>
        <v>0</v>
      </c>
      <c r="AQ81" s="423">
        <f t="shared" si="23"/>
        <v>0</v>
      </c>
      <c r="AR81" s="423">
        <f t="shared" si="24"/>
        <v>0</v>
      </c>
      <c r="AS81" s="423">
        <f t="shared" si="25"/>
        <v>0</v>
      </c>
      <c r="AT81" s="424">
        <f t="shared" si="26"/>
        <v>0</v>
      </c>
      <c r="AU81" s="422">
        <f t="shared" si="27"/>
        <v>4</v>
      </c>
      <c r="AV81" s="423">
        <f t="shared" si="28"/>
        <v>2</v>
      </c>
      <c r="AW81" s="423">
        <f t="shared" si="29"/>
        <v>0</v>
      </c>
      <c r="AX81" s="423">
        <f t="shared" si="30"/>
        <v>1</v>
      </c>
      <c r="AY81" s="425">
        <f t="shared" si="31"/>
        <v>1</v>
      </c>
    </row>
    <row r="82" spans="1:51" ht="13.9">
      <c r="A82" s="435" t="s">
        <v>253</v>
      </c>
      <c r="B82" s="436">
        <v>43891</v>
      </c>
      <c r="C82" s="437">
        <v>2020</v>
      </c>
      <c r="D82" s="421">
        <f t="shared" si="36"/>
        <v>139080</v>
      </c>
      <c r="E82" s="421">
        <f t="shared" si="36"/>
        <v>1712</v>
      </c>
      <c r="F82" s="422">
        <f t="shared" si="36"/>
        <v>1184</v>
      </c>
      <c r="G82" s="423">
        <f t="shared" si="36"/>
        <v>740</v>
      </c>
      <c r="H82" s="423">
        <f t="shared" si="36"/>
        <v>0</v>
      </c>
      <c r="I82" s="423">
        <f t="shared" si="36"/>
        <v>444</v>
      </c>
      <c r="J82" s="424">
        <f t="shared" si="36"/>
        <v>0</v>
      </c>
      <c r="K82" s="422">
        <f t="shared" si="36"/>
        <v>528</v>
      </c>
      <c r="L82" s="423">
        <f t="shared" si="36"/>
        <v>253</v>
      </c>
      <c r="M82" s="423">
        <f t="shared" si="36"/>
        <v>0</v>
      </c>
      <c r="N82" s="423">
        <f t="shared" si="36"/>
        <v>234</v>
      </c>
      <c r="O82" s="425">
        <f t="shared" si="36"/>
        <v>41</v>
      </c>
      <c r="P82" s="526">
        <f t="shared" si="18"/>
        <v>251</v>
      </c>
      <c r="Q82" s="423">
        <f t="shared" si="36"/>
        <v>4</v>
      </c>
      <c r="R82" s="422">
        <f t="shared" si="36"/>
        <v>0</v>
      </c>
      <c r="S82" s="423">
        <f t="shared" si="36"/>
        <v>0</v>
      </c>
      <c r="T82" s="423">
        <f t="shared" si="36"/>
        <v>0</v>
      </c>
      <c r="U82" s="423">
        <f t="shared" si="35"/>
        <v>0</v>
      </c>
      <c r="V82" s="424">
        <f t="shared" si="35"/>
        <v>0</v>
      </c>
      <c r="W82" s="422">
        <f t="shared" si="35"/>
        <v>4</v>
      </c>
      <c r="X82" s="423">
        <f t="shared" si="35"/>
        <v>2</v>
      </c>
      <c r="Y82" s="423">
        <f t="shared" si="35"/>
        <v>0</v>
      </c>
      <c r="Z82" s="423">
        <f t="shared" si="35"/>
        <v>1</v>
      </c>
      <c r="AA82" s="425">
        <f t="shared" si="35"/>
        <v>1</v>
      </c>
      <c r="AB82" s="424">
        <f t="shared" si="35"/>
        <v>16</v>
      </c>
      <c r="AC82" s="423">
        <f t="shared" si="35"/>
        <v>0</v>
      </c>
      <c r="AD82" s="422">
        <f t="shared" si="35"/>
        <v>0</v>
      </c>
      <c r="AE82" s="423">
        <f t="shared" si="35"/>
        <v>0</v>
      </c>
      <c r="AF82" s="423">
        <f t="shared" si="35"/>
        <v>0</v>
      </c>
      <c r="AG82" s="423">
        <f t="shared" si="37"/>
        <v>0</v>
      </c>
      <c r="AH82" s="424">
        <f t="shared" si="37"/>
        <v>0</v>
      </c>
      <c r="AI82" s="422">
        <f t="shared" si="37"/>
        <v>0</v>
      </c>
      <c r="AJ82" s="423">
        <f t="shared" si="37"/>
        <v>0</v>
      </c>
      <c r="AK82" s="423">
        <f t="shared" si="37"/>
        <v>0</v>
      </c>
      <c r="AL82" s="423">
        <f t="shared" si="37"/>
        <v>0</v>
      </c>
      <c r="AM82" s="425">
        <f t="shared" si="37"/>
        <v>0</v>
      </c>
      <c r="AO82" s="421">
        <f t="shared" si="21"/>
        <v>4</v>
      </c>
      <c r="AP82" s="422">
        <f t="shared" si="22"/>
        <v>0</v>
      </c>
      <c r="AQ82" s="423">
        <f t="shared" si="23"/>
        <v>0</v>
      </c>
      <c r="AR82" s="423">
        <f t="shared" si="24"/>
        <v>0</v>
      </c>
      <c r="AS82" s="423">
        <f t="shared" si="25"/>
        <v>0</v>
      </c>
      <c r="AT82" s="424">
        <f t="shared" si="26"/>
        <v>0</v>
      </c>
      <c r="AU82" s="422">
        <f t="shared" si="27"/>
        <v>4</v>
      </c>
      <c r="AV82" s="423">
        <f t="shared" si="28"/>
        <v>2</v>
      </c>
      <c r="AW82" s="423">
        <f t="shared" si="29"/>
        <v>0</v>
      </c>
      <c r="AX82" s="423">
        <f t="shared" si="30"/>
        <v>1</v>
      </c>
      <c r="AY82" s="425">
        <f t="shared" si="31"/>
        <v>1</v>
      </c>
    </row>
    <row r="83" spans="1:51" ht="13.9">
      <c r="A83" s="435" t="s">
        <v>254</v>
      </c>
      <c r="B83" s="436">
        <v>43922</v>
      </c>
      <c r="C83" s="437">
        <v>2020</v>
      </c>
      <c r="D83" s="421">
        <f t="shared" si="36"/>
        <v>109197</v>
      </c>
      <c r="E83" s="421">
        <f t="shared" si="36"/>
        <v>1761</v>
      </c>
      <c r="F83" s="422">
        <f t="shared" si="36"/>
        <v>1337</v>
      </c>
      <c r="G83" s="423">
        <f t="shared" si="36"/>
        <v>1122</v>
      </c>
      <c r="H83" s="423">
        <f t="shared" si="36"/>
        <v>0</v>
      </c>
      <c r="I83" s="423">
        <f t="shared" si="36"/>
        <v>215</v>
      </c>
      <c r="J83" s="424">
        <f t="shared" si="36"/>
        <v>0</v>
      </c>
      <c r="K83" s="422">
        <f t="shared" si="36"/>
        <v>424</v>
      </c>
      <c r="L83" s="423">
        <f t="shared" si="36"/>
        <v>210</v>
      </c>
      <c r="M83" s="423">
        <f t="shared" si="36"/>
        <v>0</v>
      </c>
      <c r="N83" s="423">
        <f t="shared" si="36"/>
        <v>192</v>
      </c>
      <c r="O83" s="425">
        <f t="shared" si="36"/>
        <v>22</v>
      </c>
      <c r="P83" s="526">
        <f t="shared" si="18"/>
        <v>211</v>
      </c>
      <c r="Q83" s="423">
        <f t="shared" si="36"/>
        <v>1</v>
      </c>
      <c r="R83" s="422">
        <f t="shared" si="36"/>
        <v>1</v>
      </c>
      <c r="S83" s="423">
        <f t="shared" si="36"/>
        <v>0</v>
      </c>
      <c r="T83" s="423">
        <f t="shared" si="36"/>
        <v>0</v>
      </c>
      <c r="U83" s="423">
        <f t="shared" si="35"/>
        <v>1</v>
      </c>
      <c r="V83" s="424">
        <f t="shared" si="35"/>
        <v>0</v>
      </c>
      <c r="W83" s="422">
        <f t="shared" si="35"/>
        <v>0</v>
      </c>
      <c r="X83" s="423">
        <f t="shared" si="35"/>
        <v>0</v>
      </c>
      <c r="Y83" s="423">
        <f t="shared" si="35"/>
        <v>0</v>
      </c>
      <c r="Z83" s="423">
        <f t="shared" si="35"/>
        <v>0</v>
      </c>
      <c r="AA83" s="425">
        <f t="shared" si="35"/>
        <v>0</v>
      </c>
      <c r="AB83" s="424">
        <f t="shared" si="35"/>
        <v>19</v>
      </c>
      <c r="AC83" s="423">
        <f t="shared" si="35"/>
        <v>0</v>
      </c>
      <c r="AD83" s="422">
        <f t="shared" si="35"/>
        <v>0</v>
      </c>
      <c r="AE83" s="423">
        <f t="shared" si="35"/>
        <v>0</v>
      </c>
      <c r="AF83" s="423">
        <f t="shared" si="35"/>
        <v>0</v>
      </c>
      <c r="AG83" s="423">
        <f t="shared" si="37"/>
        <v>0</v>
      </c>
      <c r="AH83" s="424">
        <f t="shared" si="37"/>
        <v>0</v>
      </c>
      <c r="AI83" s="422">
        <f t="shared" si="37"/>
        <v>0</v>
      </c>
      <c r="AJ83" s="423">
        <f t="shared" si="37"/>
        <v>0</v>
      </c>
      <c r="AK83" s="423">
        <f t="shared" si="37"/>
        <v>0</v>
      </c>
      <c r="AL83" s="423">
        <f t="shared" si="37"/>
        <v>0</v>
      </c>
      <c r="AM83" s="425">
        <f t="shared" si="37"/>
        <v>0</v>
      </c>
      <c r="AO83" s="421">
        <f t="shared" si="21"/>
        <v>1</v>
      </c>
      <c r="AP83" s="422">
        <f t="shared" si="22"/>
        <v>1</v>
      </c>
      <c r="AQ83" s="423">
        <f t="shared" si="23"/>
        <v>0</v>
      </c>
      <c r="AR83" s="423">
        <f t="shared" si="24"/>
        <v>0</v>
      </c>
      <c r="AS83" s="423">
        <f t="shared" si="25"/>
        <v>1</v>
      </c>
      <c r="AT83" s="424">
        <f t="shared" si="26"/>
        <v>0</v>
      </c>
      <c r="AU83" s="422">
        <f t="shared" si="27"/>
        <v>0</v>
      </c>
      <c r="AV83" s="423">
        <f t="shared" si="28"/>
        <v>0</v>
      </c>
      <c r="AW83" s="423">
        <f t="shared" si="29"/>
        <v>0</v>
      </c>
      <c r="AX83" s="423">
        <f t="shared" si="30"/>
        <v>0</v>
      </c>
      <c r="AY83" s="425">
        <f t="shared" si="31"/>
        <v>0</v>
      </c>
    </row>
    <row r="84" spans="1:51" ht="13.9">
      <c r="A84" s="435" t="s">
        <v>254</v>
      </c>
      <c r="B84" s="436">
        <v>43952</v>
      </c>
      <c r="C84" s="437">
        <v>2020</v>
      </c>
      <c r="D84" s="421">
        <f t="shared" si="36"/>
        <v>109197</v>
      </c>
      <c r="E84" s="421">
        <f t="shared" si="36"/>
        <v>1761</v>
      </c>
      <c r="F84" s="422">
        <f t="shared" si="36"/>
        <v>1337</v>
      </c>
      <c r="G84" s="423">
        <f t="shared" si="36"/>
        <v>1122</v>
      </c>
      <c r="H84" s="423">
        <f t="shared" si="36"/>
        <v>0</v>
      </c>
      <c r="I84" s="423">
        <f t="shared" si="36"/>
        <v>215</v>
      </c>
      <c r="J84" s="424">
        <f t="shared" si="36"/>
        <v>0</v>
      </c>
      <c r="K84" s="422">
        <f t="shared" si="36"/>
        <v>424</v>
      </c>
      <c r="L84" s="423">
        <f t="shared" si="36"/>
        <v>210</v>
      </c>
      <c r="M84" s="423">
        <f t="shared" si="36"/>
        <v>0</v>
      </c>
      <c r="N84" s="423">
        <f t="shared" si="36"/>
        <v>192</v>
      </c>
      <c r="O84" s="425">
        <f t="shared" si="36"/>
        <v>22</v>
      </c>
      <c r="P84" s="526">
        <f t="shared" si="18"/>
        <v>211</v>
      </c>
      <c r="Q84" s="423">
        <f t="shared" si="36"/>
        <v>1</v>
      </c>
      <c r="R84" s="422">
        <f t="shared" si="36"/>
        <v>1</v>
      </c>
      <c r="S84" s="423">
        <f t="shared" si="36"/>
        <v>0</v>
      </c>
      <c r="T84" s="423">
        <f t="shared" si="36"/>
        <v>0</v>
      </c>
      <c r="U84" s="423">
        <f t="shared" si="35"/>
        <v>1</v>
      </c>
      <c r="V84" s="424">
        <f t="shared" si="35"/>
        <v>0</v>
      </c>
      <c r="W84" s="422">
        <f t="shared" si="35"/>
        <v>0</v>
      </c>
      <c r="X84" s="423">
        <f t="shared" si="35"/>
        <v>0</v>
      </c>
      <c r="Y84" s="423">
        <f t="shared" si="35"/>
        <v>0</v>
      </c>
      <c r="Z84" s="423">
        <f t="shared" si="35"/>
        <v>0</v>
      </c>
      <c r="AA84" s="425">
        <f t="shared" si="35"/>
        <v>0</v>
      </c>
      <c r="AB84" s="424">
        <f t="shared" si="35"/>
        <v>19</v>
      </c>
      <c r="AC84" s="423">
        <f t="shared" si="35"/>
        <v>0</v>
      </c>
      <c r="AD84" s="422">
        <f t="shared" si="35"/>
        <v>0</v>
      </c>
      <c r="AE84" s="423">
        <f t="shared" si="35"/>
        <v>0</v>
      </c>
      <c r="AF84" s="423">
        <f t="shared" si="35"/>
        <v>0</v>
      </c>
      <c r="AG84" s="423">
        <f t="shared" si="37"/>
        <v>0</v>
      </c>
      <c r="AH84" s="424">
        <f t="shared" si="37"/>
        <v>0</v>
      </c>
      <c r="AI84" s="422">
        <f t="shared" si="37"/>
        <v>0</v>
      </c>
      <c r="AJ84" s="423">
        <f t="shared" si="37"/>
        <v>0</v>
      </c>
      <c r="AK84" s="423">
        <f t="shared" si="37"/>
        <v>0</v>
      </c>
      <c r="AL84" s="423">
        <f t="shared" si="37"/>
        <v>0</v>
      </c>
      <c r="AM84" s="425">
        <f t="shared" si="37"/>
        <v>0</v>
      </c>
      <c r="AO84" s="421">
        <f t="shared" si="21"/>
        <v>1</v>
      </c>
      <c r="AP84" s="422">
        <f t="shared" si="22"/>
        <v>1</v>
      </c>
      <c r="AQ84" s="423">
        <f t="shared" si="23"/>
        <v>0</v>
      </c>
      <c r="AR84" s="423">
        <f t="shared" si="24"/>
        <v>0</v>
      </c>
      <c r="AS84" s="423">
        <f t="shared" si="25"/>
        <v>1</v>
      </c>
      <c r="AT84" s="424">
        <f t="shared" si="26"/>
        <v>0</v>
      </c>
      <c r="AU84" s="422">
        <f t="shared" si="27"/>
        <v>0</v>
      </c>
      <c r="AV84" s="423">
        <f t="shared" si="28"/>
        <v>0</v>
      </c>
      <c r="AW84" s="423">
        <f t="shared" si="29"/>
        <v>0</v>
      </c>
      <c r="AX84" s="423">
        <f t="shared" si="30"/>
        <v>0</v>
      </c>
      <c r="AY84" s="425">
        <f t="shared" si="31"/>
        <v>0</v>
      </c>
    </row>
    <row r="85" spans="1:51" ht="13.9">
      <c r="A85" s="435" t="s">
        <v>254</v>
      </c>
      <c r="B85" s="436">
        <v>43983</v>
      </c>
      <c r="C85" s="437">
        <v>2020</v>
      </c>
      <c r="D85" s="421">
        <f t="shared" si="36"/>
        <v>109197</v>
      </c>
      <c r="E85" s="421">
        <f t="shared" si="36"/>
        <v>1761</v>
      </c>
      <c r="F85" s="422">
        <f t="shared" si="36"/>
        <v>1337</v>
      </c>
      <c r="G85" s="423">
        <f t="shared" si="36"/>
        <v>1122</v>
      </c>
      <c r="H85" s="423">
        <f t="shared" si="36"/>
        <v>0</v>
      </c>
      <c r="I85" s="423">
        <f t="shared" si="36"/>
        <v>215</v>
      </c>
      <c r="J85" s="424">
        <f t="shared" si="36"/>
        <v>0</v>
      </c>
      <c r="K85" s="422">
        <f t="shared" si="36"/>
        <v>424</v>
      </c>
      <c r="L85" s="423">
        <f t="shared" si="36"/>
        <v>210</v>
      </c>
      <c r="M85" s="423">
        <f t="shared" si="36"/>
        <v>0</v>
      </c>
      <c r="N85" s="423">
        <f t="shared" si="36"/>
        <v>192</v>
      </c>
      <c r="O85" s="425">
        <f t="shared" si="36"/>
        <v>22</v>
      </c>
      <c r="P85" s="526">
        <f t="shared" si="18"/>
        <v>211</v>
      </c>
      <c r="Q85" s="423">
        <f t="shared" si="36"/>
        <v>1</v>
      </c>
      <c r="R85" s="422">
        <f t="shared" si="36"/>
        <v>1</v>
      </c>
      <c r="S85" s="423">
        <f t="shared" si="36"/>
        <v>0</v>
      </c>
      <c r="T85" s="423">
        <f t="shared" si="36"/>
        <v>0</v>
      </c>
      <c r="U85" s="423">
        <f t="shared" si="35"/>
        <v>1</v>
      </c>
      <c r="V85" s="424">
        <f t="shared" si="35"/>
        <v>0</v>
      </c>
      <c r="W85" s="422">
        <f t="shared" si="35"/>
        <v>0</v>
      </c>
      <c r="X85" s="423">
        <f t="shared" si="35"/>
        <v>0</v>
      </c>
      <c r="Y85" s="423">
        <f t="shared" si="35"/>
        <v>0</v>
      </c>
      <c r="Z85" s="423">
        <f t="shared" si="35"/>
        <v>0</v>
      </c>
      <c r="AA85" s="425">
        <f t="shared" si="35"/>
        <v>0</v>
      </c>
      <c r="AB85" s="424">
        <f t="shared" si="35"/>
        <v>19</v>
      </c>
      <c r="AC85" s="423">
        <f t="shared" si="35"/>
        <v>0</v>
      </c>
      <c r="AD85" s="422">
        <f t="shared" si="35"/>
        <v>0</v>
      </c>
      <c r="AE85" s="423">
        <f t="shared" si="35"/>
        <v>0</v>
      </c>
      <c r="AF85" s="423">
        <f t="shared" si="35"/>
        <v>0</v>
      </c>
      <c r="AG85" s="423">
        <f t="shared" si="37"/>
        <v>0</v>
      </c>
      <c r="AH85" s="424">
        <f t="shared" si="37"/>
        <v>0</v>
      </c>
      <c r="AI85" s="422">
        <f t="shared" si="37"/>
        <v>0</v>
      </c>
      <c r="AJ85" s="423">
        <f t="shared" si="37"/>
        <v>0</v>
      </c>
      <c r="AK85" s="423">
        <f t="shared" si="37"/>
        <v>0</v>
      </c>
      <c r="AL85" s="423">
        <f t="shared" si="37"/>
        <v>0</v>
      </c>
      <c r="AM85" s="425">
        <f t="shared" si="37"/>
        <v>0</v>
      </c>
      <c r="AO85" s="421">
        <f t="shared" si="21"/>
        <v>1</v>
      </c>
      <c r="AP85" s="422">
        <f t="shared" si="22"/>
        <v>1</v>
      </c>
      <c r="AQ85" s="423">
        <f t="shared" si="23"/>
        <v>0</v>
      </c>
      <c r="AR85" s="423">
        <f t="shared" si="24"/>
        <v>0</v>
      </c>
      <c r="AS85" s="423">
        <f t="shared" si="25"/>
        <v>1</v>
      </c>
      <c r="AT85" s="424">
        <f t="shared" si="26"/>
        <v>0</v>
      </c>
      <c r="AU85" s="422">
        <f t="shared" si="27"/>
        <v>0</v>
      </c>
      <c r="AV85" s="423">
        <f t="shared" si="28"/>
        <v>0</v>
      </c>
      <c r="AW85" s="423">
        <f t="shared" si="29"/>
        <v>0</v>
      </c>
      <c r="AX85" s="423">
        <f t="shared" si="30"/>
        <v>0</v>
      </c>
      <c r="AY85" s="425">
        <f t="shared" si="31"/>
        <v>0</v>
      </c>
    </row>
    <row r="86" spans="1:51" ht="13.9">
      <c r="A86" s="435" t="s">
        <v>255</v>
      </c>
      <c r="B86" s="436">
        <v>44013</v>
      </c>
      <c r="C86" s="437">
        <v>2020</v>
      </c>
      <c r="D86" s="421">
        <f t="shared" si="36"/>
        <v>198406</v>
      </c>
      <c r="E86" s="421">
        <f t="shared" si="36"/>
        <v>3568</v>
      </c>
      <c r="F86" s="422">
        <f t="shared" si="36"/>
        <v>2807</v>
      </c>
      <c r="G86" s="423">
        <f t="shared" si="36"/>
        <v>1479</v>
      </c>
      <c r="H86" s="423">
        <f t="shared" si="36"/>
        <v>0</v>
      </c>
      <c r="I86" s="423">
        <f t="shared" si="36"/>
        <v>1328</v>
      </c>
      <c r="J86" s="424">
        <f t="shared" si="36"/>
        <v>0</v>
      </c>
      <c r="K86" s="422">
        <f t="shared" si="36"/>
        <v>761</v>
      </c>
      <c r="L86" s="423">
        <f t="shared" si="36"/>
        <v>324</v>
      </c>
      <c r="M86" s="423">
        <f t="shared" si="36"/>
        <v>0</v>
      </c>
      <c r="N86" s="423">
        <f t="shared" si="36"/>
        <v>405</v>
      </c>
      <c r="O86" s="425">
        <f t="shared" si="36"/>
        <v>32</v>
      </c>
      <c r="P86" s="526">
        <f t="shared" si="18"/>
        <v>345</v>
      </c>
      <c r="Q86" s="423">
        <f t="shared" si="36"/>
        <v>1</v>
      </c>
      <c r="R86" s="422">
        <f t="shared" si="36"/>
        <v>1</v>
      </c>
      <c r="S86" s="423">
        <f t="shared" si="36"/>
        <v>1</v>
      </c>
      <c r="T86" s="423">
        <f t="shared" si="36"/>
        <v>0</v>
      </c>
      <c r="U86" s="423">
        <f t="shared" si="35"/>
        <v>0</v>
      </c>
      <c r="V86" s="424">
        <f t="shared" si="35"/>
        <v>0</v>
      </c>
      <c r="W86" s="422">
        <f t="shared" si="35"/>
        <v>0</v>
      </c>
      <c r="X86" s="423">
        <f t="shared" si="35"/>
        <v>0</v>
      </c>
      <c r="Y86" s="423">
        <f t="shared" si="35"/>
        <v>0</v>
      </c>
      <c r="Z86" s="423">
        <f t="shared" si="35"/>
        <v>0</v>
      </c>
      <c r="AA86" s="425">
        <f t="shared" si="35"/>
        <v>0</v>
      </c>
      <c r="AB86" s="424">
        <f t="shared" si="35"/>
        <v>41</v>
      </c>
      <c r="AC86" s="423">
        <f t="shared" si="35"/>
        <v>0</v>
      </c>
      <c r="AD86" s="422">
        <f t="shared" si="35"/>
        <v>0</v>
      </c>
      <c r="AE86" s="423">
        <f t="shared" si="35"/>
        <v>0</v>
      </c>
      <c r="AF86" s="423">
        <f t="shared" si="35"/>
        <v>0</v>
      </c>
      <c r="AG86" s="423">
        <f t="shared" si="37"/>
        <v>0</v>
      </c>
      <c r="AH86" s="424">
        <f t="shared" si="37"/>
        <v>0</v>
      </c>
      <c r="AI86" s="422">
        <f t="shared" si="37"/>
        <v>0</v>
      </c>
      <c r="AJ86" s="423">
        <f t="shared" si="37"/>
        <v>0</v>
      </c>
      <c r="AK86" s="423">
        <f t="shared" si="37"/>
        <v>0</v>
      </c>
      <c r="AL86" s="423">
        <f t="shared" si="37"/>
        <v>0</v>
      </c>
      <c r="AM86" s="425">
        <f t="shared" si="37"/>
        <v>0</v>
      </c>
      <c r="AO86" s="421">
        <f t="shared" si="21"/>
        <v>1</v>
      </c>
      <c r="AP86" s="422">
        <f t="shared" si="22"/>
        <v>1</v>
      </c>
      <c r="AQ86" s="423">
        <f t="shared" si="23"/>
        <v>1</v>
      </c>
      <c r="AR86" s="423">
        <f t="shared" si="24"/>
        <v>0</v>
      </c>
      <c r="AS86" s="423">
        <f t="shared" si="25"/>
        <v>0</v>
      </c>
      <c r="AT86" s="424">
        <f t="shared" si="26"/>
        <v>0</v>
      </c>
      <c r="AU86" s="422">
        <f t="shared" si="27"/>
        <v>0</v>
      </c>
      <c r="AV86" s="423">
        <f t="shared" si="28"/>
        <v>0</v>
      </c>
      <c r="AW86" s="423">
        <f t="shared" si="29"/>
        <v>0</v>
      </c>
      <c r="AX86" s="423">
        <f t="shared" si="30"/>
        <v>0</v>
      </c>
      <c r="AY86" s="425">
        <f t="shared" si="31"/>
        <v>0</v>
      </c>
    </row>
    <row r="87" spans="1:51" ht="13.9">
      <c r="A87" s="435" t="s">
        <v>255</v>
      </c>
      <c r="B87" s="436">
        <v>44044</v>
      </c>
      <c r="C87" s="437">
        <v>2020</v>
      </c>
      <c r="D87" s="421">
        <f t="shared" si="36"/>
        <v>198406</v>
      </c>
      <c r="E87" s="421">
        <f t="shared" si="36"/>
        <v>3568</v>
      </c>
      <c r="F87" s="422">
        <f t="shared" si="36"/>
        <v>2807</v>
      </c>
      <c r="G87" s="423">
        <f t="shared" si="36"/>
        <v>1479</v>
      </c>
      <c r="H87" s="423">
        <f t="shared" si="36"/>
        <v>0</v>
      </c>
      <c r="I87" s="423">
        <f t="shared" si="36"/>
        <v>1328</v>
      </c>
      <c r="J87" s="424">
        <f t="shared" si="36"/>
        <v>0</v>
      </c>
      <c r="K87" s="422">
        <f t="shared" si="36"/>
        <v>761</v>
      </c>
      <c r="L87" s="423">
        <f t="shared" si="36"/>
        <v>324</v>
      </c>
      <c r="M87" s="423">
        <f t="shared" si="36"/>
        <v>0</v>
      </c>
      <c r="N87" s="423">
        <f t="shared" si="36"/>
        <v>405</v>
      </c>
      <c r="O87" s="425">
        <f t="shared" si="36"/>
        <v>32</v>
      </c>
      <c r="P87" s="526">
        <f t="shared" si="18"/>
        <v>345</v>
      </c>
      <c r="Q87" s="423">
        <f t="shared" si="36"/>
        <v>1</v>
      </c>
      <c r="R87" s="422">
        <f t="shared" si="36"/>
        <v>1</v>
      </c>
      <c r="S87" s="423">
        <f t="shared" si="36"/>
        <v>1</v>
      </c>
      <c r="T87" s="423">
        <f t="shared" si="36"/>
        <v>0</v>
      </c>
      <c r="U87" s="423">
        <f t="shared" si="35"/>
        <v>0</v>
      </c>
      <c r="V87" s="424">
        <f t="shared" si="35"/>
        <v>0</v>
      </c>
      <c r="W87" s="422">
        <f t="shared" si="35"/>
        <v>0</v>
      </c>
      <c r="X87" s="423">
        <f t="shared" si="35"/>
        <v>0</v>
      </c>
      <c r="Y87" s="423">
        <f t="shared" si="35"/>
        <v>0</v>
      </c>
      <c r="Z87" s="423">
        <f t="shared" si="35"/>
        <v>0</v>
      </c>
      <c r="AA87" s="425">
        <f t="shared" si="35"/>
        <v>0</v>
      </c>
      <c r="AB87" s="424">
        <f t="shared" si="35"/>
        <v>41</v>
      </c>
      <c r="AC87" s="423">
        <f t="shared" si="35"/>
        <v>0</v>
      </c>
      <c r="AD87" s="422">
        <f t="shared" si="35"/>
        <v>0</v>
      </c>
      <c r="AE87" s="423">
        <f t="shared" si="35"/>
        <v>0</v>
      </c>
      <c r="AF87" s="423">
        <f t="shared" si="35"/>
        <v>0</v>
      </c>
      <c r="AG87" s="423">
        <f t="shared" si="37"/>
        <v>0</v>
      </c>
      <c r="AH87" s="424">
        <f t="shared" si="37"/>
        <v>0</v>
      </c>
      <c r="AI87" s="422">
        <f t="shared" si="37"/>
        <v>0</v>
      </c>
      <c r="AJ87" s="423">
        <f t="shared" si="37"/>
        <v>0</v>
      </c>
      <c r="AK87" s="423">
        <f t="shared" si="37"/>
        <v>0</v>
      </c>
      <c r="AL87" s="423">
        <f t="shared" si="37"/>
        <v>0</v>
      </c>
      <c r="AM87" s="425">
        <f t="shared" si="37"/>
        <v>0</v>
      </c>
      <c r="AO87" s="421">
        <f t="shared" si="21"/>
        <v>1</v>
      </c>
      <c r="AP87" s="422">
        <f t="shared" si="22"/>
        <v>1</v>
      </c>
      <c r="AQ87" s="423">
        <f t="shared" si="23"/>
        <v>1</v>
      </c>
      <c r="AR87" s="423">
        <f t="shared" si="24"/>
        <v>0</v>
      </c>
      <c r="AS87" s="423">
        <f t="shared" si="25"/>
        <v>0</v>
      </c>
      <c r="AT87" s="424">
        <f t="shared" si="26"/>
        <v>0</v>
      </c>
      <c r="AU87" s="422">
        <f t="shared" si="27"/>
        <v>0</v>
      </c>
      <c r="AV87" s="423">
        <f t="shared" si="28"/>
        <v>0</v>
      </c>
      <c r="AW87" s="423">
        <f t="shared" si="29"/>
        <v>0</v>
      </c>
      <c r="AX87" s="423">
        <f t="shared" si="30"/>
        <v>0</v>
      </c>
      <c r="AY87" s="425">
        <f t="shared" si="31"/>
        <v>0</v>
      </c>
    </row>
    <row r="88" spans="1:51" ht="13.9">
      <c r="A88" s="435" t="s">
        <v>255</v>
      </c>
      <c r="B88" s="436">
        <v>44075</v>
      </c>
      <c r="C88" s="437">
        <v>2020</v>
      </c>
      <c r="D88" s="421">
        <f t="shared" si="36"/>
        <v>198406</v>
      </c>
      <c r="E88" s="421">
        <f t="shared" si="36"/>
        <v>3568</v>
      </c>
      <c r="F88" s="422">
        <f t="shared" si="36"/>
        <v>2807</v>
      </c>
      <c r="G88" s="423">
        <f t="shared" si="36"/>
        <v>1479</v>
      </c>
      <c r="H88" s="423">
        <f t="shared" si="36"/>
        <v>0</v>
      </c>
      <c r="I88" s="423">
        <f t="shared" si="36"/>
        <v>1328</v>
      </c>
      <c r="J88" s="424">
        <f t="shared" si="36"/>
        <v>0</v>
      </c>
      <c r="K88" s="422">
        <f t="shared" si="36"/>
        <v>761</v>
      </c>
      <c r="L88" s="423">
        <f t="shared" si="36"/>
        <v>324</v>
      </c>
      <c r="M88" s="423">
        <f t="shared" si="36"/>
        <v>0</v>
      </c>
      <c r="N88" s="423">
        <f t="shared" si="36"/>
        <v>405</v>
      </c>
      <c r="O88" s="425">
        <f t="shared" si="36"/>
        <v>32</v>
      </c>
      <c r="P88" s="526">
        <f t="shared" si="18"/>
        <v>345</v>
      </c>
      <c r="Q88" s="423">
        <f t="shared" si="36"/>
        <v>1</v>
      </c>
      <c r="R88" s="422">
        <f t="shared" si="36"/>
        <v>1</v>
      </c>
      <c r="S88" s="423">
        <f t="shared" si="36"/>
        <v>1</v>
      </c>
      <c r="T88" s="423">
        <f t="shared" si="36"/>
        <v>0</v>
      </c>
      <c r="U88" s="423">
        <f t="shared" si="35"/>
        <v>0</v>
      </c>
      <c r="V88" s="424">
        <f t="shared" si="35"/>
        <v>0</v>
      </c>
      <c r="W88" s="422">
        <f t="shared" si="35"/>
        <v>0</v>
      </c>
      <c r="X88" s="423">
        <f t="shared" si="35"/>
        <v>0</v>
      </c>
      <c r="Y88" s="423">
        <f t="shared" si="35"/>
        <v>0</v>
      </c>
      <c r="Z88" s="423">
        <f t="shared" si="35"/>
        <v>0</v>
      </c>
      <c r="AA88" s="425">
        <f t="shared" si="35"/>
        <v>0</v>
      </c>
      <c r="AB88" s="424">
        <f t="shared" si="35"/>
        <v>41</v>
      </c>
      <c r="AC88" s="423">
        <f t="shared" si="35"/>
        <v>0</v>
      </c>
      <c r="AD88" s="422">
        <f t="shared" si="35"/>
        <v>0</v>
      </c>
      <c r="AE88" s="423">
        <f t="shared" si="35"/>
        <v>0</v>
      </c>
      <c r="AF88" s="423">
        <f t="shared" si="35"/>
        <v>0</v>
      </c>
      <c r="AG88" s="423">
        <f t="shared" si="37"/>
        <v>0</v>
      </c>
      <c r="AH88" s="424">
        <f t="shared" si="37"/>
        <v>0</v>
      </c>
      <c r="AI88" s="422">
        <f t="shared" si="37"/>
        <v>0</v>
      </c>
      <c r="AJ88" s="423">
        <f t="shared" si="37"/>
        <v>0</v>
      </c>
      <c r="AK88" s="423">
        <f t="shared" si="37"/>
        <v>0</v>
      </c>
      <c r="AL88" s="423">
        <f t="shared" si="37"/>
        <v>0</v>
      </c>
      <c r="AM88" s="425">
        <f t="shared" si="37"/>
        <v>0</v>
      </c>
      <c r="AO88" s="421">
        <f t="shared" si="21"/>
        <v>1</v>
      </c>
      <c r="AP88" s="422">
        <f t="shared" si="22"/>
        <v>1</v>
      </c>
      <c r="AQ88" s="423">
        <f t="shared" si="23"/>
        <v>1</v>
      </c>
      <c r="AR88" s="423">
        <f t="shared" si="24"/>
        <v>0</v>
      </c>
      <c r="AS88" s="423">
        <f t="shared" si="25"/>
        <v>0</v>
      </c>
      <c r="AT88" s="424">
        <f t="shared" si="26"/>
        <v>0</v>
      </c>
      <c r="AU88" s="422">
        <f t="shared" si="27"/>
        <v>0</v>
      </c>
      <c r="AV88" s="423">
        <f t="shared" si="28"/>
        <v>0</v>
      </c>
      <c r="AW88" s="423">
        <f t="shared" si="29"/>
        <v>0</v>
      </c>
      <c r="AX88" s="423">
        <f t="shared" si="30"/>
        <v>0</v>
      </c>
      <c r="AY88" s="425">
        <f t="shared" si="31"/>
        <v>0</v>
      </c>
    </row>
    <row r="89" spans="1:51" ht="13.9">
      <c r="A89" s="435" t="s">
        <v>256</v>
      </c>
      <c r="B89" s="436">
        <v>44105</v>
      </c>
      <c r="C89" s="437">
        <v>2020</v>
      </c>
      <c r="D89" s="421">
        <f t="shared" si="36"/>
        <v>153874</v>
      </c>
      <c r="E89" s="421">
        <f t="shared" si="36"/>
        <v>3476</v>
      </c>
      <c r="F89" s="422">
        <f t="shared" si="36"/>
        <v>2833</v>
      </c>
      <c r="G89" s="423">
        <f t="shared" si="36"/>
        <v>1358</v>
      </c>
      <c r="H89" s="423">
        <f t="shared" si="36"/>
        <v>0</v>
      </c>
      <c r="I89" s="423">
        <f t="shared" si="36"/>
        <v>1475</v>
      </c>
      <c r="J89" s="424">
        <f t="shared" si="36"/>
        <v>0</v>
      </c>
      <c r="K89" s="422">
        <f t="shared" si="36"/>
        <v>643</v>
      </c>
      <c r="L89" s="423">
        <f t="shared" si="36"/>
        <v>219</v>
      </c>
      <c r="M89" s="423">
        <f t="shared" si="36"/>
        <v>0</v>
      </c>
      <c r="N89" s="423">
        <f t="shared" si="36"/>
        <v>384</v>
      </c>
      <c r="O89" s="425">
        <f t="shared" si="36"/>
        <v>40</v>
      </c>
      <c r="P89" s="526">
        <f t="shared" si="18"/>
        <v>285</v>
      </c>
      <c r="Q89" s="423">
        <f t="shared" si="36"/>
        <v>2</v>
      </c>
      <c r="R89" s="422">
        <f t="shared" si="36"/>
        <v>2</v>
      </c>
      <c r="S89" s="423">
        <f t="shared" si="36"/>
        <v>0</v>
      </c>
      <c r="T89" s="423">
        <f t="shared" si="36"/>
        <v>0</v>
      </c>
      <c r="U89" s="423">
        <f t="shared" si="35"/>
        <v>2</v>
      </c>
      <c r="V89" s="424">
        <f t="shared" si="35"/>
        <v>0</v>
      </c>
      <c r="W89" s="422">
        <f t="shared" si="35"/>
        <v>0</v>
      </c>
      <c r="X89" s="423">
        <f t="shared" si="35"/>
        <v>0</v>
      </c>
      <c r="Y89" s="423">
        <f t="shared" si="35"/>
        <v>0</v>
      </c>
      <c r="Z89" s="423">
        <f t="shared" si="35"/>
        <v>0</v>
      </c>
      <c r="AA89" s="425">
        <f t="shared" si="35"/>
        <v>0</v>
      </c>
      <c r="AB89" s="424">
        <f t="shared" si="35"/>
        <v>28</v>
      </c>
      <c r="AC89" s="423">
        <f t="shared" si="35"/>
        <v>0</v>
      </c>
      <c r="AD89" s="422">
        <f t="shared" si="35"/>
        <v>0</v>
      </c>
      <c r="AE89" s="423">
        <f t="shared" si="35"/>
        <v>0</v>
      </c>
      <c r="AF89" s="423">
        <f t="shared" si="35"/>
        <v>0</v>
      </c>
      <c r="AG89" s="423">
        <f t="shared" si="37"/>
        <v>0</v>
      </c>
      <c r="AH89" s="424">
        <f t="shared" si="37"/>
        <v>0</v>
      </c>
      <c r="AI89" s="422">
        <f t="shared" si="37"/>
        <v>0</v>
      </c>
      <c r="AJ89" s="423">
        <f t="shared" si="37"/>
        <v>0</v>
      </c>
      <c r="AK89" s="423">
        <f t="shared" si="37"/>
        <v>0</v>
      </c>
      <c r="AL89" s="423">
        <f t="shared" si="37"/>
        <v>0</v>
      </c>
      <c r="AM89" s="425">
        <f t="shared" si="37"/>
        <v>0</v>
      </c>
      <c r="AO89" s="421">
        <f t="shared" si="21"/>
        <v>2</v>
      </c>
      <c r="AP89" s="422">
        <f t="shared" si="22"/>
        <v>2</v>
      </c>
      <c r="AQ89" s="423">
        <f t="shared" si="23"/>
        <v>0</v>
      </c>
      <c r="AR89" s="423">
        <f t="shared" si="24"/>
        <v>0</v>
      </c>
      <c r="AS89" s="423">
        <f t="shared" si="25"/>
        <v>2</v>
      </c>
      <c r="AT89" s="424">
        <f t="shared" si="26"/>
        <v>0</v>
      </c>
      <c r="AU89" s="422">
        <f t="shared" si="27"/>
        <v>0</v>
      </c>
      <c r="AV89" s="423">
        <f t="shared" si="28"/>
        <v>0</v>
      </c>
      <c r="AW89" s="423">
        <f t="shared" si="29"/>
        <v>0</v>
      </c>
      <c r="AX89" s="423">
        <f t="shared" si="30"/>
        <v>0</v>
      </c>
      <c r="AY89" s="425">
        <f t="shared" si="31"/>
        <v>0</v>
      </c>
    </row>
    <row r="90" spans="1:51" ht="13.9">
      <c r="A90" s="435" t="s">
        <v>256</v>
      </c>
      <c r="B90" s="436">
        <v>44136</v>
      </c>
      <c r="C90" s="437">
        <v>2020</v>
      </c>
      <c r="D90" s="421">
        <f t="shared" si="36"/>
        <v>153874</v>
      </c>
      <c r="E90" s="421">
        <f t="shared" si="36"/>
        <v>3476</v>
      </c>
      <c r="F90" s="422">
        <f t="shared" si="36"/>
        <v>2833</v>
      </c>
      <c r="G90" s="423">
        <f t="shared" si="36"/>
        <v>1358</v>
      </c>
      <c r="H90" s="423">
        <f t="shared" si="36"/>
        <v>0</v>
      </c>
      <c r="I90" s="423">
        <f t="shared" si="36"/>
        <v>1475</v>
      </c>
      <c r="J90" s="424">
        <f t="shared" si="36"/>
        <v>0</v>
      </c>
      <c r="K90" s="422">
        <f t="shared" si="36"/>
        <v>643</v>
      </c>
      <c r="L90" s="423">
        <f t="shared" si="36"/>
        <v>219</v>
      </c>
      <c r="M90" s="423">
        <f t="shared" si="36"/>
        <v>0</v>
      </c>
      <c r="N90" s="423">
        <f t="shared" si="36"/>
        <v>384</v>
      </c>
      <c r="O90" s="425">
        <f t="shared" si="36"/>
        <v>40</v>
      </c>
      <c r="P90" s="526">
        <f t="shared" si="18"/>
        <v>285</v>
      </c>
      <c r="Q90" s="423">
        <f t="shared" si="36"/>
        <v>2</v>
      </c>
      <c r="R90" s="422">
        <f t="shared" si="36"/>
        <v>2</v>
      </c>
      <c r="S90" s="423">
        <f t="shared" si="36"/>
        <v>0</v>
      </c>
      <c r="T90" s="423">
        <f t="shared" si="36"/>
        <v>0</v>
      </c>
      <c r="U90" s="423">
        <f t="shared" si="35"/>
        <v>2</v>
      </c>
      <c r="V90" s="424">
        <f t="shared" si="35"/>
        <v>0</v>
      </c>
      <c r="W90" s="422">
        <f t="shared" si="35"/>
        <v>0</v>
      </c>
      <c r="X90" s="423">
        <f t="shared" si="35"/>
        <v>0</v>
      </c>
      <c r="Y90" s="423">
        <f t="shared" si="35"/>
        <v>0</v>
      </c>
      <c r="Z90" s="423">
        <f t="shared" si="35"/>
        <v>0</v>
      </c>
      <c r="AA90" s="425">
        <f t="shared" si="35"/>
        <v>0</v>
      </c>
      <c r="AB90" s="424">
        <f t="shared" si="35"/>
        <v>28</v>
      </c>
      <c r="AC90" s="423">
        <f t="shared" si="35"/>
        <v>0</v>
      </c>
      <c r="AD90" s="422">
        <f t="shared" si="35"/>
        <v>0</v>
      </c>
      <c r="AE90" s="423">
        <f t="shared" si="35"/>
        <v>0</v>
      </c>
      <c r="AF90" s="423">
        <f t="shared" si="35"/>
        <v>0</v>
      </c>
      <c r="AG90" s="423">
        <f t="shared" si="37"/>
        <v>0</v>
      </c>
      <c r="AH90" s="424">
        <f t="shared" si="37"/>
        <v>0</v>
      </c>
      <c r="AI90" s="422">
        <f t="shared" si="37"/>
        <v>0</v>
      </c>
      <c r="AJ90" s="423">
        <f t="shared" si="37"/>
        <v>0</v>
      </c>
      <c r="AK90" s="423">
        <f t="shared" si="37"/>
        <v>0</v>
      </c>
      <c r="AL90" s="423">
        <f t="shared" si="37"/>
        <v>0</v>
      </c>
      <c r="AM90" s="425">
        <f t="shared" si="37"/>
        <v>0</v>
      </c>
      <c r="AO90" s="421">
        <f t="shared" si="21"/>
        <v>2</v>
      </c>
      <c r="AP90" s="422">
        <f t="shared" si="22"/>
        <v>2</v>
      </c>
      <c r="AQ90" s="423">
        <f t="shared" si="23"/>
        <v>0</v>
      </c>
      <c r="AR90" s="423">
        <f t="shared" si="24"/>
        <v>0</v>
      </c>
      <c r="AS90" s="423">
        <f t="shared" si="25"/>
        <v>2</v>
      </c>
      <c r="AT90" s="424">
        <f t="shared" si="26"/>
        <v>0</v>
      </c>
      <c r="AU90" s="422">
        <f t="shared" si="27"/>
        <v>0</v>
      </c>
      <c r="AV90" s="423">
        <f t="shared" si="28"/>
        <v>0</v>
      </c>
      <c r="AW90" s="423">
        <f t="shared" si="29"/>
        <v>0</v>
      </c>
      <c r="AX90" s="423">
        <f t="shared" si="30"/>
        <v>0</v>
      </c>
      <c r="AY90" s="425">
        <f t="shared" si="31"/>
        <v>0</v>
      </c>
    </row>
    <row r="91" spans="1:51" ht="13.9">
      <c r="A91" s="435" t="s">
        <v>256</v>
      </c>
      <c r="B91" s="436">
        <v>44166</v>
      </c>
      <c r="C91" s="437">
        <v>2020</v>
      </c>
      <c r="D91" s="421">
        <f t="shared" si="36"/>
        <v>153874</v>
      </c>
      <c r="E91" s="421">
        <f t="shared" si="36"/>
        <v>3476</v>
      </c>
      <c r="F91" s="422">
        <f t="shared" si="36"/>
        <v>2833</v>
      </c>
      <c r="G91" s="423">
        <f t="shared" si="36"/>
        <v>1358</v>
      </c>
      <c r="H91" s="423">
        <f t="shared" si="36"/>
        <v>0</v>
      </c>
      <c r="I91" s="423">
        <f t="shared" si="36"/>
        <v>1475</v>
      </c>
      <c r="J91" s="424">
        <f t="shared" si="36"/>
        <v>0</v>
      </c>
      <c r="K91" s="422">
        <f t="shared" si="36"/>
        <v>643</v>
      </c>
      <c r="L91" s="423">
        <f t="shared" si="36"/>
        <v>219</v>
      </c>
      <c r="M91" s="423">
        <f t="shared" si="36"/>
        <v>0</v>
      </c>
      <c r="N91" s="423">
        <f t="shared" si="36"/>
        <v>384</v>
      </c>
      <c r="O91" s="425">
        <f t="shared" si="36"/>
        <v>40</v>
      </c>
      <c r="P91" s="526">
        <f t="shared" si="18"/>
        <v>285</v>
      </c>
      <c r="Q91" s="423">
        <f t="shared" si="36"/>
        <v>2</v>
      </c>
      <c r="R91" s="422">
        <f t="shared" si="36"/>
        <v>2</v>
      </c>
      <c r="S91" s="423">
        <f t="shared" si="36"/>
        <v>0</v>
      </c>
      <c r="T91" s="423">
        <f t="shared" ref="T91:AJ106" si="38">SUMIFS(T$5:T$40,$B$5:$B$40,$A91)</f>
        <v>0</v>
      </c>
      <c r="U91" s="423">
        <f t="shared" si="38"/>
        <v>2</v>
      </c>
      <c r="V91" s="424">
        <f t="shared" si="38"/>
        <v>0</v>
      </c>
      <c r="W91" s="422">
        <f t="shared" si="38"/>
        <v>0</v>
      </c>
      <c r="X91" s="423">
        <f t="shared" si="38"/>
        <v>0</v>
      </c>
      <c r="Y91" s="423">
        <f t="shared" si="38"/>
        <v>0</v>
      </c>
      <c r="Z91" s="423">
        <f t="shared" si="38"/>
        <v>0</v>
      </c>
      <c r="AA91" s="425">
        <f t="shared" si="38"/>
        <v>0</v>
      </c>
      <c r="AB91" s="424">
        <f t="shared" si="38"/>
        <v>28</v>
      </c>
      <c r="AC91" s="423">
        <f t="shared" si="38"/>
        <v>0</v>
      </c>
      <c r="AD91" s="422">
        <f t="shared" si="38"/>
        <v>0</v>
      </c>
      <c r="AE91" s="423">
        <f t="shared" si="38"/>
        <v>0</v>
      </c>
      <c r="AF91" s="423">
        <f t="shared" si="38"/>
        <v>0</v>
      </c>
      <c r="AG91" s="423">
        <f t="shared" si="38"/>
        <v>0</v>
      </c>
      <c r="AH91" s="424">
        <f t="shared" si="38"/>
        <v>0</v>
      </c>
      <c r="AI91" s="422">
        <f t="shared" si="38"/>
        <v>0</v>
      </c>
      <c r="AJ91" s="423">
        <f t="shared" si="38"/>
        <v>0</v>
      </c>
      <c r="AK91" s="423">
        <f t="shared" si="37"/>
        <v>0</v>
      </c>
      <c r="AL91" s="423">
        <f t="shared" si="37"/>
        <v>0</v>
      </c>
      <c r="AM91" s="425">
        <f t="shared" si="37"/>
        <v>0</v>
      </c>
      <c r="AO91" s="421">
        <f t="shared" si="21"/>
        <v>2</v>
      </c>
      <c r="AP91" s="422">
        <f t="shared" si="22"/>
        <v>2</v>
      </c>
      <c r="AQ91" s="423">
        <f t="shared" si="23"/>
        <v>0</v>
      </c>
      <c r="AR91" s="423">
        <f t="shared" si="24"/>
        <v>0</v>
      </c>
      <c r="AS91" s="423">
        <f t="shared" si="25"/>
        <v>2</v>
      </c>
      <c r="AT91" s="424">
        <f t="shared" si="26"/>
        <v>0</v>
      </c>
      <c r="AU91" s="422">
        <f t="shared" si="27"/>
        <v>0</v>
      </c>
      <c r="AV91" s="423">
        <f t="shared" si="28"/>
        <v>0</v>
      </c>
      <c r="AW91" s="423">
        <f t="shared" si="29"/>
        <v>0</v>
      </c>
      <c r="AX91" s="423">
        <f t="shared" si="30"/>
        <v>0</v>
      </c>
      <c r="AY91" s="425">
        <f t="shared" si="31"/>
        <v>0</v>
      </c>
    </row>
    <row r="92" spans="1:51" ht="13.9">
      <c r="A92" s="435" t="s">
        <v>257</v>
      </c>
      <c r="B92" s="436">
        <v>44197</v>
      </c>
      <c r="C92" s="437">
        <v>2021</v>
      </c>
      <c r="D92" s="421">
        <f t="shared" ref="D92:T107" si="39">SUMIFS(D$5:D$40,$B$5:$B$40,$A92)</f>
        <v>141819</v>
      </c>
      <c r="E92" s="421">
        <f t="shared" si="39"/>
        <v>3362</v>
      </c>
      <c r="F92" s="422">
        <f t="shared" si="39"/>
        <v>2600</v>
      </c>
      <c r="G92" s="423">
        <f t="shared" si="39"/>
        <v>1018</v>
      </c>
      <c r="H92" s="423">
        <f t="shared" si="39"/>
        <v>0</v>
      </c>
      <c r="I92" s="423">
        <f t="shared" si="39"/>
        <v>1582</v>
      </c>
      <c r="J92" s="424">
        <f t="shared" si="39"/>
        <v>0</v>
      </c>
      <c r="K92" s="422">
        <f t="shared" si="39"/>
        <v>762</v>
      </c>
      <c r="L92" s="423">
        <f t="shared" si="39"/>
        <v>183</v>
      </c>
      <c r="M92" s="423">
        <f t="shared" si="39"/>
        <v>0</v>
      </c>
      <c r="N92" s="423">
        <f t="shared" si="39"/>
        <v>512</v>
      </c>
      <c r="O92" s="425">
        <f t="shared" si="39"/>
        <v>67</v>
      </c>
      <c r="P92" s="526">
        <f t="shared" si="18"/>
        <v>261</v>
      </c>
      <c r="Q92" s="423">
        <f t="shared" si="39"/>
        <v>5</v>
      </c>
      <c r="R92" s="422">
        <f t="shared" si="39"/>
        <v>5</v>
      </c>
      <c r="S92" s="423">
        <f t="shared" si="39"/>
        <v>2</v>
      </c>
      <c r="T92" s="423">
        <f t="shared" si="39"/>
        <v>0</v>
      </c>
      <c r="U92" s="423">
        <f t="shared" si="38"/>
        <v>3</v>
      </c>
      <c r="V92" s="424">
        <f t="shared" si="38"/>
        <v>0</v>
      </c>
      <c r="W92" s="422">
        <f t="shared" si="38"/>
        <v>0</v>
      </c>
      <c r="X92" s="423">
        <f t="shared" si="38"/>
        <v>0</v>
      </c>
      <c r="Y92" s="423">
        <f t="shared" si="38"/>
        <v>0</v>
      </c>
      <c r="Z92" s="423">
        <f t="shared" si="38"/>
        <v>0</v>
      </c>
      <c r="AA92" s="425">
        <f t="shared" si="38"/>
        <v>0</v>
      </c>
      <c r="AB92" s="424">
        <f t="shared" si="38"/>
        <v>25</v>
      </c>
      <c r="AC92" s="423">
        <f t="shared" si="38"/>
        <v>0</v>
      </c>
      <c r="AD92" s="422">
        <f t="shared" si="38"/>
        <v>0</v>
      </c>
      <c r="AE92" s="423">
        <f t="shared" si="38"/>
        <v>0</v>
      </c>
      <c r="AF92" s="423">
        <f t="shared" si="38"/>
        <v>0</v>
      </c>
      <c r="AG92" s="423">
        <f t="shared" ref="AG92:AM107" si="40">SUMIFS(AG$5:AG$40,$B$5:$B$40,$A92)</f>
        <v>0</v>
      </c>
      <c r="AH92" s="424">
        <f t="shared" si="40"/>
        <v>0</v>
      </c>
      <c r="AI92" s="422">
        <f t="shared" si="40"/>
        <v>0</v>
      </c>
      <c r="AJ92" s="423">
        <f t="shared" si="40"/>
        <v>0</v>
      </c>
      <c r="AK92" s="423">
        <f t="shared" si="40"/>
        <v>0</v>
      </c>
      <c r="AL92" s="423">
        <f t="shared" si="40"/>
        <v>0</v>
      </c>
      <c r="AM92" s="425">
        <f t="shared" si="40"/>
        <v>0</v>
      </c>
      <c r="AO92" s="421">
        <f t="shared" si="21"/>
        <v>5</v>
      </c>
      <c r="AP92" s="422">
        <f t="shared" si="22"/>
        <v>5</v>
      </c>
      <c r="AQ92" s="423">
        <f t="shared" si="23"/>
        <v>2</v>
      </c>
      <c r="AR92" s="423">
        <f t="shared" si="24"/>
        <v>0</v>
      </c>
      <c r="AS92" s="423">
        <f t="shared" si="25"/>
        <v>3</v>
      </c>
      <c r="AT92" s="424">
        <f t="shared" si="26"/>
        <v>0</v>
      </c>
      <c r="AU92" s="422">
        <f t="shared" si="27"/>
        <v>0</v>
      </c>
      <c r="AV92" s="423">
        <f t="shared" si="28"/>
        <v>0</v>
      </c>
      <c r="AW92" s="423">
        <f t="shared" si="29"/>
        <v>0</v>
      </c>
      <c r="AX92" s="423">
        <f t="shared" si="30"/>
        <v>0</v>
      </c>
      <c r="AY92" s="425">
        <f t="shared" si="31"/>
        <v>0</v>
      </c>
    </row>
    <row r="93" spans="1:51" ht="13.9">
      <c r="A93" s="435" t="s">
        <v>257</v>
      </c>
      <c r="B93" s="436">
        <v>44228</v>
      </c>
      <c r="C93" s="437">
        <v>2021</v>
      </c>
      <c r="D93" s="421">
        <f t="shared" si="39"/>
        <v>141819</v>
      </c>
      <c r="E93" s="421">
        <f t="shared" si="39"/>
        <v>3362</v>
      </c>
      <c r="F93" s="422">
        <f t="shared" si="39"/>
        <v>2600</v>
      </c>
      <c r="G93" s="423">
        <f t="shared" si="39"/>
        <v>1018</v>
      </c>
      <c r="H93" s="423">
        <f t="shared" si="39"/>
        <v>0</v>
      </c>
      <c r="I93" s="423">
        <f t="shared" si="39"/>
        <v>1582</v>
      </c>
      <c r="J93" s="424">
        <f t="shared" si="39"/>
        <v>0</v>
      </c>
      <c r="K93" s="422">
        <f t="shared" si="39"/>
        <v>762</v>
      </c>
      <c r="L93" s="423">
        <f t="shared" si="39"/>
        <v>183</v>
      </c>
      <c r="M93" s="423">
        <f t="shared" si="39"/>
        <v>0</v>
      </c>
      <c r="N93" s="423">
        <f t="shared" si="39"/>
        <v>512</v>
      </c>
      <c r="O93" s="425">
        <f t="shared" si="39"/>
        <v>67</v>
      </c>
      <c r="P93" s="526">
        <f t="shared" si="18"/>
        <v>261</v>
      </c>
      <c r="Q93" s="423">
        <f t="shared" si="39"/>
        <v>5</v>
      </c>
      <c r="R93" s="422">
        <f t="shared" si="39"/>
        <v>5</v>
      </c>
      <c r="S93" s="423">
        <f t="shared" si="39"/>
        <v>2</v>
      </c>
      <c r="T93" s="423">
        <f t="shared" si="39"/>
        <v>0</v>
      </c>
      <c r="U93" s="423">
        <f t="shared" si="38"/>
        <v>3</v>
      </c>
      <c r="V93" s="424">
        <f t="shared" si="38"/>
        <v>0</v>
      </c>
      <c r="W93" s="422">
        <f t="shared" si="38"/>
        <v>0</v>
      </c>
      <c r="X93" s="423">
        <f t="shared" si="38"/>
        <v>0</v>
      </c>
      <c r="Y93" s="423">
        <f t="shared" si="38"/>
        <v>0</v>
      </c>
      <c r="Z93" s="423">
        <f t="shared" si="38"/>
        <v>0</v>
      </c>
      <c r="AA93" s="425">
        <f t="shared" si="38"/>
        <v>0</v>
      </c>
      <c r="AB93" s="424">
        <f t="shared" si="38"/>
        <v>25</v>
      </c>
      <c r="AC93" s="423">
        <f t="shared" si="38"/>
        <v>0</v>
      </c>
      <c r="AD93" s="422">
        <f t="shared" si="38"/>
        <v>0</v>
      </c>
      <c r="AE93" s="423">
        <f t="shared" si="38"/>
        <v>0</v>
      </c>
      <c r="AF93" s="423">
        <f t="shared" si="38"/>
        <v>0</v>
      </c>
      <c r="AG93" s="423">
        <f t="shared" si="40"/>
        <v>0</v>
      </c>
      <c r="AH93" s="424">
        <f t="shared" si="40"/>
        <v>0</v>
      </c>
      <c r="AI93" s="422">
        <f t="shared" si="40"/>
        <v>0</v>
      </c>
      <c r="AJ93" s="423">
        <f t="shared" si="40"/>
        <v>0</v>
      </c>
      <c r="AK93" s="423">
        <f t="shared" si="40"/>
        <v>0</v>
      </c>
      <c r="AL93" s="423">
        <f t="shared" si="40"/>
        <v>0</v>
      </c>
      <c r="AM93" s="425">
        <f t="shared" si="40"/>
        <v>0</v>
      </c>
      <c r="AO93" s="421">
        <f t="shared" si="21"/>
        <v>5</v>
      </c>
      <c r="AP93" s="422">
        <f t="shared" si="22"/>
        <v>5</v>
      </c>
      <c r="AQ93" s="423">
        <f t="shared" si="23"/>
        <v>2</v>
      </c>
      <c r="AR93" s="423">
        <f t="shared" si="24"/>
        <v>0</v>
      </c>
      <c r="AS93" s="423">
        <f t="shared" si="25"/>
        <v>3</v>
      </c>
      <c r="AT93" s="424">
        <f t="shared" si="26"/>
        <v>0</v>
      </c>
      <c r="AU93" s="422">
        <f t="shared" si="27"/>
        <v>0</v>
      </c>
      <c r="AV93" s="423">
        <f t="shared" si="28"/>
        <v>0</v>
      </c>
      <c r="AW93" s="423">
        <f t="shared" si="29"/>
        <v>0</v>
      </c>
      <c r="AX93" s="423">
        <f t="shared" si="30"/>
        <v>0</v>
      </c>
      <c r="AY93" s="425">
        <f t="shared" si="31"/>
        <v>0</v>
      </c>
    </row>
    <row r="94" spans="1:51" ht="13.9">
      <c r="A94" s="435" t="s">
        <v>257</v>
      </c>
      <c r="B94" s="436">
        <v>44256</v>
      </c>
      <c r="C94" s="437">
        <v>2021</v>
      </c>
      <c r="D94" s="421">
        <f t="shared" si="39"/>
        <v>141819</v>
      </c>
      <c r="E94" s="421">
        <f t="shared" si="39"/>
        <v>3362</v>
      </c>
      <c r="F94" s="422">
        <f t="shared" si="39"/>
        <v>2600</v>
      </c>
      <c r="G94" s="423">
        <f t="shared" si="39"/>
        <v>1018</v>
      </c>
      <c r="H94" s="423">
        <f t="shared" si="39"/>
        <v>0</v>
      </c>
      <c r="I94" s="423">
        <f t="shared" si="39"/>
        <v>1582</v>
      </c>
      <c r="J94" s="424">
        <f t="shared" si="39"/>
        <v>0</v>
      </c>
      <c r="K94" s="422">
        <f t="shared" si="39"/>
        <v>762</v>
      </c>
      <c r="L94" s="423">
        <f t="shared" si="39"/>
        <v>183</v>
      </c>
      <c r="M94" s="423">
        <f t="shared" si="39"/>
        <v>0</v>
      </c>
      <c r="N94" s="423">
        <f t="shared" si="39"/>
        <v>512</v>
      </c>
      <c r="O94" s="425">
        <f t="shared" si="39"/>
        <v>67</v>
      </c>
      <c r="P94" s="526">
        <f t="shared" si="18"/>
        <v>261</v>
      </c>
      <c r="Q94" s="423">
        <f t="shared" si="39"/>
        <v>5</v>
      </c>
      <c r="R94" s="422">
        <f t="shared" si="39"/>
        <v>5</v>
      </c>
      <c r="S94" s="423">
        <f t="shared" si="39"/>
        <v>2</v>
      </c>
      <c r="T94" s="423">
        <f t="shared" si="39"/>
        <v>0</v>
      </c>
      <c r="U94" s="423">
        <f t="shared" si="38"/>
        <v>3</v>
      </c>
      <c r="V94" s="424">
        <f t="shared" si="38"/>
        <v>0</v>
      </c>
      <c r="W94" s="422">
        <f t="shared" si="38"/>
        <v>0</v>
      </c>
      <c r="X94" s="423">
        <f t="shared" si="38"/>
        <v>0</v>
      </c>
      <c r="Y94" s="423">
        <f t="shared" si="38"/>
        <v>0</v>
      </c>
      <c r="Z94" s="423">
        <f t="shared" si="38"/>
        <v>0</v>
      </c>
      <c r="AA94" s="425">
        <f t="shared" si="38"/>
        <v>0</v>
      </c>
      <c r="AB94" s="424">
        <f t="shared" si="38"/>
        <v>25</v>
      </c>
      <c r="AC94" s="423">
        <f t="shared" si="38"/>
        <v>0</v>
      </c>
      <c r="AD94" s="422">
        <f t="shared" si="38"/>
        <v>0</v>
      </c>
      <c r="AE94" s="423">
        <f t="shared" si="38"/>
        <v>0</v>
      </c>
      <c r="AF94" s="423">
        <f t="shared" si="38"/>
        <v>0</v>
      </c>
      <c r="AG94" s="423">
        <f t="shared" si="40"/>
        <v>0</v>
      </c>
      <c r="AH94" s="424">
        <f t="shared" si="40"/>
        <v>0</v>
      </c>
      <c r="AI94" s="422">
        <f t="shared" si="40"/>
        <v>0</v>
      </c>
      <c r="AJ94" s="423">
        <f t="shared" si="40"/>
        <v>0</v>
      </c>
      <c r="AK94" s="423">
        <f t="shared" si="40"/>
        <v>0</v>
      </c>
      <c r="AL94" s="423">
        <f t="shared" si="40"/>
        <v>0</v>
      </c>
      <c r="AM94" s="425">
        <f t="shared" si="40"/>
        <v>0</v>
      </c>
      <c r="AO94" s="421">
        <f t="shared" si="21"/>
        <v>5</v>
      </c>
      <c r="AP94" s="422">
        <f t="shared" si="22"/>
        <v>5</v>
      </c>
      <c r="AQ94" s="423">
        <f t="shared" si="23"/>
        <v>2</v>
      </c>
      <c r="AR94" s="423">
        <f t="shared" si="24"/>
        <v>0</v>
      </c>
      <c r="AS94" s="423">
        <f t="shared" si="25"/>
        <v>3</v>
      </c>
      <c r="AT94" s="424">
        <f t="shared" si="26"/>
        <v>0</v>
      </c>
      <c r="AU94" s="422">
        <f t="shared" si="27"/>
        <v>0</v>
      </c>
      <c r="AV94" s="423">
        <f t="shared" si="28"/>
        <v>0</v>
      </c>
      <c r="AW94" s="423">
        <f t="shared" si="29"/>
        <v>0</v>
      </c>
      <c r="AX94" s="423">
        <f t="shared" si="30"/>
        <v>0</v>
      </c>
      <c r="AY94" s="425">
        <f t="shared" si="31"/>
        <v>0</v>
      </c>
    </row>
    <row r="95" spans="1:51" ht="13.9">
      <c r="A95" s="435" t="s">
        <v>258</v>
      </c>
      <c r="B95" s="436">
        <v>44287</v>
      </c>
      <c r="C95" s="437">
        <v>2021</v>
      </c>
      <c r="D95" s="421">
        <f t="shared" si="39"/>
        <v>180181</v>
      </c>
      <c r="E95" s="421">
        <f t="shared" si="39"/>
        <v>5148</v>
      </c>
      <c r="F95" s="422">
        <f t="shared" si="39"/>
        <v>3762</v>
      </c>
      <c r="G95" s="423">
        <f t="shared" si="39"/>
        <v>1702</v>
      </c>
      <c r="H95" s="423">
        <f t="shared" si="39"/>
        <v>0</v>
      </c>
      <c r="I95" s="423">
        <f t="shared" si="39"/>
        <v>2060</v>
      </c>
      <c r="J95" s="424">
        <f t="shared" si="39"/>
        <v>0</v>
      </c>
      <c r="K95" s="422">
        <f t="shared" si="39"/>
        <v>1386</v>
      </c>
      <c r="L95" s="423">
        <f t="shared" si="39"/>
        <v>267</v>
      </c>
      <c r="M95" s="423">
        <f t="shared" si="39"/>
        <v>0</v>
      </c>
      <c r="N95" s="423">
        <f t="shared" si="39"/>
        <v>1063</v>
      </c>
      <c r="O95" s="425">
        <f t="shared" si="39"/>
        <v>56</v>
      </c>
      <c r="P95" s="526">
        <f t="shared" si="18"/>
        <v>375</v>
      </c>
      <c r="Q95" s="423">
        <f t="shared" si="39"/>
        <v>2</v>
      </c>
      <c r="R95" s="422">
        <f t="shared" si="39"/>
        <v>2</v>
      </c>
      <c r="S95" s="423">
        <f t="shared" si="39"/>
        <v>1</v>
      </c>
      <c r="T95" s="423">
        <f t="shared" si="39"/>
        <v>0</v>
      </c>
      <c r="U95" s="423">
        <f t="shared" si="38"/>
        <v>1</v>
      </c>
      <c r="V95" s="424">
        <f t="shared" si="38"/>
        <v>0</v>
      </c>
      <c r="W95" s="422">
        <f t="shared" si="38"/>
        <v>0</v>
      </c>
      <c r="X95" s="423">
        <f t="shared" si="38"/>
        <v>0</v>
      </c>
      <c r="Y95" s="423">
        <f t="shared" si="38"/>
        <v>0</v>
      </c>
      <c r="Z95" s="423">
        <f t="shared" si="38"/>
        <v>0</v>
      </c>
      <c r="AA95" s="425">
        <f t="shared" si="38"/>
        <v>0</v>
      </c>
      <c r="AB95" s="424">
        <f t="shared" si="38"/>
        <v>42</v>
      </c>
      <c r="AC95" s="423">
        <f t="shared" si="38"/>
        <v>0</v>
      </c>
      <c r="AD95" s="422">
        <f t="shared" si="38"/>
        <v>0</v>
      </c>
      <c r="AE95" s="423">
        <f t="shared" si="38"/>
        <v>0</v>
      </c>
      <c r="AF95" s="423">
        <f t="shared" si="38"/>
        <v>0</v>
      </c>
      <c r="AG95" s="423">
        <f t="shared" si="40"/>
        <v>0</v>
      </c>
      <c r="AH95" s="424">
        <f t="shared" si="40"/>
        <v>0</v>
      </c>
      <c r="AI95" s="422">
        <f t="shared" si="40"/>
        <v>0</v>
      </c>
      <c r="AJ95" s="423">
        <f t="shared" si="40"/>
        <v>0</v>
      </c>
      <c r="AK95" s="423">
        <f t="shared" si="40"/>
        <v>0</v>
      </c>
      <c r="AL95" s="423">
        <f t="shared" si="40"/>
        <v>0</v>
      </c>
      <c r="AM95" s="425">
        <f t="shared" si="40"/>
        <v>0</v>
      </c>
      <c r="AO95" s="421">
        <f t="shared" si="21"/>
        <v>2</v>
      </c>
      <c r="AP95" s="422">
        <f t="shared" si="22"/>
        <v>2</v>
      </c>
      <c r="AQ95" s="423">
        <f t="shared" si="23"/>
        <v>1</v>
      </c>
      <c r="AR95" s="423">
        <f t="shared" si="24"/>
        <v>0</v>
      </c>
      <c r="AS95" s="423">
        <f t="shared" si="25"/>
        <v>1</v>
      </c>
      <c r="AT95" s="424">
        <f t="shared" si="26"/>
        <v>0</v>
      </c>
      <c r="AU95" s="422">
        <f t="shared" si="27"/>
        <v>0</v>
      </c>
      <c r="AV95" s="423">
        <f t="shared" si="28"/>
        <v>0</v>
      </c>
      <c r="AW95" s="423">
        <f t="shared" si="29"/>
        <v>0</v>
      </c>
      <c r="AX95" s="423">
        <f t="shared" si="30"/>
        <v>0</v>
      </c>
      <c r="AY95" s="425">
        <f t="shared" si="31"/>
        <v>0</v>
      </c>
    </row>
    <row r="96" spans="1:51" ht="13.9">
      <c r="A96" s="435" t="s">
        <v>258</v>
      </c>
      <c r="B96" s="436">
        <v>44317</v>
      </c>
      <c r="C96" s="437">
        <v>2021</v>
      </c>
      <c r="D96" s="421">
        <f t="shared" si="39"/>
        <v>180181</v>
      </c>
      <c r="E96" s="421">
        <f t="shared" si="39"/>
        <v>5148</v>
      </c>
      <c r="F96" s="422">
        <f t="shared" si="39"/>
        <v>3762</v>
      </c>
      <c r="G96" s="423">
        <f t="shared" si="39"/>
        <v>1702</v>
      </c>
      <c r="H96" s="423">
        <f t="shared" si="39"/>
        <v>0</v>
      </c>
      <c r="I96" s="423">
        <f t="shared" si="39"/>
        <v>2060</v>
      </c>
      <c r="J96" s="424">
        <f t="shared" si="39"/>
        <v>0</v>
      </c>
      <c r="K96" s="422">
        <f t="shared" si="39"/>
        <v>1386</v>
      </c>
      <c r="L96" s="423">
        <f t="shared" si="39"/>
        <v>267</v>
      </c>
      <c r="M96" s="423">
        <f t="shared" si="39"/>
        <v>0</v>
      </c>
      <c r="N96" s="423">
        <f t="shared" si="39"/>
        <v>1063</v>
      </c>
      <c r="O96" s="425">
        <f t="shared" si="39"/>
        <v>56</v>
      </c>
      <c r="P96" s="526">
        <f t="shared" si="18"/>
        <v>375</v>
      </c>
      <c r="Q96" s="423">
        <f t="shared" si="39"/>
        <v>2</v>
      </c>
      <c r="R96" s="422">
        <f t="shared" si="39"/>
        <v>2</v>
      </c>
      <c r="S96" s="423">
        <f t="shared" si="39"/>
        <v>1</v>
      </c>
      <c r="T96" s="423">
        <f t="shared" si="39"/>
        <v>0</v>
      </c>
      <c r="U96" s="423">
        <f t="shared" si="38"/>
        <v>1</v>
      </c>
      <c r="V96" s="424">
        <f t="shared" si="38"/>
        <v>0</v>
      </c>
      <c r="W96" s="422">
        <f t="shared" si="38"/>
        <v>0</v>
      </c>
      <c r="X96" s="423">
        <f t="shared" si="38"/>
        <v>0</v>
      </c>
      <c r="Y96" s="423">
        <f t="shared" si="38"/>
        <v>0</v>
      </c>
      <c r="Z96" s="423">
        <f t="shared" si="38"/>
        <v>0</v>
      </c>
      <c r="AA96" s="425">
        <f t="shared" si="38"/>
        <v>0</v>
      </c>
      <c r="AB96" s="424">
        <f t="shared" si="38"/>
        <v>42</v>
      </c>
      <c r="AC96" s="423">
        <f t="shared" si="38"/>
        <v>0</v>
      </c>
      <c r="AD96" s="422">
        <f t="shared" si="38"/>
        <v>0</v>
      </c>
      <c r="AE96" s="423">
        <f t="shared" si="38"/>
        <v>0</v>
      </c>
      <c r="AF96" s="423">
        <f t="shared" si="38"/>
        <v>0</v>
      </c>
      <c r="AG96" s="423">
        <f t="shared" si="40"/>
        <v>0</v>
      </c>
      <c r="AH96" s="424">
        <f t="shared" si="40"/>
        <v>0</v>
      </c>
      <c r="AI96" s="422">
        <f t="shared" si="40"/>
        <v>0</v>
      </c>
      <c r="AJ96" s="423">
        <f t="shared" si="40"/>
        <v>0</v>
      </c>
      <c r="AK96" s="423">
        <f t="shared" si="40"/>
        <v>0</v>
      </c>
      <c r="AL96" s="423">
        <f t="shared" si="40"/>
        <v>0</v>
      </c>
      <c r="AM96" s="425">
        <f t="shared" si="40"/>
        <v>0</v>
      </c>
      <c r="AO96" s="421">
        <f t="shared" si="21"/>
        <v>2</v>
      </c>
      <c r="AP96" s="422">
        <f t="shared" si="22"/>
        <v>2</v>
      </c>
      <c r="AQ96" s="423">
        <f t="shared" si="23"/>
        <v>1</v>
      </c>
      <c r="AR96" s="423">
        <f t="shared" si="24"/>
        <v>0</v>
      </c>
      <c r="AS96" s="423">
        <f t="shared" si="25"/>
        <v>1</v>
      </c>
      <c r="AT96" s="424">
        <f t="shared" si="26"/>
        <v>0</v>
      </c>
      <c r="AU96" s="422">
        <f t="shared" si="27"/>
        <v>0</v>
      </c>
      <c r="AV96" s="423">
        <f t="shared" si="28"/>
        <v>0</v>
      </c>
      <c r="AW96" s="423">
        <f t="shared" si="29"/>
        <v>0</v>
      </c>
      <c r="AX96" s="423">
        <f t="shared" si="30"/>
        <v>0</v>
      </c>
      <c r="AY96" s="425">
        <f t="shared" si="31"/>
        <v>0</v>
      </c>
    </row>
    <row r="97" spans="1:51" ht="13.9">
      <c r="A97" s="435" t="s">
        <v>258</v>
      </c>
      <c r="B97" s="436">
        <v>44348</v>
      </c>
      <c r="C97" s="437">
        <v>2021</v>
      </c>
      <c r="D97" s="421">
        <f t="shared" si="39"/>
        <v>180181</v>
      </c>
      <c r="E97" s="421">
        <f t="shared" si="39"/>
        <v>5148</v>
      </c>
      <c r="F97" s="422">
        <f t="shared" si="39"/>
        <v>3762</v>
      </c>
      <c r="G97" s="423">
        <f t="shared" si="39"/>
        <v>1702</v>
      </c>
      <c r="H97" s="423">
        <f t="shared" si="39"/>
        <v>0</v>
      </c>
      <c r="I97" s="423">
        <f t="shared" si="39"/>
        <v>2060</v>
      </c>
      <c r="J97" s="424">
        <f t="shared" si="39"/>
        <v>0</v>
      </c>
      <c r="K97" s="422">
        <f t="shared" si="39"/>
        <v>1386</v>
      </c>
      <c r="L97" s="423">
        <f t="shared" si="39"/>
        <v>267</v>
      </c>
      <c r="M97" s="423">
        <f t="shared" si="39"/>
        <v>0</v>
      </c>
      <c r="N97" s="423">
        <f t="shared" si="39"/>
        <v>1063</v>
      </c>
      <c r="O97" s="425">
        <f t="shared" si="39"/>
        <v>56</v>
      </c>
      <c r="P97" s="526">
        <f t="shared" si="18"/>
        <v>375</v>
      </c>
      <c r="Q97" s="423">
        <f t="shared" si="39"/>
        <v>2</v>
      </c>
      <c r="R97" s="422">
        <f t="shared" si="39"/>
        <v>2</v>
      </c>
      <c r="S97" s="423">
        <f t="shared" si="39"/>
        <v>1</v>
      </c>
      <c r="T97" s="423">
        <f t="shared" si="39"/>
        <v>0</v>
      </c>
      <c r="U97" s="423">
        <f t="shared" si="38"/>
        <v>1</v>
      </c>
      <c r="V97" s="424">
        <f t="shared" si="38"/>
        <v>0</v>
      </c>
      <c r="W97" s="422">
        <f t="shared" si="38"/>
        <v>0</v>
      </c>
      <c r="X97" s="423">
        <f t="shared" si="38"/>
        <v>0</v>
      </c>
      <c r="Y97" s="423">
        <f t="shared" si="38"/>
        <v>0</v>
      </c>
      <c r="Z97" s="423">
        <f t="shared" si="38"/>
        <v>0</v>
      </c>
      <c r="AA97" s="425">
        <f t="shared" si="38"/>
        <v>0</v>
      </c>
      <c r="AB97" s="424">
        <f t="shared" si="38"/>
        <v>42</v>
      </c>
      <c r="AC97" s="423">
        <f t="shared" si="38"/>
        <v>0</v>
      </c>
      <c r="AD97" s="422">
        <f t="shared" si="38"/>
        <v>0</v>
      </c>
      <c r="AE97" s="423">
        <f t="shared" si="38"/>
        <v>0</v>
      </c>
      <c r="AF97" s="423">
        <f t="shared" si="38"/>
        <v>0</v>
      </c>
      <c r="AG97" s="423">
        <f t="shared" si="40"/>
        <v>0</v>
      </c>
      <c r="AH97" s="424">
        <f t="shared" si="40"/>
        <v>0</v>
      </c>
      <c r="AI97" s="422">
        <f t="shared" si="40"/>
        <v>0</v>
      </c>
      <c r="AJ97" s="423">
        <f t="shared" si="40"/>
        <v>0</v>
      </c>
      <c r="AK97" s="423">
        <f t="shared" si="40"/>
        <v>0</v>
      </c>
      <c r="AL97" s="423">
        <f t="shared" si="40"/>
        <v>0</v>
      </c>
      <c r="AM97" s="425">
        <f t="shared" si="40"/>
        <v>0</v>
      </c>
      <c r="AO97" s="421">
        <f t="shared" si="21"/>
        <v>2</v>
      </c>
      <c r="AP97" s="422">
        <f t="shared" si="22"/>
        <v>2</v>
      </c>
      <c r="AQ97" s="423">
        <f t="shared" si="23"/>
        <v>1</v>
      </c>
      <c r="AR97" s="423">
        <f t="shared" si="24"/>
        <v>0</v>
      </c>
      <c r="AS97" s="423">
        <f t="shared" si="25"/>
        <v>1</v>
      </c>
      <c r="AT97" s="424">
        <f t="shared" si="26"/>
        <v>0</v>
      </c>
      <c r="AU97" s="422">
        <f t="shared" si="27"/>
        <v>0</v>
      </c>
      <c r="AV97" s="423">
        <f t="shared" si="28"/>
        <v>0</v>
      </c>
      <c r="AW97" s="423">
        <f t="shared" si="29"/>
        <v>0</v>
      </c>
      <c r="AX97" s="423">
        <f t="shared" si="30"/>
        <v>0</v>
      </c>
      <c r="AY97" s="425">
        <f t="shared" si="31"/>
        <v>0</v>
      </c>
    </row>
    <row r="98" spans="1:51" ht="13.9">
      <c r="A98" s="435" t="s">
        <v>259</v>
      </c>
      <c r="B98" s="436">
        <v>44378</v>
      </c>
      <c r="C98" s="437">
        <v>2021</v>
      </c>
      <c r="D98" s="421">
        <f t="shared" si="39"/>
        <v>174638</v>
      </c>
      <c r="E98" s="421">
        <f t="shared" si="39"/>
        <v>5171</v>
      </c>
      <c r="F98" s="422">
        <f t="shared" si="39"/>
        <v>3672</v>
      </c>
      <c r="G98" s="423">
        <f t="shared" si="39"/>
        <v>2018</v>
      </c>
      <c r="H98" s="423">
        <f t="shared" si="39"/>
        <v>0</v>
      </c>
      <c r="I98" s="423">
        <f t="shared" si="39"/>
        <v>1654</v>
      </c>
      <c r="J98" s="424">
        <f t="shared" si="39"/>
        <v>0</v>
      </c>
      <c r="K98" s="422">
        <f t="shared" si="39"/>
        <v>1499</v>
      </c>
      <c r="L98" s="423">
        <f t="shared" si="39"/>
        <v>382</v>
      </c>
      <c r="M98" s="423">
        <f t="shared" si="39"/>
        <v>0</v>
      </c>
      <c r="N98" s="423">
        <f t="shared" si="39"/>
        <v>987</v>
      </c>
      <c r="O98" s="425">
        <f t="shared" si="39"/>
        <v>130</v>
      </c>
      <c r="P98" s="526">
        <f t="shared" si="18"/>
        <v>367</v>
      </c>
      <c r="Q98" s="423">
        <f t="shared" si="39"/>
        <v>4</v>
      </c>
      <c r="R98" s="422">
        <f t="shared" si="39"/>
        <v>2</v>
      </c>
      <c r="S98" s="423">
        <f t="shared" si="39"/>
        <v>1</v>
      </c>
      <c r="T98" s="423">
        <f t="shared" si="39"/>
        <v>0</v>
      </c>
      <c r="U98" s="423">
        <f t="shared" si="38"/>
        <v>1</v>
      </c>
      <c r="V98" s="424">
        <f t="shared" si="38"/>
        <v>0</v>
      </c>
      <c r="W98" s="422">
        <f t="shared" si="38"/>
        <v>2</v>
      </c>
      <c r="X98" s="423">
        <f t="shared" si="38"/>
        <v>0</v>
      </c>
      <c r="Y98" s="423">
        <f t="shared" si="38"/>
        <v>0</v>
      </c>
      <c r="Z98" s="423">
        <f t="shared" si="38"/>
        <v>2</v>
      </c>
      <c r="AA98" s="425">
        <f t="shared" si="38"/>
        <v>0</v>
      </c>
      <c r="AB98" s="424">
        <f t="shared" si="38"/>
        <v>39</v>
      </c>
      <c r="AC98" s="423">
        <f t="shared" si="38"/>
        <v>0</v>
      </c>
      <c r="AD98" s="422">
        <f t="shared" si="38"/>
        <v>0</v>
      </c>
      <c r="AE98" s="423">
        <f t="shared" si="38"/>
        <v>0</v>
      </c>
      <c r="AF98" s="423">
        <f t="shared" si="38"/>
        <v>0</v>
      </c>
      <c r="AG98" s="423">
        <f t="shared" si="40"/>
        <v>0</v>
      </c>
      <c r="AH98" s="424">
        <f t="shared" si="40"/>
        <v>0</v>
      </c>
      <c r="AI98" s="422">
        <f t="shared" si="40"/>
        <v>0</v>
      </c>
      <c r="AJ98" s="423">
        <f t="shared" si="40"/>
        <v>0</v>
      </c>
      <c r="AK98" s="423">
        <f t="shared" si="40"/>
        <v>0</v>
      </c>
      <c r="AL98" s="423">
        <f t="shared" si="40"/>
        <v>0</v>
      </c>
      <c r="AM98" s="425">
        <f t="shared" si="40"/>
        <v>0</v>
      </c>
      <c r="AO98" s="421">
        <f t="shared" si="21"/>
        <v>4</v>
      </c>
      <c r="AP98" s="422">
        <f t="shared" si="22"/>
        <v>2</v>
      </c>
      <c r="AQ98" s="423">
        <f t="shared" si="23"/>
        <v>1</v>
      </c>
      <c r="AR98" s="423">
        <f t="shared" si="24"/>
        <v>0</v>
      </c>
      <c r="AS98" s="423">
        <f t="shared" si="25"/>
        <v>1</v>
      </c>
      <c r="AT98" s="424">
        <f t="shared" si="26"/>
        <v>0</v>
      </c>
      <c r="AU98" s="422">
        <f t="shared" si="27"/>
        <v>2</v>
      </c>
      <c r="AV98" s="423">
        <f t="shared" si="28"/>
        <v>0</v>
      </c>
      <c r="AW98" s="423">
        <f t="shared" si="29"/>
        <v>0</v>
      </c>
      <c r="AX98" s="423">
        <f t="shared" si="30"/>
        <v>2</v>
      </c>
      <c r="AY98" s="425">
        <f t="shared" si="31"/>
        <v>0</v>
      </c>
    </row>
    <row r="99" spans="1:51" ht="13.9">
      <c r="A99" s="435" t="s">
        <v>259</v>
      </c>
      <c r="B99" s="436">
        <v>44409</v>
      </c>
      <c r="C99" s="437">
        <v>2021</v>
      </c>
      <c r="D99" s="421">
        <f t="shared" si="39"/>
        <v>174638</v>
      </c>
      <c r="E99" s="421">
        <f t="shared" si="39"/>
        <v>5171</v>
      </c>
      <c r="F99" s="422">
        <f t="shared" si="39"/>
        <v>3672</v>
      </c>
      <c r="G99" s="423">
        <f t="shared" si="39"/>
        <v>2018</v>
      </c>
      <c r="H99" s="423">
        <f t="shared" si="39"/>
        <v>0</v>
      </c>
      <c r="I99" s="423">
        <f t="shared" si="39"/>
        <v>1654</v>
      </c>
      <c r="J99" s="424">
        <f t="shared" si="39"/>
        <v>0</v>
      </c>
      <c r="K99" s="422">
        <f t="shared" si="39"/>
        <v>1499</v>
      </c>
      <c r="L99" s="423">
        <f t="shared" si="39"/>
        <v>382</v>
      </c>
      <c r="M99" s="423">
        <f t="shared" si="39"/>
        <v>0</v>
      </c>
      <c r="N99" s="423">
        <f t="shared" si="39"/>
        <v>987</v>
      </c>
      <c r="O99" s="425">
        <f t="shared" si="39"/>
        <v>130</v>
      </c>
      <c r="P99" s="526">
        <f t="shared" si="18"/>
        <v>367</v>
      </c>
      <c r="Q99" s="423">
        <f t="shared" si="39"/>
        <v>4</v>
      </c>
      <c r="R99" s="422">
        <f t="shared" si="39"/>
        <v>2</v>
      </c>
      <c r="S99" s="423">
        <f t="shared" si="39"/>
        <v>1</v>
      </c>
      <c r="T99" s="423">
        <f t="shared" si="39"/>
        <v>0</v>
      </c>
      <c r="U99" s="423">
        <f t="shared" si="38"/>
        <v>1</v>
      </c>
      <c r="V99" s="424">
        <f t="shared" si="38"/>
        <v>0</v>
      </c>
      <c r="W99" s="422">
        <f t="shared" si="38"/>
        <v>2</v>
      </c>
      <c r="X99" s="423">
        <f t="shared" si="38"/>
        <v>0</v>
      </c>
      <c r="Y99" s="423">
        <f t="shared" si="38"/>
        <v>0</v>
      </c>
      <c r="Z99" s="423">
        <f t="shared" si="38"/>
        <v>2</v>
      </c>
      <c r="AA99" s="425">
        <f t="shared" si="38"/>
        <v>0</v>
      </c>
      <c r="AB99" s="424">
        <f t="shared" si="38"/>
        <v>39</v>
      </c>
      <c r="AC99" s="423">
        <f t="shared" si="38"/>
        <v>0</v>
      </c>
      <c r="AD99" s="422">
        <f t="shared" si="38"/>
        <v>0</v>
      </c>
      <c r="AE99" s="423">
        <f t="shared" si="38"/>
        <v>0</v>
      </c>
      <c r="AF99" s="423">
        <f t="shared" si="38"/>
        <v>0</v>
      </c>
      <c r="AG99" s="423">
        <f t="shared" si="40"/>
        <v>0</v>
      </c>
      <c r="AH99" s="424">
        <f t="shared" si="40"/>
        <v>0</v>
      </c>
      <c r="AI99" s="422">
        <f t="shared" si="40"/>
        <v>0</v>
      </c>
      <c r="AJ99" s="423">
        <f t="shared" si="40"/>
        <v>0</v>
      </c>
      <c r="AK99" s="423">
        <f t="shared" si="40"/>
        <v>0</v>
      </c>
      <c r="AL99" s="423">
        <f t="shared" si="40"/>
        <v>0</v>
      </c>
      <c r="AM99" s="425">
        <f t="shared" si="40"/>
        <v>0</v>
      </c>
      <c r="AO99" s="421">
        <f t="shared" si="21"/>
        <v>4</v>
      </c>
      <c r="AP99" s="422">
        <f t="shared" si="22"/>
        <v>2</v>
      </c>
      <c r="AQ99" s="423">
        <f t="shared" si="23"/>
        <v>1</v>
      </c>
      <c r="AR99" s="423">
        <f t="shared" si="24"/>
        <v>0</v>
      </c>
      <c r="AS99" s="423">
        <f t="shared" si="25"/>
        <v>1</v>
      </c>
      <c r="AT99" s="424">
        <f t="shared" si="26"/>
        <v>0</v>
      </c>
      <c r="AU99" s="422">
        <f t="shared" si="27"/>
        <v>2</v>
      </c>
      <c r="AV99" s="423">
        <f t="shared" si="28"/>
        <v>0</v>
      </c>
      <c r="AW99" s="423">
        <f t="shared" si="29"/>
        <v>0</v>
      </c>
      <c r="AX99" s="423">
        <f t="shared" si="30"/>
        <v>2</v>
      </c>
      <c r="AY99" s="425">
        <f t="shared" si="31"/>
        <v>0</v>
      </c>
    </row>
    <row r="100" spans="1:51" ht="13.9">
      <c r="A100" s="435" t="s">
        <v>259</v>
      </c>
      <c r="B100" s="436">
        <v>44440</v>
      </c>
      <c r="C100" s="437">
        <v>2021</v>
      </c>
      <c r="D100" s="421">
        <f t="shared" si="39"/>
        <v>174638</v>
      </c>
      <c r="E100" s="421">
        <f t="shared" si="39"/>
        <v>5171</v>
      </c>
      <c r="F100" s="422">
        <f t="shared" si="39"/>
        <v>3672</v>
      </c>
      <c r="G100" s="423">
        <f t="shared" si="39"/>
        <v>2018</v>
      </c>
      <c r="H100" s="423">
        <f t="shared" si="39"/>
        <v>0</v>
      </c>
      <c r="I100" s="423">
        <f t="shared" si="39"/>
        <v>1654</v>
      </c>
      <c r="J100" s="424">
        <f t="shared" si="39"/>
        <v>0</v>
      </c>
      <c r="K100" s="422">
        <f t="shared" si="39"/>
        <v>1499</v>
      </c>
      <c r="L100" s="423">
        <f t="shared" si="39"/>
        <v>382</v>
      </c>
      <c r="M100" s="423">
        <f t="shared" si="39"/>
        <v>0</v>
      </c>
      <c r="N100" s="423">
        <f t="shared" si="39"/>
        <v>987</v>
      </c>
      <c r="O100" s="425">
        <f t="shared" si="39"/>
        <v>130</v>
      </c>
      <c r="P100" s="526">
        <f t="shared" si="18"/>
        <v>367</v>
      </c>
      <c r="Q100" s="423">
        <f t="shared" si="39"/>
        <v>4</v>
      </c>
      <c r="R100" s="422">
        <f t="shared" si="39"/>
        <v>2</v>
      </c>
      <c r="S100" s="423">
        <f t="shared" si="39"/>
        <v>1</v>
      </c>
      <c r="T100" s="423">
        <f t="shared" si="39"/>
        <v>0</v>
      </c>
      <c r="U100" s="423">
        <f t="shared" si="38"/>
        <v>1</v>
      </c>
      <c r="V100" s="424">
        <f t="shared" si="38"/>
        <v>0</v>
      </c>
      <c r="W100" s="422">
        <f t="shared" si="38"/>
        <v>2</v>
      </c>
      <c r="X100" s="423">
        <f t="shared" si="38"/>
        <v>0</v>
      </c>
      <c r="Y100" s="423">
        <f t="shared" si="38"/>
        <v>0</v>
      </c>
      <c r="Z100" s="423">
        <f t="shared" si="38"/>
        <v>2</v>
      </c>
      <c r="AA100" s="425">
        <f t="shared" si="38"/>
        <v>0</v>
      </c>
      <c r="AB100" s="424">
        <f t="shared" si="38"/>
        <v>39</v>
      </c>
      <c r="AC100" s="423">
        <f t="shared" si="38"/>
        <v>0</v>
      </c>
      <c r="AD100" s="422">
        <f t="shared" si="38"/>
        <v>0</v>
      </c>
      <c r="AE100" s="423">
        <f t="shared" si="38"/>
        <v>0</v>
      </c>
      <c r="AF100" s="423">
        <f t="shared" si="38"/>
        <v>0</v>
      </c>
      <c r="AG100" s="423">
        <f t="shared" si="40"/>
        <v>0</v>
      </c>
      <c r="AH100" s="424">
        <f t="shared" si="40"/>
        <v>0</v>
      </c>
      <c r="AI100" s="422">
        <f t="shared" si="40"/>
        <v>0</v>
      </c>
      <c r="AJ100" s="423">
        <f t="shared" si="40"/>
        <v>0</v>
      </c>
      <c r="AK100" s="423">
        <f t="shared" si="40"/>
        <v>0</v>
      </c>
      <c r="AL100" s="423">
        <f t="shared" si="40"/>
        <v>0</v>
      </c>
      <c r="AM100" s="425">
        <f t="shared" si="40"/>
        <v>0</v>
      </c>
      <c r="AO100" s="421">
        <f t="shared" si="21"/>
        <v>4</v>
      </c>
      <c r="AP100" s="422">
        <f t="shared" si="22"/>
        <v>2</v>
      </c>
      <c r="AQ100" s="423">
        <f t="shared" si="23"/>
        <v>1</v>
      </c>
      <c r="AR100" s="423">
        <f t="shared" si="24"/>
        <v>0</v>
      </c>
      <c r="AS100" s="423">
        <f t="shared" si="25"/>
        <v>1</v>
      </c>
      <c r="AT100" s="424">
        <f t="shared" si="26"/>
        <v>0</v>
      </c>
      <c r="AU100" s="422">
        <f t="shared" si="27"/>
        <v>2</v>
      </c>
      <c r="AV100" s="423">
        <f t="shared" si="28"/>
        <v>0</v>
      </c>
      <c r="AW100" s="423">
        <f t="shared" si="29"/>
        <v>0</v>
      </c>
      <c r="AX100" s="423">
        <f t="shared" si="30"/>
        <v>2</v>
      </c>
      <c r="AY100" s="425">
        <f t="shared" si="31"/>
        <v>0</v>
      </c>
    </row>
    <row r="101" spans="1:51" ht="13.9">
      <c r="A101" s="435" t="s">
        <v>260</v>
      </c>
      <c r="B101" s="436">
        <v>44470</v>
      </c>
      <c r="C101" s="437">
        <v>2021</v>
      </c>
      <c r="D101" s="421">
        <f t="shared" si="39"/>
        <v>130630</v>
      </c>
      <c r="E101" s="421">
        <f t="shared" si="39"/>
        <v>6129</v>
      </c>
      <c r="F101" s="422">
        <f t="shared" si="39"/>
        <v>4787</v>
      </c>
      <c r="G101" s="423">
        <f t="shared" si="39"/>
        <v>2342</v>
      </c>
      <c r="H101" s="423">
        <f t="shared" si="39"/>
        <v>0</v>
      </c>
      <c r="I101" s="423">
        <f t="shared" si="39"/>
        <v>2445</v>
      </c>
      <c r="J101" s="424">
        <f t="shared" si="39"/>
        <v>0</v>
      </c>
      <c r="K101" s="422">
        <f t="shared" si="39"/>
        <v>1342</v>
      </c>
      <c r="L101" s="423">
        <f t="shared" si="39"/>
        <v>199</v>
      </c>
      <c r="M101" s="423">
        <f t="shared" si="39"/>
        <v>0</v>
      </c>
      <c r="N101" s="423">
        <f t="shared" si="39"/>
        <v>1114</v>
      </c>
      <c r="O101" s="425">
        <f t="shared" si="39"/>
        <v>29</v>
      </c>
      <c r="P101" s="526">
        <f t="shared" si="18"/>
        <v>245</v>
      </c>
      <c r="Q101" s="423">
        <f t="shared" si="39"/>
        <v>2</v>
      </c>
      <c r="R101" s="422">
        <f t="shared" si="39"/>
        <v>1</v>
      </c>
      <c r="S101" s="423">
        <f t="shared" si="39"/>
        <v>1</v>
      </c>
      <c r="T101" s="423">
        <f t="shared" si="39"/>
        <v>0</v>
      </c>
      <c r="U101" s="423">
        <f t="shared" si="38"/>
        <v>0</v>
      </c>
      <c r="V101" s="424">
        <f t="shared" si="38"/>
        <v>0</v>
      </c>
      <c r="W101" s="422">
        <f t="shared" si="38"/>
        <v>1</v>
      </c>
      <c r="X101" s="423">
        <f t="shared" si="38"/>
        <v>0</v>
      </c>
      <c r="Y101" s="423">
        <f t="shared" si="38"/>
        <v>0</v>
      </c>
      <c r="Z101" s="423">
        <f t="shared" si="38"/>
        <v>1</v>
      </c>
      <c r="AA101" s="425">
        <f t="shared" si="38"/>
        <v>0</v>
      </c>
      <c r="AB101" s="424">
        <f t="shared" si="38"/>
        <v>23</v>
      </c>
      <c r="AC101" s="423">
        <f t="shared" si="38"/>
        <v>0</v>
      </c>
      <c r="AD101" s="422">
        <f t="shared" si="38"/>
        <v>0</v>
      </c>
      <c r="AE101" s="423">
        <f t="shared" si="38"/>
        <v>0</v>
      </c>
      <c r="AF101" s="423">
        <f t="shared" si="38"/>
        <v>0</v>
      </c>
      <c r="AG101" s="423">
        <f t="shared" si="40"/>
        <v>0</v>
      </c>
      <c r="AH101" s="424">
        <f t="shared" si="40"/>
        <v>0</v>
      </c>
      <c r="AI101" s="422">
        <f t="shared" si="40"/>
        <v>0</v>
      </c>
      <c r="AJ101" s="423">
        <f t="shared" si="40"/>
        <v>0</v>
      </c>
      <c r="AK101" s="423">
        <f t="shared" si="40"/>
        <v>0</v>
      </c>
      <c r="AL101" s="423">
        <f t="shared" si="40"/>
        <v>0</v>
      </c>
      <c r="AM101" s="425">
        <f t="shared" si="40"/>
        <v>0</v>
      </c>
      <c r="AO101" s="421">
        <f t="shared" si="21"/>
        <v>2</v>
      </c>
      <c r="AP101" s="422">
        <f t="shared" si="22"/>
        <v>1</v>
      </c>
      <c r="AQ101" s="423">
        <f t="shared" si="23"/>
        <v>1</v>
      </c>
      <c r="AR101" s="423">
        <f t="shared" si="24"/>
        <v>0</v>
      </c>
      <c r="AS101" s="423">
        <f t="shared" si="25"/>
        <v>0</v>
      </c>
      <c r="AT101" s="424">
        <f t="shared" si="26"/>
        <v>0</v>
      </c>
      <c r="AU101" s="422">
        <f t="shared" si="27"/>
        <v>1</v>
      </c>
      <c r="AV101" s="423">
        <f t="shared" si="28"/>
        <v>0</v>
      </c>
      <c r="AW101" s="423">
        <f t="shared" si="29"/>
        <v>0</v>
      </c>
      <c r="AX101" s="423">
        <f t="shared" si="30"/>
        <v>1</v>
      </c>
      <c r="AY101" s="425">
        <f t="shared" si="31"/>
        <v>0</v>
      </c>
    </row>
    <row r="102" spans="1:51" ht="13.9">
      <c r="A102" s="435" t="s">
        <v>260</v>
      </c>
      <c r="B102" s="436">
        <v>44501</v>
      </c>
      <c r="C102" s="437">
        <v>2021</v>
      </c>
      <c r="D102" s="421">
        <f t="shared" si="39"/>
        <v>130630</v>
      </c>
      <c r="E102" s="421">
        <f t="shared" si="39"/>
        <v>6129</v>
      </c>
      <c r="F102" s="422">
        <f t="shared" si="39"/>
        <v>4787</v>
      </c>
      <c r="G102" s="423">
        <f t="shared" si="39"/>
        <v>2342</v>
      </c>
      <c r="H102" s="423">
        <f t="shared" si="39"/>
        <v>0</v>
      </c>
      <c r="I102" s="423">
        <f t="shared" si="39"/>
        <v>2445</v>
      </c>
      <c r="J102" s="424">
        <f t="shared" si="39"/>
        <v>0</v>
      </c>
      <c r="K102" s="422">
        <f t="shared" si="39"/>
        <v>1342</v>
      </c>
      <c r="L102" s="423">
        <f t="shared" si="39"/>
        <v>199</v>
      </c>
      <c r="M102" s="423">
        <f t="shared" si="39"/>
        <v>0</v>
      </c>
      <c r="N102" s="423">
        <f t="shared" si="39"/>
        <v>1114</v>
      </c>
      <c r="O102" s="425">
        <f t="shared" si="39"/>
        <v>29</v>
      </c>
      <c r="P102" s="526">
        <f t="shared" si="18"/>
        <v>245</v>
      </c>
      <c r="Q102" s="423">
        <f t="shared" si="39"/>
        <v>2</v>
      </c>
      <c r="R102" s="422">
        <f t="shared" si="39"/>
        <v>1</v>
      </c>
      <c r="S102" s="423">
        <f t="shared" si="39"/>
        <v>1</v>
      </c>
      <c r="T102" s="423">
        <f t="shared" si="39"/>
        <v>0</v>
      </c>
      <c r="U102" s="423">
        <f t="shared" si="38"/>
        <v>0</v>
      </c>
      <c r="V102" s="424">
        <f t="shared" si="38"/>
        <v>0</v>
      </c>
      <c r="W102" s="422">
        <f t="shared" si="38"/>
        <v>1</v>
      </c>
      <c r="X102" s="423">
        <f t="shared" si="38"/>
        <v>0</v>
      </c>
      <c r="Y102" s="423">
        <f t="shared" si="38"/>
        <v>0</v>
      </c>
      <c r="Z102" s="423">
        <f t="shared" si="38"/>
        <v>1</v>
      </c>
      <c r="AA102" s="425">
        <f t="shared" si="38"/>
        <v>0</v>
      </c>
      <c r="AB102" s="424">
        <f t="shared" si="38"/>
        <v>23</v>
      </c>
      <c r="AC102" s="423">
        <f t="shared" si="38"/>
        <v>0</v>
      </c>
      <c r="AD102" s="422">
        <f t="shared" si="38"/>
        <v>0</v>
      </c>
      <c r="AE102" s="423">
        <f t="shared" si="38"/>
        <v>0</v>
      </c>
      <c r="AF102" s="423">
        <f t="shared" si="38"/>
        <v>0</v>
      </c>
      <c r="AG102" s="423">
        <f t="shared" si="40"/>
        <v>0</v>
      </c>
      <c r="AH102" s="424">
        <f t="shared" si="40"/>
        <v>0</v>
      </c>
      <c r="AI102" s="422">
        <f t="shared" si="40"/>
        <v>0</v>
      </c>
      <c r="AJ102" s="423">
        <f t="shared" si="40"/>
        <v>0</v>
      </c>
      <c r="AK102" s="423">
        <f t="shared" si="40"/>
        <v>0</v>
      </c>
      <c r="AL102" s="423">
        <f t="shared" si="40"/>
        <v>0</v>
      </c>
      <c r="AM102" s="425">
        <f t="shared" si="40"/>
        <v>0</v>
      </c>
      <c r="AO102" s="421">
        <f t="shared" si="21"/>
        <v>2</v>
      </c>
      <c r="AP102" s="422">
        <f t="shared" si="22"/>
        <v>1</v>
      </c>
      <c r="AQ102" s="423">
        <f t="shared" si="23"/>
        <v>1</v>
      </c>
      <c r="AR102" s="423">
        <f t="shared" si="24"/>
        <v>0</v>
      </c>
      <c r="AS102" s="423">
        <f t="shared" si="25"/>
        <v>0</v>
      </c>
      <c r="AT102" s="424">
        <f t="shared" si="26"/>
        <v>0</v>
      </c>
      <c r="AU102" s="422">
        <f t="shared" si="27"/>
        <v>1</v>
      </c>
      <c r="AV102" s="423">
        <f t="shared" si="28"/>
        <v>0</v>
      </c>
      <c r="AW102" s="423">
        <f t="shared" si="29"/>
        <v>0</v>
      </c>
      <c r="AX102" s="423">
        <f t="shared" si="30"/>
        <v>1</v>
      </c>
      <c r="AY102" s="425">
        <f t="shared" si="31"/>
        <v>0</v>
      </c>
    </row>
    <row r="103" spans="1:51" ht="13.9">
      <c r="A103" s="435" t="s">
        <v>260</v>
      </c>
      <c r="B103" s="436">
        <v>44531</v>
      </c>
      <c r="C103" s="437">
        <v>2021</v>
      </c>
      <c r="D103" s="421">
        <f t="shared" si="39"/>
        <v>130630</v>
      </c>
      <c r="E103" s="421">
        <f t="shared" si="39"/>
        <v>6129</v>
      </c>
      <c r="F103" s="422">
        <f t="shared" si="39"/>
        <v>4787</v>
      </c>
      <c r="G103" s="423">
        <f t="shared" si="39"/>
        <v>2342</v>
      </c>
      <c r="H103" s="423">
        <f t="shared" si="39"/>
        <v>0</v>
      </c>
      <c r="I103" s="423">
        <f t="shared" si="39"/>
        <v>2445</v>
      </c>
      <c r="J103" s="424">
        <f t="shared" si="39"/>
        <v>0</v>
      </c>
      <c r="K103" s="422">
        <f t="shared" si="39"/>
        <v>1342</v>
      </c>
      <c r="L103" s="423">
        <f t="shared" si="39"/>
        <v>199</v>
      </c>
      <c r="M103" s="423">
        <f t="shared" si="39"/>
        <v>0</v>
      </c>
      <c r="N103" s="423">
        <f t="shared" si="39"/>
        <v>1114</v>
      </c>
      <c r="O103" s="425">
        <f t="shared" si="39"/>
        <v>29</v>
      </c>
      <c r="P103" s="526">
        <f t="shared" si="18"/>
        <v>245</v>
      </c>
      <c r="Q103" s="423">
        <f t="shared" si="39"/>
        <v>2</v>
      </c>
      <c r="R103" s="422">
        <f t="shared" si="39"/>
        <v>1</v>
      </c>
      <c r="S103" s="423">
        <f t="shared" si="39"/>
        <v>1</v>
      </c>
      <c r="T103" s="423">
        <f t="shared" si="39"/>
        <v>0</v>
      </c>
      <c r="U103" s="423">
        <f t="shared" si="38"/>
        <v>0</v>
      </c>
      <c r="V103" s="424">
        <f t="shared" si="38"/>
        <v>0</v>
      </c>
      <c r="W103" s="422">
        <f t="shared" si="38"/>
        <v>1</v>
      </c>
      <c r="X103" s="423">
        <f t="shared" si="38"/>
        <v>0</v>
      </c>
      <c r="Y103" s="423">
        <f t="shared" si="38"/>
        <v>0</v>
      </c>
      <c r="Z103" s="423">
        <f t="shared" si="38"/>
        <v>1</v>
      </c>
      <c r="AA103" s="425">
        <f t="shared" si="38"/>
        <v>0</v>
      </c>
      <c r="AB103" s="424">
        <f t="shared" si="38"/>
        <v>23</v>
      </c>
      <c r="AC103" s="423">
        <f t="shared" si="38"/>
        <v>0</v>
      </c>
      <c r="AD103" s="422">
        <f t="shared" si="38"/>
        <v>0</v>
      </c>
      <c r="AE103" s="423">
        <f t="shared" si="38"/>
        <v>0</v>
      </c>
      <c r="AF103" s="423">
        <f t="shared" si="38"/>
        <v>0</v>
      </c>
      <c r="AG103" s="423">
        <f t="shared" si="40"/>
        <v>0</v>
      </c>
      <c r="AH103" s="424">
        <f t="shared" si="40"/>
        <v>0</v>
      </c>
      <c r="AI103" s="422">
        <f t="shared" si="40"/>
        <v>0</v>
      </c>
      <c r="AJ103" s="423">
        <f t="shared" si="40"/>
        <v>0</v>
      </c>
      <c r="AK103" s="423">
        <f t="shared" si="40"/>
        <v>0</v>
      </c>
      <c r="AL103" s="423">
        <f t="shared" si="40"/>
        <v>0</v>
      </c>
      <c r="AM103" s="425">
        <f t="shared" si="40"/>
        <v>0</v>
      </c>
      <c r="AO103" s="421">
        <f t="shared" si="21"/>
        <v>2</v>
      </c>
      <c r="AP103" s="422">
        <f t="shared" si="22"/>
        <v>1</v>
      </c>
      <c r="AQ103" s="423">
        <f t="shared" si="23"/>
        <v>1</v>
      </c>
      <c r="AR103" s="423">
        <f t="shared" si="24"/>
        <v>0</v>
      </c>
      <c r="AS103" s="423">
        <f t="shared" si="25"/>
        <v>0</v>
      </c>
      <c r="AT103" s="424">
        <f t="shared" si="26"/>
        <v>0</v>
      </c>
      <c r="AU103" s="422">
        <f t="shared" si="27"/>
        <v>1</v>
      </c>
      <c r="AV103" s="423">
        <f t="shared" si="28"/>
        <v>0</v>
      </c>
      <c r="AW103" s="423">
        <f t="shared" si="29"/>
        <v>0</v>
      </c>
      <c r="AX103" s="423">
        <f t="shared" si="30"/>
        <v>1</v>
      </c>
      <c r="AY103" s="425">
        <f t="shared" si="31"/>
        <v>0</v>
      </c>
    </row>
    <row r="104" spans="1:51" ht="13.9">
      <c r="A104" s="435" t="s">
        <v>261</v>
      </c>
      <c r="B104" s="436">
        <v>44562</v>
      </c>
      <c r="C104" s="437">
        <v>2022</v>
      </c>
      <c r="D104" s="421">
        <f t="shared" si="39"/>
        <v>135138</v>
      </c>
      <c r="E104" s="421">
        <f t="shared" si="39"/>
        <v>7124</v>
      </c>
      <c r="F104" s="422">
        <f t="shared" si="39"/>
        <v>5686</v>
      </c>
      <c r="G104" s="423">
        <f t="shared" si="39"/>
        <v>2869</v>
      </c>
      <c r="H104" s="423">
        <f t="shared" si="39"/>
        <v>0</v>
      </c>
      <c r="I104" s="423">
        <f t="shared" si="39"/>
        <v>2813</v>
      </c>
      <c r="J104" s="424">
        <f t="shared" si="39"/>
        <v>4</v>
      </c>
      <c r="K104" s="422">
        <f t="shared" si="39"/>
        <v>1438</v>
      </c>
      <c r="L104" s="423">
        <f t="shared" si="39"/>
        <v>152</v>
      </c>
      <c r="M104" s="423">
        <f t="shared" si="39"/>
        <v>0</v>
      </c>
      <c r="N104" s="423">
        <f t="shared" si="39"/>
        <v>1045</v>
      </c>
      <c r="O104" s="425">
        <f t="shared" si="39"/>
        <v>241</v>
      </c>
      <c r="P104" s="526">
        <f t="shared" si="18"/>
        <v>276</v>
      </c>
      <c r="Q104" s="423">
        <f t="shared" si="39"/>
        <v>4</v>
      </c>
      <c r="R104" s="422">
        <f t="shared" si="39"/>
        <v>3</v>
      </c>
      <c r="S104" s="423">
        <f t="shared" si="39"/>
        <v>2</v>
      </c>
      <c r="T104" s="423">
        <f t="shared" si="39"/>
        <v>0</v>
      </c>
      <c r="U104" s="423">
        <f t="shared" si="38"/>
        <v>1</v>
      </c>
      <c r="V104" s="424">
        <f t="shared" si="38"/>
        <v>0</v>
      </c>
      <c r="W104" s="422">
        <f t="shared" si="38"/>
        <v>1</v>
      </c>
      <c r="X104" s="423">
        <f t="shared" si="38"/>
        <v>0</v>
      </c>
      <c r="Y104" s="423">
        <f t="shared" si="38"/>
        <v>0</v>
      </c>
      <c r="Z104" s="423">
        <f t="shared" si="38"/>
        <v>0</v>
      </c>
      <c r="AA104" s="425">
        <f t="shared" si="38"/>
        <v>1</v>
      </c>
      <c r="AB104" s="424">
        <f t="shared" si="38"/>
        <v>28</v>
      </c>
      <c r="AC104" s="423">
        <f t="shared" si="38"/>
        <v>0</v>
      </c>
      <c r="AD104" s="422">
        <f t="shared" si="38"/>
        <v>0</v>
      </c>
      <c r="AE104" s="423">
        <f t="shared" si="38"/>
        <v>0</v>
      </c>
      <c r="AF104" s="423">
        <f t="shared" si="38"/>
        <v>0</v>
      </c>
      <c r="AG104" s="423">
        <f t="shared" si="40"/>
        <v>0</v>
      </c>
      <c r="AH104" s="424">
        <f t="shared" si="40"/>
        <v>0</v>
      </c>
      <c r="AI104" s="422">
        <f t="shared" si="40"/>
        <v>0</v>
      </c>
      <c r="AJ104" s="423">
        <f t="shared" si="40"/>
        <v>0</v>
      </c>
      <c r="AK104" s="423">
        <f t="shared" si="40"/>
        <v>0</v>
      </c>
      <c r="AL104" s="423">
        <f t="shared" si="40"/>
        <v>0</v>
      </c>
      <c r="AM104" s="425">
        <f t="shared" si="40"/>
        <v>0</v>
      </c>
      <c r="AO104" s="421">
        <f t="shared" si="21"/>
        <v>4</v>
      </c>
      <c r="AP104" s="422">
        <f t="shared" si="22"/>
        <v>3</v>
      </c>
      <c r="AQ104" s="423">
        <f t="shared" si="23"/>
        <v>2</v>
      </c>
      <c r="AR104" s="423">
        <f t="shared" si="24"/>
        <v>0</v>
      </c>
      <c r="AS104" s="423">
        <f t="shared" si="25"/>
        <v>1</v>
      </c>
      <c r="AT104" s="424">
        <f t="shared" si="26"/>
        <v>0</v>
      </c>
      <c r="AU104" s="422">
        <f t="shared" si="27"/>
        <v>1</v>
      </c>
      <c r="AV104" s="423">
        <f t="shared" si="28"/>
        <v>0</v>
      </c>
      <c r="AW104" s="423">
        <f t="shared" si="29"/>
        <v>0</v>
      </c>
      <c r="AX104" s="423">
        <f t="shared" si="30"/>
        <v>0</v>
      </c>
      <c r="AY104" s="425">
        <f t="shared" si="31"/>
        <v>1</v>
      </c>
    </row>
    <row r="105" spans="1:51" ht="13.9">
      <c r="A105" s="435" t="s">
        <v>261</v>
      </c>
      <c r="B105" s="436">
        <v>44593</v>
      </c>
      <c r="C105" s="437">
        <v>2022</v>
      </c>
      <c r="D105" s="421">
        <f t="shared" si="39"/>
        <v>135138</v>
      </c>
      <c r="E105" s="421">
        <f t="shared" si="39"/>
        <v>7124</v>
      </c>
      <c r="F105" s="422">
        <f t="shared" si="39"/>
        <v>5686</v>
      </c>
      <c r="G105" s="423">
        <f t="shared" si="39"/>
        <v>2869</v>
      </c>
      <c r="H105" s="423">
        <f t="shared" si="39"/>
        <v>0</v>
      </c>
      <c r="I105" s="423">
        <f t="shared" si="39"/>
        <v>2813</v>
      </c>
      <c r="J105" s="424">
        <f t="shared" si="39"/>
        <v>4</v>
      </c>
      <c r="K105" s="422">
        <f t="shared" si="39"/>
        <v>1438</v>
      </c>
      <c r="L105" s="423">
        <f t="shared" si="39"/>
        <v>152</v>
      </c>
      <c r="M105" s="423">
        <f t="shared" si="39"/>
        <v>0</v>
      </c>
      <c r="N105" s="423">
        <f t="shared" si="39"/>
        <v>1045</v>
      </c>
      <c r="O105" s="425">
        <f t="shared" si="39"/>
        <v>241</v>
      </c>
      <c r="P105" s="526">
        <f t="shared" si="18"/>
        <v>276</v>
      </c>
      <c r="Q105" s="423">
        <f t="shared" si="39"/>
        <v>4</v>
      </c>
      <c r="R105" s="422">
        <f t="shared" si="39"/>
        <v>3</v>
      </c>
      <c r="S105" s="423">
        <f t="shared" si="39"/>
        <v>2</v>
      </c>
      <c r="T105" s="423">
        <f t="shared" si="39"/>
        <v>0</v>
      </c>
      <c r="U105" s="423">
        <f t="shared" si="38"/>
        <v>1</v>
      </c>
      <c r="V105" s="424">
        <f t="shared" si="38"/>
        <v>0</v>
      </c>
      <c r="W105" s="422">
        <f t="shared" si="38"/>
        <v>1</v>
      </c>
      <c r="X105" s="423">
        <f t="shared" si="38"/>
        <v>0</v>
      </c>
      <c r="Y105" s="423">
        <f t="shared" si="38"/>
        <v>0</v>
      </c>
      <c r="Z105" s="423">
        <f t="shared" si="38"/>
        <v>0</v>
      </c>
      <c r="AA105" s="425">
        <f t="shared" si="38"/>
        <v>1</v>
      </c>
      <c r="AB105" s="424">
        <f t="shared" si="38"/>
        <v>28</v>
      </c>
      <c r="AC105" s="423">
        <f t="shared" si="38"/>
        <v>0</v>
      </c>
      <c r="AD105" s="422">
        <f t="shared" si="38"/>
        <v>0</v>
      </c>
      <c r="AE105" s="423">
        <f t="shared" si="38"/>
        <v>0</v>
      </c>
      <c r="AF105" s="423">
        <f t="shared" si="38"/>
        <v>0</v>
      </c>
      <c r="AG105" s="423">
        <f t="shared" si="40"/>
        <v>0</v>
      </c>
      <c r="AH105" s="424">
        <f t="shared" si="40"/>
        <v>0</v>
      </c>
      <c r="AI105" s="422">
        <f t="shared" si="40"/>
        <v>0</v>
      </c>
      <c r="AJ105" s="423">
        <f t="shared" si="40"/>
        <v>0</v>
      </c>
      <c r="AK105" s="423">
        <f t="shared" si="40"/>
        <v>0</v>
      </c>
      <c r="AL105" s="423">
        <f t="shared" si="40"/>
        <v>0</v>
      </c>
      <c r="AM105" s="425">
        <f t="shared" si="40"/>
        <v>0</v>
      </c>
      <c r="AO105" s="421">
        <f t="shared" si="21"/>
        <v>4</v>
      </c>
      <c r="AP105" s="422">
        <f t="shared" si="22"/>
        <v>3</v>
      </c>
      <c r="AQ105" s="423">
        <f t="shared" si="23"/>
        <v>2</v>
      </c>
      <c r="AR105" s="423">
        <f t="shared" si="24"/>
        <v>0</v>
      </c>
      <c r="AS105" s="423">
        <f t="shared" si="25"/>
        <v>1</v>
      </c>
      <c r="AT105" s="424">
        <f t="shared" si="26"/>
        <v>0</v>
      </c>
      <c r="AU105" s="422">
        <f t="shared" si="27"/>
        <v>1</v>
      </c>
      <c r="AV105" s="423">
        <f t="shared" si="28"/>
        <v>0</v>
      </c>
      <c r="AW105" s="423">
        <f t="shared" si="29"/>
        <v>0</v>
      </c>
      <c r="AX105" s="423">
        <f t="shared" si="30"/>
        <v>0</v>
      </c>
      <c r="AY105" s="425">
        <f t="shared" si="31"/>
        <v>1</v>
      </c>
    </row>
    <row r="106" spans="1:51" ht="13.9">
      <c r="A106" s="435" t="s">
        <v>261</v>
      </c>
      <c r="B106" s="436">
        <v>44621</v>
      </c>
      <c r="C106" s="437">
        <v>2022</v>
      </c>
      <c r="D106" s="421">
        <f t="shared" si="39"/>
        <v>135138</v>
      </c>
      <c r="E106" s="421">
        <f t="shared" si="39"/>
        <v>7124</v>
      </c>
      <c r="F106" s="422">
        <f t="shared" si="39"/>
        <v>5686</v>
      </c>
      <c r="G106" s="423">
        <f t="shared" si="39"/>
        <v>2869</v>
      </c>
      <c r="H106" s="423">
        <f t="shared" si="39"/>
        <v>0</v>
      </c>
      <c r="I106" s="423">
        <f t="shared" si="39"/>
        <v>2813</v>
      </c>
      <c r="J106" s="424">
        <f t="shared" si="39"/>
        <v>4</v>
      </c>
      <c r="K106" s="422">
        <f t="shared" si="39"/>
        <v>1438</v>
      </c>
      <c r="L106" s="423">
        <f t="shared" si="39"/>
        <v>152</v>
      </c>
      <c r="M106" s="423">
        <f t="shared" si="39"/>
        <v>0</v>
      </c>
      <c r="N106" s="423">
        <f t="shared" si="39"/>
        <v>1045</v>
      </c>
      <c r="O106" s="425">
        <f t="shared" si="39"/>
        <v>241</v>
      </c>
      <c r="P106" s="526">
        <f t="shared" si="18"/>
        <v>276</v>
      </c>
      <c r="Q106" s="423">
        <f t="shared" si="39"/>
        <v>4</v>
      </c>
      <c r="R106" s="422">
        <f t="shared" si="39"/>
        <v>3</v>
      </c>
      <c r="S106" s="423">
        <f t="shared" si="39"/>
        <v>2</v>
      </c>
      <c r="T106" s="423">
        <f t="shared" si="39"/>
        <v>0</v>
      </c>
      <c r="U106" s="423">
        <f t="shared" si="38"/>
        <v>1</v>
      </c>
      <c r="V106" s="424">
        <f t="shared" si="38"/>
        <v>0</v>
      </c>
      <c r="W106" s="422">
        <f t="shared" si="38"/>
        <v>1</v>
      </c>
      <c r="X106" s="423">
        <f t="shared" si="38"/>
        <v>0</v>
      </c>
      <c r="Y106" s="423">
        <f t="shared" si="38"/>
        <v>0</v>
      </c>
      <c r="Z106" s="423">
        <f t="shared" si="38"/>
        <v>0</v>
      </c>
      <c r="AA106" s="425">
        <f t="shared" si="38"/>
        <v>1</v>
      </c>
      <c r="AB106" s="424">
        <f t="shared" si="38"/>
        <v>28</v>
      </c>
      <c r="AC106" s="423">
        <f t="shared" si="38"/>
        <v>0</v>
      </c>
      <c r="AD106" s="422">
        <f t="shared" si="38"/>
        <v>0</v>
      </c>
      <c r="AE106" s="423">
        <f t="shared" si="38"/>
        <v>0</v>
      </c>
      <c r="AF106" s="423">
        <f t="shared" si="38"/>
        <v>0</v>
      </c>
      <c r="AG106" s="423">
        <f t="shared" si="40"/>
        <v>0</v>
      </c>
      <c r="AH106" s="424">
        <f t="shared" si="40"/>
        <v>0</v>
      </c>
      <c r="AI106" s="422">
        <f t="shared" si="40"/>
        <v>0</v>
      </c>
      <c r="AJ106" s="423">
        <f t="shared" si="40"/>
        <v>0</v>
      </c>
      <c r="AK106" s="423">
        <f t="shared" si="40"/>
        <v>0</v>
      </c>
      <c r="AL106" s="423">
        <f t="shared" si="40"/>
        <v>0</v>
      </c>
      <c r="AM106" s="425">
        <f t="shared" si="40"/>
        <v>0</v>
      </c>
      <c r="AO106" s="421">
        <f t="shared" si="21"/>
        <v>4</v>
      </c>
      <c r="AP106" s="422">
        <f t="shared" si="22"/>
        <v>3</v>
      </c>
      <c r="AQ106" s="423">
        <f t="shared" si="23"/>
        <v>2</v>
      </c>
      <c r="AR106" s="423">
        <f t="shared" si="24"/>
        <v>0</v>
      </c>
      <c r="AS106" s="423">
        <f t="shared" si="25"/>
        <v>1</v>
      </c>
      <c r="AT106" s="424">
        <f t="shared" si="26"/>
        <v>0</v>
      </c>
      <c r="AU106" s="422">
        <f t="shared" si="27"/>
        <v>1</v>
      </c>
      <c r="AV106" s="423">
        <f t="shared" si="28"/>
        <v>0</v>
      </c>
      <c r="AW106" s="423">
        <f t="shared" si="29"/>
        <v>0</v>
      </c>
      <c r="AX106" s="423">
        <f t="shared" si="30"/>
        <v>0</v>
      </c>
      <c r="AY106" s="425">
        <f t="shared" si="31"/>
        <v>1</v>
      </c>
    </row>
    <row r="107" spans="1:51" ht="13.9">
      <c r="A107" s="435" t="s">
        <v>262</v>
      </c>
      <c r="B107" s="436">
        <v>44652</v>
      </c>
      <c r="C107" s="437">
        <v>2022</v>
      </c>
      <c r="D107" s="421">
        <f t="shared" si="39"/>
        <v>169244</v>
      </c>
      <c r="E107" s="421">
        <f t="shared" si="39"/>
        <v>9534</v>
      </c>
      <c r="F107" s="422">
        <f t="shared" si="39"/>
        <v>7875</v>
      </c>
      <c r="G107" s="423">
        <f t="shared" si="39"/>
        <v>2904</v>
      </c>
      <c r="H107" s="423">
        <f t="shared" si="39"/>
        <v>59</v>
      </c>
      <c r="I107" s="423">
        <f t="shared" si="39"/>
        <v>4868</v>
      </c>
      <c r="J107" s="424">
        <f t="shared" si="39"/>
        <v>44</v>
      </c>
      <c r="K107" s="422">
        <f t="shared" si="39"/>
        <v>1659</v>
      </c>
      <c r="L107" s="423">
        <f t="shared" si="39"/>
        <v>271</v>
      </c>
      <c r="M107" s="423">
        <f t="shared" si="39"/>
        <v>0</v>
      </c>
      <c r="N107" s="423">
        <f t="shared" si="39"/>
        <v>1271</v>
      </c>
      <c r="O107" s="425">
        <f t="shared" si="39"/>
        <v>117</v>
      </c>
      <c r="P107" s="526">
        <f t="shared" si="18"/>
        <v>335</v>
      </c>
      <c r="Q107" s="423">
        <f t="shared" si="39"/>
        <v>11</v>
      </c>
      <c r="R107" s="422">
        <f t="shared" si="39"/>
        <v>8</v>
      </c>
      <c r="S107" s="423">
        <f t="shared" si="39"/>
        <v>4</v>
      </c>
      <c r="T107" s="423">
        <f t="shared" ref="T107:AJ122" si="41">SUMIFS(T$5:T$40,$B$5:$B$40,$A107)</f>
        <v>0</v>
      </c>
      <c r="U107" s="423">
        <f t="shared" si="41"/>
        <v>4</v>
      </c>
      <c r="V107" s="424">
        <f t="shared" si="41"/>
        <v>0</v>
      </c>
      <c r="W107" s="422">
        <f t="shared" si="41"/>
        <v>3</v>
      </c>
      <c r="X107" s="423">
        <f t="shared" si="41"/>
        <v>0</v>
      </c>
      <c r="Y107" s="423">
        <f t="shared" si="41"/>
        <v>0</v>
      </c>
      <c r="Z107" s="423">
        <f t="shared" si="41"/>
        <v>3</v>
      </c>
      <c r="AA107" s="425">
        <f t="shared" si="41"/>
        <v>0</v>
      </c>
      <c r="AB107" s="424">
        <f t="shared" si="41"/>
        <v>27</v>
      </c>
      <c r="AC107" s="423">
        <f t="shared" si="41"/>
        <v>0</v>
      </c>
      <c r="AD107" s="422">
        <f t="shared" si="41"/>
        <v>0</v>
      </c>
      <c r="AE107" s="423">
        <f t="shared" si="41"/>
        <v>0</v>
      </c>
      <c r="AF107" s="423">
        <f t="shared" si="41"/>
        <v>0</v>
      </c>
      <c r="AG107" s="423">
        <f t="shared" si="41"/>
        <v>0</v>
      </c>
      <c r="AH107" s="424">
        <f t="shared" si="41"/>
        <v>0</v>
      </c>
      <c r="AI107" s="422">
        <f t="shared" si="41"/>
        <v>0</v>
      </c>
      <c r="AJ107" s="423">
        <f t="shared" si="41"/>
        <v>0</v>
      </c>
      <c r="AK107" s="423">
        <f t="shared" si="40"/>
        <v>0</v>
      </c>
      <c r="AL107" s="423">
        <f t="shared" si="40"/>
        <v>0</v>
      </c>
      <c r="AM107" s="425">
        <f t="shared" si="40"/>
        <v>0</v>
      </c>
      <c r="AO107" s="421">
        <f t="shared" si="21"/>
        <v>11</v>
      </c>
      <c r="AP107" s="422">
        <f t="shared" si="22"/>
        <v>8</v>
      </c>
      <c r="AQ107" s="423">
        <f t="shared" si="23"/>
        <v>4</v>
      </c>
      <c r="AR107" s="423">
        <f t="shared" si="24"/>
        <v>0</v>
      </c>
      <c r="AS107" s="423">
        <f t="shared" si="25"/>
        <v>4</v>
      </c>
      <c r="AT107" s="424">
        <f t="shared" si="26"/>
        <v>0</v>
      </c>
      <c r="AU107" s="422">
        <f t="shared" si="27"/>
        <v>3</v>
      </c>
      <c r="AV107" s="423">
        <f t="shared" si="28"/>
        <v>0</v>
      </c>
      <c r="AW107" s="423">
        <f t="shared" si="29"/>
        <v>0</v>
      </c>
      <c r="AX107" s="423">
        <f t="shared" si="30"/>
        <v>3</v>
      </c>
      <c r="AY107" s="425">
        <f t="shared" si="31"/>
        <v>0</v>
      </c>
    </row>
    <row r="108" spans="1:51" ht="13.9">
      <c r="A108" s="435" t="s">
        <v>262</v>
      </c>
      <c r="B108" s="436">
        <v>44682</v>
      </c>
      <c r="C108" s="437">
        <v>2022</v>
      </c>
      <c r="D108" s="421">
        <f t="shared" ref="D108:T123" si="42">SUMIFS(D$5:D$40,$B$5:$B$40,$A108)</f>
        <v>169244</v>
      </c>
      <c r="E108" s="421">
        <f t="shared" si="42"/>
        <v>9534</v>
      </c>
      <c r="F108" s="422">
        <f t="shared" si="42"/>
        <v>7875</v>
      </c>
      <c r="G108" s="423">
        <f t="shared" si="42"/>
        <v>2904</v>
      </c>
      <c r="H108" s="423">
        <f t="shared" si="42"/>
        <v>59</v>
      </c>
      <c r="I108" s="423">
        <f t="shared" si="42"/>
        <v>4868</v>
      </c>
      <c r="J108" s="424">
        <f t="shared" si="42"/>
        <v>44</v>
      </c>
      <c r="K108" s="422">
        <f t="shared" si="42"/>
        <v>1659</v>
      </c>
      <c r="L108" s="423">
        <f t="shared" si="42"/>
        <v>271</v>
      </c>
      <c r="M108" s="423">
        <f t="shared" si="42"/>
        <v>0</v>
      </c>
      <c r="N108" s="423">
        <f t="shared" si="42"/>
        <v>1271</v>
      </c>
      <c r="O108" s="425">
        <f t="shared" si="42"/>
        <v>117</v>
      </c>
      <c r="P108" s="526">
        <f t="shared" ref="P108:P139" si="43">SUMIFS(P$5:P$40,$B$5:$B$40,$A108)</f>
        <v>335</v>
      </c>
      <c r="Q108" s="423">
        <f t="shared" si="42"/>
        <v>11</v>
      </c>
      <c r="R108" s="422">
        <f t="shared" si="42"/>
        <v>8</v>
      </c>
      <c r="S108" s="423">
        <f t="shared" si="42"/>
        <v>4</v>
      </c>
      <c r="T108" s="423">
        <f t="shared" si="42"/>
        <v>0</v>
      </c>
      <c r="U108" s="423">
        <f t="shared" si="41"/>
        <v>4</v>
      </c>
      <c r="V108" s="424">
        <f t="shared" si="41"/>
        <v>0</v>
      </c>
      <c r="W108" s="422">
        <f t="shared" si="41"/>
        <v>3</v>
      </c>
      <c r="X108" s="423">
        <f t="shared" si="41"/>
        <v>0</v>
      </c>
      <c r="Y108" s="423">
        <f t="shared" si="41"/>
        <v>0</v>
      </c>
      <c r="Z108" s="423">
        <f t="shared" si="41"/>
        <v>3</v>
      </c>
      <c r="AA108" s="425">
        <f t="shared" si="41"/>
        <v>0</v>
      </c>
      <c r="AB108" s="424">
        <f t="shared" si="41"/>
        <v>27</v>
      </c>
      <c r="AC108" s="423">
        <f t="shared" si="41"/>
        <v>0</v>
      </c>
      <c r="AD108" s="422">
        <f t="shared" si="41"/>
        <v>0</v>
      </c>
      <c r="AE108" s="423">
        <f t="shared" si="41"/>
        <v>0</v>
      </c>
      <c r="AF108" s="423">
        <f t="shared" si="41"/>
        <v>0</v>
      </c>
      <c r="AG108" s="423">
        <f t="shared" ref="AG108:AM123" si="44">SUMIFS(AG$5:AG$40,$B$5:$B$40,$A108)</f>
        <v>0</v>
      </c>
      <c r="AH108" s="424">
        <f t="shared" si="44"/>
        <v>0</v>
      </c>
      <c r="AI108" s="422">
        <f t="shared" si="44"/>
        <v>0</v>
      </c>
      <c r="AJ108" s="423">
        <f t="shared" si="44"/>
        <v>0</v>
      </c>
      <c r="AK108" s="423">
        <f t="shared" si="44"/>
        <v>0</v>
      </c>
      <c r="AL108" s="423">
        <f t="shared" si="44"/>
        <v>0</v>
      </c>
      <c r="AM108" s="425">
        <f t="shared" si="44"/>
        <v>0</v>
      </c>
      <c r="AO108" s="421">
        <f t="shared" ref="AO108:AO151" si="45">Q108+AC108</f>
        <v>11</v>
      </c>
      <c r="AP108" s="422">
        <f t="shared" ref="AP108:AP151" si="46">R108+AD108</f>
        <v>8</v>
      </c>
      <c r="AQ108" s="423">
        <f t="shared" ref="AQ108:AQ151" si="47">S108+AE108</f>
        <v>4</v>
      </c>
      <c r="AR108" s="423">
        <f t="shared" ref="AR108:AR151" si="48">T108+AF108</f>
        <v>0</v>
      </c>
      <c r="AS108" s="423">
        <f t="shared" ref="AS108:AS151" si="49">U108+AG108</f>
        <v>4</v>
      </c>
      <c r="AT108" s="424">
        <f t="shared" ref="AT108:AT151" si="50">V108+AH108</f>
        <v>0</v>
      </c>
      <c r="AU108" s="422">
        <f t="shared" ref="AU108:AU151" si="51">W108+AI108</f>
        <v>3</v>
      </c>
      <c r="AV108" s="423">
        <f t="shared" ref="AV108:AV151" si="52">X108+AJ108</f>
        <v>0</v>
      </c>
      <c r="AW108" s="423">
        <f t="shared" ref="AW108:AW151" si="53">Y108+AK108</f>
        <v>0</v>
      </c>
      <c r="AX108" s="423">
        <f t="shared" ref="AX108:AX151" si="54">Z108+AL108</f>
        <v>3</v>
      </c>
      <c r="AY108" s="425">
        <f t="shared" ref="AY108:AY151" si="55">AA108+AM108</f>
        <v>0</v>
      </c>
    </row>
    <row r="109" spans="1:51" ht="13.9">
      <c r="A109" s="435" t="s">
        <v>262</v>
      </c>
      <c r="B109" s="436">
        <v>44713</v>
      </c>
      <c r="C109" s="437">
        <v>2022</v>
      </c>
      <c r="D109" s="421">
        <f t="shared" si="42"/>
        <v>169244</v>
      </c>
      <c r="E109" s="421">
        <f t="shared" si="42"/>
        <v>9534</v>
      </c>
      <c r="F109" s="422">
        <f t="shared" si="42"/>
        <v>7875</v>
      </c>
      <c r="G109" s="423">
        <f t="shared" si="42"/>
        <v>2904</v>
      </c>
      <c r="H109" s="423">
        <f t="shared" si="42"/>
        <v>59</v>
      </c>
      <c r="I109" s="423">
        <f t="shared" si="42"/>
        <v>4868</v>
      </c>
      <c r="J109" s="424">
        <f t="shared" si="42"/>
        <v>44</v>
      </c>
      <c r="K109" s="422">
        <f t="shared" si="42"/>
        <v>1659</v>
      </c>
      <c r="L109" s="423">
        <f t="shared" si="42"/>
        <v>271</v>
      </c>
      <c r="M109" s="423">
        <f t="shared" si="42"/>
        <v>0</v>
      </c>
      <c r="N109" s="423">
        <f t="shared" si="42"/>
        <v>1271</v>
      </c>
      <c r="O109" s="425">
        <f t="shared" si="42"/>
        <v>117</v>
      </c>
      <c r="P109" s="526">
        <f t="shared" si="43"/>
        <v>335</v>
      </c>
      <c r="Q109" s="423">
        <f t="shared" si="42"/>
        <v>11</v>
      </c>
      <c r="R109" s="422">
        <f t="shared" si="42"/>
        <v>8</v>
      </c>
      <c r="S109" s="423">
        <f t="shared" si="42"/>
        <v>4</v>
      </c>
      <c r="T109" s="423">
        <f t="shared" si="42"/>
        <v>0</v>
      </c>
      <c r="U109" s="423">
        <f t="shared" si="41"/>
        <v>4</v>
      </c>
      <c r="V109" s="424">
        <f t="shared" si="41"/>
        <v>0</v>
      </c>
      <c r="W109" s="422">
        <f t="shared" si="41"/>
        <v>3</v>
      </c>
      <c r="X109" s="423">
        <f t="shared" si="41"/>
        <v>0</v>
      </c>
      <c r="Y109" s="423">
        <f t="shared" si="41"/>
        <v>0</v>
      </c>
      <c r="Z109" s="423">
        <f t="shared" si="41"/>
        <v>3</v>
      </c>
      <c r="AA109" s="425">
        <f t="shared" si="41"/>
        <v>0</v>
      </c>
      <c r="AB109" s="424">
        <f t="shared" si="41"/>
        <v>27</v>
      </c>
      <c r="AC109" s="423">
        <f t="shared" si="41"/>
        <v>0</v>
      </c>
      <c r="AD109" s="422">
        <f t="shared" si="41"/>
        <v>0</v>
      </c>
      <c r="AE109" s="423">
        <f t="shared" si="41"/>
        <v>0</v>
      </c>
      <c r="AF109" s="423">
        <f t="shared" si="41"/>
        <v>0</v>
      </c>
      <c r="AG109" s="423">
        <f t="shared" si="44"/>
        <v>0</v>
      </c>
      <c r="AH109" s="424">
        <f t="shared" si="44"/>
        <v>0</v>
      </c>
      <c r="AI109" s="422">
        <f t="shared" si="44"/>
        <v>0</v>
      </c>
      <c r="AJ109" s="423">
        <f t="shared" si="44"/>
        <v>0</v>
      </c>
      <c r="AK109" s="423">
        <f t="shared" si="44"/>
        <v>0</v>
      </c>
      <c r="AL109" s="423">
        <f t="shared" si="44"/>
        <v>0</v>
      </c>
      <c r="AM109" s="425">
        <f t="shared" si="44"/>
        <v>0</v>
      </c>
      <c r="AO109" s="421">
        <f t="shared" si="45"/>
        <v>11</v>
      </c>
      <c r="AP109" s="422">
        <f t="shared" si="46"/>
        <v>8</v>
      </c>
      <c r="AQ109" s="423">
        <f t="shared" si="47"/>
        <v>4</v>
      </c>
      <c r="AR109" s="423">
        <f t="shared" si="48"/>
        <v>0</v>
      </c>
      <c r="AS109" s="423">
        <f t="shared" si="49"/>
        <v>4</v>
      </c>
      <c r="AT109" s="424">
        <f t="shared" si="50"/>
        <v>0</v>
      </c>
      <c r="AU109" s="422">
        <f t="shared" si="51"/>
        <v>3</v>
      </c>
      <c r="AV109" s="423">
        <f t="shared" si="52"/>
        <v>0</v>
      </c>
      <c r="AW109" s="423">
        <f t="shared" si="53"/>
        <v>0</v>
      </c>
      <c r="AX109" s="423">
        <f t="shared" si="54"/>
        <v>3</v>
      </c>
      <c r="AY109" s="425">
        <f t="shared" si="55"/>
        <v>0</v>
      </c>
    </row>
    <row r="110" spans="1:51" ht="13.9">
      <c r="A110" s="435" t="s">
        <v>263</v>
      </c>
      <c r="B110" s="436">
        <v>44743</v>
      </c>
      <c r="C110" s="437">
        <v>2022</v>
      </c>
      <c r="D110" s="421">
        <f t="shared" si="42"/>
        <v>153779</v>
      </c>
      <c r="E110" s="421">
        <f t="shared" si="42"/>
        <v>11013</v>
      </c>
      <c r="F110" s="422">
        <f t="shared" si="42"/>
        <v>9716</v>
      </c>
      <c r="G110" s="423">
        <f t="shared" si="42"/>
        <v>3995</v>
      </c>
      <c r="H110" s="423">
        <f t="shared" si="42"/>
        <v>469</v>
      </c>
      <c r="I110" s="423">
        <f t="shared" si="42"/>
        <v>5206</v>
      </c>
      <c r="J110" s="424">
        <f t="shared" si="42"/>
        <v>46</v>
      </c>
      <c r="K110" s="422">
        <f t="shared" si="42"/>
        <v>1297</v>
      </c>
      <c r="L110" s="423">
        <f t="shared" si="42"/>
        <v>201</v>
      </c>
      <c r="M110" s="423">
        <f t="shared" si="42"/>
        <v>0</v>
      </c>
      <c r="N110" s="423">
        <f t="shared" si="42"/>
        <v>1001</v>
      </c>
      <c r="O110" s="425">
        <f t="shared" si="42"/>
        <v>95</v>
      </c>
      <c r="P110" s="526">
        <f t="shared" si="43"/>
        <v>264</v>
      </c>
      <c r="Q110" s="423">
        <f t="shared" si="42"/>
        <v>16</v>
      </c>
      <c r="R110" s="422">
        <f t="shared" si="42"/>
        <v>14</v>
      </c>
      <c r="S110" s="423">
        <f t="shared" si="42"/>
        <v>7</v>
      </c>
      <c r="T110" s="423">
        <f t="shared" si="42"/>
        <v>0</v>
      </c>
      <c r="U110" s="423">
        <f t="shared" si="41"/>
        <v>7</v>
      </c>
      <c r="V110" s="424">
        <f t="shared" si="41"/>
        <v>0</v>
      </c>
      <c r="W110" s="422">
        <f t="shared" si="41"/>
        <v>2</v>
      </c>
      <c r="X110" s="423">
        <f t="shared" si="41"/>
        <v>1</v>
      </c>
      <c r="Y110" s="423">
        <f t="shared" si="41"/>
        <v>0</v>
      </c>
      <c r="Z110" s="423">
        <f t="shared" si="41"/>
        <v>1</v>
      </c>
      <c r="AA110" s="425">
        <f t="shared" si="41"/>
        <v>0</v>
      </c>
      <c r="AB110" s="424">
        <f t="shared" si="41"/>
        <v>27</v>
      </c>
      <c r="AC110" s="423">
        <f t="shared" si="41"/>
        <v>2</v>
      </c>
      <c r="AD110" s="422">
        <f t="shared" si="41"/>
        <v>2</v>
      </c>
      <c r="AE110" s="423">
        <f t="shared" si="41"/>
        <v>1</v>
      </c>
      <c r="AF110" s="423">
        <f t="shared" si="41"/>
        <v>0</v>
      </c>
      <c r="AG110" s="423">
        <f t="shared" si="44"/>
        <v>1</v>
      </c>
      <c r="AH110" s="424">
        <f t="shared" si="44"/>
        <v>0</v>
      </c>
      <c r="AI110" s="422">
        <f t="shared" si="44"/>
        <v>0</v>
      </c>
      <c r="AJ110" s="423">
        <f t="shared" si="44"/>
        <v>0</v>
      </c>
      <c r="AK110" s="423">
        <f t="shared" si="44"/>
        <v>0</v>
      </c>
      <c r="AL110" s="423">
        <f t="shared" si="44"/>
        <v>0</v>
      </c>
      <c r="AM110" s="425">
        <f t="shared" si="44"/>
        <v>0</v>
      </c>
      <c r="AO110" s="421">
        <f t="shared" si="45"/>
        <v>18</v>
      </c>
      <c r="AP110" s="422">
        <f t="shared" si="46"/>
        <v>16</v>
      </c>
      <c r="AQ110" s="423">
        <f t="shared" si="47"/>
        <v>8</v>
      </c>
      <c r="AR110" s="423">
        <f t="shared" si="48"/>
        <v>0</v>
      </c>
      <c r="AS110" s="423">
        <f t="shared" si="49"/>
        <v>8</v>
      </c>
      <c r="AT110" s="424">
        <f t="shared" si="50"/>
        <v>0</v>
      </c>
      <c r="AU110" s="422">
        <f t="shared" si="51"/>
        <v>2</v>
      </c>
      <c r="AV110" s="423">
        <f t="shared" si="52"/>
        <v>1</v>
      </c>
      <c r="AW110" s="423">
        <f t="shared" si="53"/>
        <v>0</v>
      </c>
      <c r="AX110" s="423">
        <f t="shared" si="54"/>
        <v>1</v>
      </c>
      <c r="AY110" s="425">
        <f t="shared" si="55"/>
        <v>0</v>
      </c>
    </row>
    <row r="111" spans="1:51" ht="13.9">
      <c r="A111" s="435" t="s">
        <v>263</v>
      </c>
      <c r="B111" s="436">
        <v>44774</v>
      </c>
      <c r="C111" s="437">
        <v>2022</v>
      </c>
      <c r="D111" s="421">
        <f t="shared" si="42"/>
        <v>153779</v>
      </c>
      <c r="E111" s="421">
        <f t="shared" si="42"/>
        <v>11013</v>
      </c>
      <c r="F111" s="422">
        <f t="shared" si="42"/>
        <v>9716</v>
      </c>
      <c r="G111" s="423">
        <f t="shared" si="42"/>
        <v>3995</v>
      </c>
      <c r="H111" s="423">
        <f t="shared" si="42"/>
        <v>469</v>
      </c>
      <c r="I111" s="423">
        <f t="shared" si="42"/>
        <v>5206</v>
      </c>
      <c r="J111" s="424">
        <f t="shared" si="42"/>
        <v>46</v>
      </c>
      <c r="K111" s="422">
        <f t="shared" si="42"/>
        <v>1297</v>
      </c>
      <c r="L111" s="423">
        <f t="shared" si="42"/>
        <v>201</v>
      </c>
      <c r="M111" s="423">
        <f t="shared" si="42"/>
        <v>0</v>
      </c>
      <c r="N111" s="423">
        <f t="shared" si="42"/>
        <v>1001</v>
      </c>
      <c r="O111" s="425">
        <f t="shared" si="42"/>
        <v>95</v>
      </c>
      <c r="P111" s="526">
        <f t="shared" si="43"/>
        <v>264</v>
      </c>
      <c r="Q111" s="423">
        <f t="shared" si="42"/>
        <v>16</v>
      </c>
      <c r="R111" s="422">
        <f t="shared" si="42"/>
        <v>14</v>
      </c>
      <c r="S111" s="423">
        <f t="shared" si="42"/>
        <v>7</v>
      </c>
      <c r="T111" s="423">
        <f t="shared" si="42"/>
        <v>0</v>
      </c>
      <c r="U111" s="423">
        <f t="shared" si="41"/>
        <v>7</v>
      </c>
      <c r="V111" s="424">
        <f t="shared" si="41"/>
        <v>0</v>
      </c>
      <c r="W111" s="422">
        <f t="shared" si="41"/>
        <v>2</v>
      </c>
      <c r="X111" s="423">
        <f t="shared" si="41"/>
        <v>1</v>
      </c>
      <c r="Y111" s="423">
        <f t="shared" si="41"/>
        <v>0</v>
      </c>
      <c r="Z111" s="423">
        <f t="shared" si="41"/>
        <v>1</v>
      </c>
      <c r="AA111" s="425">
        <f t="shared" si="41"/>
        <v>0</v>
      </c>
      <c r="AB111" s="424">
        <f t="shared" si="41"/>
        <v>27</v>
      </c>
      <c r="AC111" s="423">
        <f t="shared" si="41"/>
        <v>2</v>
      </c>
      <c r="AD111" s="422">
        <f t="shared" si="41"/>
        <v>2</v>
      </c>
      <c r="AE111" s="423">
        <f t="shared" si="41"/>
        <v>1</v>
      </c>
      <c r="AF111" s="423">
        <f t="shared" si="41"/>
        <v>0</v>
      </c>
      <c r="AG111" s="423">
        <f t="shared" si="44"/>
        <v>1</v>
      </c>
      <c r="AH111" s="424">
        <f t="shared" si="44"/>
        <v>0</v>
      </c>
      <c r="AI111" s="422">
        <f t="shared" si="44"/>
        <v>0</v>
      </c>
      <c r="AJ111" s="423">
        <f t="shared" si="44"/>
        <v>0</v>
      </c>
      <c r="AK111" s="423">
        <f t="shared" si="44"/>
        <v>0</v>
      </c>
      <c r="AL111" s="423">
        <f t="shared" si="44"/>
        <v>0</v>
      </c>
      <c r="AM111" s="425">
        <f t="shared" si="44"/>
        <v>0</v>
      </c>
      <c r="AO111" s="421">
        <f t="shared" si="45"/>
        <v>18</v>
      </c>
      <c r="AP111" s="422">
        <f t="shared" si="46"/>
        <v>16</v>
      </c>
      <c r="AQ111" s="423">
        <f t="shared" si="47"/>
        <v>8</v>
      </c>
      <c r="AR111" s="423">
        <f t="shared" si="48"/>
        <v>0</v>
      </c>
      <c r="AS111" s="423">
        <f t="shared" si="49"/>
        <v>8</v>
      </c>
      <c r="AT111" s="424">
        <f t="shared" si="50"/>
        <v>0</v>
      </c>
      <c r="AU111" s="422">
        <f t="shared" si="51"/>
        <v>2</v>
      </c>
      <c r="AV111" s="423">
        <f t="shared" si="52"/>
        <v>1</v>
      </c>
      <c r="AW111" s="423">
        <f t="shared" si="53"/>
        <v>0</v>
      </c>
      <c r="AX111" s="423">
        <f t="shared" si="54"/>
        <v>1</v>
      </c>
      <c r="AY111" s="425">
        <f t="shared" si="55"/>
        <v>0</v>
      </c>
    </row>
    <row r="112" spans="1:51" ht="13.9">
      <c r="A112" s="435" t="s">
        <v>263</v>
      </c>
      <c r="B112" s="436">
        <v>44805</v>
      </c>
      <c r="C112" s="437">
        <v>2022</v>
      </c>
      <c r="D112" s="421">
        <f t="shared" si="42"/>
        <v>153779</v>
      </c>
      <c r="E112" s="421">
        <f t="shared" si="42"/>
        <v>11013</v>
      </c>
      <c r="F112" s="422">
        <f t="shared" si="42"/>
        <v>9716</v>
      </c>
      <c r="G112" s="423">
        <f t="shared" si="42"/>
        <v>3995</v>
      </c>
      <c r="H112" s="423">
        <f t="shared" si="42"/>
        <v>469</v>
      </c>
      <c r="I112" s="423">
        <f t="shared" si="42"/>
        <v>5206</v>
      </c>
      <c r="J112" s="424">
        <f t="shared" si="42"/>
        <v>46</v>
      </c>
      <c r="K112" s="422">
        <f t="shared" si="42"/>
        <v>1297</v>
      </c>
      <c r="L112" s="423">
        <f t="shared" si="42"/>
        <v>201</v>
      </c>
      <c r="M112" s="423">
        <f t="shared" si="42"/>
        <v>0</v>
      </c>
      <c r="N112" s="423">
        <f t="shared" si="42"/>
        <v>1001</v>
      </c>
      <c r="O112" s="425">
        <f t="shared" si="42"/>
        <v>95</v>
      </c>
      <c r="P112" s="526">
        <f t="shared" si="43"/>
        <v>264</v>
      </c>
      <c r="Q112" s="423">
        <f t="shared" si="42"/>
        <v>16</v>
      </c>
      <c r="R112" s="422">
        <f t="shared" si="42"/>
        <v>14</v>
      </c>
      <c r="S112" s="423">
        <f t="shared" si="42"/>
        <v>7</v>
      </c>
      <c r="T112" s="423">
        <f t="shared" si="42"/>
        <v>0</v>
      </c>
      <c r="U112" s="423">
        <f t="shared" si="41"/>
        <v>7</v>
      </c>
      <c r="V112" s="424">
        <f t="shared" si="41"/>
        <v>0</v>
      </c>
      <c r="W112" s="422">
        <f t="shared" si="41"/>
        <v>2</v>
      </c>
      <c r="X112" s="423">
        <f t="shared" si="41"/>
        <v>1</v>
      </c>
      <c r="Y112" s="423">
        <f t="shared" si="41"/>
        <v>0</v>
      </c>
      <c r="Z112" s="423">
        <f t="shared" si="41"/>
        <v>1</v>
      </c>
      <c r="AA112" s="425">
        <f t="shared" si="41"/>
        <v>0</v>
      </c>
      <c r="AB112" s="424">
        <f t="shared" si="41"/>
        <v>27</v>
      </c>
      <c r="AC112" s="423">
        <f t="shared" si="41"/>
        <v>2</v>
      </c>
      <c r="AD112" s="422">
        <f t="shared" si="41"/>
        <v>2</v>
      </c>
      <c r="AE112" s="423">
        <f t="shared" si="41"/>
        <v>1</v>
      </c>
      <c r="AF112" s="423">
        <f t="shared" si="41"/>
        <v>0</v>
      </c>
      <c r="AG112" s="423">
        <f t="shared" si="44"/>
        <v>1</v>
      </c>
      <c r="AH112" s="424">
        <f t="shared" si="44"/>
        <v>0</v>
      </c>
      <c r="AI112" s="422">
        <f t="shared" si="44"/>
        <v>0</v>
      </c>
      <c r="AJ112" s="423">
        <f t="shared" si="44"/>
        <v>0</v>
      </c>
      <c r="AK112" s="423">
        <f t="shared" si="44"/>
        <v>0</v>
      </c>
      <c r="AL112" s="423">
        <f t="shared" si="44"/>
        <v>0</v>
      </c>
      <c r="AM112" s="425">
        <f t="shared" si="44"/>
        <v>0</v>
      </c>
      <c r="AO112" s="421">
        <f t="shared" si="45"/>
        <v>18</v>
      </c>
      <c r="AP112" s="422">
        <f t="shared" si="46"/>
        <v>16</v>
      </c>
      <c r="AQ112" s="423">
        <f t="shared" si="47"/>
        <v>8</v>
      </c>
      <c r="AR112" s="423">
        <f t="shared" si="48"/>
        <v>0</v>
      </c>
      <c r="AS112" s="423">
        <f t="shared" si="49"/>
        <v>8</v>
      </c>
      <c r="AT112" s="424">
        <f t="shared" si="50"/>
        <v>0</v>
      </c>
      <c r="AU112" s="422">
        <f t="shared" si="51"/>
        <v>2</v>
      </c>
      <c r="AV112" s="423">
        <f t="shared" si="52"/>
        <v>1</v>
      </c>
      <c r="AW112" s="423">
        <f t="shared" si="53"/>
        <v>0</v>
      </c>
      <c r="AX112" s="423">
        <f t="shared" si="54"/>
        <v>1</v>
      </c>
      <c r="AY112" s="425">
        <f t="shared" si="55"/>
        <v>0</v>
      </c>
    </row>
    <row r="113" spans="1:51" ht="13.9">
      <c r="A113" s="435" t="s">
        <v>264</v>
      </c>
      <c r="B113" s="436">
        <v>44835</v>
      </c>
      <c r="C113" s="437">
        <v>2022</v>
      </c>
      <c r="D113" s="421">
        <f t="shared" si="42"/>
        <v>136338</v>
      </c>
      <c r="E113" s="421">
        <f t="shared" si="42"/>
        <v>10991</v>
      </c>
      <c r="F113" s="422">
        <f t="shared" si="42"/>
        <v>9506</v>
      </c>
      <c r="G113" s="423">
        <f t="shared" si="42"/>
        <v>2594</v>
      </c>
      <c r="H113" s="423">
        <f t="shared" si="42"/>
        <v>344</v>
      </c>
      <c r="I113" s="423">
        <f t="shared" si="42"/>
        <v>6486</v>
      </c>
      <c r="J113" s="424">
        <f t="shared" si="42"/>
        <v>82</v>
      </c>
      <c r="K113" s="422">
        <f t="shared" si="42"/>
        <v>1485</v>
      </c>
      <c r="L113" s="423">
        <f t="shared" si="42"/>
        <v>171</v>
      </c>
      <c r="M113" s="423">
        <f t="shared" si="42"/>
        <v>0</v>
      </c>
      <c r="N113" s="423">
        <f t="shared" si="42"/>
        <v>1248</v>
      </c>
      <c r="O113" s="425">
        <f t="shared" si="42"/>
        <v>66</v>
      </c>
      <c r="P113" s="526">
        <f t="shared" si="43"/>
        <v>216</v>
      </c>
      <c r="Q113" s="423">
        <f t="shared" si="42"/>
        <v>2</v>
      </c>
      <c r="R113" s="422">
        <f t="shared" si="42"/>
        <v>1</v>
      </c>
      <c r="S113" s="423">
        <f t="shared" si="42"/>
        <v>0</v>
      </c>
      <c r="T113" s="423">
        <f t="shared" si="42"/>
        <v>1</v>
      </c>
      <c r="U113" s="423">
        <f t="shared" si="41"/>
        <v>0</v>
      </c>
      <c r="V113" s="424">
        <f t="shared" si="41"/>
        <v>0</v>
      </c>
      <c r="W113" s="422">
        <f t="shared" si="41"/>
        <v>1</v>
      </c>
      <c r="X113" s="423">
        <f t="shared" si="41"/>
        <v>0</v>
      </c>
      <c r="Y113" s="423">
        <f t="shared" si="41"/>
        <v>0</v>
      </c>
      <c r="Z113" s="423">
        <f t="shared" si="41"/>
        <v>1</v>
      </c>
      <c r="AA113" s="425">
        <f t="shared" si="41"/>
        <v>0</v>
      </c>
      <c r="AB113" s="424">
        <f t="shared" si="41"/>
        <v>21</v>
      </c>
      <c r="AC113" s="423">
        <f t="shared" si="41"/>
        <v>3</v>
      </c>
      <c r="AD113" s="422">
        <f t="shared" si="41"/>
        <v>2</v>
      </c>
      <c r="AE113" s="423">
        <f t="shared" si="41"/>
        <v>0</v>
      </c>
      <c r="AF113" s="423">
        <f t="shared" si="41"/>
        <v>0</v>
      </c>
      <c r="AG113" s="423">
        <f t="shared" si="44"/>
        <v>2</v>
      </c>
      <c r="AH113" s="424">
        <f t="shared" si="44"/>
        <v>0</v>
      </c>
      <c r="AI113" s="422">
        <f t="shared" si="44"/>
        <v>1</v>
      </c>
      <c r="AJ113" s="423">
        <f t="shared" si="44"/>
        <v>0</v>
      </c>
      <c r="AK113" s="423">
        <f t="shared" si="44"/>
        <v>0</v>
      </c>
      <c r="AL113" s="423">
        <f t="shared" si="44"/>
        <v>1</v>
      </c>
      <c r="AM113" s="425">
        <f t="shared" si="44"/>
        <v>0</v>
      </c>
      <c r="AO113" s="421">
        <f t="shared" si="45"/>
        <v>5</v>
      </c>
      <c r="AP113" s="422">
        <f t="shared" si="46"/>
        <v>3</v>
      </c>
      <c r="AQ113" s="423">
        <f t="shared" si="47"/>
        <v>0</v>
      </c>
      <c r="AR113" s="423">
        <f t="shared" si="48"/>
        <v>1</v>
      </c>
      <c r="AS113" s="423">
        <f t="shared" si="49"/>
        <v>2</v>
      </c>
      <c r="AT113" s="424">
        <f t="shared" si="50"/>
        <v>0</v>
      </c>
      <c r="AU113" s="422">
        <f t="shared" si="51"/>
        <v>2</v>
      </c>
      <c r="AV113" s="423">
        <f t="shared" si="52"/>
        <v>0</v>
      </c>
      <c r="AW113" s="423">
        <f t="shared" si="53"/>
        <v>0</v>
      </c>
      <c r="AX113" s="423">
        <f t="shared" si="54"/>
        <v>2</v>
      </c>
      <c r="AY113" s="425">
        <f t="shared" si="55"/>
        <v>0</v>
      </c>
    </row>
    <row r="114" spans="1:51" ht="13.9">
      <c r="A114" s="435" t="s">
        <v>264</v>
      </c>
      <c r="B114" s="436">
        <v>44866</v>
      </c>
      <c r="C114" s="437">
        <v>2022</v>
      </c>
      <c r="D114" s="421">
        <f t="shared" si="42"/>
        <v>136338</v>
      </c>
      <c r="E114" s="421">
        <f t="shared" si="42"/>
        <v>10991</v>
      </c>
      <c r="F114" s="422">
        <f t="shared" si="42"/>
        <v>9506</v>
      </c>
      <c r="G114" s="423">
        <f t="shared" si="42"/>
        <v>2594</v>
      </c>
      <c r="H114" s="423">
        <f t="shared" si="42"/>
        <v>344</v>
      </c>
      <c r="I114" s="423">
        <f t="shared" si="42"/>
        <v>6486</v>
      </c>
      <c r="J114" s="424">
        <f t="shared" si="42"/>
        <v>82</v>
      </c>
      <c r="K114" s="422">
        <f t="shared" si="42"/>
        <v>1485</v>
      </c>
      <c r="L114" s="423">
        <f t="shared" si="42"/>
        <v>171</v>
      </c>
      <c r="M114" s="423">
        <f t="shared" si="42"/>
        <v>0</v>
      </c>
      <c r="N114" s="423">
        <f t="shared" si="42"/>
        <v>1248</v>
      </c>
      <c r="O114" s="425">
        <f t="shared" si="42"/>
        <v>66</v>
      </c>
      <c r="P114" s="526">
        <f t="shared" si="43"/>
        <v>216</v>
      </c>
      <c r="Q114" s="423">
        <f t="shared" si="42"/>
        <v>2</v>
      </c>
      <c r="R114" s="422">
        <f t="shared" si="42"/>
        <v>1</v>
      </c>
      <c r="S114" s="423">
        <f t="shared" si="42"/>
        <v>0</v>
      </c>
      <c r="T114" s="423">
        <f t="shared" si="42"/>
        <v>1</v>
      </c>
      <c r="U114" s="423">
        <f t="shared" si="41"/>
        <v>0</v>
      </c>
      <c r="V114" s="424">
        <f t="shared" si="41"/>
        <v>0</v>
      </c>
      <c r="W114" s="422">
        <f t="shared" si="41"/>
        <v>1</v>
      </c>
      <c r="X114" s="423">
        <f t="shared" si="41"/>
        <v>0</v>
      </c>
      <c r="Y114" s="423">
        <f t="shared" si="41"/>
        <v>0</v>
      </c>
      <c r="Z114" s="423">
        <f t="shared" si="41"/>
        <v>1</v>
      </c>
      <c r="AA114" s="425">
        <f t="shared" si="41"/>
        <v>0</v>
      </c>
      <c r="AB114" s="424">
        <f t="shared" si="41"/>
        <v>21</v>
      </c>
      <c r="AC114" s="423">
        <f t="shared" si="41"/>
        <v>3</v>
      </c>
      <c r="AD114" s="422">
        <f t="shared" si="41"/>
        <v>2</v>
      </c>
      <c r="AE114" s="423">
        <f t="shared" si="41"/>
        <v>0</v>
      </c>
      <c r="AF114" s="423">
        <f t="shared" si="41"/>
        <v>0</v>
      </c>
      <c r="AG114" s="423">
        <f t="shared" si="44"/>
        <v>2</v>
      </c>
      <c r="AH114" s="424">
        <f t="shared" si="44"/>
        <v>0</v>
      </c>
      <c r="AI114" s="422">
        <f t="shared" si="44"/>
        <v>1</v>
      </c>
      <c r="AJ114" s="423">
        <f t="shared" si="44"/>
        <v>0</v>
      </c>
      <c r="AK114" s="423">
        <f t="shared" si="44"/>
        <v>0</v>
      </c>
      <c r="AL114" s="423">
        <f t="shared" si="44"/>
        <v>1</v>
      </c>
      <c r="AM114" s="425">
        <f t="shared" si="44"/>
        <v>0</v>
      </c>
      <c r="AO114" s="421">
        <f t="shared" si="45"/>
        <v>5</v>
      </c>
      <c r="AP114" s="422">
        <f t="shared" si="46"/>
        <v>3</v>
      </c>
      <c r="AQ114" s="423">
        <f t="shared" si="47"/>
        <v>0</v>
      </c>
      <c r="AR114" s="423">
        <f t="shared" si="48"/>
        <v>1</v>
      </c>
      <c r="AS114" s="423">
        <f t="shared" si="49"/>
        <v>2</v>
      </c>
      <c r="AT114" s="424">
        <f t="shared" si="50"/>
        <v>0</v>
      </c>
      <c r="AU114" s="422">
        <f t="shared" si="51"/>
        <v>2</v>
      </c>
      <c r="AV114" s="423">
        <f t="shared" si="52"/>
        <v>0</v>
      </c>
      <c r="AW114" s="423">
        <f t="shared" si="53"/>
        <v>0</v>
      </c>
      <c r="AX114" s="423">
        <f t="shared" si="54"/>
        <v>2</v>
      </c>
      <c r="AY114" s="425">
        <f t="shared" si="55"/>
        <v>0</v>
      </c>
    </row>
    <row r="115" spans="1:51" ht="13.9">
      <c r="A115" s="435" t="s">
        <v>264</v>
      </c>
      <c r="B115" s="436">
        <v>44896</v>
      </c>
      <c r="C115" s="437">
        <v>2022</v>
      </c>
      <c r="D115" s="421">
        <f t="shared" si="42"/>
        <v>136338</v>
      </c>
      <c r="E115" s="421">
        <f t="shared" si="42"/>
        <v>10991</v>
      </c>
      <c r="F115" s="422">
        <f t="shared" si="42"/>
        <v>9506</v>
      </c>
      <c r="G115" s="423">
        <f t="shared" si="42"/>
        <v>2594</v>
      </c>
      <c r="H115" s="423">
        <f t="shared" si="42"/>
        <v>344</v>
      </c>
      <c r="I115" s="423">
        <f t="shared" si="42"/>
        <v>6486</v>
      </c>
      <c r="J115" s="424">
        <f t="shared" si="42"/>
        <v>82</v>
      </c>
      <c r="K115" s="422">
        <f t="shared" si="42"/>
        <v>1485</v>
      </c>
      <c r="L115" s="423">
        <f t="shared" si="42"/>
        <v>171</v>
      </c>
      <c r="M115" s="423">
        <f t="shared" si="42"/>
        <v>0</v>
      </c>
      <c r="N115" s="423">
        <f t="shared" si="42"/>
        <v>1248</v>
      </c>
      <c r="O115" s="425">
        <f t="shared" si="42"/>
        <v>66</v>
      </c>
      <c r="P115" s="526">
        <f t="shared" si="43"/>
        <v>216</v>
      </c>
      <c r="Q115" s="423">
        <f t="shared" si="42"/>
        <v>2</v>
      </c>
      <c r="R115" s="422">
        <f t="shared" si="42"/>
        <v>1</v>
      </c>
      <c r="S115" s="423">
        <f t="shared" si="42"/>
        <v>0</v>
      </c>
      <c r="T115" s="423">
        <f t="shared" si="42"/>
        <v>1</v>
      </c>
      <c r="U115" s="423">
        <f t="shared" si="41"/>
        <v>0</v>
      </c>
      <c r="V115" s="424">
        <f t="shared" si="41"/>
        <v>0</v>
      </c>
      <c r="W115" s="422">
        <f t="shared" si="41"/>
        <v>1</v>
      </c>
      <c r="X115" s="423">
        <f t="shared" si="41"/>
        <v>0</v>
      </c>
      <c r="Y115" s="423">
        <f t="shared" si="41"/>
        <v>0</v>
      </c>
      <c r="Z115" s="423">
        <f t="shared" si="41"/>
        <v>1</v>
      </c>
      <c r="AA115" s="425">
        <f t="shared" si="41"/>
        <v>0</v>
      </c>
      <c r="AB115" s="424">
        <f t="shared" si="41"/>
        <v>21</v>
      </c>
      <c r="AC115" s="423">
        <f t="shared" si="41"/>
        <v>3</v>
      </c>
      <c r="AD115" s="422">
        <f t="shared" si="41"/>
        <v>2</v>
      </c>
      <c r="AE115" s="423">
        <f t="shared" si="41"/>
        <v>0</v>
      </c>
      <c r="AF115" s="423">
        <f t="shared" si="41"/>
        <v>0</v>
      </c>
      <c r="AG115" s="423">
        <f t="shared" si="44"/>
        <v>2</v>
      </c>
      <c r="AH115" s="424">
        <f t="shared" si="44"/>
        <v>0</v>
      </c>
      <c r="AI115" s="422">
        <f t="shared" si="44"/>
        <v>1</v>
      </c>
      <c r="AJ115" s="423">
        <f t="shared" si="44"/>
        <v>0</v>
      </c>
      <c r="AK115" s="423">
        <f t="shared" si="44"/>
        <v>0</v>
      </c>
      <c r="AL115" s="423">
        <f t="shared" si="44"/>
        <v>1</v>
      </c>
      <c r="AM115" s="425">
        <f t="shared" si="44"/>
        <v>0</v>
      </c>
      <c r="AO115" s="421">
        <f t="shared" si="45"/>
        <v>5</v>
      </c>
      <c r="AP115" s="422">
        <f t="shared" si="46"/>
        <v>3</v>
      </c>
      <c r="AQ115" s="423">
        <f t="shared" si="47"/>
        <v>0</v>
      </c>
      <c r="AR115" s="423">
        <f t="shared" si="48"/>
        <v>1</v>
      </c>
      <c r="AS115" s="423">
        <f t="shared" si="49"/>
        <v>2</v>
      </c>
      <c r="AT115" s="424">
        <f t="shared" si="50"/>
        <v>0</v>
      </c>
      <c r="AU115" s="422">
        <f t="shared" si="51"/>
        <v>2</v>
      </c>
      <c r="AV115" s="423">
        <f t="shared" si="52"/>
        <v>0</v>
      </c>
      <c r="AW115" s="423">
        <f t="shared" si="53"/>
        <v>0</v>
      </c>
      <c r="AX115" s="423">
        <f t="shared" si="54"/>
        <v>2</v>
      </c>
      <c r="AY115" s="425">
        <f t="shared" si="55"/>
        <v>0</v>
      </c>
    </row>
    <row r="116" spans="1:51" ht="13.9">
      <c r="A116" s="435" t="s">
        <v>265</v>
      </c>
      <c r="B116" s="436">
        <v>44927</v>
      </c>
      <c r="C116" s="437">
        <v>2023</v>
      </c>
      <c r="D116" s="421">
        <f t="shared" si="42"/>
        <v>143618</v>
      </c>
      <c r="E116" s="421">
        <f t="shared" si="42"/>
        <v>8520</v>
      </c>
      <c r="F116" s="422">
        <f t="shared" si="42"/>
        <v>6760</v>
      </c>
      <c r="G116" s="423">
        <f t="shared" si="42"/>
        <v>2365</v>
      </c>
      <c r="H116" s="423">
        <f t="shared" si="42"/>
        <v>354</v>
      </c>
      <c r="I116" s="423">
        <f t="shared" si="42"/>
        <v>3938</v>
      </c>
      <c r="J116" s="424">
        <f t="shared" si="42"/>
        <v>103</v>
      </c>
      <c r="K116" s="422">
        <f t="shared" si="42"/>
        <v>1760</v>
      </c>
      <c r="L116" s="423">
        <f t="shared" si="42"/>
        <v>85</v>
      </c>
      <c r="M116" s="423">
        <f t="shared" si="42"/>
        <v>0</v>
      </c>
      <c r="N116" s="423">
        <f t="shared" si="42"/>
        <v>1480</v>
      </c>
      <c r="O116" s="425">
        <f t="shared" si="42"/>
        <v>195</v>
      </c>
      <c r="P116" s="526">
        <f t="shared" si="43"/>
        <v>257</v>
      </c>
      <c r="Q116" s="423">
        <f t="shared" si="42"/>
        <v>7</v>
      </c>
      <c r="R116" s="422">
        <f t="shared" si="42"/>
        <v>5</v>
      </c>
      <c r="S116" s="423">
        <f t="shared" si="42"/>
        <v>2</v>
      </c>
      <c r="T116" s="423">
        <f t="shared" si="42"/>
        <v>0</v>
      </c>
      <c r="U116" s="423">
        <f t="shared" si="41"/>
        <v>3</v>
      </c>
      <c r="V116" s="424">
        <f t="shared" si="41"/>
        <v>0</v>
      </c>
      <c r="W116" s="422">
        <f t="shared" si="41"/>
        <v>2</v>
      </c>
      <c r="X116" s="423">
        <f t="shared" si="41"/>
        <v>0</v>
      </c>
      <c r="Y116" s="423">
        <f t="shared" si="41"/>
        <v>0</v>
      </c>
      <c r="Z116" s="423">
        <f t="shared" si="41"/>
        <v>2</v>
      </c>
      <c r="AA116" s="425">
        <f t="shared" si="41"/>
        <v>0</v>
      </c>
      <c r="AB116" s="424">
        <f t="shared" si="41"/>
        <v>19</v>
      </c>
      <c r="AC116" s="423">
        <f t="shared" si="41"/>
        <v>0</v>
      </c>
      <c r="AD116" s="422">
        <f t="shared" si="41"/>
        <v>0</v>
      </c>
      <c r="AE116" s="423">
        <f t="shared" si="41"/>
        <v>0</v>
      </c>
      <c r="AF116" s="423">
        <f t="shared" si="41"/>
        <v>0</v>
      </c>
      <c r="AG116" s="423">
        <f t="shared" si="44"/>
        <v>0</v>
      </c>
      <c r="AH116" s="424">
        <f t="shared" si="44"/>
        <v>0</v>
      </c>
      <c r="AI116" s="422">
        <f t="shared" si="44"/>
        <v>0</v>
      </c>
      <c r="AJ116" s="423">
        <f t="shared" si="44"/>
        <v>0</v>
      </c>
      <c r="AK116" s="423">
        <f t="shared" si="44"/>
        <v>0</v>
      </c>
      <c r="AL116" s="423">
        <f t="shared" si="44"/>
        <v>0</v>
      </c>
      <c r="AM116" s="425">
        <f t="shared" si="44"/>
        <v>0</v>
      </c>
      <c r="AO116" s="421">
        <f t="shared" si="45"/>
        <v>7</v>
      </c>
      <c r="AP116" s="422">
        <f t="shared" si="46"/>
        <v>5</v>
      </c>
      <c r="AQ116" s="423">
        <f t="shared" si="47"/>
        <v>2</v>
      </c>
      <c r="AR116" s="423">
        <f t="shared" si="48"/>
        <v>0</v>
      </c>
      <c r="AS116" s="423">
        <f t="shared" si="49"/>
        <v>3</v>
      </c>
      <c r="AT116" s="424">
        <f t="shared" si="50"/>
        <v>0</v>
      </c>
      <c r="AU116" s="422">
        <f t="shared" si="51"/>
        <v>2</v>
      </c>
      <c r="AV116" s="423">
        <f t="shared" si="52"/>
        <v>0</v>
      </c>
      <c r="AW116" s="423">
        <f t="shared" si="53"/>
        <v>0</v>
      </c>
      <c r="AX116" s="423">
        <f t="shared" si="54"/>
        <v>2</v>
      </c>
      <c r="AY116" s="425">
        <f t="shared" si="55"/>
        <v>0</v>
      </c>
    </row>
    <row r="117" spans="1:51" ht="13.9">
      <c r="A117" s="435" t="s">
        <v>265</v>
      </c>
      <c r="B117" s="436">
        <v>44958</v>
      </c>
      <c r="C117" s="437">
        <v>2023</v>
      </c>
      <c r="D117" s="421">
        <f t="shared" si="42"/>
        <v>143618</v>
      </c>
      <c r="E117" s="421">
        <f t="shared" si="42"/>
        <v>8520</v>
      </c>
      <c r="F117" s="422">
        <f t="shared" si="42"/>
        <v>6760</v>
      </c>
      <c r="G117" s="423">
        <f t="shared" si="42"/>
        <v>2365</v>
      </c>
      <c r="H117" s="423">
        <f t="shared" si="42"/>
        <v>354</v>
      </c>
      <c r="I117" s="423">
        <f t="shared" si="42"/>
        <v>3938</v>
      </c>
      <c r="J117" s="424">
        <f t="shared" si="42"/>
        <v>103</v>
      </c>
      <c r="K117" s="422">
        <f t="shared" si="42"/>
        <v>1760</v>
      </c>
      <c r="L117" s="423">
        <f t="shared" si="42"/>
        <v>85</v>
      </c>
      <c r="M117" s="423">
        <f t="shared" si="42"/>
        <v>0</v>
      </c>
      <c r="N117" s="423">
        <f t="shared" si="42"/>
        <v>1480</v>
      </c>
      <c r="O117" s="425">
        <f t="shared" si="42"/>
        <v>195</v>
      </c>
      <c r="P117" s="526">
        <f t="shared" si="43"/>
        <v>257</v>
      </c>
      <c r="Q117" s="423">
        <f t="shared" si="42"/>
        <v>7</v>
      </c>
      <c r="R117" s="422">
        <f t="shared" si="42"/>
        <v>5</v>
      </c>
      <c r="S117" s="423">
        <f t="shared" si="42"/>
        <v>2</v>
      </c>
      <c r="T117" s="423">
        <f t="shared" si="42"/>
        <v>0</v>
      </c>
      <c r="U117" s="423">
        <f t="shared" si="41"/>
        <v>3</v>
      </c>
      <c r="V117" s="424">
        <f t="shared" si="41"/>
        <v>0</v>
      </c>
      <c r="W117" s="422">
        <f t="shared" si="41"/>
        <v>2</v>
      </c>
      <c r="X117" s="423">
        <f t="shared" si="41"/>
        <v>0</v>
      </c>
      <c r="Y117" s="423">
        <f t="shared" si="41"/>
        <v>0</v>
      </c>
      <c r="Z117" s="423">
        <f t="shared" si="41"/>
        <v>2</v>
      </c>
      <c r="AA117" s="425">
        <f t="shared" si="41"/>
        <v>0</v>
      </c>
      <c r="AB117" s="424">
        <f t="shared" si="41"/>
        <v>19</v>
      </c>
      <c r="AC117" s="423">
        <f t="shared" si="41"/>
        <v>0</v>
      </c>
      <c r="AD117" s="422">
        <f t="shared" si="41"/>
        <v>0</v>
      </c>
      <c r="AE117" s="423">
        <f t="shared" si="41"/>
        <v>0</v>
      </c>
      <c r="AF117" s="423">
        <f t="shared" si="41"/>
        <v>0</v>
      </c>
      <c r="AG117" s="423">
        <f t="shared" si="44"/>
        <v>0</v>
      </c>
      <c r="AH117" s="424">
        <f t="shared" si="44"/>
        <v>0</v>
      </c>
      <c r="AI117" s="422">
        <f t="shared" si="44"/>
        <v>0</v>
      </c>
      <c r="AJ117" s="423">
        <f t="shared" si="44"/>
        <v>0</v>
      </c>
      <c r="AK117" s="423">
        <f t="shared" si="44"/>
        <v>0</v>
      </c>
      <c r="AL117" s="423">
        <f t="shared" si="44"/>
        <v>0</v>
      </c>
      <c r="AM117" s="425">
        <f t="shared" si="44"/>
        <v>0</v>
      </c>
      <c r="AO117" s="421">
        <f t="shared" si="45"/>
        <v>7</v>
      </c>
      <c r="AP117" s="422">
        <f t="shared" si="46"/>
        <v>5</v>
      </c>
      <c r="AQ117" s="423">
        <f t="shared" si="47"/>
        <v>2</v>
      </c>
      <c r="AR117" s="423">
        <f t="shared" si="48"/>
        <v>0</v>
      </c>
      <c r="AS117" s="423">
        <f t="shared" si="49"/>
        <v>3</v>
      </c>
      <c r="AT117" s="424">
        <f t="shared" si="50"/>
        <v>0</v>
      </c>
      <c r="AU117" s="422">
        <f t="shared" si="51"/>
        <v>2</v>
      </c>
      <c r="AV117" s="423">
        <f t="shared" si="52"/>
        <v>0</v>
      </c>
      <c r="AW117" s="423">
        <f t="shared" si="53"/>
        <v>0</v>
      </c>
      <c r="AX117" s="423">
        <f t="shared" si="54"/>
        <v>2</v>
      </c>
      <c r="AY117" s="425">
        <f t="shared" si="55"/>
        <v>0</v>
      </c>
    </row>
    <row r="118" spans="1:51" ht="13.9">
      <c r="A118" s="435" t="s">
        <v>265</v>
      </c>
      <c r="B118" s="436">
        <v>44986</v>
      </c>
      <c r="C118" s="437">
        <v>2023</v>
      </c>
      <c r="D118" s="421">
        <f t="shared" si="42"/>
        <v>143618</v>
      </c>
      <c r="E118" s="421">
        <f t="shared" si="42"/>
        <v>8520</v>
      </c>
      <c r="F118" s="422">
        <f t="shared" si="42"/>
        <v>6760</v>
      </c>
      <c r="G118" s="423">
        <f t="shared" si="42"/>
        <v>2365</v>
      </c>
      <c r="H118" s="423">
        <f t="shared" si="42"/>
        <v>354</v>
      </c>
      <c r="I118" s="423">
        <f t="shared" si="42"/>
        <v>3938</v>
      </c>
      <c r="J118" s="424">
        <f t="shared" si="42"/>
        <v>103</v>
      </c>
      <c r="K118" s="422">
        <f t="shared" si="42"/>
        <v>1760</v>
      </c>
      <c r="L118" s="423">
        <f t="shared" si="42"/>
        <v>85</v>
      </c>
      <c r="M118" s="423">
        <f t="shared" si="42"/>
        <v>0</v>
      </c>
      <c r="N118" s="423">
        <f t="shared" si="42"/>
        <v>1480</v>
      </c>
      <c r="O118" s="425">
        <f t="shared" si="42"/>
        <v>195</v>
      </c>
      <c r="P118" s="526">
        <f t="shared" si="43"/>
        <v>257</v>
      </c>
      <c r="Q118" s="423">
        <f t="shared" si="42"/>
        <v>7</v>
      </c>
      <c r="R118" s="422">
        <f t="shared" si="42"/>
        <v>5</v>
      </c>
      <c r="S118" s="423">
        <f t="shared" si="42"/>
        <v>2</v>
      </c>
      <c r="T118" s="423">
        <f t="shared" si="42"/>
        <v>0</v>
      </c>
      <c r="U118" s="423">
        <f t="shared" si="41"/>
        <v>3</v>
      </c>
      <c r="V118" s="424">
        <f t="shared" si="41"/>
        <v>0</v>
      </c>
      <c r="W118" s="422">
        <f t="shared" si="41"/>
        <v>2</v>
      </c>
      <c r="X118" s="423">
        <f t="shared" si="41"/>
        <v>0</v>
      </c>
      <c r="Y118" s="423">
        <f t="shared" si="41"/>
        <v>0</v>
      </c>
      <c r="Z118" s="423">
        <f t="shared" si="41"/>
        <v>2</v>
      </c>
      <c r="AA118" s="425">
        <f t="shared" si="41"/>
        <v>0</v>
      </c>
      <c r="AB118" s="424">
        <f t="shared" si="41"/>
        <v>19</v>
      </c>
      <c r="AC118" s="423">
        <f t="shared" si="41"/>
        <v>0</v>
      </c>
      <c r="AD118" s="422">
        <f t="shared" si="41"/>
        <v>0</v>
      </c>
      <c r="AE118" s="423">
        <f t="shared" si="41"/>
        <v>0</v>
      </c>
      <c r="AF118" s="423">
        <f t="shared" si="41"/>
        <v>0</v>
      </c>
      <c r="AG118" s="423">
        <f t="shared" si="44"/>
        <v>0</v>
      </c>
      <c r="AH118" s="424">
        <f t="shared" si="44"/>
        <v>0</v>
      </c>
      <c r="AI118" s="422">
        <f t="shared" si="44"/>
        <v>0</v>
      </c>
      <c r="AJ118" s="423">
        <f t="shared" si="44"/>
        <v>0</v>
      </c>
      <c r="AK118" s="423">
        <f t="shared" si="44"/>
        <v>0</v>
      </c>
      <c r="AL118" s="423">
        <f t="shared" si="44"/>
        <v>0</v>
      </c>
      <c r="AM118" s="425">
        <f t="shared" si="44"/>
        <v>0</v>
      </c>
      <c r="AO118" s="421">
        <f t="shared" si="45"/>
        <v>7</v>
      </c>
      <c r="AP118" s="422">
        <f t="shared" si="46"/>
        <v>5</v>
      </c>
      <c r="AQ118" s="423">
        <f t="shared" si="47"/>
        <v>2</v>
      </c>
      <c r="AR118" s="423">
        <f t="shared" si="48"/>
        <v>0</v>
      </c>
      <c r="AS118" s="423">
        <f t="shared" si="49"/>
        <v>3</v>
      </c>
      <c r="AT118" s="424">
        <f t="shared" si="50"/>
        <v>0</v>
      </c>
      <c r="AU118" s="422">
        <f t="shared" si="51"/>
        <v>2</v>
      </c>
      <c r="AV118" s="423">
        <f t="shared" si="52"/>
        <v>0</v>
      </c>
      <c r="AW118" s="423">
        <f t="shared" si="53"/>
        <v>0</v>
      </c>
      <c r="AX118" s="423">
        <f t="shared" si="54"/>
        <v>2</v>
      </c>
      <c r="AY118" s="425">
        <f t="shared" si="55"/>
        <v>0</v>
      </c>
    </row>
    <row r="119" spans="1:51" ht="13.9">
      <c r="A119" s="435" t="s">
        <v>266</v>
      </c>
      <c r="B119" s="436">
        <v>45017</v>
      </c>
      <c r="C119" s="437">
        <v>2023</v>
      </c>
      <c r="D119" s="421">
        <f t="shared" si="42"/>
        <v>183652</v>
      </c>
      <c r="E119" s="421">
        <f t="shared" si="42"/>
        <v>12797</v>
      </c>
      <c r="F119" s="422">
        <f t="shared" si="42"/>
        <v>9486</v>
      </c>
      <c r="G119" s="423">
        <f t="shared" si="42"/>
        <v>2192</v>
      </c>
      <c r="H119" s="423">
        <f t="shared" si="42"/>
        <v>382</v>
      </c>
      <c r="I119" s="423">
        <f t="shared" si="42"/>
        <v>6743</v>
      </c>
      <c r="J119" s="424">
        <f t="shared" si="42"/>
        <v>169</v>
      </c>
      <c r="K119" s="422">
        <f t="shared" si="42"/>
        <v>3311</v>
      </c>
      <c r="L119" s="423">
        <f t="shared" si="42"/>
        <v>210</v>
      </c>
      <c r="M119" s="423">
        <f t="shared" si="42"/>
        <v>0</v>
      </c>
      <c r="N119" s="423">
        <f t="shared" si="42"/>
        <v>2843</v>
      </c>
      <c r="O119" s="425">
        <f t="shared" si="42"/>
        <v>258</v>
      </c>
      <c r="P119" s="526">
        <f t="shared" si="43"/>
        <v>316</v>
      </c>
      <c r="Q119" s="423">
        <f t="shared" si="42"/>
        <v>7</v>
      </c>
      <c r="R119" s="422">
        <f t="shared" si="42"/>
        <v>5</v>
      </c>
      <c r="S119" s="423">
        <f t="shared" si="42"/>
        <v>1</v>
      </c>
      <c r="T119" s="423">
        <f t="shared" si="42"/>
        <v>0</v>
      </c>
      <c r="U119" s="423">
        <f t="shared" si="41"/>
        <v>4</v>
      </c>
      <c r="V119" s="424">
        <f t="shared" si="41"/>
        <v>0</v>
      </c>
      <c r="W119" s="422">
        <f t="shared" si="41"/>
        <v>2</v>
      </c>
      <c r="X119" s="423">
        <f t="shared" si="41"/>
        <v>0</v>
      </c>
      <c r="Y119" s="423">
        <f t="shared" si="41"/>
        <v>0</v>
      </c>
      <c r="Z119" s="423">
        <f t="shared" si="41"/>
        <v>1</v>
      </c>
      <c r="AA119" s="425">
        <f t="shared" si="41"/>
        <v>1</v>
      </c>
      <c r="AB119" s="424">
        <f t="shared" si="41"/>
        <v>21</v>
      </c>
      <c r="AC119" s="423">
        <f t="shared" si="41"/>
        <v>0</v>
      </c>
      <c r="AD119" s="422">
        <f t="shared" si="41"/>
        <v>0</v>
      </c>
      <c r="AE119" s="423">
        <f t="shared" si="41"/>
        <v>0</v>
      </c>
      <c r="AF119" s="423">
        <f t="shared" si="41"/>
        <v>0</v>
      </c>
      <c r="AG119" s="423">
        <f t="shared" si="44"/>
        <v>0</v>
      </c>
      <c r="AH119" s="424">
        <f t="shared" si="44"/>
        <v>0</v>
      </c>
      <c r="AI119" s="422">
        <f t="shared" si="44"/>
        <v>0</v>
      </c>
      <c r="AJ119" s="423">
        <f t="shared" si="44"/>
        <v>0</v>
      </c>
      <c r="AK119" s="423">
        <f t="shared" si="44"/>
        <v>0</v>
      </c>
      <c r="AL119" s="423">
        <f t="shared" si="44"/>
        <v>0</v>
      </c>
      <c r="AM119" s="425">
        <f t="shared" si="44"/>
        <v>0</v>
      </c>
      <c r="AO119" s="421">
        <f t="shared" si="45"/>
        <v>7</v>
      </c>
      <c r="AP119" s="422">
        <f t="shared" si="46"/>
        <v>5</v>
      </c>
      <c r="AQ119" s="423">
        <f t="shared" si="47"/>
        <v>1</v>
      </c>
      <c r="AR119" s="423">
        <f t="shared" si="48"/>
        <v>0</v>
      </c>
      <c r="AS119" s="423">
        <f t="shared" si="49"/>
        <v>4</v>
      </c>
      <c r="AT119" s="424">
        <f t="shared" si="50"/>
        <v>0</v>
      </c>
      <c r="AU119" s="422">
        <f t="shared" si="51"/>
        <v>2</v>
      </c>
      <c r="AV119" s="423">
        <f t="shared" si="52"/>
        <v>0</v>
      </c>
      <c r="AW119" s="423">
        <f t="shared" si="53"/>
        <v>0</v>
      </c>
      <c r="AX119" s="423">
        <f t="shared" si="54"/>
        <v>1</v>
      </c>
      <c r="AY119" s="425">
        <f t="shared" si="55"/>
        <v>1</v>
      </c>
    </row>
    <row r="120" spans="1:51" ht="13.9">
      <c r="A120" s="435" t="s">
        <v>266</v>
      </c>
      <c r="B120" s="436">
        <v>45047</v>
      </c>
      <c r="C120" s="437">
        <v>2023</v>
      </c>
      <c r="D120" s="421">
        <f t="shared" si="42"/>
        <v>183652</v>
      </c>
      <c r="E120" s="421">
        <f t="shared" si="42"/>
        <v>12797</v>
      </c>
      <c r="F120" s="422">
        <f t="shared" si="42"/>
        <v>9486</v>
      </c>
      <c r="G120" s="423">
        <f t="shared" si="42"/>
        <v>2192</v>
      </c>
      <c r="H120" s="423">
        <f t="shared" si="42"/>
        <v>382</v>
      </c>
      <c r="I120" s="423">
        <f t="shared" si="42"/>
        <v>6743</v>
      </c>
      <c r="J120" s="424">
        <f t="shared" si="42"/>
        <v>169</v>
      </c>
      <c r="K120" s="422">
        <f t="shared" si="42"/>
        <v>3311</v>
      </c>
      <c r="L120" s="423">
        <f t="shared" si="42"/>
        <v>210</v>
      </c>
      <c r="M120" s="423">
        <f t="shared" si="42"/>
        <v>0</v>
      </c>
      <c r="N120" s="423">
        <f t="shared" si="42"/>
        <v>2843</v>
      </c>
      <c r="O120" s="425">
        <f t="shared" si="42"/>
        <v>258</v>
      </c>
      <c r="P120" s="526">
        <f t="shared" si="43"/>
        <v>316</v>
      </c>
      <c r="Q120" s="423">
        <f t="shared" si="42"/>
        <v>7</v>
      </c>
      <c r="R120" s="422">
        <f t="shared" si="42"/>
        <v>5</v>
      </c>
      <c r="S120" s="423">
        <f t="shared" si="42"/>
        <v>1</v>
      </c>
      <c r="T120" s="423">
        <f t="shared" si="42"/>
        <v>0</v>
      </c>
      <c r="U120" s="423">
        <f t="shared" si="41"/>
        <v>4</v>
      </c>
      <c r="V120" s="424">
        <f t="shared" si="41"/>
        <v>0</v>
      </c>
      <c r="W120" s="422">
        <f t="shared" si="41"/>
        <v>2</v>
      </c>
      <c r="X120" s="423">
        <f t="shared" si="41"/>
        <v>0</v>
      </c>
      <c r="Y120" s="423">
        <f t="shared" si="41"/>
        <v>0</v>
      </c>
      <c r="Z120" s="423">
        <f t="shared" si="41"/>
        <v>1</v>
      </c>
      <c r="AA120" s="425">
        <f t="shared" si="41"/>
        <v>1</v>
      </c>
      <c r="AB120" s="424">
        <f t="shared" si="41"/>
        <v>21</v>
      </c>
      <c r="AC120" s="423">
        <f t="shared" si="41"/>
        <v>0</v>
      </c>
      <c r="AD120" s="422">
        <f t="shared" si="41"/>
        <v>0</v>
      </c>
      <c r="AE120" s="423">
        <f t="shared" si="41"/>
        <v>0</v>
      </c>
      <c r="AF120" s="423">
        <f t="shared" si="41"/>
        <v>0</v>
      </c>
      <c r="AG120" s="423">
        <f t="shared" si="44"/>
        <v>0</v>
      </c>
      <c r="AH120" s="424">
        <f t="shared" si="44"/>
        <v>0</v>
      </c>
      <c r="AI120" s="422">
        <f t="shared" si="44"/>
        <v>0</v>
      </c>
      <c r="AJ120" s="423">
        <f t="shared" si="44"/>
        <v>0</v>
      </c>
      <c r="AK120" s="423">
        <f t="shared" si="44"/>
        <v>0</v>
      </c>
      <c r="AL120" s="423">
        <f t="shared" si="44"/>
        <v>0</v>
      </c>
      <c r="AM120" s="425">
        <f t="shared" si="44"/>
        <v>0</v>
      </c>
      <c r="AO120" s="421">
        <f t="shared" si="45"/>
        <v>7</v>
      </c>
      <c r="AP120" s="422">
        <f t="shared" si="46"/>
        <v>5</v>
      </c>
      <c r="AQ120" s="423">
        <f t="shared" si="47"/>
        <v>1</v>
      </c>
      <c r="AR120" s="423">
        <f t="shared" si="48"/>
        <v>0</v>
      </c>
      <c r="AS120" s="423">
        <f t="shared" si="49"/>
        <v>4</v>
      </c>
      <c r="AT120" s="424">
        <f t="shared" si="50"/>
        <v>0</v>
      </c>
      <c r="AU120" s="422">
        <f t="shared" si="51"/>
        <v>2</v>
      </c>
      <c r="AV120" s="423">
        <f t="shared" si="52"/>
        <v>0</v>
      </c>
      <c r="AW120" s="423">
        <f t="shared" si="53"/>
        <v>0</v>
      </c>
      <c r="AX120" s="423">
        <f t="shared" si="54"/>
        <v>1</v>
      </c>
      <c r="AY120" s="425">
        <f t="shared" si="55"/>
        <v>1</v>
      </c>
    </row>
    <row r="121" spans="1:51" ht="13.9">
      <c r="A121" s="435" t="s">
        <v>266</v>
      </c>
      <c r="B121" s="436">
        <v>45078</v>
      </c>
      <c r="C121" s="437">
        <v>2023</v>
      </c>
      <c r="D121" s="421">
        <f t="shared" si="42"/>
        <v>183652</v>
      </c>
      <c r="E121" s="421">
        <f t="shared" si="42"/>
        <v>12797</v>
      </c>
      <c r="F121" s="422">
        <f t="shared" si="42"/>
        <v>9486</v>
      </c>
      <c r="G121" s="423">
        <f t="shared" si="42"/>
        <v>2192</v>
      </c>
      <c r="H121" s="423">
        <f t="shared" si="42"/>
        <v>382</v>
      </c>
      <c r="I121" s="423">
        <f t="shared" si="42"/>
        <v>6743</v>
      </c>
      <c r="J121" s="424">
        <f t="shared" si="42"/>
        <v>169</v>
      </c>
      <c r="K121" s="422">
        <f t="shared" si="42"/>
        <v>3311</v>
      </c>
      <c r="L121" s="423">
        <f t="shared" si="42"/>
        <v>210</v>
      </c>
      <c r="M121" s="423">
        <f t="shared" si="42"/>
        <v>0</v>
      </c>
      <c r="N121" s="423">
        <f t="shared" si="42"/>
        <v>2843</v>
      </c>
      <c r="O121" s="425">
        <f t="shared" si="42"/>
        <v>258</v>
      </c>
      <c r="P121" s="526">
        <f t="shared" si="43"/>
        <v>316</v>
      </c>
      <c r="Q121" s="423">
        <f t="shared" si="42"/>
        <v>7</v>
      </c>
      <c r="R121" s="422">
        <f t="shared" si="42"/>
        <v>5</v>
      </c>
      <c r="S121" s="423">
        <f t="shared" si="42"/>
        <v>1</v>
      </c>
      <c r="T121" s="423">
        <f t="shared" si="42"/>
        <v>0</v>
      </c>
      <c r="U121" s="423">
        <f t="shared" si="41"/>
        <v>4</v>
      </c>
      <c r="V121" s="424">
        <f t="shared" si="41"/>
        <v>0</v>
      </c>
      <c r="W121" s="422">
        <f t="shared" si="41"/>
        <v>2</v>
      </c>
      <c r="X121" s="423">
        <f t="shared" si="41"/>
        <v>0</v>
      </c>
      <c r="Y121" s="423">
        <f t="shared" si="41"/>
        <v>0</v>
      </c>
      <c r="Z121" s="423">
        <f t="shared" si="41"/>
        <v>1</v>
      </c>
      <c r="AA121" s="425">
        <f t="shared" si="41"/>
        <v>1</v>
      </c>
      <c r="AB121" s="424">
        <f t="shared" si="41"/>
        <v>21</v>
      </c>
      <c r="AC121" s="423">
        <f t="shared" si="41"/>
        <v>0</v>
      </c>
      <c r="AD121" s="422">
        <f t="shared" si="41"/>
        <v>0</v>
      </c>
      <c r="AE121" s="423">
        <f t="shared" si="41"/>
        <v>0</v>
      </c>
      <c r="AF121" s="423">
        <f t="shared" si="41"/>
        <v>0</v>
      </c>
      <c r="AG121" s="423">
        <f t="shared" si="44"/>
        <v>0</v>
      </c>
      <c r="AH121" s="424">
        <f t="shared" si="44"/>
        <v>0</v>
      </c>
      <c r="AI121" s="422">
        <f t="shared" si="44"/>
        <v>0</v>
      </c>
      <c r="AJ121" s="423">
        <f t="shared" si="44"/>
        <v>0</v>
      </c>
      <c r="AK121" s="423">
        <f t="shared" si="44"/>
        <v>0</v>
      </c>
      <c r="AL121" s="423">
        <f t="shared" si="44"/>
        <v>0</v>
      </c>
      <c r="AM121" s="425">
        <f t="shared" si="44"/>
        <v>0</v>
      </c>
      <c r="AO121" s="421">
        <f t="shared" si="45"/>
        <v>7</v>
      </c>
      <c r="AP121" s="422">
        <f t="shared" si="46"/>
        <v>5</v>
      </c>
      <c r="AQ121" s="423">
        <f t="shared" si="47"/>
        <v>1</v>
      </c>
      <c r="AR121" s="423">
        <f t="shared" si="48"/>
        <v>0</v>
      </c>
      <c r="AS121" s="423">
        <f t="shared" si="49"/>
        <v>4</v>
      </c>
      <c r="AT121" s="424">
        <f t="shared" si="50"/>
        <v>0</v>
      </c>
      <c r="AU121" s="422">
        <f t="shared" si="51"/>
        <v>2</v>
      </c>
      <c r="AV121" s="423">
        <f t="shared" si="52"/>
        <v>0</v>
      </c>
      <c r="AW121" s="423">
        <f t="shared" si="53"/>
        <v>0</v>
      </c>
      <c r="AX121" s="423">
        <f t="shared" si="54"/>
        <v>1</v>
      </c>
      <c r="AY121" s="425">
        <f t="shared" si="55"/>
        <v>1</v>
      </c>
    </row>
    <row r="122" spans="1:51" ht="13.9">
      <c r="A122" s="435" t="s">
        <v>267</v>
      </c>
      <c r="B122" s="436">
        <v>45108</v>
      </c>
      <c r="C122" s="437">
        <v>2023</v>
      </c>
      <c r="D122" s="421">
        <f t="shared" si="42"/>
        <v>178596</v>
      </c>
      <c r="E122" s="421">
        <f t="shared" si="42"/>
        <v>14710</v>
      </c>
      <c r="F122" s="422">
        <f t="shared" si="42"/>
        <v>11458</v>
      </c>
      <c r="G122" s="423">
        <f t="shared" si="42"/>
        <v>3129</v>
      </c>
      <c r="H122" s="423">
        <f t="shared" si="42"/>
        <v>523</v>
      </c>
      <c r="I122" s="423">
        <f t="shared" si="42"/>
        <v>7730</v>
      </c>
      <c r="J122" s="424">
        <f t="shared" si="42"/>
        <v>76</v>
      </c>
      <c r="K122" s="422">
        <f t="shared" si="42"/>
        <v>3252</v>
      </c>
      <c r="L122" s="423">
        <f t="shared" si="42"/>
        <v>322</v>
      </c>
      <c r="M122" s="423">
        <f t="shared" si="42"/>
        <v>0</v>
      </c>
      <c r="N122" s="423">
        <f t="shared" si="42"/>
        <v>2825</v>
      </c>
      <c r="O122" s="425">
        <f t="shared" si="42"/>
        <v>105</v>
      </c>
      <c r="P122" s="526">
        <f t="shared" si="43"/>
        <v>284</v>
      </c>
      <c r="Q122" s="423">
        <f t="shared" si="42"/>
        <v>17</v>
      </c>
      <c r="R122" s="422">
        <f t="shared" si="42"/>
        <v>10</v>
      </c>
      <c r="S122" s="423">
        <f t="shared" si="42"/>
        <v>2</v>
      </c>
      <c r="T122" s="423">
        <f t="shared" si="42"/>
        <v>0</v>
      </c>
      <c r="U122" s="423">
        <f t="shared" si="41"/>
        <v>8</v>
      </c>
      <c r="V122" s="424">
        <f t="shared" si="41"/>
        <v>0</v>
      </c>
      <c r="W122" s="422">
        <f t="shared" si="41"/>
        <v>7</v>
      </c>
      <c r="X122" s="423">
        <f t="shared" si="41"/>
        <v>1</v>
      </c>
      <c r="Y122" s="423">
        <f t="shared" si="41"/>
        <v>0</v>
      </c>
      <c r="Z122" s="423">
        <f t="shared" si="41"/>
        <v>6</v>
      </c>
      <c r="AA122" s="425">
        <f t="shared" si="41"/>
        <v>0</v>
      </c>
      <c r="AB122" s="424">
        <f t="shared" si="41"/>
        <v>35</v>
      </c>
      <c r="AC122" s="423">
        <f t="shared" si="41"/>
        <v>1</v>
      </c>
      <c r="AD122" s="422">
        <f t="shared" si="41"/>
        <v>1</v>
      </c>
      <c r="AE122" s="423">
        <f t="shared" si="41"/>
        <v>0</v>
      </c>
      <c r="AF122" s="423">
        <f t="shared" si="41"/>
        <v>0</v>
      </c>
      <c r="AG122" s="423">
        <f t="shared" si="44"/>
        <v>1</v>
      </c>
      <c r="AH122" s="424">
        <f t="shared" si="44"/>
        <v>0</v>
      </c>
      <c r="AI122" s="422">
        <f t="shared" si="44"/>
        <v>0</v>
      </c>
      <c r="AJ122" s="423">
        <f t="shared" si="44"/>
        <v>0</v>
      </c>
      <c r="AK122" s="423">
        <f t="shared" si="44"/>
        <v>0</v>
      </c>
      <c r="AL122" s="423">
        <f t="shared" si="44"/>
        <v>0</v>
      </c>
      <c r="AM122" s="425">
        <f t="shared" si="44"/>
        <v>0</v>
      </c>
      <c r="AO122" s="421">
        <f t="shared" si="45"/>
        <v>18</v>
      </c>
      <c r="AP122" s="422">
        <f t="shared" si="46"/>
        <v>11</v>
      </c>
      <c r="AQ122" s="423">
        <f t="shared" si="47"/>
        <v>2</v>
      </c>
      <c r="AR122" s="423">
        <f t="shared" si="48"/>
        <v>0</v>
      </c>
      <c r="AS122" s="423">
        <f t="shared" si="49"/>
        <v>9</v>
      </c>
      <c r="AT122" s="424">
        <f t="shared" si="50"/>
        <v>0</v>
      </c>
      <c r="AU122" s="422">
        <f t="shared" si="51"/>
        <v>7</v>
      </c>
      <c r="AV122" s="423">
        <f t="shared" si="52"/>
        <v>1</v>
      </c>
      <c r="AW122" s="423">
        <f t="shared" si="53"/>
        <v>0</v>
      </c>
      <c r="AX122" s="423">
        <f t="shared" si="54"/>
        <v>6</v>
      </c>
      <c r="AY122" s="425">
        <f t="shared" si="55"/>
        <v>0</v>
      </c>
    </row>
    <row r="123" spans="1:51" ht="13.9">
      <c r="A123" s="435" t="s">
        <v>267</v>
      </c>
      <c r="B123" s="436">
        <v>45139</v>
      </c>
      <c r="C123" s="437">
        <v>2023</v>
      </c>
      <c r="D123" s="421">
        <f t="shared" si="42"/>
        <v>178596</v>
      </c>
      <c r="E123" s="421">
        <f t="shared" si="42"/>
        <v>14710</v>
      </c>
      <c r="F123" s="422">
        <f t="shared" si="42"/>
        <v>11458</v>
      </c>
      <c r="G123" s="423">
        <f t="shared" si="42"/>
        <v>3129</v>
      </c>
      <c r="H123" s="423">
        <f t="shared" si="42"/>
        <v>523</v>
      </c>
      <c r="I123" s="423">
        <f t="shared" si="42"/>
        <v>7730</v>
      </c>
      <c r="J123" s="424">
        <f t="shared" si="42"/>
        <v>76</v>
      </c>
      <c r="K123" s="422">
        <f t="shared" si="42"/>
        <v>3252</v>
      </c>
      <c r="L123" s="423">
        <f t="shared" si="42"/>
        <v>322</v>
      </c>
      <c r="M123" s="423">
        <f t="shared" si="42"/>
        <v>0</v>
      </c>
      <c r="N123" s="423">
        <f t="shared" si="42"/>
        <v>2825</v>
      </c>
      <c r="O123" s="425">
        <f t="shared" si="42"/>
        <v>105</v>
      </c>
      <c r="P123" s="526">
        <f t="shared" si="43"/>
        <v>284</v>
      </c>
      <c r="Q123" s="423">
        <f t="shared" si="42"/>
        <v>17</v>
      </c>
      <c r="R123" s="422">
        <f t="shared" si="42"/>
        <v>10</v>
      </c>
      <c r="S123" s="423">
        <f t="shared" si="42"/>
        <v>2</v>
      </c>
      <c r="T123" s="423">
        <f t="shared" ref="T123:AJ138" si="56">SUMIFS(T$5:T$40,$B$5:$B$40,$A123)</f>
        <v>0</v>
      </c>
      <c r="U123" s="423">
        <f t="shared" si="56"/>
        <v>8</v>
      </c>
      <c r="V123" s="424">
        <f t="shared" si="56"/>
        <v>0</v>
      </c>
      <c r="W123" s="422">
        <f t="shared" si="56"/>
        <v>7</v>
      </c>
      <c r="X123" s="423">
        <f t="shared" si="56"/>
        <v>1</v>
      </c>
      <c r="Y123" s="423">
        <f t="shared" si="56"/>
        <v>0</v>
      </c>
      <c r="Z123" s="423">
        <f t="shared" si="56"/>
        <v>6</v>
      </c>
      <c r="AA123" s="425">
        <f t="shared" si="56"/>
        <v>0</v>
      </c>
      <c r="AB123" s="424">
        <f t="shared" si="56"/>
        <v>35</v>
      </c>
      <c r="AC123" s="423">
        <f t="shared" si="56"/>
        <v>1</v>
      </c>
      <c r="AD123" s="422">
        <f t="shared" si="56"/>
        <v>1</v>
      </c>
      <c r="AE123" s="423">
        <f t="shared" si="56"/>
        <v>0</v>
      </c>
      <c r="AF123" s="423">
        <f t="shared" si="56"/>
        <v>0</v>
      </c>
      <c r="AG123" s="423">
        <f t="shared" si="56"/>
        <v>1</v>
      </c>
      <c r="AH123" s="424">
        <f t="shared" si="56"/>
        <v>0</v>
      </c>
      <c r="AI123" s="422">
        <f t="shared" si="56"/>
        <v>0</v>
      </c>
      <c r="AJ123" s="423">
        <f t="shared" si="56"/>
        <v>0</v>
      </c>
      <c r="AK123" s="423">
        <f t="shared" si="44"/>
        <v>0</v>
      </c>
      <c r="AL123" s="423">
        <f t="shared" si="44"/>
        <v>0</v>
      </c>
      <c r="AM123" s="425">
        <f t="shared" si="44"/>
        <v>0</v>
      </c>
      <c r="AO123" s="421">
        <f t="shared" si="45"/>
        <v>18</v>
      </c>
      <c r="AP123" s="422">
        <f t="shared" si="46"/>
        <v>11</v>
      </c>
      <c r="AQ123" s="423">
        <f t="shared" si="47"/>
        <v>2</v>
      </c>
      <c r="AR123" s="423">
        <f t="shared" si="48"/>
        <v>0</v>
      </c>
      <c r="AS123" s="423">
        <f t="shared" si="49"/>
        <v>9</v>
      </c>
      <c r="AT123" s="424">
        <f t="shared" si="50"/>
        <v>0</v>
      </c>
      <c r="AU123" s="422">
        <f t="shared" si="51"/>
        <v>7</v>
      </c>
      <c r="AV123" s="423">
        <f t="shared" si="52"/>
        <v>1</v>
      </c>
      <c r="AW123" s="423">
        <f t="shared" si="53"/>
        <v>0</v>
      </c>
      <c r="AX123" s="423">
        <f t="shared" si="54"/>
        <v>6</v>
      </c>
      <c r="AY123" s="425">
        <f t="shared" si="55"/>
        <v>0</v>
      </c>
    </row>
    <row r="124" spans="1:51" ht="13.9">
      <c r="A124" s="435" t="s">
        <v>267</v>
      </c>
      <c r="B124" s="436">
        <v>45170</v>
      </c>
      <c r="C124" s="437">
        <v>2023</v>
      </c>
      <c r="D124" s="421">
        <f t="shared" ref="D124:T139" si="57">SUMIFS(D$5:D$40,$B$5:$B$40,$A124)</f>
        <v>178596</v>
      </c>
      <c r="E124" s="421">
        <f t="shared" si="57"/>
        <v>14710</v>
      </c>
      <c r="F124" s="422">
        <f t="shared" si="57"/>
        <v>11458</v>
      </c>
      <c r="G124" s="423">
        <f t="shared" si="57"/>
        <v>3129</v>
      </c>
      <c r="H124" s="423">
        <f t="shared" si="57"/>
        <v>523</v>
      </c>
      <c r="I124" s="423">
        <f t="shared" si="57"/>
        <v>7730</v>
      </c>
      <c r="J124" s="424">
        <f t="shared" si="57"/>
        <v>76</v>
      </c>
      <c r="K124" s="422">
        <f t="shared" si="57"/>
        <v>3252</v>
      </c>
      <c r="L124" s="423">
        <f t="shared" si="57"/>
        <v>322</v>
      </c>
      <c r="M124" s="423">
        <f t="shared" si="57"/>
        <v>0</v>
      </c>
      <c r="N124" s="423">
        <f t="shared" si="57"/>
        <v>2825</v>
      </c>
      <c r="O124" s="425">
        <f t="shared" si="57"/>
        <v>105</v>
      </c>
      <c r="P124" s="526">
        <f t="shared" si="43"/>
        <v>284</v>
      </c>
      <c r="Q124" s="423">
        <f t="shared" si="57"/>
        <v>17</v>
      </c>
      <c r="R124" s="422">
        <f t="shared" si="57"/>
        <v>10</v>
      </c>
      <c r="S124" s="423">
        <f t="shared" si="57"/>
        <v>2</v>
      </c>
      <c r="T124" s="423">
        <f t="shared" si="57"/>
        <v>0</v>
      </c>
      <c r="U124" s="423">
        <f t="shared" si="56"/>
        <v>8</v>
      </c>
      <c r="V124" s="424">
        <f t="shared" si="56"/>
        <v>0</v>
      </c>
      <c r="W124" s="422">
        <f t="shared" si="56"/>
        <v>7</v>
      </c>
      <c r="X124" s="423">
        <f t="shared" si="56"/>
        <v>1</v>
      </c>
      <c r="Y124" s="423">
        <f t="shared" si="56"/>
        <v>0</v>
      </c>
      <c r="Z124" s="423">
        <f t="shared" si="56"/>
        <v>6</v>
      </c>
      <c r="AA124" s="425">
        <f t="shared" si="56"/>
        <v>0</v>
      </c>
      <c r="AB124" s="424">
        <f t="shared" si="56"/>
        <v>35</v>
      </c>
      <c r="AC124" s="423">
        <f t="shared" si="56"/>
        <v>1</v>
      </c>
      <c r="AD124" s="422">
        <f t="shared" si="56"/>
        <v>1</v>
      </c>
      <c r="AE124" s="423">
        <f t="shared" si="56"/>
        <v>0</v>
      </c>
      <c r="AF124" s="423">
        <f t="shared" si="56"/>
        <v>0</v>
      </c>
      <c r="AG124" s="423">
        <f t="shared" ref="AG124:AM139" si="58">SUMIFS(AG$5:AG$40,$B$5:$B$40,$A124)</f>
        <v>1</v>
      </c>
      <c r="AH124" s="424">
        <f t="shared" si="58"/>
        <v>0</v>
      </c>
      <c r="AI124" s="422">
        <f t="shared" si="58"/>
        <v>0</v>
      </c>
      <c r="AJ124" s="423">
        <f t="shared" si="58"/>
        <v>0</v>
      </c>
      <c r="AK124" s="423">
        <f t="shared" si="58"/>
        <v>0</v>
      </c>
      <c r="AL124" s="423">
        <f t="shared" si="58"/>
        <v>0</v>
      </c>
      <c r="AM124" s="425">
        <f t="shared" si="58"/>
        <v>0</v>
      </c>
      <c r="AO124" s="421">
        <f t="shared" si="45"/>
        <v>18</v>
      </c>
      <c r="AP124" s="422">
        <f t="shared" si="46"/>
        <v>11</v>
      </c>
      <c r="AQ124" s="423">
        <f t="shared" si="47"/>
        <v>2</v>
      </c>
      <c r="AR124" s="423">
        <f t="shared" si="48"/>
        <v>0</v>
      </c>
      <c r="AS124" s="423">
        <f t="shared" si="49"/>
        <v>9</v>
      </c>
      <c r="AT124" s="424">
        <f t="shared" si="50"/>
        <v>0</v>
      </c>
      <c r="AU124" s="422">
        <f t="shared" si="51"/>
        <v>7</v>
      </c>
      <c r="AV124" s="423">
        <f t="shared" si="52"/>
        <v>1</v>
      </c>
      <c r="AW124" s="423">
        <f t="shared" si="53"/>
        <v>0</v>
      </c>
      <c r="AX124" s="423">
        <f t="shared" si="54"/>
        <v>6</v>
      </c>
      <c r="AY124" s="425">
        <f t="shared" si="55"/>
        <v>0</v>
      </c>
    </row>
    <row r="125" spans="1:51" ht="13.9">
      <c r="A125" s="435" t="s">
        <v>268</v>
      </c>
      <c r="B125" s="436">
        <v>45200</v>
      </c>
      <c r="C125" s="437">
        <v>2023</v>
      </c>
      <c r="D125" s="421">
        <f t="shared" si="57"/>
        <v>171135</v>
      </c>
      <c r="E125" s="421">
        <f t="shared" si="57"/>
        <v>14105</v>
      </c>
      <c r="F125" s="422">
        <f t="shared" si="57"/>
        <v>10931</v>
      </c>
      <c r="G125" s="423">
        <f t="shared" si="57"/>
        <v>2488</v>
      </c>
      <c r="H125" s="423">
        <f t="shared" si="57"/>
        <v>550</v>
      </c>
      <c r="I125" s="423">
        <f t="shared" si="57"/>
        <v>7734</v>
      </c>
      <c r="J125" s="424">
        <f t="shared" si="57"/>
        <v>159</v>
      </c>
      <c r="K125" s="422">
        <f t="shared" si="57"/>
        <v>3174</v>
      </c>
      <c r="L125" s="423">
        <f t="shared" si="57"/>
        <v>210</v>
      </c>
      <c r="M125" s="423">
        <f t="shared" si="57"/>
        <v>0</v>
      </c>
      <c r="N125" s="423">
        <f t="shared" si="57"/>
        <v>2902</v>
      </c>
      <c r="O125" s="425">
        <f t="shared" si="57"/>
        <v>62</v>
      </c>
      <c r="P125" s="526">
        <f t="shared" si="43"/>
        <v>286</v>
      </c>
      <c r="Q125" s="423">
        <f t="shared" si="57"/>
        <v>7</v>
      </c>
      <c r="R125" s="422">
        <f t="shared" si="57"/>
        <v>4</v>
      </c>
      <c r="S125" s="423">
        <f t="shared" si="57"/>
        <v>0</v>
      </c>
      <c r="T125" s="423">
        <f t="shared" si="57"/>
        <v>0</v>
      </c>
      <c r="U125" s="423">
        <f t="shared" si="56"/>
        <v>4</v>
      </c>
      <c r="V125" s="424">
        <f t="shared" si="56"/>
        <v>0</v>
      </c>
      <c r="W125" s="422">
        <f t="shared" si="56"/>
        <v>3</v>
      </c>
      <c r="X125" s="423">
        <f t="shared" si="56"/>
        <v>0</v>
      </c>
      <c r="Y125" s="423">
        <f t="shared" si="56"/>
        <v>0</v>
      </c>
      <c r="Z125" s="423">
        <f t="shared" si="56"/>
        <v>3</v>
      </c>
      <c r="AA125" s="425">
        <f t="shared" si="56"/>
        <v>0</v>
      </c>
      <c r="AB125" s="424">
        <f t="shared" si="56"/>
        <v>26</v>
      </c>
      <c r="AC125" s="423">
        <f t="shared" si="56"/>
        <v>1</v>
      </c>
      <c r="AD125" s="422">
        <f t="shared" si="56"/>
        <v>0</v>
      </c>
      <c r="AE125" s="423">
        <f t="shared" si="56"/>
        <v>0</v>
      </c>
      <c r="AF125" s="423">
        <f t="shared" si="56"/>
        <v>0</v>
      </c>
      <c r="AG125" s="423">
        <f t="shared" si="58"/>
        <v>0</v>
      </c>
      <c r="AH125" s="424">
        <f t="shared" si="58"/>
        <v>0</v>
      </c>
      <c r="AI125" s="422">
        <f t="shared" si="58"/>
        <v>1</v>
      </c>
      <c r="AJ125" s="423">
        <f t="shared" si="58"/>
        <v>0</v>
      </c>
      <c r="AK125" s="423">
        <f t="shared" si="58"/>
        <v>0</v>
      </c>
      <c r="AL125" s="423">
        <f t="shared" si="58"/>
        <v>1</v>
      </c>
      <c r="AM125" s="425">
        <f t="shared" si="58"/>
        <v>0</v>
      </c>
      <c r="AO125" s="421">
        <f t="shared" si="45"/>
        <v>8</v>
      </c>
      <c r="AP125" s="422">
        <f t="shared" si="46"/>
        <v>4</v>
      </c>
      <c r="AQ125" s="423">
        <f t="shared" si="47"/>
        <v>0</v>
      </c>
      <c r="AR125" s="423">
        <f t="shared" si="48"/>
        <v>0</v>
      </c>
      <c r="AS125" s="423">
        <f t="shared" si="49"/>
        <v>4</v>
      </c>
      <c r="AT125" s="424">
        <f t="shared" si="50"/>
        <v>0</v>
      </c>
      <c r="AU125" s="422">
        <f t="shared" si="51"/>
        <v>4</v>
      </c>
      <c r="AV125" s="423">
        <f t="shared" si="52"/>
        <v>0</v>
      </c>
      <c r="AW125" s="423">
        <f t="shared" si="53"/>
        <v>0</v>
      </c>
      <c r="AX125" s="423">
        <f t="shared" si="54"/>
        <v>4</v>
      </c>
      <c r="AY125" s="425">
        <f t="shared" si="55"/>
        <v>0</v>
      </c>
    </row>
    <row r="126" spans="1:51" ht="13.9">
      <c r="A126" s="435" t="s">
        <v>268</v>
      </c>
      <c r="B126" s="436">
        <v>45231</v>
      </c>
      <c r="C126" s="437">
        <v>2023</v>
      </c>
      <c r="D126" s="421">
        <f t="shared" si="57"/>
        <v>171135</v>
      </c>
      <c r="E126" s="421">
        <f t="shared" si="57"/>
        <v>14105</v>
      </c>
      <c r="F126" s="422">
        <f t="shared" si="57"/>
        <v>10931</v>
      </c>
      <c r="G126" s="423">
        <f t="shared" si="57"/>
        <v>2488</v>
      </c>
      <c r="H126" s="423">
        <f t="shared" si="57"/>
        <v>550</v>
      </c>
      <c r="I126" s="423">
        <f t="shared" si="57"/>
        <v>7734</v>
      </c>
      <c r="J126" s="424">
        <f t="shared" si="57"/>
        <v>159</v>
      </c>
      <c r="K126" s="422">
        <f t="shared" si="57"/>
        <v>3174</v>
      </c>
      <c r="L126" s="423">
        <f t="shared" si="57"/>
        <v>210</v>
      </c>
      <c r="M126" s="423">
        <f t="shared" si="57"/>
        <v>0</v>
      </c>
      <c r="N126" s="423">
        <f t="shared" si="57"/>
        <v>2902</v>
      </c>
      <c r="O126" s="425">
        <f t="shared" si="57"/>
        <v>62</v>
      </c>
      <c r="P126" s="526">
        <f t="shared" si="43"/>
        <v>286</v>
      </c>
      <c r="Q126" s="423">
        <f t="shared" si="57"/>
        <v>7</v>
      </c>
      <c r="R126" s="422">
        <f t="shared" si="57"/>
        <v>4</v>
      </c>
      <c r="S126" s="423">
        <f t="shared" si="57"/>
        <v>0</v>
      </c>
      <c r="T126" s="423">
        <f t="shared" si="57"/>
        <v>0</v>
      </c>
      <c r="U126" s="423">
        <f t="shared" si="56"/>
        <v>4</v>
      </c>
      <c r="V126" s="424">
        <f t="shared" si="56"/>
        <v>0</v>
      </c>
      <c r="W126" s="422">
        <f t="shared" si="56"/>
        <v>3</v>
      </c>
      <c r="X126" s="423">
        <f t="shared" si="56"/>
        <v>0</v>
      </c>
      <c r="Y126" s="423">
        <f t="shared" si="56"/>
        <v>0</v>
      </c>
      <c r="Z126" s="423">
        <f t="shared" si="56"/>
        <v>3</v>
      </c>
      <c r="AA126" s="425">
        <f t="shared" si="56"/>
        <v>0</v>
      </c>
      <c r="AB126" s="424">
        <f t="shared" si="56"/>
        <v>26</v>
      </c>
      <c r="AC126" s="423">
        <f t="shared" si="56"/>
        <v>1</v>
      </c>
      <c r="AD126" s="422">
        <f t="shared" si="56"/>
        <v>0</v>
      </c>
      <c r="AE126" s="423">
        <f t="shared" si="56"/>
        <v>0</v>
      </c>
      <c r="AF126" s="423">
        <f t="shared" si="56"/>
        <v>0</v>
      </c>
      <c r="AG126" s="423">
        <f t="shared" si="58"/>
        <v>0</v>
      </c>
      <c r="AH126" s="424">
        <f t="shared" si="58"/>
        <v>0</v>
      </c>
      <c r="AI126" s="422">
        <f t="shared" si="58"/>
        <v>1</v>
      </c>
      <c r="AJ126" s="423">
        <f t="shared" si="58"/>
        <v>0</v>
      </c>
      <c r="AK126" s="423">
        <f t="shared" si="58"/>
        <v>0</v>
      </c>
      <c r="AL126" s="423">
        <f t="shared" si="58"/>
        <v>1</v>
      </c>
      <c r="AM126" s="425">
        <f t="shared" si="58"/>
        <v>0</v>
      </c>
      <c r="AO126" s="421">
        <f t="shared" si="45"/>
        <v>8</v>
      </c>
      <c r="AP126" s="422">
        <f t="shared" si="46"/>
        <v>4</v>
      </c>
      <c r="AQ126" s="423">
        <f t="shared" si="47"/>
        <v>0</v>
      </c>
      <c r="AR126" s="423">
        <f t="shared" si="48"/>
        <v>0</v>
      </c>
      <c r="AS126" s="423">
        <f t="shared" si="49"/>
        <v>4</v>
      </c>
      <c r="AT126" s="424">
        <f t="shared" si="50"/>
        <v>0</v>
      </c>
      <c r="AU126" s="422">
        <f t="shared" si="51"/>
        <v>4</v>
      </c>
      <c r="AV126" s="423">
        <f t="shared" si="52"/>
        <v>0</v>
      </c>
      <c r="AW126" s="423">
        <f t="shared" si="53"/>
        <v>0</v>
      </c>
      <c r="AX126" s="423">
        <f t="shared" si="54"/>
        <v>4</v>
      </c>
      <c r="AY126" s="425">
        <f t="shared" si="55"/>
        <v>0</v>
      </c>
    </row>
    <row r="127" spans="1:51" ht="13.9">
      <c r="A127" s="435" t="s">
        <v>268</v>
      </c>
      <c r="B127" s="436">
        <v>45261</v>
      </c>
      <c r="C127" s="437">
        <v>2023</v>
      </c>
      <c r="D127" s="421">
        <f t="shared" si="57"/>
        <v>171135</v>
      </c>
      <c r="E127" s="421">
        <f t="shared" si="57"/>
        <v>14105</v>
      </c>
      <c r="F127" s="422">
        <f t="shared" si="57"/>
        <v>10931</v>
      </c>
      <c r="G127" s="423">
        <f t="shared" si="57"/>
        <v>2488</v>
      </c>
      <c r="H127" s="423">
        <f t="shared" si="57"/>
        <v>550</v>
      </c>
      <c r="I127" s="423">
        <f t="shared" si="57"/>
        <v>7734</v>
      </c>
      <c r="J127" s="424">
        <f t="shared" si="57"/>
        <v>159</v>
      </c>
      <c r="K127" s="422">
        <f t="shared" si="57"/>
        <v>3174</v>
      </c>
      <c r="L127" s="423">
        <f t="shared" si="57"/>
        <v>210</v>
      </c>
      <c r="M127" s="423">
        <f t="shared" si="57"/>
        <v>0</v>
      </c>
      <c r="N127" s="423">
        <f t="shared" si="57"/>
        <v>2902</v>
      </c>
      <c r="O127" s="425">
        <f t="shared" si="57"/>
        <v>62</v>
      </c>
      <c r="P127" s="526">
        <f t="shared" si="43"/>
        <v>286</v>
      </c>
      <c r="Q127" s="423">
        <f t="shared" si="57"/>
        <v>7</v>
      </c>
      <c r="R127" s="422">
        <f t="shared" si="57"/>
        <v>4</v>
      </c>
      <c r="S127" s="423">
        <f t="shared" si="57"/>
        <v>0</v>
      </c>
      <c r="T127" s="423">
        <f t="shared" si="57"/>
        <v>0</v>
      </c>
      <c r="U127" s="423">
        <f t="shared" si="56"/>
        <v>4</v>
      </c>
      <c r="V127" s="424">
        <f t="shared" si="56"/>
        <v>0</v>
      </c>
      <c r="W127" s="422">
        <f t="shared" si="56"/>
        <v>3</v>
      </c>
      <c r="X127" s="423">
        <f t="shared" si="56"/>
        <v>0</v>
      </c>
      <c r="Y127" s="423">
        <f t="shared" si="56"/>
        <v>0</v>
      </c>
      <c r="Z127" s="423">
        <f t="shared" si="56"/>
        <v>3</v>
      </c>
      <c r="AA127" s="425">
        <f t="shared" si="56"/>
        <v>0</v>
      </c>
      <c r="AB127" s="424">
        <f t="shared" si="56"/>
        <v>26</v>
      </c>
      <c r="AC127" s="423">
        <f t="shared" si="56"/>
        <v>1</v>
      </c>
      <c r="AD127" s="422">
        <f t="shared" si="56"/>
        <v>0</v>
      </c>
      <c r="AE127" s="423">
        <f t="shared" si="56"/>
        <v>0</v>
      </c>
      <c r="AF127" s="423">
        <f t="shared" si="56"/>
        <v>0</v>
      </c>
      <c r="AG127" s="423">
        <f t="shared" si="58"/>
        <v>0</v>
      </c>
      <c r="AH127" s="424">
        <f t="shared" si="58"/>
        <v>0</v>
      </c>
      <c r="AI127" s="422">
        <f t="shared" si="58"/>
        <v>1</v>
      </c>
      <c r="AJ127" s="423">
        <f t="shared" si="58"/>
        <v>0</v>
      </c>
      <c r="AK127" s="423">
        <f t="shared" si="58"/>
        <v>0</v>
      </c>
      <c r="AL127" s="423">
        <f t="shared" si="58"/>
        <v>1</v>
      </c>
      <c r="AM127" s="425">
        <f t="shared" si="58"/>
        <v>0</v>
      </c>
      <c r="AO127" s="421">
        <f t="shared" si="45"/>
        <v>8</v>
      </c>
      <c r="AP127" s="422">
        <f t="shared" si="46"/>
        <v>4</v>
      </c>
      <c r="AQ127" s="423">
        <f t="shared" si="47"/>
        <v>0</v>
      </c>
      <c r="AR127" s="423">
        <f t="shared" si="48"/>
        <v>0</v>
      </c>
      <c r="AS127" s="423">
        <f t="shared" si="49"/>
        <v>4</v>
      </c>
      <c r="AT127" s="424">
        <f t="shared" si="50"/>
        <v>0</v>
      </c>
      <c r="AU127" s="422">
        <f t="shared" si="51"/>
        <v>4</v>
      </c>
      <c r="AV127" s="423">
        <f t="shared" si="52"/>
        <v>0</v>
      </c>
      <c r="AW127" s="423">
        <f t="shared" si="53"/>
        <v>0</v>
      </c>
      <c r="AX127" s="423">
        <f t="shared" si="54"/>
        <v>4</v>
      </c>
      <c r="AY127" s="425">
        <f t="shared" si="55"/>
        <v>0</v>
      </c>
    </row>
    <row r="128" spans="1:51" ht="13.9">
      <c r="A128" s="435" t="s">
        <v>269</v>
      </c>
      <c r="B128" s="436">
        <v>45292</v>
      </c>
      <c r="C128" s="437">
        <v>2024</v>
      </c>
      <c r="D128" s="421">
        <f t="shared" si="57"/>
        <v>163027</v>
      </c>
      <c r="E128" s="421">
        <f t="shared" si="57"/>
        <v>11026</v>
      </c>
      <c r="F128" s="422">
        <f t="shared" si="57"/>
        <v>8144</v>
      </c>
      <c r="G128" s="423">
        <f t="shared" si="57"/>
        <v>1596</v>
      </c>
      <c r="H128" s="423">
        <f t="shared" si="57"/>
        <v>469</v>
      </c>
      <c r="I128" s="423">
        <f t="shared" si="57"/>
        <v>6030</v>
      </c>
      <c r="J128" s="424">
        <f t="shared" si="57"/>
        <v>49</v>
      </c>
      <c r="K128" s="422">
        <f t="shared" si="57"/>
        <v>2882</v>
      </c>
      <c r="L128" s="423">
        <f t="shared" si="57"/>
        <v>388</v>
      </c>
      <c r="M128" s="423">
        <f t="shared" si="57"/>
        <v>0</v>
      </c>
      <c r="N128" s="423">
        <f t="shared" si="57"/>
        <v>2423</v>
      </c>
      <c r="O128" s="425">
        <f t="shared" si="57"/>
        <v>71</v>
      </c>
      <c r="P128" s="526">
        <f t="shared" si="43"/>
        <v>278</v>
      </c>
      <c r="Q128" s="423">
        <f t="shared" si="57"/>
        <v>12</v>
      </c>
      <c r="R128" s="422">
        <f t="shared" si="57"/>
        <v>9</v>
      </c>
      <c r="S128" s="423">
        <f t="shared" si="57"/>
        <v>1</v>
      </c>
      <c r="T128" s="423">
        <f t="shared" si="57"/>
        <v>2</v>
      </c>
      <c r="U128" s="423">
        <f t="shared" si="56"/>
        <v>6</v>
      </c>
      <c r="V128" s="424">
        <f t="shared" si="56"/>
        <v>0</v>
      </c>
      <c r="W128" s="422">
        <f t="shared" si="56"/>
        <v>3</v>
      </c>
      <c r="X128" s="423">
        <f t="shared" si="56"/>
        <v>1</v>
      </c>
      <c r="Y128" s="423">
        <f t="shared" si="56"/>
        <v>0</v>
      </c>
      <c r="Z128" s="423">
        <f t="shared" si="56"/>
        <v>2</v>
      </c>
      <c r="AA128" s="425">
        <f t="shared" si="56"/>
        <v>0</v>
      </c>
      <c r="AB128" s="424">
        <f t="shared" si="56"/>
        <v>18</v>
      </c>
      <c r="AC128" s="423">
        <f t="shared" si="56"/>
        <v>0</v>
      </c>
      <c r="AD128" s="422">
        <f t="shared" si="56"/>
        <v>0</v>
      </c>
      <c r="AE128" s="423">
        <f t="shared" si="56"/>
        <v>0</v>
      </c>
      <c r="AF128" s="423">
        <f t="shared" si="56"/>
        <v>0</v>
      </c>
      <c r="AG128" s="423">
        <f t="shared" si="58"/>
        <v>0</v>
      </c>
      <c r="AH128" s="424">
        <f t="shared" si="58"/>
        <v>0</v>
      </c>
      <c r="AI128" s="422">
        <f t="shared" si="58"/>
        <v>0</v>
      </c>
      <c r="AJ128" s="423">
        <f t="shared" si="58"/>
        <v>0</v>
      </c>
      <c r="AK128" s="423">
        <f t="shared" si="58"/>
        <v>0</v>
      </c>
      <c r="AL128" s="423">
        <f t="shared" si="58"/>
        <v>0</v>
      </c>
      <c r="AM128" s="425">
        <f t="shared" si="58"/>
        <v>0</v>
      </c>
      <c r="AO128" s="421">
        <f t="shared" si="45"/>
        <v>12</v>
      </c>
      <c r="AP128" s="422">
        <f t="shared" si="46"/>
        <v>9</v>
      </c>
      <c r="AQ128" s="423">
        <f t="shared" si="47"/>
        <v>1</v>
      </c>
      <c r="AR128" s="423">
        <f t="shared" si="48"/>
        <v>2</v>
      </c>
      <c r="AS128" s="423">
        <f t="shared" si="49"/>
        <v>6</v>
      </c>
      <c r="AT128" s="424">
        <f t="shared" si="50"/>
        <v>0</v>
      </c>
      <c r="AU128" s="422">
        <f t="shared" si="51"/>
        <v>3</v>
      </c>
      <c r="AV128" s="423">
        <f t="shared" si="52"/>
        <v>1</v>
      </c>
      <c r="AW128" s="423">
        <f t="shared" si="53"/>
        <v>0</v>
      </c>
      <c r="AX128" s="423">
        <f t="shared" si="54"/>
        <v>2</v>
      </c>
      <c r="AY128" s="425">
        <f t="shared" si="55"/>
        <v>0</v>
      </c>
    </row>
    <row r="129" spans="1:51" ht="13.9">
      <c r="A129" s="435" t="s">
        <v>269</v>
      </c>
      <c r="B129" s="436">
        <v>45323</v>
      </c>
      <c r="C129" s="437">
        <v>2024</v>
      </c>
      <c r="D129" s="421">
        <f t="shared" si="57"/>
        <v>163027</v>
      </c>
      <c r="E129" s="421">
        <f t="shared" si="57"/>
        <v>11026</v>
      </c>
      <c r="F129" s="422">
        <f t="shared" si="57"/>
        <v>8144</v>
      </c>
      <c r="G129" s="423">
        <f t="shared" si="57"/>
        <v>1596</v>
      </c>
      <c r="H129" s="423">
        <f t="shared" si="57"/>
        <v>469</v>
      </c>
      <c r="I129" s="423">
        <f t="shared" si="57"/>
        <v>6030</v>
      </c>
      <c r="J129" s="424">
        <f t="shared" si="57"/>
        <v>49</v>
      </c>
      <c r="K129" s="422">
        <f t="shared" si="57"/>
        <v>2882</v>
      </c>
      <c r="L129" s="423">
        <f t="shared" si="57"/>
        <v>388</v>
      </c>
      <c r="M129" s="423">
        <f t="shared" si="57"/>
        <v>0</v>
      </c>
      <c r="N129" s="423">
        <f t="shared" si="57"/>
        <v>2423</v>
      </c>
      <c r="O129" s="425">
        <f t="shared" si="57"/>
        <v>71</v>
      </c>
      <c r="P129" s="526">
        <f t="shared" si="43"/>
        <v>278</v>
      </c>
      <c r="Q129" s="423">
        <f t="shared" si="57"/>
        <v>12</v>
      </c>
      <c r="R129" s="422">
        <f t="shared" si="57"/>
        <v>9</v>
      </c>
      <c r="S129" s="423">
        <f t="shared" si="57"/>
        <v>1</v>
      </c>
      <c r="T129" s="423">
        <f t="shared" si="57"/>
        <v>2</v>
      </c>
      <c r="U129" s="423">
        <f t="shared" si="56"/>
        <v>6</v>
      </c>
      <c r="V129" s="424">
        <f t="shared" si="56"/>
        <v>0</v>
      </c>
      <c r="W129" s="422">
        <f t="shared" si="56"/>
        <v>3</v>
      </c>
      <c r="X129" s="423">
        <f t="shared" si="56"/>
        <v>1</v>
      </c>
      <c r="Y129" s="423">
        <f t="shared" si="56"/>
        <v>0</v>
      </c>
      <c r="Z129" s="423">
        <f t="shared" si="56"/>
        <v>2</v>
      </c>
      <c r="AA129" s="425">
        <f t="shared" si="56"/>
        <v>0</v>
      </c>
      <c r="AB129" s="424">
        <f t="shared" si="56"/>
        <v>18</v>
      </c>
      <c r="AC129" s="423">
        <f t="shared" si="56"/>
        <v>0</v>
      </c>
      <c r="AD129" s="422">
        <f t="shared" si="56"/>
        <v>0</v>
      </c>
      <c r="AE129" s="423">
        <f t="shared" si="56"/>
        <v>0</v>
      </c>
      <c r="AF129" s="423">
        <f t="shared" si="56"/>
        <v>0</v>
      </c>
      <c r="AG129" s="423">
        <f t="shared" si="58"/>
        <v>0</v>
      </c>
      <c r="AH129" s="424">
        <f t="shared" si="58"/>
        <v>0</v>
      </c>
      <c r="AI129" s="422">
        <f t="shared" si="58"/>
        <v>0</v>
      </c>
      <c r="AJ129" s="423">
        <f t="shared" si="58"/>
        <v>0</v>
      </c>
      <c r="AK129" s="423">
        <f t="shared" si="58"/>
        <v>0</v>
      </c>
      <c r="AL129" s="423">
        <f t="shared" si="58"/>
        <v>0</v>
      </c>
      <c r="AM129" s="425">
        <f t="shared" si="58"/>
        <v>0</v>
      </c>
      <c r="AO129" s="421">
        <f t="shared" si="45"/>
        <v>12</v>
      </c>
      <c r="AP129" s="422">
        <f t="shared" si="46"/>
        <v>9</v>
      </c>
      <c r="AQ129" s="423">
        <f t="shared" si="47"/>
        <v>1</v>
      </c>
      <c r="AR129" s="423">
        <f t="shared" si="48"/>
        <v>2</v>
      </c>
      <c r="AS129" s="423">
        <f t="shared" si="49"/>
        <v>6</v>
      </c>
      <c r="AT129" s="424">
        <f t="shared" si="50"/>
        <v>0</v>
      </c>
      <c r="AU129" s="422">
        <f t="shared" si="51"/>
        <v>3</v>
      </c>
      <c r="AV129" s="423">
        <f t="shared" si="52"/>
        <v>1</v>
      </c>
      <c r="AW129" s="423">
        <f t="shared" si="53"/>
        <v>0</v>
      </c>
      <c r="AX129" s="423">
        <f t="shared" si="54"/>
        <v>2</v>
      </c>
      <c r="AY129" s="425">
        <f t="shared" si="55"/>
        <v>0</v>
      </c>
    </row>
    <row r="130" spans="1:51" ht="13.9">
      <c r="A130" s="435" t="s">
        <v>269</v>
      </c>
      <c r="B130" s="436">
        <v>45352</v>
      </c>
      <c r="C130" s="437">
        <v>2024</v>
      </c>
      <c r="D130" s="421">
        <f t="shared" si="57"/>
        <v>163027</v>
      </c>
      <c r="E130" s="421">
        <f t="shared" si="57"/>
        <v>11026</v>
      </c>
      <c r="F130" s="422">
        <f t="shared" si="57"/>
        <v>8144</v>
      </c>
      <c r="G130" s="423">
        <f t="shared" si="57"/>
        <v>1596</v>
      </c>
      <c r="H130" s="423">
        <f t="shared" si="57"/>
        <v>469</v>
      </c>
      <c r="I130" s="423">
        <f t="shared" si="57"/>
        <v>6030</v>
      </c>
      <c r="J130" s="424">
        <f t="shared" si="57"/>
        <v>49</v>
      </c>
      <c r="K130" s="422">
        <f t="shared" si="57"/>
        <v>2882</v>
      </c>
      <c r="L130" s="423">
        <f t="shared" si="57"/>
        <v>388</v>
      </c>
      <c r="M130" s="423">
        <f t="shared" si="57"/>
        <v>0</v>
      </c>
      <c r="N130" s="423">
        <f t="shared" si="57"/>
        <v>2423</v>
      </c>
      <c r="O130" s="425">
        <f t="shared" si="57"/>
        <v>71</v>
      </c>
      <c r="P130" s="526">
        <f t="shared" si="43"/>
        <v>278</v>
      </c>
      <c r="Q130" s="423">
        <f t="shared" si="57"/>
        <v>12</v>
      </c>
      <c r="R130" s="422">
        <f t="shared" si="57"/>
        <v>9</v>
      </c>
      <c r="S130" s="423">
        <f t="shared" si="57"/>
        <v>1</v>
      </c>
      <c r="T130" s="423">
        <f t="shared" si="57"/>
        <v>2</v>
      </c>
      <c r="U130" s="423">
        <f t="shared" si="56"/>
        <v>6</v>
      </c>
      <c r="V130" s="424">
        <f t="shared" si="56"/>
        <v>0</v>
      </c>
      <c r="W130" s="422">
        <f t="shared" si="56"/>
        <v>3</v>
      </c>
      <c r="X130" s="423">
        <f t="shared" si="56"/>
        <v>1</v>
      </c>
      <c r="Y130" s="423">
        <f t="shared" si="56"/>
        <v>0</v>
      </c>
      <c r="Z130" s="423">
        <f t="shared" si="56"/>
        <v>2</v>
      </c>
      <c r="AA130" s="425">
        <f t="shared" si="56"/>
        <v>0</v>
      </c>
      <c r="AB130" s="424">
        <f t="shared" si="56"/>
        <v>18</v>
      </c>
      <c r="AC130" s="423">
        <f t="shared" si="56"/>
        <v>0</v>
      </c>
      <c r="AD130" s="422">
        <f t="shared" si="56"/>
        <v>0</v>
      </c>
      <c r="AE130" s="423">
        <f t="shared" si="56"/>
        <v>0</v>
      </c>
      <c r="AF130" s="423">
        <f t="shared" si="56"/>
        <v>0</v>
      </c>
      <c r="AG130" s="423">
        <f t="shared" si="58"/>
        <v>0</v>
      </c>
      <c r="AH130" s="424">
        <f t="shared" si="58"/>
        <v>0</v>
      </c>
      <c r="AI130" s="422">
        <f t="shared" si="58"/>
        <v>0</v>
      </c>
      <c r="AJ130" s="423">
        <f t="shared" si="58"/>
        <v>0</v>
      </c>
      <c r="AK130" s="423">
        <f t="shared" si="58"/>
        <v>0</v>
      </c>
      <c r="AL130" s="423">
        <f t="shared" si="58"/>
        <v>0</v>
      </c>
      <c r="AM130" s="425">
        <f t="shared" si="58"/>
        <v>0</v>
      </c>
      <c r="AO130" s="421">
        <f t="shared" si="45"/>
        <v>12</v>
      </c>
      <c r="AP130" s="422">
        <f t="shared" si="46"/>
        <v>9</v>
      </c>
      <c r="AQ130" s="423">
        <f t="shared" si="47"/>
        <v>1</v>
      </c>
      <c r="AR130" s="423">
        <f t="shared" si="48"/>
        <v>2</v>
      </c>
      <c r="AS130" s="423">
        <f t="shared" si="49"/>
        <v>6</v>
      </c>
      <c r="AT130" s="424">
        <f t="shared" si="50"/>
        <v>0</v>
      </c>
      <c r="AU130" s="422">
        <f t="shared" si="51"/>
        <v>3</v>
      </c>
      <c r="AV130" s="423">
        <f t="shared" si="52"/>
        <v>1</v>
      </c>
      <c r="AW130" s="423">
        <f t="shared" si="53"/>
        <v>0</v>
      </c>
      <c r="AX130" s="423">
        <f t="shared" si="54"/>
        <v>2</v>
      </c>
      <c r="AY130" s="425">
        <f t="shared" si="55"/>
        <v>0</v>
      </c>
    </row>
    <row r="131" spans="1:51" ht="13.9">
      <c r="A131" s="435" t="s">
        <v>270</v>
      </c>
      <c r="B131" s="436">
        <v>45383</v>
      </c>
      <c r="C131" s="437">
        <v>2024</v>
      </c>
      <c r="D131" s="421">
        <f t="shared" si="57"/>
        <v>190530</v>
      </c>
      <c r="E131" s="421">
        <f t="shared" si="57"/>
        <v>14370</v>
      </c>
      <c r="F131" s="422">
        <f t="shared" si="57"/>
        <v>10462</v>
      </c>
      <c r="G131" s="423">
        <f t="shared" si="57"/>
        <v>2474</v>
      </c>
      <c r="H131" s="423">
        <f t="shared" si="57"/>
        <v>730</v>
      </c>
      <c r="I131" s="423">
        <f t="shared" si="57"/>
        <v>7209</v>
      </c>
      <c r="J131" s="424">
        <f t="shared" si="57"/>
        <v>49</v>
      </c>
      <c r="K131" s="422">
        <f t="shared" si="57"/>
        <v>3908</v>
      </c>
      <c r="L131" s="423">
        <f t="shared" si="57"/>
        <v>196</v>
      </c>
      <c r="M131" s="423">
        <f t="shared" si="57"/>
        <v>0</v>
      </c>
      <c r="N131" s="423">
        <f t="shared" si="57"/>
        <v>3578</v>
      </c>
      <c r="O131" s="425">
        <f t="shared" si="57"/>
        <v>134</v>
      </c>
      <c r="P131" s="526">
        <f t="shared" si="43"/>
        <v>325</v>
      </c>
      <c r="Q131" s="423">
        <f t="shared" si="57"/>
        <v>11</v>
      </c>
      <c r="R131" s="422">
        <f t="shared" si="57"/>
        <v>6</v>
      </c>
      <c r="S131" s="423">
        <f t="shared" si="57"/>
        <v>1</v>
      </c>
      <c r="T131" s="423">
        <f t="shared" si="57"/>
        <v>1</v>
      </c>
      <c r="U131" s="423">
        <f t="shared" si="56"/>
        <v>4</v>
      </c>
      <c r="V131" s="424">
        <f t="shared" si="56"/>
        <v>0</v>
      </c>
      <c r="W131" s="422">
        <f t="shared" si="56"/>
        <v>5</v>
      </c>
      <c r="X131" s="423">
        <f t="shared" si="56"/>
        <v>0</v>
      </c>
      <c r="Y131" s="423">
        <f t="shared" si="56"/>
        <v>0</v>
      </c>
      <c r="Z131" s="423">
        <f t="shared" si="56"/>
        <v>5</v>
      </c>
      <c r="AA131" s="425">
        <f t="shared" si="56"/>
        <v>0</v>
      </c>
      <c r="AB131" s="424">
        <f t="shared" si="56"/>
        <v>40</v>
      </c>
      <c r="AC131" s="423">
        <f t="shared" si="56"/>
        <v>1</v>
      </c>
      <c r="AD131" s="422">
        <f t="shared" si="56"/>
        <v>0</v>
      </c>
      <c r="AE131" s="423">
        <f t="shared" si="56"/>
        <v>0</v>
      </c>
      <c r="AF131" s="423">
        <f t="shared" si="56"/>
        <v>0</v>
      </c>
      <c r="AG131" s="423">
        <f t="shared" si="58"/>
        <v>0</v>
      </c>
      <c r="AH131" s="424">
        <f t="shared" si="58"/>
        <v>0</v>
      </c>
      <c r="AI131" s="422">
        <f t="shared" si="58"/>
        <v>1</v>
      </c>
      <c r="AJ131" s="423">
        <f t="shared" si="58"/>
        <v>0</v>
      </c>
      <c r="AK131" s="423">
        <f t="shared" si="58"/>
        <v>0</v>
      </c>
      <c r="AL131" s="423">
        <f t="shared" si="58"/>
        <v>1</v>
      </c>
      <c r="AM131" s="425">
        <f t="shared" si="58"/>
        <v>0</v>
      </c>
      <c r="AO131" s="421">
        <f t="shared" si="45"/>
        <v>12</v>
      </c>
      <c r="AP131" s="422">
        <f t="shared" si="46"/>
        <v>6</v>
      </c>
      <c r="AQ131" s="423">
        <f t="shared" si="47"/>
        <v>1</v>
      </c>
      <c r="AR131" s="423">
        <f t="shared" si="48"/>
        <v>1</v>
      </c>
      <c r="AS131" s="423">
        <f t="shared" si="49"/>
        <v>4</v>
      </c>
      <c r="AT131" s="424">
        <f t="shared" si="50"/>
        <v>0</v>
      </c>
      <c r="AU131" s="422">
        <f t="shared" si="51"/>
        <v>6</v>
      </c>
      <c r="AV131" s="423">
        <f t="shared" si="52"/>
        <v>0</v>
      </c>
      <c r="AW131" s="423">
        <f t="shared" si="53"/>
        <v>0</v>
      </c>
      <c r="AX131" s="423">
        <f t="shared" si="54"/>
        <v>6</v>
      </c>
      <c r="AY131" s="425">
        <f t="shared" si="55"/>
        <v>0</v>
      </c>
    </row>
    <row r="132" spans="1:51" ht="13.9">
      <c r="A132" s="435" t="s">
        <v>270</v>
      </c>
      <c r="B132" s="436">
        <v>45413</v>
      </c>
      <c r="C132" s="437">
        <v>2024</v>
      </c>
      <c r="D132" s="421">
        <f t="shared" si="57"/>
        <v>190530</v>
      </c>
      <c r="E132" s="421">
        <f t="shared" si="57"/>
        <v>14370</v>
      </c>
      <c r="F132" s="422">
        <f t="shared" si="57"/>
        <v>10462</v>
      </c>
      <c r="G132" s="423">
        <f t="shared" si="57"/>
        <v>2474</v>
      </c>
      <c r="H132" s="423">
        <f t="shared" si="57"/>
        <v>730</v>
      </c>
      <c r="I132" s="423">
        <f t="shared" si="57"/>
        <v>7209</v>
      </c>
      <c r="J132" s="424">
        <f t="shared" si="57"/>
        <v>49</v>
      </c>
      <c r="K132" s="422">
        <f t="shared" si="57"/>
        <v>3908</v>
      </c>
      <c r="L132" s="423">
        <f t="shared" si="57"/>
        <v>196</v>
      </c>
      <c r="M132" s="423">
        <f t="shared" si="57"/>
        <v>0</v>
      </c>
      <c r="N132" s="423">
        <f t="shared" si="57"/>
        <v>3578</v>
      </c>
      <c r="O132" s="425">
        <f t="shared" si="57"/>
        <v>134</v>
      </c>
      <c r="P132" s="526">
        <f t="shared" si="43"/>
        <v>325</v>
      </c>
      <c r="Q132" s="423">
        <f t="shared" si="57"/>
        <v>11</v>
      </c>
      <c r="R132" s="422">
        <f t="shared" si="57"/>
        <v>6</v>
      </c>
      <c r="S132" s="423">
        <f t="shared" si="57"/>
        <v>1</v>
      </c>
      <c r="T132" s="423">
        <f t="shared" si="57"/>
        <v>1</v>
      </c>
      <c r="U132" s="423">
        <f t="shared" si="56"/>
        <v>4</v>
      </c>
      <c r="V132" s="424">
        <f t="shared" si="56"/>
        <v>0</v>
      </c>
      <c r="W132" s="422">
        <f t="shared" si="56"/>
        <v>5</v>
      </c>
      <c r="X132" s="423">
        <f t="shared" si="56"/>
        <v>0</v>
      </c>
      <c r="Y132" s="423">
        <f t="shared" si="56"/>
        <v>0</v>
      </c>
      <c r="Z132" s="423">
        <f t="shared" si="56"/>
        <v>5</v>
      </c>
      <c r="AA132" s="425">
        <f t="shared" si="56"/>
        <v>0</v>
      </c>
      <c r="AB132" s="424">
        <f t="shared" si="56"/>
        <v>40</v>
      </c>
      <c r="AC132" s="423">
        <f t="shared" si="56"/>
        <v>1</v>
      </c>
      <c r="AD132" s="422">
        <f t="shared" si="56"/>
        <v>0</v>
      </c>
      <c r="AE132" s="423">
        <f t="shared" si="56"/>
        <v>0</v>
      </c>
      <c r="AF132" s="423">
        <f t="shared" si="56"/>
        <v>0</v>
      </c>
      <c r="AG132" s="423">
        <f t="shared" si="58"/>
        <v>0</v>
      </c>
      <c r="AH132" s="424">
        <f t="shared" si="58"/>
        <v>0</v>
      </c>
      <c r="AI132" s="422">
        <f t="shared" si="58"/>
        <v>1</v>
      </c>
      <c r="AJ132" s="423">
        <f t="shared" si="58"/>
        <v>0</v>
      </c>
      <c r="AK132" s="423">
        <f t="shared" si="58"/>
        <v>0</v>
      </c>
      <c r="AL132" s="423">
        <f t="shared" si="58"/>
        <v>1</v>
      </c>
      <c r="AM132" s="425">
        <f t="shared" si="58"/>
        <v>0</v>
      </c>
      <c r="AO132" s="421">
        <f t="shared" si="45"/>
        <v>12</v>
      </c>
      <c r="AP132" s="422">
        <f t="shared" si="46"/>
        <v>6</v>
      </c>
      <c r="AQ132" s="423">
        <f t="shared" si="47"/>
        <v>1</v>
      </c>
      <c r="AR132" s="423">
        <f t="shared" si="48"/>
        <v>1</v>
      </c>
      <c r="AS132" s="423">
        <f t="shared" si="49"/>
        <v>4</v>
      </c>
      <c r="AT132" s="424">
        <f t="shared" si="50"/>
        <v>0</v>
      </c>
      <c r="AU132" s="422">
        <f t="shared" si="51"/>
        <v>6</v>
      </c>
      <c r="AV132" s="423">
        <f t="shared" si="52"/>
        <v>0</v>
      </c>
      <c r="AW132" s="423">
        <f t="shared" si="53"/>
        <v>0</v>
      </c>
      <c r="AX132" s="423">
        <f t="shared" si="54"/>
        <v>6</v>
      </c>
      <c r="AY132" s="425">
        <f t="shared" si="55"/>
        <v>0</v>
      </c>
    </row>
    <row r="133" spans="1:51" ht="13.9">
      <c r="A133" s="435" t="s">
        <v>270</v>
      </c>
      <c r="B133" s="436">
        <v>45444</v>
      </c>
      <c r="C133" s="437">
        <v>2024</v>
      </c>
      <c r="D133" s="421">
        <f t="shared" si="57"/>
        <v>190530</v>
      </c>
      <c r="E133" s="421">
        <f t="shared" si="57"/>
        <v>14370</v>
      </c>
      <c r="F133" s="422">
        <f t="shared" si="57"/>
        <v>10462</v>
      </c>
      <c r="G133" s="423">
        <f t="shared" si="57"/>
        <v>2474</v>
      </c>
      <c r="H133" s="423">
        <f t="shared" si="57"/>
        <v>730</v>
      </c>
      <c r="I133" s="423">
        <f t="shared" si="57"/>
        <v>7209</v>
      </c>
      <c r="J133" s="424">
        <f t="shared" si="57"/>
        <v>49</v>
      </c>
      <c r="K133" s="422">
        <f t="shared" si="57"/>
        <v>3908</v>
      </c>
      <c r="L133" s="423">
        <f t="shared" si="57"/>
        <v>196</v>
      </c>
      <c r="M133" s="423">
        <f t="shared" si="57"/>
        <v>0</v>
      </c>
      <c r="N133" s="423">
        <f t="shared" si="57"/>
        <v>3578</v>
      </c>
      <c r="O133" s="425">
        <f t="shared" si="57"/>
        <v>134</v>
      </c>
      <c r="P133" s="526">
        <f t="shared" si="43"/>
        <v>325</v>
      </c>
      <c r="Q133" s="423">
        <f t="shared" si="57"/>
        <v>11</v>
      </c>
      <c r="R133" s="422">
        <f t="shared" si="57"/>
        <v>6</v>
      </c>
      <c r="S133" s="423">
        <f t="shared" si="57"/>
        <v>1</v>
      </c>
      <c r="T133" s="423">
        <f t="shared" si="57"/>
        <v>1</v>
      </c>
      <c r="U133" s="423">
        <f t="shared" si="56"/>
        <v>4</v>
      </c>
      <c r="V133" s="424">
        <f t="shared" si="56"/>
        <v>0</v>
      </c>
      <c r="W133" s="422">
        <f t="shared" si="56"/>
        <v>5</v>
      </c>
      <c r="X133" s="423">
        <f t="shared" si="56"/>
        <v>0</v>
      </c>
      <c r="Y133" s="423">
        <f t="shared" si="56"/>
        <v>0</v>
      </c>
      <c r="Z133" s="423">
        <f t="shared" si="56"/>
        <v>5</v>
      </c>
      <c r="AA133" s="425">
        <f t="shared" si="56"/>
        <v>0</v>
      </c>
      <c r="AB133" s="424">
        <f t="shared" si="56"/>
        <v>40</v>
      </c>
      <c r="AC133" s="423">
        <f t="shared" si="56"/>
        <v>1</v>
      </c>
      <c r="AD133" s="422">
        <f t="shared" si="56"/>
        <v>0</v>
      </c>
      <c r="AE133" s="423">
        <f t="shared" si="56"/>
        <v>0</v>
      </c>
      <c r="AF133" s="423">
        <f t="shared" si="56"/>
        <v>0</v>
      </c>
      <c r="AG133" s="423">
        <f t="shared" si="58"/>
        <v>0</v>
      </c>
      <c r="AH133" s="424">
        <f t="shared" si="58"/>
        <v>0</v>
      </c>
      <c r="AI133" s="422">
        <f t="shared" si="58"/>
        <v>1</v>
      </c>
      <c r="AJ133" s="423">
        <f t="shared" si="58"/>
        <v>0</v>
      </c>
      <c r="AK133" s="423">
        <f t="shared" si="58"/>
        <v>0</v>
      </c>
      <c r="AL133" s="423">
        <f t="shared" si="58"/>
        <v>1</v>
      </c>
      <c r="AM133" s="425">
        <f t="shared" si="58"/>
        <v>0</v>
      </c>
      <c r="AO133" s="421">
        <f t="shared" si="45"/>
        <v>12</v>
      </c>
      <c r="AP133" s="422">
        <f t="shared" si="46"/>
        <v>6</v>
      </c>
      <c r="AQ133" s="423">
        <f t="shared" si="47"/>
        <v>1</v>
      </c>
      <c r="AR133" s="423">
        <f t="shared" si="48"/>
        <v>1</v>
      </c>
      <c r="AS133" s="423">
        <f t="shared" si="49"/>
        <v>4</v>
      </c>
      <c r="AT133" s="424">
        <f t="shared" si="50"/>
        <v>0</v>
      </c>
      <c r="AU133" s="422">
        <f t="shared" si="51"/>
        <v>6</v>
      </c>
      <c r="AV133" s="423">
        <f t="shared" si="52"/>
        <v>0</v>
      </c>
      <c r="AW133" s="423">
        <f t="shared" si="53"/>
        <v>0</v>
      </c>
      <c r="AX133" s="423">
        <f t="shared" si="54"/>
        <v>6</v>
      </c>
      <c r="AY133" s="425">
        <f t="shared" si="55"/>
        <v>0</v>
      </c>
    </row>
    <row r="134" spans="1:51" ht="13.9">
      <c r="A134" s="435" t="s">
        <v>271</v>
      </c>
      <c r="B134" s="436">
        <v>45474</v>
      </c>
      <c r="C134" s="437">
        <v>2024</v>
      </c>
      <c r="D134" s="421">
        <f t="shared" si="57"/>
        <v>182361</v>
      </c>
      <c r="E134" s="421">
        <f t="shared" si="57"/>
        <v>15946</v>
      </c>
      <c r="F134" s="422">
        <f t="shared" si="57"/>
        <v>11771</v>
      </c>
      <c r="G134" s="423">
        <f t="shared" si="57"/>
        <v>2542</v>
      </c>
      <c r="H134" s="423">
        <f t="shared" si="57"/>
        <v>967</v>
      </c>
      <c r="I134" s="423">
        <f t="shared" si="57"/>
        <v>8192</v>
      </c>
      <c r="J134" s="424">
        <f t="shared" si="57"/>
        <v>70</v>
      </c>
      <c r="K134" s="422">
        <f t="shared" si="57"/>
        <v>4175</v>
      </c>
      <c r="L134" s="423">
        <f t="shared" si="57"/>
        <v>435</v>
      </c>
      <c r="M134" s="423">
        <f t="shared" si="57"/>
        <v>0</v>
      </c>
      <c r="N134" s="423">
        <f t="shared" si="57"/>
        <v>3645</v>
      </c>
      <c r="O134" s="425">
        <f t="shared" si="57"/>
        <v>95</v>
      </c>
      <c r="P134" s="526">
        <f t="shared" si="43"/>
        <v>351</v>
      </c>
      <c r="Q134" s="423">
        <f t="shared" si="57"/>
        <v>15</v>
      </c>
      <c r="R134" s="422">
        <f t="shared" si="57"/>
        <v>9</v>
      </c>
      <c r="S134" s="423">
        <f t="shared" si="57"/>
        <v>1</v>
      </c>
      <c r="T134" s="423">
        <f t="shared" si="57"/>
        <v>0</v>
      </c>
      <c r="U134" s="423">
        <f t="shared" si="56"/>
        <v>8</v>
      </c>
      <c r="V134" s="424">
        <f t="shared" si="56"/>
        <v>0</v>
      </c>
      <c r="W134" s="422">
        <f t="shared" si="56"/>
        <v>6</v>
      </c>
      <c r="X134" s="423">
        <f t="shared" si="56"/>
        <v>1</v>
      </c>
      <c r="Y134" s="423">
        <f t="shared" si="56"/>
        <v>0</v>
      </c>
      <c r="Z134" s="423">
        <f t="shared" si="56"/>
        <v>5</v>
      </c>
      <c r="AA134" s="425">
        <f t="shared" si="56"/>
        <v>0</v>
      </c>
      <c r="AB134" s="424">
        <f t="shared" si="56"/>
        <v>32</v>
      </c>
      <c r="AC134" s="423">
        <f t="shared" si="56"/>
        <v>0</v>
      </c>
      <c r="AD134" s="422">
        <f t="shared" si="56"/>
        <v>0</v>
      </c>
      <c r="AE134" s="423">
        <f t="shared" si="56"/>
        <v>0</v>
      </c>
      <c r="AF134" s="423">
        <f t="shared" si="56"/>
        <v>0</v>
      </c>
      <c r="AG134" s="423">
        <f t="shared" si="58"/>
        <v>0</v>
      </c>
      <c r="AH134" s="424">
        <f t="shared" si="58"/>
        <v>0</v>
      </c>
      <c r="AI134" s="422">
        <f t="shared" si="58"/>
        <v>0</v>
      </c>
      <c r="AJ134" s="423">
        <f t="shared" si="58"/>
        <v>0</v>
      </c>
      <c r="AK134" s="423">
        <f t="shared" si="58"/>
        <v>0</v>
      </c>
      <c r="AL134" s="423">
        <f t="shared" si="58"/>
        <v>0</v>
      </c>
      <c r="AM134" s="425">
        <f t="shared" si="58"/>
        <v>0</v>
      </c>
      <c r="AO134" s="421">
        <f t="shared" si="45"/>
        <v>15</v>
      </c>
      <c r="AP134" s="422">
        <f t="shared" si="46"/>
        <v>9</v>
      </c>
      <c r="AQ134" s="423">
        <f t="shared" si="47"/>
        <v>1</v>
      </c>
      <c r="AR134" s="423">
        <f t="shared" si="48"/>
        <v>0</v>
      </c>
      <c r="AS134" s="423">
        <f t="shared" si="49"/>
        <v>8</v>
      </c>
      <c r="AT134" s="424">
        <f t="shared" si="50"/>
        <v>0</v>
      </c>
      <c r="AU134" s="422">
        <f t="shared" si="51"/>
        <v>6</v>
      </c>
      <c r="AV134" s="423">
        <f t="shared" si="52"/>
        <v>1</v>
      </c>
      <c r="AW134" s="423">
        <f t="shared" si="53"/>
        <v>0</v>
      </c>
      <c r="AX134" s="423">
        <f t="shared" si="54"/>
        <v>5</v>
      </c>
      <c r="AY134" s="425">
        <f t="shared" si="55"/>
        <v>0</v>
      </c>
    </row>
    <row r="135" spans="1:51" ht="13.9">
      <c r="A135" s="435" t="s">
        <v>271</v>
      </c>
      <c r="B135" s="436">
        <v>45505</v>
      </c>
      <c r="C135" s="437">
        <v>2024</v>
      </c>
      <c r="D135" s="421">
        <f t="shared" si="57"/>
        <v>182361</v>
      </c>
      <c r="E135" s="421">
        <f t="shared" si="57"/>
        <v>15946</v>
      </c>
      <c r="F135" s="422">
        <f t="shared" si="57"/>
        <v>11771</v>
      </c>
      <c r="G135" s="423">
        <f t="shared" si="57"/>
        <v>2542</v>
      </c>
      <c r="H135" s="423">
        <f t="shared" si="57"/>
        <v>967</v>
      </c>
      <c r="I135" s="423">
        <f t="shared" si="57"/>
        <v>8192</v>
      </c>
      <c r="J135" s="424">
        <f t="shared" si="57"/>
        <v>70</v>
      </c>
      <c r="K135" s="422">
        <f t="shared" si="57"/>
        <v>4175</v>
      </c>
      <c r="L135" s="423">
        <f t="shared" si="57"/>
        <v>435</v>
      </c>
      <c r="M135" s="423">
        <f t="shared" si="57"/>
        <v>0</v>
      </c>
      <c r="N135" s="423">
        <f t="shared" si="57"/>
        <v>3645</v>
      </c>
      <c r="O135" s="425">
        <f t="shared" si="57"/>
        <v>95</v>
      </c>
      <c r="P135" s="526">
        <f t="shared" si="43"/>
        <v>351</v>
      </c>
      <c r="Q135" s="423">
        <f t="shared" si="57"/>
        <v>15</v>
      </c>
      <c r="R135" s="422">
        <f t="shared" si="57"/>
        <v>9</v>
      </c>
      <c r="S135" s="423">
        <f t="shared" si="57"/>
        <v>1</v>
      </c>
      <c r="T135" s="423">
        <f t="shared" si="57"/>
        <v>0</v>
      </c>
      <c r="U135" s="423">
        <f t="shared" si="56"/>
        <v>8</v>
      </c>
      <c r="V135" s="424">
        <f t="shared" si="56"/>
        <v>0</v>
      </c>
      <c r="W135" s="422">
        <f t="shared" si="56"/>
        <v>6</v>
      </c>
      <c r="X135" s="423">
        <f t="shared" si="56"/>
        <v>1</v>
      </c>
      <c r="Y135" s="423">
        <f t="shared" si="56"/>
        <v>0</v>
      </c>
      <c r="Z135" s="423">
        <f t="shared" si="56"/>
        <v>5</v>
      </c>
      <c r="AA135" s="425">
        <f t="shared" si="56"/>
        <v>0</v>
      </c>
      <c r="AB135" s="424">
        <f t="shared" si="56"/>
        <v>32</v>
      </c>
      <c r="AC135" s="423">
        <f t="shared" si="56"/>
        <v>0</v>
      </c>
      <c r="AD135" s="422">
        <f t="shared" si="56"/>
        <v>0</v>
      </c>
      <c r="AE135" s="423">
        <f t="shared" si="56"/>
        <v>0</v>
      </c>
      <c r="AF135" s="423">
        <f t="shared" si="56"/>
        <v>0</v>
      </c>
      <c r="AG135" s="423">
        <f t="shared" si="58"/>
        <v>0</v>
      </c>
      <c r="AH135" s="424">
        <f t="shared" si="58"/>
        <v>0</v>
      </c>
      <c r="AI135" s="422">
        <f t="shared" si="58"/>
        <v>0</v>
      </c>
      <c r="AJ135" s="423">
        <f t="shared" si="58"/>
        <v>0</v>
      </c>
      <c r="AK135" s="423">
        <f t="shared" si="58"/>
        <v>0</v>
      </c>
      <c r="AL135" s="423">
        <f t="shared" si="58"/>
        <v>0</v>
      </c>
      <c r="AM135" s="425">
        <f t="shared" si="58"/>
        <v>0</v>
      </c>
      <c r="AO135" s="421">
        <f t="shared" si="45"/>
        <v>15</v>
      </c>
      <c r="AP135" s="422">
        <f t="shared" si="46"/>
        <v>9</v>
      </c>
      <c r="AQ135" s="423">
        <f t="shared" si="47"/>
        <v>1</v>
      </c>
      <c r="AR135" s="423">
        <f t="shared" si="48"/>
        <v>0</v>
      </c>
      <c r="AS135" s="423">
        <f t="shared" si="49"/>
        <v>8</v>
      </c>
      <c r="AT135" s="424">
        <f t="shared" si="50"/>
        <v>0</v>
      </c>
      <c r="AU135" s="422">
        <f t="shared" si="51"/>
        <v>6</v>
      </c>
      <c r="AV135" s="423">
        <f t="shared" si="52"/>
        <v>1</v>
      </c>
      <c r="AW135" s="423">
        <f t="shared" si="53"/>
        <v>0</v>
      </c>
      <c r="AX135" s="423">
        <f t="shared" si="54"/>
        <v>5</v>
      </c>
      <c r="AY135" s="425">
        <f t="shared" si="55"/>
        <v>0</v>
      </c>
    </row>
    <row r="136" spans="1:51" ht="13.9">
      <c r="A136" s="435" t="s">
        <v>271</v>
      </c>
      <c r="B136" s="436">
        <v>45536</v>
      </c>
      <c r="C136" s="437">
        <v>2024</v>
      </c>
      <c r="D136" s="421">
        <f t="shared" si="57"/>
        <v>182361</v>
      </c>
      <c r="E136" s="421">
        <f t="shared" si="57"/>
        <v>15946</v>
      </c>
      <c r="F136" s="422">
        <f t="shared" si="57"/>
        <v>11771</v>
      </c>
      <c r="G136" s="423">
        <f t="shared" si="57"/>
        <v>2542</v>
      </c>
      <c r="H136" s="423">
        <f t="shared" si="57"/>
        <v>967</v>
      </c>
      <c r="I136" s="423">
        <f t="shared" si="57"/>
        <v>8192</v>
      </c>
      <c r="J136" s="424">
        <f t="shared" si="57"/>
        <v>70</v>
      </c>
      <c r="K136" s="422">
        <f t="shared" si="57"/>
        <v>4175</v>
      </c>
      <c r="L136" s="423">
        <f t="shared" si="57"/>
        <v>435</v>
      </c>
      <c r="M136" s="423">
        <f t="shared" si="57"/>
        <v>0</v>
      </c>
      <c r="N136" s="423">
        <f t="shared" si="57"/>
        <v>3645</v>
      </c>
      <c r="O136" s="425">
        <f t="shared" si="57"/>
        <v>95</v>
      </c>
      <c r="P136" s="526">
        <f t="shared" si="43"/>
        <v>351</v>
      </c>
      <c r="Q136" s="423">
        <f t="shared" si="57"/>
        <v>15</v>
      </c>
      <c r="R136" s="422">
        <f t="shared" si="57"/>
        <v>9</v>
      </c>
      <c r="S136" s="423">
        <f t="shared" si="57"/>
        <v>1</v>
      </c>
      <c r="T136" s="423">
        <f t="shared" si="57"/>
        <v>0</v>
      </c>
      <c r="U136" s="423">
        <f t="shared" si="56"/>
        <v>8</v>
      </c>
      <c r="V136" s="424">
        <f t="shared" si="56"/>
        <v>0</v>
      </c>
      <c r="W136" s="422">
        <f t="shared" si="56"/>
        <v>6</v>
      </c>
      <c r="X136" s="423">
        <f t="shared" si="56"/>
        <v>1</v>
      </c>
      <c r="Y136" s="423">
        <f t="shared" si="56"/>
        <v>0</v>
      </c>
      <c r="Z136" s="423">
        <f t="shared" si="56"/>
        <v>5</v>
      </c>
      <c r="AA136" s="425">
        <f t="shared" si="56"/>
        <v>0</v>
      </c>
      <c r="AB136" s="424">
        <f t="shared" si="56"/>
        <v>32</v>
      </c>
      <c r="AC136" s="423">
        <f t="shared" si="56"/>
        <v>0</v>
      </c>
      <c r="AD136" s="422">
        <f t="shared" si="56"/>
        <v>0</v>
      </c>
      <c r="AE136" s="423">
        <f t="shared" si="56"/>
        <v>0</v>
      </c>
      <c r="AF136" s="423">
        <f t="shared" si="56"/>
        <v>0</v>
      </c>
      <c r="AG136" s="423">
        <f t="shared" si="58"/>
        <v>0</v>
      </c>
      <c r="AH136" s="424">
        <f t="shared" si="58"/>
        <v>0</v>
      </c>
      <c r="AI136" s="422">
        <f t="shared" si="58"/>
        <v>0</v>
      </c>
      <c r="AJ136" s="423">
        <f t="shared" si="58"/>
        <v>0</v>
      </c>
      <c r="AK136" s="423">
        <f t="shared" si="58"/>
        <v>0</v>
      </c>
      <c r="AL136" s="423">
        <f t="shared" si="58"/>
        <v>0</v>
      </c>
      <c r="AM136" s="425">
        <f t="shared" si="58"/>
        <v>0</v>
      </c>
      <c r="AO136" s="421">
        <f t="shared" si="45"/>
        <v>15</v>
      </c>
      <c r="AP136" s="422">
        <f t="shared" si="46"/>
        <v>9</v>
      </c>
      <c r="AQ136" s="423">
        <f t="shared" si="47"/>
        <v>1</v>
      </c>
      <c r="AR136" s="423">
        <f t="shared" si="48"/>
        <v>0</v>
      </c>
      <c r="AS136" s="423">
        <f t="shared" si="49"/>
        <v>8</v>
      </c>
      <c r="AT136" s="424">
        <f t="shared" si="50"/>
        <v>0</v>
      </c>
      <c r="AU136" s="422">
        <f t="shared" si="51"/>
        <v>6</v>
      </c>
      <c r="AV136" s="423">
        <f t="shared" si="52"/>
        <v>1</v>
      </c>
      <c r="AW136" s="423">
        <f t="shared" si="53"/>
        <v>0</v>
      </c>
      <c r="AX136" s="423">
        <f t="shared" si="54"/>
        <v>5</v>
      </c>
      <c r="AY136" s="425">
        <f t="shared" si="55"/>
        <v>0</v>
      </c>
    </row>
    <row r="137" spans="1:51" ht="13.9">
      <c r="A137" s="435" t="s">
        <v>272</v>
      </c>
      <c r="B137" s="436">
        <v>45566</v>
      </c>
      <c r="C137" s="437">
        <v>2024</v>
      </c>
      <c r="D137" s="421">
        <f t="shared" si="57"/>
        <v>163345</v>
      </c>
      <c r="E137" s="421">
        <f t="shared" si="57"/>
        <v>15251</v>
      </c>
      <c r="F137" s="422">
        <f t="shared" si="57"/>
        <v>11282</v>
      </c>
      <c r="G137" s="423">
        <f t="shared" si="57"/>
        <v>1816</v>
      </c>
      <c r="H137" s="423">
        <f t="shared" si="57"/>
        <v>1914</v>
      </c>
      <c r="I137" s="423">
        <f t="shared" si="57"/>
        <v>7442</v>
      </c>
      <c r="J137" s="424">
        <f t="shared" si="57"/>
        <v>110</v>
      </c>
      <c r="K137" s="422">
        <f t="shared" si="57"/>
        <v>3969</v>
      </c>
      <c r="L137" s="423">
        <f t="shared" si="57"/>
        <v>341</v>
      </c>
      <c r="M137" s="423">
        <f t="shared" si="57"/>
        <v>0</v>
      </c>
      <c r="N137" s="423">
        <f t="shared" si="57"/>
        <v>3574</v>
      </c>
      <c r="O137" s="425">
        <f t="shared" si="57"/>
        <v>54</v>
      </c>
      <c r="P137" s="526">
        <f t="shared" si="43"/>
        <v>272</v>
      </c>
      <c r="Q137" s="423">
        <f t="shared" si="57"/>
        <v>9</v>
      </c>
      <c r="R137" s="422">
        <f t="shared" si="57"/>
        <v>5</v>
      </c>
      <c r="S137" s="423">
        <f t="shared" si="57"/>
        <v>2</v>
      </c>
      <c r="T137" s="423">
        <f t="shared" si="57"/>
        <v>1</v>
      </c>
      <c r="U137" s="423">
        <f t="shared" si="56"/>
        <v>2</v>
      </c>
      <c r="V137" s="424">
        <f t="shared" si="56"/>
        <v>0</v>
      </c>
      <c r="W137" s="422">
        <f t="shared" si="56"/>
        <v>4</v>
      </c>
      <c r="X137" s="423">
        <f t="shared" si="56"/>
        <v>1</v>
      </c>
      <c r="Y137" s="423">
        <f t="shared" si="56"/>
        <v>0</v>
      </c>
      <c r="Z137" s="423">
        <f t="shared" si="56"/>
        <v>3</v>
      </c>
      <c r="AA137" s="425">
        <f t="shared" si="56"/>
        <v>0</v>
      </c>
      <c r="AB137" s="424">
        <f t="shared" si="56"/>
        <v>28</v>
      </c>
      <c r="AC137" s="423">
        <f t="shared" si="56"/>
        <v>0</v>
      </c>
      <c r="AD137" s="422">
        <f t="shared" si="56"/>
        <v>0</v>
      </c>
      <c r="AE137" s="423">
        <f t="shared" si="56"/>
        <v>0</v>
      </c>
      <c r="AF137" s="423">
        <f t="shared" si="56"/>
        <v>0</v>
      </c>
      <c r="AG137" s="423">
        <f t="shared" si="58"/>
        <v>0</v>
      </c>
      <c r="AH137" s="424">
        <f t="shared" si="58"/>
        <v>0</v>
      </c>
      <c r="AI137" s="422">
        <f t="shared" si="58"/>
        <v>0</v>
      </c>
      <c r="AJ137" s="423">
        <f t="shared" si="58"/>
        <v>0</v>
      </c>
      <c r="AK137" s="423">
        <f t="shared" si="58"/>
        <v>0</v>
      </c>
      <c r="AL137" s="423">
        <f t="shared" si="58"/>
        <v>0</v>
      </c>
      <c r="AM137" s="425">
        <f t="shared" si="58"/>
        <v>0</v>
      </c>
      <c r="AO137" s="421">
        <f t="shared" si="45"/>
        <v>9</v>
      </c>
      <c r="AP137" s="422">
        <f t="shared" si="46"/>
        <v>5</v>
      </c>
      <c r="AQ137" s="423">
        <f t="shared" si="47"/>
        <v>2</v>
      </c>
      <c r="AR137" s="423">
        <f t="shared" si="48"/>
        <v>1</v>
      </c>
      <c r="AS137" s="423">
        <f t="shared" si="49"/>
        <v>2</v>
      </c>
      <c r="AT137" s="424">
        <f t="shared" si="50"/>
        <v>0</v>
      </c>
      <c r="AU137" s="422">
        <f t="shared" si="51"/>
        <v>4</v>
      </c>
      <c r="AV137" s="423">
        <f t="shared" si="52"/>
        <v>1</v>
      </c>
      <c r="AW137" s="423">
        <f t="shared" si="53"/>
        <v>0</v>
      </c>
      <c r="AX137" s="423">
        <f t="shared" si="54"/>
        <v>3</v>
      </c>
      <c r="AY137" s="425">
        <f t="shared" si="55"/>
        <v>0</v>
      </c>
    </row>
    <row r="138" spans="1:51" ht="13.9">
      <c r="A138" s="435" t="s">
        <v>272</v>
      </c>
      <c r="B138" s="436">
        <v>45597</v>
      </c>
      <c r="C138" s="437">
        <v>2024</v>
      </c>
      <c r="D138" s="421">
        <f t="shared" si="57"/>
        <v>163345</v>
      </c>
      <c r="E138" s="421">
        <f t="shared" si="57"/>
        <v>15251</v>
      </c>
      <c r="F138" s="422">
        <f t="shared" si="57"/>
        <v>11282</v>
      </c>
      <c r="G138" s="423">
        <f t="shared" si="57"/>
        <v>1816</v>
      </c>
      <c r="H138" s="423">
        <f t="shared" si="57"/>
        <v>1914</v>
      </c>
      <c r="I138" s="423">
        <f t="shared" si="57"/>
        <v>7442</v>
      </c>
      <c r="J138" s="424">
        <f t="shared" si="57"/>
        <v>110</v>
      </c>
      <c r="K138" s="422">
        <f t="shared" si="57"/>
        <v>3969</v>
      </c>
      <c r="L138" s="423">
        <f t="shared" si="57"/>
        <v>341</v>
      </c>
      <c r="M138" s="423">
        <f t="shared" si="57"/>
        <v>0</v>
      </c>
      <c r="N138" s="423">
        <f t="shared" si="57"/>
        <v>3574</v>
      </c>
      <c r="O138" s="425">
        <f t="shared" si="57"/>
        <v>54</v>
      </c>
      <c r="P138" s="526">
        <f t="shared" si="43"/>
        <v>272</v>
      </c>
      <c r="Q138" s="423">
        <f t="shared" si="57"/>
        <v>9</v>
      </c>
      <c r="R138" s="422">
        <f t="shared" si="57"/>
        <v>5</v>
      </c>
      <c r="S138" s="423">
        <f t="shared" si="57"/>
        <v>2</v>
      </c>
      <c r="T138" s="423">
        <f t="shared" si="57"/>
        <v>1</v>
      </c>
      <c r="U138" s="423">
        <f t="shared" si="56"/>
        <v>2</v>
      </c>
      <c r="V138" s="424">
        <f t="shared" si="56"/>
        <v>0</v>
      </c>
      <c r="W138" s="422">
        <f t="shared" si="56"/>
        <v>4</v>
      </c>
      <c r="X138" s="423">
        <f t="shared" si="56"/>
        <v>1</v>
      </c>
      <c r="Y138" s="423">
        <f t="shared" si="56"/>
        <v>0</v>
      </c>
      <c r="Z138" s="423">
        <f t="shared" si="56"/>
        <v>3</v>
      </c>
      <c r="AA138" s="425">
        <f t="shared" si="56"/>
        <v>0</v>
      </c>
      <c r="AB138" s="424">
        <f t="shared" si="56"/>
        <v>28</v>
      </c>
      <c r="AC138" s="423">
        <f t="shared" si="56"/>
        <v>0</v>
      </c>
      <c r="AD138" s="422">
        <f t="shared" si="56"/>
        <v>0</v>
      </c>
      <c r="AE138" s="423">
        <f t="shared" si="56"/>
        <v>0</v>
      </c>
      <c r="AF138" s="423">
        <f t="shared" si="56"/>
        <v>0</v>
      </c>
      <c r="AG138" s="423">
        <f t="shared" si="58"/>
        <v>0</v>
      </c>
      <c r="AH138" s="424">
        <f t="shared" si="58"/>
        <v>0</v>
      </c>
      <c r="AI138" s="422">
        <f t="shared" si="58"/>
        <v>0</v>
      </c>
      <c r="AJ138" s="423">
        <f t="shared" si="58"/>
        <v>0</v>
      </c>
      <c r="AK138" s="423">
        <f t="shared" si="58"/>
        <v>0</v>
      </c>
      <c r="AL138" s="423">
        <f t="shared" si="58"/>
        <v>0</v>
      </c>
      <c r="AM138" s="425">
        <f t="shared" si="58"/>
        <v>0</v>
      </c>
      <c r="AO138" s="421">
        <f t="shared" si="45"/>
        <v>9</v>
      </c>
      <c r="AP138" s="422">
        <f t="shared" si="46"/>
        <v>5</v>
      </c>
      <c r="AQ138" s="423">
        <f t="shared" si="47"/>
        <v>2</v>
      </c>
      <c r="AR138" s="423">
        <f t="shared" si="48"/>
        <v>1</v>
      </c>
      <c r="AS138" s="423">
        <f t="shared" si="49"/>
        <v>2</v>
      </c>
      <c r="AT138" s="424">
        <f t="shared" si="50"/>
        <v>0</v>
      </c>
      <c r="AU138" s="422">
        <f t="shared" si="51"/>
        <v>4</v>
      </c>
      <c r="AV138" s="423">
        <f t="shared" si="52"/>
        <v>1</v>
      </c>
      <c r="AW138" s="423">
        <f t="shared" si="53"/>
        <v>0</v>
      </c>
      <c r="AX138" s="423">
        <f t="shared" si="54"/>
        <v>3</v>
      </c>
      <c r="AY138" s="425">
        <f t="shared" si="55"/>
        <v>0</v>
      </c>
    </row>
    <row r="139" spans="1:51" ht="13.9">
      <c r="A139" s="435" t="s">
        <v>272</v>
      </c>
      <c r="B139" s="436">
        <v>45627</v>
      </c>
      <c r="C139" s="437">
        <v>2024</v>
      </c>
      <c r="D139" s="421">
        <f t="shared" si="57"/>
        <v>163345</v>
      </c>
      <c r="E139" s="421">
        <f t="shared" si="57"/>
        <v>15251</v>
      </c>
      <c r="F139" s="422">
        <f t="shared" si="57"/>
        <v>11282</v>
      </c>
      <c r="G139" s="423">
        <f t="shared" si="57"/>
        <v>1816</v>
      </c>
      <c r="H139" s="423">
        <f t="shared" si="57"/>
        <v>1914</v>
      </c>
      <c r="I139" s="423">
        <f t="shared" si="57"/>
        <v>7442</v>
      </c>
      <c r="J139" s="424">
        <f t="shared" si="57"/>
        <v>110</v>
      </c>
      <c r="K139" s="422">
        <f t="shared" si="57"/>
        <v>3969</v>
      </c>
      <c r="L139" s="423">
        <f t="shared" si="57"/>
        <v>341</v>
      </c>
      <c r="M139" s="423">
        <f t="shared" si="57"/>
        <v>0</v>
      </c>
      <c r="N139" s="423">
        <f t="shared" si="57"/>
        <v>3574</v>
      </c>
      <c r="O139" s="425">
        <f t="shared" si="57"/>
        <v>54</v>
      </c>
      <c r="P139" s="526">
        <f t="shared" si="43"/>
        <v>272</v>
      </c>
      <c r="Q139" s="423">
        <f t="shared" si="57"/>
        <v>9</v>
      </c>
      <c r="R139" s="422">
        <f t="shared" si="57"/>
        <v>5</v>
      </c>
      <c r="S139" s="423">
        <f t="shared" si="57"/>
        <v>2</v>
      </c>
      <c r="T139" s="423">
        <f t="shared" ref="T139:AJ151" si="59">SUMIFS(T$5:T$40,$B$5:$B$40,$A139)</f>
        <v>1</v>
      </c>
      <c r="U139" s="423">
        <f t="shared" si="59"/>
        <v>2</v>
      </c>
      <c r="V139" s="424">
        <f t="shared" si="59"/>
        <v>0</v>
      </c>
      <c r="W139" s="422">
        <f t="shared" si="59"/>
        <v>4</v>
      </c>
      <c r="X139" s="423">
        <f t="shared" si="59"/>
        <v>1</v>
      </c>
      <c r="Y139" s="423">
        <f t="shared" si="59"/>
        <v>0</v>
      </c>
      <c r="Z139" s="423">
        <f t="shared" si="59"/>
        <v>3</v>
      </c>
      <c r="AA139" s="425">
        <f t="shared" si="59"/>
        <v>0</v>
      </c>
      <c r="AB139" s="424">
        <f t="shared" si="59"/>
        <v>28</v>
      </c>
      <c r="AC139" s="423">
        <f t="shared" si="59"/>
        <v>0</v>
      </c>
      <c r="AD139" s="422">
        <f t="shared" si="59"/>
        <v>0</v>
      </c>
      <c r="AE139" s="423">
        <f t="shared" si="59"/>
        <v>0</v>
      </c>
      <c r="AF139" s="423">
        <f t="shared" si="59"/>
        <v>0</v>
      </c>
      <c r="AG139" s="423">
        <f t="shared" si="59"/>
        <v>0</v>
      </c>
      <c r="AH139" s="424">
        <f t="shared" si="59"/>
        <v>0</v>
      </c>
      <c r="AI139" s="422">
        <f t="shared" si="59"/>
        <v>0</v>
      </c>
      <c r="AJ139" s="423">
        <f t="shared" si="59"/>
        <v>0</v>
      </c>
      <c r="AK139" s="423">
        <f t="shared" si="58"/>
        <v>0</v>
      </c>
      <c r="AL139" s="423">
        <f t="shared" si="58"/>
        <v>0</v>
      </c>
      <c r="AM139" s="425">
        <f t="shared" si="58"/>
        <v>0</v>
      </c>
      <c r="AO139" s="421">
        <f t="shared" si="45"/>
        <v>9</v>
      </c>
      <c r="AP139" s="422">
        <f t="shared" si="46"/>
        <v>5</v>
      </c>
      <c r="AQ139" s="423">
        <f t="shared" si="47"/>
        <v>2</v>
      </c>
      <c r="AR139" s="423">
        <f t="shared" si="48"/>
        <v>1</v>
      </c>
      <c r="AS139" s="423">
        <f t="shared" si="49"/>
        <v>2</v>
      </c>
      <c r="AT139" s="424">
        <f t="shared" si="50"/>
        <v>0</v>
      </c>
      <c r="AU139" s="422">
        <f t="shared" si="51"/>
        <v>4</v>
      </c>
      <c r="AV139" s="423">
        <f t="shared" si="52"/>
        <v>1</v>
      </c>
      <c r="AW139" s="423">
        <f t="shared" si="53"/>
        <v>0</v>
      </c>
      <c r="AX139" s="423">
        <f t="shared" si="54"/>
        <v>3</v>
      </c>
      <c r="AY139" s="425">
        <f t="shared" si="55"/>
        <v>0</v>
      </c>
    </row>
    <row r="140" spans="1:51" ht="13.9">
      <c r="A140" s="435" t="s">
        <v>273</v>
      </c>
      <c r="B140" s="436">
        <v>45658</v>
      </c>
      <c r="C140" s="437">
        <v>2025</v>
      </c>
      <c r="D140" s="421">
        <f t="shared" ref="D140:T151" si="60">SUMIFS(D$5:D$40,$B$5:$B$40,$A140)</f>
        <v>173667</v>
      </c>
      <c r="E140" s="421">
        <f t="shared" si="60"/>
        <v>12006</v>
      </c>
      <c r="F140" s="422">
        <f t="shared" si="60"/>
        <v>8450</v>
      </c>
      <c r="G140" s="423">
        <f t="shared" si="60"/>
        <v>1121</v>
      </c>
      <c r="H140" s="423">
        <f t="shared" si="60"/>
        <v>1188</v>
      </c>
      <c r="I140" s="423">
        <f t="shared" si="60"/>
        <v>5991</v>
      </c>
      <c r="J140" s="424">
        <f t="shared" si="60"/>
        <v>150</v>
      </c>
      <c r="K140" s="422">
        <f t="shared" si="60"/>
        <v>3556</v>
      </c>
      <c r="L140" s="423">
        <f t="shared" si="60"/>
        <v>404</v>
      </c>
      <c r="M140" s="423">
        <f t="shared" si="60"/>
        <v>0</v>
      </c>
      <c r="N140" s="423">
        <f t="shared" si="60"/>
        <v>3061</v>
      </c>
      <c r="O140" s="425">
        <f t="shared" si="60"/>
        <v>91</v>
      </c>
      <c r="P140" s="526">
        <f t="shared" si="60"/>
        <v>280</v>
      </c>
      <c r="Q140" s="423">
        <f t="shared" si="60"/>
        <v>5</v>
      </c>
      <c r="R140" s="422">
        <f t="shared" si="60"/>
        <v>4</v>
      </c>
      <c r="S140" s="423">
        <f t="shared" si="60"/>
        <v>0</v>
      </c>
      <c r="T140" s="423">
        <f t="shared" si="60"/>
        <v>0</v>
      </c>
      <c r="U140" s="423">
        <f t="shared" si="59"/>
        <v>4</v>
      </c>
      <c r="V140" s="424">
        <f t="shared" si="59"/>
        <v>0</v>
      </c>
      <c r="W140" s="422">
        <f t="shared" si="59"/>
        <v>1</v>
      </c>
      <c r="X140" s="423">
        <f t="shared" si="59"/>
        <v>0</v>
      </c>
      <c r="Y140" s="423">
        <f t="shared" si="59"/>
        <v>0</v>
      </c>
      <c r="Z140" s="423">
        <f t="shared" si="59"/>
        <v>1</v>
      </c>
      <c r="AA140" s="425">
        <f t="shared" si="59"/>
        <v>0</v>
      </c>
      <c r="AB140" s="424">
        <f t="shared" si="59"/>
        <v>29</v>
      </c>
      <c r="AC140" s="423">
        <f t="shared" si="59"/>
        <v>1</v>
      </c>
      <c r="AD140" s="422">
        <f t="shared" si="59"/>
        <v>1</v>
      </c>
      <c r="AE140" s="423">
        <f t="shared" si="59"/>
        <v>0</v>
      </c>
      <c r="AF140" s="423">
        <f t="shared" si="59"/>
        <v>1</v>
      </c>
      <c r="AG140" s="423">
        <f t="shared" ref="AG140:AM151" si="61">SUMIFS(AG$5:AG$40,$B$5:$B$40,$A140)</f>
        <v>0</v>
      </c>
      <c r="AH140" s="424">
        <f t="shared" si="61"/>
        <v>0</v>
      </c>
      <c r="AI140" s="422">
        <f t="shared" si="61"/>
        <v>0</v>
      </c>
      <c r="AJ140" s="423">
        <f t="shared" si="61"/>
        <v>0</v>
      </c>
      <c r="AK140" s="423">
        <f t="shared" si="61"/>
        <v>0</v>
      </c>
      <c r="AL140" s="423">
        <f t="shared" si="61"/>
        <v>0</v>
      </c>
      <c r="AM140" s="425">
        <f t="shared" si="61"/>
        <v>0</v>
      </c>
      <c r="AO140" s="421">
        <f t="shared" si="45"/>
        <v>6</v>
      </c>
      <c r="AP140" s="422">
        <f t="shared" si="46"/>
        <v>5</v>
      </c>
      <c r="AQ140" s="423">
        <f t="shared" si="47"/>
        <v>0</v>
      </c>
      <c r="AR140" s="423">
        <f t="shared" si="48"/>
        <v>1</v>
      </c>
      <c r="AS140" s="423">
        <f t="shared" si="49"/>
        <v>4</v>
      </c>
      <c r="AT140" s="424">
        <f t="shared" si="50"/>
        <v>0</v>
      </c>
      <c r="AU140" s="422">
        <f t="shared" si="51"/>
        <v>1</v>
      </c>
      <c r="AV140" s="423">
        <f t="shared" si="52"/>
        <v>0</v>
      </c>
      <c r="AW140" s="423">
        <f t="shared" si="53"/>
        <v>0</v>
      </c>
      <c r="AX140" s="423">
        <f t="shared" si="54"/>
        <v>1</v>
      </c>
      <c r="AY140" s="425">
        <f t="shared" si="55"/>
        <v>0</v>
      </c>
    </row>
    <row r="141" spans="1:51" ht="13.9">
      <c r="A141" s="435" t="s">
        <v>273</v>
      </c>
      <c r="B141" s="436">
        <v>45689</v>
      </c>
      <c r="C141" s="437">
        <v>2025</v>
      </c>
      <c r="D141" s="421">
        <f t="shared" si="60"/>
        <v>173667</v>
      </c>
      <c r="E141" s="421">
        <f t="shared" si="60"/>
        <v>12006</v>
      </c>
      <c r="F141" s="422">
        <f t="shared" si="60"/>
        <v>8450</v>
      </c>
      <c r="G141" s="423">
        <f t="shared" si="60"/>
        <v>1121</v>
      </c>
      <c r="H141" s="423">
        <f t="shared" si="60"/>
        <v>1188</v>
      </c>
      <c r="I141" s="423">
        <f t="shared" si="60"/>
        <v>5991</v>
      </c>
      <c r="J141" s="424">
        <f t="shared" si="60"/>
        <v>150</v>
      </c>
      <c r="K141" s="422">
        <f t="shared" si="60"/>
        <v>3556</v>
      </c>
      <c r="L141" s="423">
        <f t="shared" si="60"/>
        <v>404</v>
      </c>
      <c r="M141" s="423">
        <f t="shared" si="60"/>
        <v>0</v>
      </c>
      <c r="N141" s="423">
        <f t="shared" si="60"/>
        <v>3061</v>
      </c>
      <c r="O141" s="425">
        <f t="shared" si="60"/>
        <v>91</v>
      </c>
      <c r="P141" s="526">
        <f t="shared" si="60"/>
        <v>280</v>
      </c>
      <c r="Q141" s="423">
        <f t="shared" si="60"/>
        <v>5</v>
      </c>
      <c r="R141" s="422">
        <f t="shared" si="60"/>
        <v>4</v>
      </c>
      <c r="S141" s="423">
        <f t="shared" si="60"/>
        <v>0</v>
      </c>
      <c r="T141" s="423">
        <f t="shared" si="60"/>
        <v>0</v>
      </c>
      <c r="U141" s="423">
        <f t="shared" si="59"/>
        <v>4</v>
      </c>
      <c r="V141" s="424">
        <f t="shared" si="59"/>
        <v>0</v>
      </c>
      <c r="W141" s="422">
        <f t="shared" si="59"/>
        <v>1</v>
      </c>
      <c r="X141" s="423">
        <f t="shared" si="59"/>
        <v>0</v>
      </c>
      <c r="Y141" s="423">
        <f t="shared" si="59"/>
        <v>0</v>
      </c>
      <c r="Z141" s="423">
        <f t="shared" si="59"/>
        <v>1</v>
      </c>
      <c r="AA141" s="425">
        <f t="shared" si="59"/>
        <v>0</v>
      </c>
      <c r="AB141" s="424">
        <f t="shared" si="59"/>
        <v>29</v>
      </c>
      <c r="AC141" s="423">
        <f t="shared" si="59"/>
        <v>1</v>
      </c>
      <c r="AD141" s="422">
        <f t="shared" si="59"/>
        <v>1</v>
      </c>
      <c r="AE141" s="423">
        <f t="shared" si="59"/>
        <v>0</v>
      </c>
      <c r="AF141" s="423">
        <f t="shared" si="59"/>
        <v>1</v>
      </c>
      <c r="AG141" s="423">
        <f t="shared" si="61"/>
        <v>0</v>
      </c>
      <c r="AH141" s="424">
        <f t="shared" si="61"/>
        <v>0</v>
      </c>
      <c r="AI141" s="422">
        <f t="shared" si="61"/>
        <v>0</v>
      </c>
      <c r="AJ141" s="423">
        <f t="shared" si="61"/>
        <v>0</v>
      </c>
      <c r="AK141" s="423">
        <f t="shared" si="61"/>
        <v>0</v>
      </c>
      <c r="AL141" s="423">
        <f t="shared" si="61"/>
        <v>0</v>
      </c>
      <c r="AM141" s="425">
        <f t="shared" si="61"/>
        <v>0</v>
      </c>
      <c r="AO141" s="421">
        <f t="shared" si="45"/>
        <v>6</v>
      </c>
      <c r="AP141" s="422">
        <f t="shared" si="46"/>
        <v>5</v>
      </c>
      <c r="AQ141" s="423">
        <f t="shared" si="47"/>
        <v>0</v>
      </c>
      <c r="AR141" s="423">
        <f t="shared" si="48"/>
        <v>1</v>
      </c>
      <c r="AS141" s="423">
        <f t="shared" si="49"/>
        <v>4</v>
      </c>
      <c r="AT141" s="424">
        <f t="shared" si="50"/>
        <v>0</v>
      </c>
      <c r="AU141" s="422">
        <f t="shared" si="51"/>
        <v>1</v>
      </c>
      <c r="AV141" s="423">
        <f t="shared" si="52"/>
        <v>0</v>
      </c>
      <c r="AW141" s="423">
        <f t="shared" si="53"/>
        <v>0</v>
      </c>
      <c r="AX141" s="423">
        <f t="shared" si="54"/>
        <v>1</v>
      </c>
      <c r="AY141" s="425">
        <f t="shared" si="55"/>
        <v>0</v>
      </c>
    </row>
    <row r="142" spans="1:51" ht="13.9">
      <c r="A142" s="435" t="s">
        <v>273</v>
      </c>
      <c r="B142" s="436">
        <v>45717</v>
      </c>
      <c r="C142" s="437">
        <v>2025</v>
      </c>
      <c r="D142" s="421">
        <f t="shared" si="60"/>
        <v>173667</v>
      </c>
      <c r="E142" s="421">
        <f t="shared" si="60"/>
        <v>12006</v>
      </c>
      <c r="F142" s="422">
        <f t="shared" si="60"/>
        <v>8450</v>
      </c>
      <c r="G142" s="423">
        <f t="shared" si="60"/>
        <v>1121</v>
      </c>
      <c r="H142" s="423">
        <f t="shared" si="60"/>
        <v>1188</v>
      </c>
      <c r="I142" s="423">
        <f t="shared" si="60"/>
        <v>5991</v>
      </c>
      <c r="J142" s="424">
        <f t="shared" si="60"/>
        <v>150</v>
      </c>
      <c r="K142" s="422">
        <f t="shared" si="60"/>
        <v>3556</v>
      </c>
      <c r="L142" s="423">
        <f t="shared" si="60"/>
        <v>404</v>
      </c>
      <c r="M142" s="423">
        <f t="shared" si="60"/>
        <v>0</v>
      </c>
      <c r="N142" s="423">
        <f t="shared" si="60"/>
        <v>3061</v>
      </c>
      <c r="O142" s="425">
        <f t="shared" si="60"/>
        <v>91</v>
      </c>
      <c r="P142" s="526">
        <f t="shared" si="60"/>
        <v>280</v>
      </c>
      <c r="Q142" s="423">
        <f t="shared" si="60"/>
        <v>5</v>
      </c>
      <c r="R142" s="422">
        <f t="shared" si="60"/>
        <v>4</v>
      </c>
      <c r="S142" s="423">
        <f t="shared" si="60"/>
        <v>0</v>
      </c>
      <c r="T142" s="423">
        <f t="shared" si="60"/>
        <v>0</v>
      </c>
      <c r="U142" s="423">
        <f t="shared" si="59"/>
        <v>4</v>
      </c>
      <c r="V142" s="424">
        <f t="shared" si="59"/>
        <v>0</v>
      </c>
      <c r="W142" s="422">
        <f t="shared" si="59"/>
        <v>1</v>
      </c>
      <c r="X142" s="423">
        <f t="shared" si="59"/>
        <v>0</v>
      </c>
      <c r="Y142" s="423">
        <f t="shared" si="59"/>
        <v>0</v>
      </c>
      <c r="Z142" s="423">
        <f t="shared" si="59"/>
        <v>1</v>
      </c>
      <c r="AA142" s="425">
        <f t="shared" si="59"/>
        <v>0</v>
      </c>
      <c r="AB142" s="424">
        <f t="shared" si="59"/>
        <v>29</v>
      </c>
      <c r="AC142" s="423">
        <f t="shared" si="59"/>
        <v>1</v>
      </c>
      <c r="AD142" s="422">
        <f t="shared" si="59"/>
        <v>1</v>
      </c>
      <c r="AE142" s="423">
        <f t="shared" si="59"/>
        <v>0</v>
      </c>
      <c r="AF142" s="423">
        <f t="shared" si="59"/>
        <v>1</v>
      </c>
      <c r="AG142" s="423">
        <f t="shared" si="61"/>
        <v>0</v>
      </c>
      <c r="AH142" s="424">
        <f t="shared" si="61"/>
        <v>0</v>
      </c>
      <c r="AI142" s="422">
        <f t="shared" si="61"/>
        <v>0</v>
      </c>
      <c r="AJ142" s="423">
        <f t="shared" si="61"/>
        <v>0</v>
      </c>
      <c r="AK142" s="423">
        <f t="shared" si="61"/>
        <v>0</v>
      </c>
      <c r="AL142" s="423">
        <f t="shared" si="61"/>
        <v>0</v>
      </c>
      <c r="AM142" s="425">
        <f t="shared" si="61"/>
        <v>0</v>
      </c>
      <c r="AO142" s="421">
        <f t="shared" si="45"/>
        <v>6</v>
      </c>
      <c r="AP142" s="422">
        <f t="shared" si="46"/>
        <v>5</v>
      </c>
      <c r="AQ142" s="423">
        <f t="shared" si="47"/>
        <v>0</v>
      </c>
      <c r="AR142" s="423">
        <f t="shared" si="48"/>
        <v>1</v>
      </c>
      <c r="AS142" s="423">
        <f t="shared" si="49"/>
        <v>4</v>
      </c>
      <c r="AT142" s="424">
        <f t="shared" si="50"/>
        <v>0</v>
      </c>
      <c r="AU142" s="422">
        <f t="shared" si="51"/>
        <v>1</v>
      </c>
      <c r="AV142" s="423">
        <f t="shared" si="52"/>
        <v>0</v>
      </c>
      <c r="AW142" s="423">
        <f t="shared" si="53"/>
        <v>0</v>
      </c>
      <c r="AX142" s="423">
        <f t="shared" si="54"/>
        <v>1</v>
      </c>
      <c r="AY142" s="425">
        <f t="shared" si="55"/>
        <v>0</v>
      </c>
    </row>
    <row r="143" spans="1:51" ht="13.9">
      <c r="A143" s="435" t="s">
        <v>274</v>
      </c>
      <c r="B143" s="436">
        <v>45748</v>
      </c>
      <c r="C143" s="437">
        <v>2025</v>
      </c>
      <c r="D143" s="421">
        <f t="shared" si="60"/>
        <v>202204</v>
      </c>
      <c r="E143" s="421">
        <f t="shared" si="60"/>
        <v>11694</v>
      </c>
      <c r="F143" s="422">
        <f t="shared" si="60"/>
        <v>7530</v>
      </c>
      <c r="G143" s="423">
        <f t="shared" si="60"/>
        <v>1093</v>
      </c>
      <c r="H143" s="423">
        <f t="shared" si="60"/>
        <v>1082</v>
      </c>
      <c r="I143" s="423">
        <f t="shared" si="60"/>
        <v>5176</v>
      </c>
      <c r="J143" s="424">
        <f t="shared" si="60"/>
        <v>179</v>
      </c>
      <c r="K143" s="422">
        <f t="shared" si="60"/>
        <v>4164</v>
      </c>
      <c r="L143" s="423">
        <f t="shared" si="60"/>
        <v>708</v>
      </c>
      <c r="M143" s="423">
        <f t="shared" si="60"/>
        <v>0</v>
      </c>
      <c r="N143" s="423">
        <f t="shared" si="60"/>
        <v>3389</v>
      </c>
      <c r="O143" s="425">
        <f t="shared" si="60"/>
        <v>67</v>
      </c>
      <c r="P143" s="526">
        <f t="shared" si="60"/>
        <v>389</v>
      </c>
      <c r="Q143" s="423">
        <f t="shared" si="60"/>
        <v>7</v>
      </c>
      <c r="R143" s="422">
        <f t="shared" si="60"/>
        <v>3</v>
      </c>
      <c r="S143" s="423">
        <f t="shared" si="60"/>
        <v>0</v>
      </c>
      <c r="T143" s="423">
        <f t="shared" si="60"/>
        <v>0</v>
      </c>
      <c r="U143" s="423">
        <f t="shared" si="59"/>
        <v>3</v>
      </c>
      <c r="V143" s="424">
        <f t="shared" si="59"/>
        <v>0</v>
      </c>
      <c r="W143" s="422">
        <f t="shared" si="59"/>
        <v>4</v>
      </c>
      <c r="X143" s="423">
        <f t="shared" si="59"/>
        <v>0</v>
      </c>
      <c r="Y143" s="423">
        <f t="shared" si="59"/>
        <v>0</v>
      </c>
      <c r="Z143" s="423">
        <f t="shared" si="59"/>
        <v>4</v>
      </c>
      <c r="AA143" s="425">
        <f t="shared" si="59"/>
        <v>0</v>
      </c>
      <c r="AB143" s="424">
        <f t="shared" si="59"/>
        <v>38</v>
      </c>
      <c r="AC143" s="423">
        <f t="shared" si="59"/>
        <v>2</v>
      </c>
      <c r="AD143" s="422">
        <f t="shared" si="59"/>
        <v>0</v>
      </c>
      <c r="AE143" s="423">
        <f t="shared" si="59"/>
        <v>0</v>
      </c>
      <c r="AF143" s="423">
        <f t="shared" si="59"/>
        <v>0</v>
      </c>
      <c r="AG143" s="423">
        <f t="shared" si="61"/>
        <v>0</v>
      </c>
      <c r="AH143" s="424">
        <f t="shared" si="61"/>
        <v>0</v>
      </c>
      <c r="AI143" s="422">
        <f t="shared" si="61"/>
        <v>2</v>
      </c>
      <c r="AJ143" s="423">
        <f t="shared" si="61"/>
        <v>0</v>
      </c>
      <c r="AK143" s="423">
        <f t="shared" si="61"/>
        <v>0</v>
      </c>
      <c r="AL143" s="423">
        <f t="shared" si="61"/>
        <v>2</v>
      </c>
      <c r="AM143" s="425">
        <f t="shared" si="61"/>
        <v>0</v>
      </c>
      <c r="AO143" s="421">
        <f t="shared" si="45"/>
        <v>9</v>
      </c>
      <c r="AP143" s="422">
        <f t="shared" si="46"/>
        <v>3</v>
      </c>
      <c r="AQ143" s="423">
        <f t="shared" si="47"/>
        <v>0</v>
      </c>
      <c r="AR143" s="423">
        <f t="shared" si="48"/>
        <v>0</v>
      </c>
      <c r="AS143" s="423">
        <f t="shared" si="49"/>
        <v>3</v>
      </c>
      <c r="AT143" s="424">
        <f t="shared" si="50"/>
        <v>0</v>
      </c>
      <c r="AU143" s="422">
        <f t="shared" si="51"/>
        <v>6</v>
      </c>
      <c r="AV143" s="423">
        <f t="shared" si="52"/>
        <v>0</v>
      </c>
      <c r="AW143" s="423">
        <f t="shared" si="53"/>
        <v>0</v>
      </c>
      <c r="AX143" s="423">
        <f t="shared" si="54"/>
        <v>6</v>
      </c>
      <c r="AY143" s="425">
        <f t="shared" si="55"/>
        <v>0</v>
      </c>
    </row>
    <row r="144" spans="1:51" ht="13.9">
      <c r="A144" s="435" t="s">
        <v>274</v>
      </c>
      <c r="B144" s="436">
        <v>45778</v>
      </c>
      <c r="C144" s="437">
        <v>2025</v>
      </c>
      <c r="D144" s="421">
        <f t="shared" si="60"/>
        <v>202204</v>
      </c>
      <c r="E144" s="421">
        <f t="shared" si="60"/>
        <v>11694</v>
      </c>
      <c r="F144" s="422">
        <f t="shared" si="60"/>
        <v>7530</v>
      </c>
      <c r="G144" s="423">
        <f t="shared" si="60"/>
        <v>1093</v>
      </c>
      <c r="H144" s="423">
        <f t="shared" si="60"/>
        <v>1082</v>
      </c>
      <c r="I144" s="423">
        <f t="shared" si="60"/>
        <v>5176</v>
      </c>
      <c r="J144" s="424">
        <f t="shared" si="60"/>
        <v>179</v>
      </c>
      <c r="K144" s="422">
        <f t="shared" si="60"/>
        <v>4164</v>
      </c>
      <c r="L144" s="423">
        <f t="shared" si="60"/>
        <v>708</v>
      </c>
      <c r="M144" s="423">
        <f t="shared" si="60"/>
        <v>0</v>
      </c>
      <c r="N144" s="423">
        <f t="shared" si="60"/>
        <v>3389</v>
      </c>
      <c r="O144" s="425">
        <f t="shared" si="60"/>
        <v>67</v>
      </c>
      <c r="P144" s="526">
        <f t="shared" si="60"/>
        <v>389</v>
      </c>
      <c r="Q144" s="423">
        <f t="shared" si="60"/>
        <v>7</v>
      </c>
      <c r="R144" s="422">
        <f t="shared" si="60"/>
        <v>3</v>
      </c>
      <c r="S144" s="423">
        <f t="shared" si="60"/>
        <v>0</v>
      </c>
      <c r="T144" s="423">
        <f t="shared" si="60"/>
        <v>0</v>
      </c>
      <c r="U144" s="423">
        <f t="shared" si="59"/>
        <v>3</v>
      </c>
      <c r="V144" s="424">
        <f t="shared" si="59"/>
        <v>0</v>
      </c>
      <c r="W144" s="422">
        <f t="shared" si="59"/>
        <v>4</v>
      </c>
      <c r="X144" s="423">
        <f t="shared" si="59"/>
        <v>0</v>
      </c>
      <c r="Y144" s="423">
        <f t="shared" si="59"/>
        <v>0</v>
      </c>
      <c r="Z144" s="423">
        <f t="shared" si="59"/>
        <v>4</v>
      </c>
      <c r="AA144" s="425">
        <f t="shared" si="59"/>
        <v>0</v>
      </c>
      <c r="AB144" s="424">
        <f t="shared" si="59"/>
        <v>38</v>
      </c>
      <c r="AC144" s="423">
        <f t="shared" si="59"/>
        <v>2</v>
      </c>
      <c r="AD144" s="422">
        <f t="shared" si="59"/>
        <v>0</v>
      </c>
      <c r="AE144" s="423">
        <f t="shared" si="59"/>
        <v>0</v>
      </c>
      <c r="AF144" s="423">
        <f t="shared" si="59"/>
        <v>0</v>
      </c>
      <c r="AG144" s="423">
        <f t="shared" si="61"/>
        <v>0</v>
      </c>
      <c r="AH144" s="424">
        <f t="shared" si="61"/>
        <v>0</v>
      </c>
      <c r="AI144" s="422">
        <f t="shared" si="61"/>
        <v>2</v>
      </c>
      <c r="AJ144" s="423">
        <f t="shared" si="61"/>
        <v>0</v>
      </c>
      <c r="AK144" s="423">
        <f t="shared" si="61"/>
        <v>0</v>
      </c>
      <c r="AL144" s="423">
        <f t="shared" si="61"/>
        <v>2</v>
      </c>
      <c r="AM144" s="425">
        <f t="shared" si="61"/>
        <v>0</v>
      </c>
      <c r="AO144" s="421">
        <f t="shared" si="45"/>
        <v>9</v>
      </c>
      <c r="AP144" s="422">
        <f t="shared" si="46"/>
        <v>3</v>
      </c>
      <c r="AQ144" s="423">
        <f t="shared" si="47"/>
        <v>0</v>
      </c>
      <c r="AR144" s="423">
        <f t="shared" si="48"/>
        <v>0</v>
      </c>
      <c r="AS144" s="423">
        <f t="shared" si="49"/>
        <v>3</v>
      </c>
      <c r="AT144" s="424">
        <f t="shared" si="50"/>
        <v>0</v>
      </c>
      <c r="AU144" s="422">
        <f t="shared" si="51"/>
        <v>6</v>
      </c>
      <c r="AV144" s="423">
        <f t="shared" si="52"/>
        <v>0</v>
      </c>
      <c r="AW144" s="423">
        <f t="shared" si="53"/>
        <v>0</v>
      </c>
      <c r="AX144" s="423">
        <f t="shared" si="54"/>
        <v>6</v>
      </c>
      <c r="AY144" s="425">
        <f t="shared" si="55"/>
        <v>0</v>
      </c>
    </row>
    <row r="145" spans="1:51" ht="13.9">
      <c r="A145" s="435" t="s">
        <v>274</v>
      </c>
      <c r="B145" s="436">
        <v>45809</v>
      </c>
      <c r="C145" s="437">
        <v>2025</v>
      </c>
      <c r="D145" s="421">
        <f t="shared" si="60"/>
        <v>202204</v>
      </c>
      <c r="E145" s="421">
        <f t="shared" si="60"/>
        <v>11694</v>
      </c>
      <c r="F145" s="422">
        <f t="shared" si="60"/>
        <v>7530</v>
      </c>
      <c r="G145" s="423">
        <f t="shared" si="60"/>
        <v>1093</v>
      </c>
      <c r="H145" s="423">
        <f t="shared" si="60"/>
        <v>1082</v>
      </c>
      <c r="I145" s="423">
        <f t="shared" si="60"/>
        <v>5176</v>
      </c>
      <c r="J145" s="424">
        <f t="shared" si="60"/>
        <v>179</v>
      </c>
      <c r="K145" s="422">
        <f t="shared" si="60"/>
        <v>4164</v>
      </c>
      <c r="L145" s="423">
        <f t="shared" si="60"/>
        <v>708</v>
      </c>
      <c r="M145" s="423">
        <f t="shared" si="60"/>
        <v>0</v>
      </c>
      <c r="N145" s="423">
        <f t="shared" si="60"/>
        <v>3389</v>
      </c>
      <c r="O145" s="425">
        <f t="shared" si="60"/>
        <v>67</v>
      </c>
      <c r="P145" s="526">
        <f t="shared" si="60"/>
        <v>389</v>
      </c>
      <c r="Q145" s="423">
        <f t="shared" si="60"/>
        <v>7</v>
      </c>
      <c r="R145" s="422">
        <f t="shared" si="60"/>
        <v>3</v>
      </c>
      <c r="S145" s="423">
        <f t="shared" si="60"/>
        <v>0</v>
      </c>
      <c r="T145" s="423">
        <f t="shared" si="60"/>
        <v>0</v>
      </c>
      <c r="U145" s="423">
        <f t="shared" si="59"/>
        <v>3</v>
      </c>
      <c r="V145" s="424">
        <f t="shared" si="59"/>
        <v>0</v>
      </c>
      <c r="W145" s="422">
        <f t="shared" si="59"/>
        <v>4</v>
      </c>
      <c r="X145" s="423">
        <f t="shared" si="59"/>
        <v>0</v>
      </c>
      <c r="Y145" s="423">
        <f t="shared" si="59"/>
        <v>0</v>
      </c>
      <c r="Z145" s="423">
        <f t="shared" si="59"/>
        <v>4</v>
      </c>
      <c r="AA145" s="425">
        <f t="shared" si="59"/>
        <v>0</v>
      </c>
      <c r="AB145" s="424">
        <f t="shared" si="59"/>
        <v>38</v>
      </c>
      <c r="AC145" s="423">
        <f t="shared" si="59"/>
        <v>2</v>
      </c>
      <c r="AD145" s="422">
        <f t="shared" si="59"/>
        <v>0</v>
      </c>
      <c r="AE145" s="423">
        <f t="shared" si="59"/>
        <v>0</v>
      </c>
      <c r="AF145" s="423">
        <f t="shared" si="59"/>
        <v>0</v>
      </c>
      <c r="AG145" s="423">
        <f t="shared" si="61"/>
        <v>0</v>
      </c>
      <c r="AH145" s="424">
        <f t="shared" si="61"/>
        <v>0</v>
      </c>
      <c r="AI145" s="422">
        <f t="shared" si="61"/>
        <v>2</v>
      </c>
      <c r="AJ145" s="423">
        <f t="shared" si="61"/>
        <v>0</v>
      </c>
      <c r="AK145" s="423">
        <f t="shared" si="61"/>
        <v>0</v>
      </c>
      <c r="AL145" s="423">
        <f t="shared" si="61"/>
        <v>2</v>
      </c>
      <c r="AM145" s="425">
        <f t="shared" si="61"/>
        <v>0</v>
      </c>
      <c r="AO145" s="421">
        <f t="shared" si="45"/>
        <v>9</v>
      </c>
      <c r="AP145" s="422">
        <f t="shared" si="46"/>
        <v>3</v>
      </c>
      <c r="AQ145" s="423">
        <f t="shared" si="47"/>
        <v>0</v>
      </c>
      <c r="AR145" s="423">
        <f t="shared" si="48"/>
        <v>0</v>
      </c>
      <c r="AS145" s="423">
        <f t="shared" si="49"/>
        <v>3</v>
      </c>
      <c r="AT145" s="424">
        <f t="shared" si="50"/>
        <v>0</v>
      </c>
      <c r="AU145" s="422">
        <f t="shared" si="51"/>
        <v>6</v>
      </c>
      <c r="AV145" s="423">
        <f t="shared" si="52"/>
        <v>0</v>
      </c>
      <c r="AW145" s="423">
        <f t="shared" si="53"/>
        <v>0</v>
      </c>
      <c r="AX145" s="423">
        <f t="shared" si="54"/>
        <v>6</v>
      </c>
      <c r="AY145" s="425">
        <f t="shared" si="55"/>
        <v>0</v>
      </c>
    </row>
    <row r="146" spans="1:51" ht="13.9">
      <c r="A146" s="435" t="s">
        <v>275</v>
      </c>
      <c r="B146" s="436">
        <v>45839</v>
      </c>
      <c r="C146" s="437">
        <v>2025</v>
      </c>
      <c r="D146" s="421">
        <f t="shared" si="60"/>
        <v>184799</v>
      </c>
      <c r="E146" s="421">
        <f t="shared" si="60"/>
        <v>11890</v>
      </c>
      <c r="F146" s="422">
        <f t="shared" si="60"/>
        <v>7426</v>
      </c>
      <c r="G146" s="423">
        <f t="shared" si="60"/>
        <v>1158</v>
      </c>
      <c r="H146" s="423">
        <f t="shared" si="60"/>
        <v>808</v>
      </c>
      <c r="I146" s="423">
        <f t="shared" si="60"/>
        <v>5108</v>
      </c>
      <c r="J146" s="424">
        <f t="shared" si="60"/>
        <v>352</v>
      </c>
      <c r="K146" s="422">
        <f t="shared" si="60"/>
        <v>4464</v>
      </c>
      <c r="L146" s="423">
        <f t="shared" si="60"/>
        <v>861</v>
      </c>
      <c r="M146" s="423">
        <f t="shared" si="60"/>
        <v>0</v>
      </c>
      <c r="N146" s="423">
        <f t="shared" si="60"/>
        <v>3539</v>
      </c>
      <c r="O146" s="425">
        <f t="shared" si="60"/>
        <v>64</v>
      </c>
      <c r="P146" s="526">
        <f t="shared" si="60"/>
        <v>345</v>
      </c>
      <c r="Q146" s="423">
        <f t="shared" si="60"/>
        <v>11</v>
      </c>
      <c r="R146" s="422">
        <f t="shared" si="60"/>
        <v>6</v>
      </c>
      <c r="S146" s="423">
        <f t="shared" si="60"/>
        <v>0</v>
      </c>
      <c r="T146" s="423">
        <f t="shared" si="60"/>
        <v>3</v>
      </c>
      <c r="U146" s="423">
        <f t="shared" si="59"/>
        <v>3</v>
      </c>
      <c r="V146" s="424">
        <f t="shared" si="59"/>
        <v>0</v>
      </c>
      <c r="W146" s="422">
        <f t="shared" si="59"/>
        <v>5</v>
      </c>
      <c r="X146" s="423">
        <f t="shared" si="59"/>
        <v>0</v>
      </c>
      <c r="Y146" s="423">
        <f t="shared" si="59"/>
        <v>0</v>
      </c>
      <c r="Z146" s="423">
        <f t="shared" si="59"/>
        <v>5</v>
      </c>
      <c r="AA146" s="425">
        <f t="shared" si="59"/>
        <v>0</v>
      </c>
      <c r="AB146" s="424">
        <f t="shared" si="59"/>
        <v>37</v>
      </c>
      <c r="AC146" s="423">
        <f t="shared" si="59"/>
        <v>0</v>
      </c>
      <c r="AD146" s="422">
        <f t="shared" si="59"/>
        <v>0</v>
      </c>
      <c r="AE146" s="423">
        <f t="shared" si="59"/>
        <v>0</v>
      </c>
      <c r="AF146" s="423">
        <f t="shared" si="59"/>
        <v>0</v>
      </c>
      <c r="AG146" s="423">
        <f t="shared" si="61"/>
        <v>0</v>
      </c>
      <c r="AH146" s="424">
        <f t="shared" si="61"/>
        <v>0</v>
      </c>
      <c r="AI146" s="422">
        <f t="shared" si="61"/>
        <v>0</v>
      </c>
      <c r="AJ146" s="423">
        <f t="shared" si="61"/>
        <v>0</v>
      </c>
      <c r="AK146" s="423">
        <f t="shared" si="61"/>
        <v>0</v>
      </c>
      <c r="AL146" s="423">
        <f t="shared" si="61"/>
        <v>0</v>
      </c>
      <c r="AM146" s="425">
        <f t="shared" si="61"/>
        <v>0</v>
      </c>
      <c r="AO146" s="421">
        <f t="shared" si="45"/>
        <v>11</v>
      </c>
      <c r="AP146" s="422">
        <f t="shared" si="46"/>
        <v>6</v>
      </c>
      <c r="AQ146" s="423">
        <f t="shared" si="47"/>
        <v>0</v>
      </c>
      <c r="AR146" s="423">
        <f t="shared" si="48"/>
        <v>3</v>
      </c>
      <c r="AS146" s="423">
        <f t="shared" si="49"/>
        <v>3</v>
      </c>
      <c r="AT146" s="424">
        <f t="shared" si="50"/>
        <v>0</v>
      </c>
      <c r="AU146" s="422">
        <f t="shared" si="51"/>
        <v>5</v>
      </c>
      <c r="AV146" s="423">
        <f t="shared" si="52"/>
        <v>0</v>
      </c>
      <c r="AW146" s="423">
        <f t="shared" si="53"/>
        <v>0</v>
      </c>
      <c r="AX146" s="423">
        <f t="shared" si="54"/>
        <v>5</v>
      </c>
      <c r="AY146" s="425">
        <f t="shared" si="55"/>
        <v>0</v>
      </c>
    </row>
    <row r="147" spans="1:51" ht="13.9">
      <c r="A147" s="435" t="s">
        <v>275</v>
      </c>
      <c r="B147" s="436">
        <v>45870</v>
      </c>
      <c r="C147" s="437">
        <v>2025</v>
      </c>
      <c r="D147" s="421">
        <f t="shared" si="60"/>
        <v>184799</v>
      </c>
      <c r="E147" s="421">
        <f t="shared" si="60"/>
        <v>11890</v>
      </c>
      <c r="F147" s="422">
        <f t="shared" si="60"/>
        <v>7426</v>
      </c>
      <c r="G147" s="423">
        <f t="shared" si="60"/>
        <v>1158</v>
      </c>
      <c r="H147" s="423">
        <f t="shared" si="60"/>
        <v>808</v>
      </c>
      <c r="I147" s="423">
        <f t="shared" si="60"/>
        <v>5108</v>
      </c>
      <c r="J147" s="424">
        <f t="shared" si="60"/>
        <v>352</v>
      </c>
      <c r="K147" s="422">
        <f t="shared" si="60"/>
        <v>4464</v>
      </c>
      <c r="L147" s="423">
        <f t="shared" si="60"/>
        <v>861</v>
      </c>
      <c r="M147" s="423">
        <f t="shared" si="60"/>
        <v>0</v>
      </c>
      <c r="N147" s="423">
        <f t="shared" si="60"/>
        <v>3539</v>
      </c>
      <c r="O147" s="425">
        <f t="shared" si="60"/>
        <v>64</v>
      </c>
      <c r="P147" s="526">
        <f t="shared" si="60"/>
        <v>345</v>
      </c>
      <c r="Q147" s="423">
        <f t="shared" si="60"/>
        <v>11</v>
      </c>
      <c r="R147" s="422">
        <f t="shared" si="60"/>
        <v>6</v>
      </c>
      <c r="S147" s="423">
        <f t="shared" si="60"/>
        <v>0</v>
      </c>
      <c r="T147" s="423">
        <f t="shared" si="60"/>
        <v>3</v>
      </c>
      <c r="U147" s="423">
        <f t="shared" si="59"/>
        <v>3</v>
      </c>
      <c r="V147" s="424">
        <f t="shared" si="59"/>
        <v>0</v>
      </c>
      <c r="W147" s="422">
        <f t="shared" si="59"/>
        <v>5</v>
      </c>
      <c r="X147" s="423">
        <f t="shared" si="59"/>
        <v>0</v>
      </c>
      <c r="Y147" s="423">
        <f t="shared" si="59"/>
        <v>0</v>
      </c>
      <c r="Z147" s="423">
        <f t="shared" si="59"/>
        <v>5</v>
      </c>
      <c r="AA147" s="425">
        <f t="shared" si="59"/>
        <v>0</v>
      </c>
      <c r="AB147" s="424">
        <f t="shared" si="59"/>
        <v>37</v>
      </c>
      <c r="AC147" s="423">
        <f t="shared" si="59"/>
        <v>0</v>
      </c>
      <c r="AD147" s="422">
        <f t="shared" si="59"/>
        <v>0</v>
      </c>
      <c r="AE147" s="423">
        <f t="shared" si="59"/>
        <v>0</v>
      </c>
      <c r="AF147" s="423">
        <f t="shared" si="59"/>
        <v>0</v>
      </c>
      <c r="AG147" s="423">
        <f t="shared" si="61"/>
        <v>0</v>
      </c>
      <c r="AH147" s="424">
        <f t="shared" si="61"/>
        <v>0</v>
      </c>
      <c r="AI147" s="422">
        <f t="shared" si="61"/>
        <v>0</v>
      </c>
      <c r="AJ147" s="423">
        <f t="shared" si="61"/>
        <v>0</v>
      </c>
      <c r="AK147" s="423">
        <f t="shared" si="61"/>
        <v>0</v>
      </c>
      <c r="AL147" s="423">
        <f t="shared" si="61"/>
        <v>0</v>
      </c>
      <c r="AM147" s="425">
        <f t="shared" si="61"/>
        <v>0</v>
      </c>
      <c r="AO147" s="421">
        <f t="shared" si="45"/>
        <v>11</v>
      </c>
      <c r="AP147" s="422">
        <f t="shared" si="46"/>
        <v>6</v>
      </c>
      <c r="AQ147" s="423">
        <f t="shared" si="47"/>
        <v>0</v>
      </c>
      <c r="AR147" s="423">
        <f t="shared" si="48"/>
        <v>3</v>
      </c>
      <c r="AS147" s="423">
        <f t="shared" si="49"/>
        <v>3</v>
      </c>
      <c r="AT147" s="424">
        <f t="shared" si="50"/>
        <v>0</v>
      </c>
      <c r="AU147" s="422">
        <f t="shared" si="51"/>
        <v>5</v>
      </c>
      <c r="AV147" s="423">
        <f t="shared" si="52"/>
        <v>0</v>
      </c>
      <c r="AW147" s="423">
        <f t="shared" si="53"/>
        <v>0</v>
      </c>
      <c r="AX147" s="423">
        <f t="shared" si="54"/>
        <v>5</v>
      </c>
      <c r="AY147" s="425">
        <f t="shared" si="55"/>
        <v>0</v>
      </c>
    </row>
    <row r="148" spans="1:51" ht="13.9">
      <c r="A148" s="435" t="s">
        <v>275</v>
      </c>
      <c r="B148" s="436">
        <v>45901</v>
      </c>
      <c r="C148" s="437">
        <v>2025</v>
      </c>
      <c r="D148" s="421">
        <f t="shared" si="60"/>
        <v>184799</v>
      </c>
      <c r="E148" s="421">
        <f t="shared" si="60"/>
        <v>11890</v>
      </c>
      <c r="F148" s="422">
        <f t="shared" si="60"/>
        <v>7426</v>
      </c>
      <c r="G148" s="423">
        <f t="shared" si="60"/>
        <v>1158</v>
      </c>
      <c r="H148" s="423">
        <f t="shared" si="60"/>
        <v>808</v>
      </c>
      <c r="I148" s="423">
        <f t="shared" si="60"/>
        <v>5108</v>
      </c>
      <c r="J148" s="424">
        <f t="shared" si="60"/>
        <v>352</v>
      </c>
      <c r="K148" s="422">
        <f t="shared" si="60"/>
        <v>4464</v>
      </c>
      <c r="L148" s="423">
        <f t="shared" si="60"/>
        <v>861</v>
      </c>
      <c r="M148" s="423">
        <f t="shared" si="60"/>
        <v>0</v>
      </c>
      <c r="N148" s="423">
        <f t="shared" si="60"/>
        <v>3539</v>
      </c>
      <c r="O148" s="425">
        <f t="shared" si="60"/>
        <v>64</v>
      </c>
      <c r="P148" s="526">
        <f t="shared" si="60"/>
        <v>345</v>
      </c>
      <c r="Q148" s="423">
        <f t="shared" si="60"/>
        <v>11</v>
      </c>
      <c r="R148" s="422">
        <f t="shared" si="60"/>
        <v>6</v>
      </c>
      <c r="S148" s="423">
        <f t="shared" si="60"/>
        <v>0</v>
      </c>
      <c r="T148" s="423">
        <f t="shared" si="60"/>
        <v>3</v>
      </c>
      <c r="U148" s="423">
        <f t="shared" si="59"/>
        <v>3</v>
      </c>
      <c r="V148" s="424">
        <f t="shared" si="59"/>
        <v>0</v>
      </c>
      <c r="W148" s="422">
        <f t="shared" si="59"/>
        <v>5</v>
      </c>
      <c r="X148" s="423">
        <f t="shared" si="59"/>
        <v>0</v>
      </c>
      <c r="Y148" s="423">
        <f t="shared" si="59"/>
        <v>0</v>
      </c>
      <c r="Z148" s="423">
        <f t="shared" si="59"/>
        <v>5</v>
      </c>
      <c r="AA148" s="425">
        <f t="shared" si="59"/>
        <v>0</v>
      </c>
      <c r="AB148" s="424">
        <f t="shared" si="59"/>
        <v>37</v>
      </c>
      <c r="AC148" s="423">
        <f t="shared" si="59"/>
        <v>0</v>
      </c>
      <c r="AD148" s="422">
        <f t="shared" si="59"/>
        <v>0</v>
      </c>
      <c r="AE148" s="423">
        <f t="shared" si="59"/>
        <v>0</v>
      </c>
      <c r="AF148" s="423">
        <f t="shared" si="59"/>
        <v>0</v>
      </c>
      <c r="AG148" s="423">
        <f t="shared" si="61"/>
        <v>0</v>
      </c>
      <c r="AH148" s="424">
        <f t="shared" si="61"/>
        <v>0</v>
      </c>
      <c r="AI148" s="422">
        <f t="shared" si="61"/>
        <v>0</v>
      </c>
      <c r="AJ148" s="423">
        <f t="shared" si="61"/>
        <v>0</v>
      </c>
      <c r="AK148" s="423">
        <f t="shared" si="61"/>
        <v>0</v>
      </c>
      <c r="AL148" s="423">
        <f t="shared" si="61"/>
        <v>0</v>
      </c>
      <c r="AM148" s="425">
        <f t="shared" si="61"/>
        <v>0</v>
      </c>
      <c r="AO148" s="421">
        <f t="shared" si="45"/>
        <v>11</v>
      </c>
      <c r="AP148" s="422">
        <f t="shared" si="46"/>
        <v>6</v>
      </c>
      <c r="AQ148" s="423">
        <f t="shared" si="47"/>
        <v>0</v>
      </c>
      <c r="AR148" s="423">
        <f t="shared" si="48"/>
        <v>3</v>
      </c>
      <c r="AS148" s="423">
        <f t="shared" si="49"/>
        <v>3</v>
      </c>
      <c r="AT148" s="424">
        <f t="shared" si="50"/>
        <v>0</v>
      </c>
      <c r="AU148" s="422">
        <f t="shared" si="51"/>
        <v>5</v>
      </c>
      <c r="AV148" s="423">
        <f t="shared" si="52"/>
        <v>0</v>
      </c>
      <c r="AW148" s="423">
        <f t="shared" si="53"/>
        <v>0</v>
      </c>
      <c r="AX148" s="423">
        <f t="shared" si="54"/>
        <v>5</v>
      </c>
      <c r="AY148" s="425">
        <f t="shared" si="55"/>
        <v>0</v>
      </c>
    </row>
    <row r="149" spans="1:51" ht="13.9">
      <c r="A149" s="435" t="s">
        <v>276</v>
      </c>
      <c r="B149" s="436">
        <v>45931</v>
      </c>
      <c r="C149" s="437">
        <v>2025</v>
      </c>
      <c r="D149" s="421">
        <f>SUMIFS(D$5:D$40,$B$5:$B$40,$A149)</f>
        <v>154190</v>
      </c>
      <c r="E149" s="421">
        <f>SUMIFS(E$5:E$40,$B$5:$B$40,$A149)</f>
        <v>11261</v>
      </c>
      <c r="F149" s="422">
        <f t="shared" si="60"/>
        <v>7488</v>
      </c>
      <c r="G149" s="423">
        <f>SUMIFS(G$5:G$40,$B$5:$B$40,$A149)</f>
        <v>740</v>
      </c>
      <c r="H149" s="423">
        <f t="shared" si="60"/>
        <v>627</v>
      </c>
      <c r="I149" s="423">
        <f t="shared" si="60"/>
        <v>5784</v>
      </c>
      <c r="J149" s="424">
        <f t="shared" si="60"/>
        <v>337</v>
      </c>
      <c r="K149" s="422">
        <f t="shared" si="60"/>
        <v>3773</v>
      </c>
      <c r="L149" s="423">
        <f t="shared" si="60"/>
        <v>728</v>
      </c>
      <c r="M149" s="423">
        <f t="shared" si="60"/>
        <v>0</v>
      </c>
      <c r="N149" s="423">
        <f t="shared" si="60"/>
        <v>2980</v>
      </c>
      <c r="O149" s="425">
        <f t="shared" si="60"/>
        <v>65</v>
      </c>
      <c r="P149" s="526">
        <f t="shared" si="60"/>
        <v>265</v>
      </c>
      <c r="Q149" s="423">
        <f t="shared" si="60"/>
        <v>16</v>
      </c>
      <c r="R149" s="422">
        <f t="shared" si="60"/>
        <v>8</v>
      </c>
      <c r="S149" s="423">
        <f t="shared" si="60"/>
        <v>0</v>
      </c>
      <c r="T149" s="423">
        <f t="shared" si="60"/>
        <v>1</v>
      </c>
      <c r="U149" s="423">
        <f t="shared" si="59"/>
        <v>7</v>
      </c>
      <c r="V149" s="424">
        <f t="shared" si="59"/>
        <v>0</v>
      </c>
      <c r="W149" s="422">
        <f t="shared" si="59"/>
        <v>8</v>
      </c>
      <c r="X149" s="423">
        <f t="shared" si="59"/>
        <v>0</v>
      </c>
      <c r="Y149" s="423">
        <f t="shared" si="59"/>
        <v>0</v>
      </c>
      <c r="Z149" s="423">
        <f t="shared" si="59"/>
        <v>8</v>
      </c>
      <c r="AA149" s="425">
        <f t="shared" si="59"/>
        <v>0</v>
      </c>
      <c r="AB149" s="424">
        <f t="shared" si="59"/>
        <v>14</v>
      </c>
      <c r="AC149" s="423">
        <f t="shared" si="59"/>
        <v>0</v>
      </c>
      <c r="AD149" s="422">
        <f t="shared" si="59"/>
        <v>0</v>
      </c>
      <c r="AE149" s="423">
        <f t="shared" si="59"/>
        <v>0</v>
      </c>
      <c r="AF149" s="423">
        <f t="shared" si="59"/>
        <v>0</v>
      </c>
      <c r="AG149" s="423">
        <f t="shared" si="61"/>
        <v>0</v>
      </c>
      <c r="AH149" s="424">
        <f t="shared" si="61"/>
        <v>0</v>
      </c>
      <c r="AI149" s="422">
        <f t="shared" si="61"/>
        <v>0</v>
      </c>
      <c r="AJ149" s="423">
        <f t="shared" si="61"/>
        <v>0</v>
      </c>
      <c r="AK149" s="423">
        <f t="shared" si="61"/>
        <v>0</v>
      </c>
      <c r="AL149" s="423">
        <f t="shared" si="61"/>
        <v>0</v>
      </c>
      <c r="AM149" s="425">
        <f t="shared" si="61"/>
        <v>0</v>
      </c>
      <c r="AO149" s="421">
        <f t="shared" si="45"/>
        <v>16</v>
      </c>
      <c r="AP149" s="422">
        <f t="shared" si="46"/>
        <v>8</v>
      </c>
      <c r="AQ149" s="423">
        <f t="shared" si="47"/>
        <v>0</v>
      </c>
      <c r="AR149" s="423">
        <f t="shared" si="48"/>
        <v>1</v>
      </c>
      <c r="AS149" s="423">
        <f t="shared" si="49"/>
        <v>7</v>
      </c>
      <c r="AT149" s="424">
        <f t="shared" si="50"/>
        <v>0</v>
      </c>
      <c r="AU149" s="422">
        <f t="shared" si="51"/>
        <v>8</v>
      </c>
      <c r="AV149" s="423">
        <f t="shared" si="52"/>
        <v>0</v>
      </c>
      <c r="AW149" s="423">
        <f t="shared" si="53"/>
        <v>0</v>
      </c>
      <c r="AX149" s="423">
        <f t="shared" si="54"/>
        <v>8</v>
      </c>
      <c r="AY149" s="425">
        <f t="shared" si="55"/>
        <v>0</v>
      </c>
    </row>
    <row r="150" spans="1:51" ht="13.9">
      <c r="A150" s="435" t="s">
        <v>276</v>
      </c>
      <c r="B150" s="436">
        <v>45962</v>
      </c>
      <c r="C150" s="437">
        <v>2025</v>
      </c>
      <c r="D150" s="421">
        <f t="shared" si="60"/>
        <v>154190</v>
      </c>
      <c r="E150" s="421">
        <f t="shared" si="60"/>
        <v>11261</v>
      </c>
      <c r="F150" s="422">
        <f t="shared" si="60"/>
        <v>7488</v>
      </c>
      <c r="G150" s="423">
        <f t="shared" si="60"/>
        <v>740</v>
      </c>
      <c r="H150" s="423">
        <f t="shared" si="60"/>
        <v>627</v>
      </c>
      <c r="I150" s="423">
        <f t="shared" si="60"/>
        <v>5784</v>
      </c>
      <c r="J150" s="424">
        <f t="shared" si="60"/>
        <v>337</v>
      </c>
      <c r="K150" s="422">
        <f t="shared" si="60"/>
        <v>3773</v>
      </c>
      <c r="L150" s="423">
        <f t="shared" si="60"/>
        <v>728</v>
      </c>
      <c r="M150" s="423">
        <f t="shared" si="60"/>
        <v>0</v>
      </c>
      <c r="N150" s="423">
        <f t="shared" si="60"/>
        <v>2980</v>
      </c>
      <c r="O150" s="425">
        <f t="shared" si="60"/>
        <v>65</v>
      </c>
      <c r="P150" s="526">
        <f t="shared" si="60"/>
        <v>265</v>
      </c>
      <c r="Q150" s="423">
        <f t="shared" si="60"/>
        <v>16</v>
      </c>
      <c r="R150" s="422">
        <f t="shared" si="60"/>
        <v>8</v>
      </c>
      <c r="S150" s="423">
        <f t="shared" si="60"/>
        <v>0</v>
      </c>
      <c r="T150" s="423">
        <f t="shared" si="60"/>
        <v>1</v>
      </c>
      <c r="U150" s="423">
        <f t="shared" si="59"/>
        <v>7</v>
      </c>
      <c r="V150" s="424">
        <f t="shared" si="59"/>
        <v>0</v>
      </c>
      <c r="W150" s="422">
        <f t="shared" si="59"/>
        <v>8</v>
      </c>
      <c r="X150" s="423">
        <f t="shared" si="59"/>
        <v>0</v>
      </c>
      <c r="Y150" s="423">
        <f t="shared" si="59"/>
        <v>0</v>
      </c>
      <c r="Z150" s="423">
        <f t="shared" si="59"/>
        <v>8</v>
      </c>
      <c r="AA150" s="425">
        <f t="shared" si="59"/>
        <v>0</v>
      </c>
      <c r="AB150" s="424">
        <f t="shared" si="59"/>
        <v>14</v>
      </c>
      <c r="AC150" s="423">
        <f t="shared" si="59"/>
        <v>0</v>
      </c>
      <c r="AD150" s="422">
        <f t="shared" si="59"/>
        <v>0</v>
      </c>
      <c r="AE150" s="423">
        <f t="shared" si="59"/>
        <v>0</v>
      </c>
      <c r="AF150" s="423">
        <f t="shared" si="59"/>
        <v>0</v>
      </c>
      <c r="AG150" s="423">
        <f t="shared" si="61"/>
        <v>0</v>
      </c>
      <c r="AH150" s="424">
        <f t="shared" si="61"/>
        <v>0</v>
      </c>
      <c r="AI150" s="422">
        <f t="shared" si="61"/>
        <v>0</v>
      </c>
      <c r="AJ150" s="423">
        <f t="shared" si="61"/>
        <v>0</v>
      </c>
      <c r="AK150" s="423">
        <f t="shared" si="61"/>
        <v>0</v>
      </c>
      <c r="AL150" s="423">
        <f t="shared" si="61"/>
        <v>0</v>
      </c>
      <c r="AM150" s="425">
        <f t="shared" si="61"/>
        <v>0</v>
      </c>
      <c r="AO150" s="421">
        <f t="shared" si="45"/>
        <v>16</v>
      </c>
      <c r="AP150" s="422">
        <f t="shared" si="46"/>
        <v>8</v>
      </c>
      <c r="AQ150" s="423">
        <f t="shared" si="47"/>
        <v>0</v>
      </c>
      <c r="AR150" s="423">
        <f t="shared" si="48"/>
        <v>1</v>
      </c>
      <c r="AS150" s="423">
        <f t="shared" si="49"/>
        <v>7</v>
      </c>
      <c r="AT150" s="424">
        <f t="shared" si="50"/>
        <v>0</v>
      </c>
      <c r="AU150" s="422">
        <f t="shared" si="51"/>
        <v>8</v>
      </c>
      <c r="AV150" s="423">
        <f t="shared" si="52"/>
        <v>0</v>
      </c>
      <c r="AW150" s="423">
        <f t="shared" si="53"/>
        <v>0</v>
      </c>
      <c r="AX150" s="423">
        <f t="shared" si="54"/>
        <v>8</v>
      </c>
      <c r="AY150" s="425">
        <f t="shared" si="55"/>
        <v>0</v>
      </c>
    </row>
    <row r="151" spans="1:51" ht="14.45" thickBot="1">
      <c r="A151" s="438" t="s">
        <v>276</v>
      </c>
      <c r="B151" s="439">
        <v>45627</v>
      </c>
      <c r="C151" s="440">
        <v>2025</v>
      </c>
      <c r="D151" s="441">
        <f t="shared" si="60"/>
        <v>154190</v>
      </c>
      <c r="E151" s="441">
        <f t="shared" si="60"/>
        <v>11261</v>
      </c>
      <c r="F151" s="442">
        <f t="shared" si="60"/>
        <v>7488</v>
      </c>
      <c r="G151" s="443">
        <f t="shared" si="60"/>
        <v>740</v>
      </c>
      <c r="H151" s="443">
        <f t="shared" si="60"/>
        <v>627</v>
      </c>
      <c r="I151" s="443">
        <f t="shared" si="60"/>
        <v>5784</v>
      </c>
      <c r="J151" s="444">
        <f t="shared" si="60"/>
        <v>337</v>
      </c>
      <c r="K151" s="442">
        <f t="shared" si="60"/>
        <v>3773</v>
      </c>
      <c r="L151" s="443">
        <f t="shared" si="60"/>
        <v>728</v>
      </c>
      <c r="M151" s="443">
        <f t="shared" si="60"/>
        <v>0</v>
      </c>
      <c r="N151" s="443">
        <f t="shared" si="60"/>
        <v>2980</v>
      </c>
      <c r="O151" s="445">
        <f t="shared" si="60"/>
        <v>65</v>
      </c>
      <c r="P151" s="529">
        <f t="shared" si="60"/>
        <v>265</v>
      </c>
      <c r="Q151" s="443">
        <f t="shared" si="60"/>
        <v>16</v>
      </c>
      <c r="R151" s="442">
        <f t="shared" si="60"/>
        <v>8</v>
      </c>
      <c r="S151" s="443">
        <f t="shared" si="60"/>
        <v>0</v>
      </c>
      <c r="T151" s="443">
        <f t="shared" si="60"/>
        <v>1</v>
      </c>
      <c r="U151" s="443">
        <f t="shared" si="59"/>
        <v>7</v>
      </c>
      <c r="V151" s="444">
        <f t="shared" si="59"/>
        <v>0</v>
      </c>
      <c r="W151" s="442">
        <f t="shared" si="59"/>
        <v>8</v>
      </c>
      <c r="X151" s="443">
        <f t="shared" si="59"/>
        <v>0</v>
      </c>
      <c r="Y151" s="443">
        <f t="shared" si="59"/>
        <v>0</v>
      </c>
      <c r="Z151" s="443">
        <f t="shared" si="59"/>
        <v>8</v>
      </c>
      <c r="AA151" s="445">
        <f t="shared" si="59"/>
        <v>0</v>
      </c>
      <c r="AB151" s="444">
        <f t="shared" si="59"/>
        <v>14</v>
      </c>
      <c r="AC151" s="443">
        <f t="shared" si="59"/>
        <v>0</v>
      </c>
      <c r="AD151" s="442">
        <f t="shared" si="59"/>
        <v>0</v>
      </c>
      <c r="AE151" s="443">
        <f t="shared" si="59"/>
        <v>0</v>
      </c>
      <c r="AF151" s="443">
        <f t="shared" si="59"/>
        <v>0</v>
      </c>
      <c r="AG151" s="443">
        <f t="shared" si="61"/>
        <v>0</v>
      </c>
      <c r="AH151" s="444">
        <f t="shared" si="61"/>
        <v>0</v>
      </c>
      <c r="AI151" s="442">
        <f t="shared" si="61"/>
        <v>0</v>
      </c>
      <c r="AJ151" s="443">
        <f t="shared" si="61"/>
        <v>0</v>
      </c>
      <c r="AK151" s="443">
        <f t="shared" si="61"/>
        <v>0</v>
      </c>
      <c r="AL151" s="443">
        <f t="shared" si="61"/>
        <v>0</v>
      </c>
      <c r="AM151" s="445">
        <f t="shared" si="61"/>
        <v>0</v>
      </c>
      <c r="AO151" s="441">
        <f t="shared" si="45"/>
        <v>16</v>
      </c>
      <c r="AP151" s="442">
        <f t="shared" si="46"/>
        <v>8</v>
      </c>
      <c r="AQ151" s="443">
        <f t="shared" si="47"/>
        <v>0</v>
      </c>
      <c r="AR151" s="443">
        <f t="shared" si="48"/>
        <v>1</v>
      </c>
      <c r="AS151" s="443">
        <f t="shared" si="49"/>
        <v>7</v>
      </c>
      <c r="AT151" s="444">
        <f t="shared" si="50"/>
        <v>0</v>
      </c>
      <c r="AU151" s="442">
        <f t="shared" si="51"/>
        <v>8</v>
      </c>
      <c r="AV151" s="443">
        <f t="shared" si="52"/>
        <v>0</v>
      </c>
      <c r="AW151" s="443">
        <f t="shared" si="53"/>
        <v>0</v>
      </c>
      <c r="AX151" s="443">
        <f t="shared" si="54"/>
        <v>8</v>
      </c>
      <c r="AY151" s="445">
        <f t="shared" si="55"/>
        <v>0</v>
      </c>
    </row>
    <row r="152" spans="1:51" ht="13.9">
      <c r="A152" s="408"/>
      <c r="B152" s="408"/>
      <c r="C152" s="408"/>
      <c r="D152" s="408"/>
      <c r="E152" s="408"/>
      <c r="F152" s="408"/>
      <c r="G152" s="408"/>
      <c r="H152" s="408"/>
      <c r="I152" s="408"/>
      <c r="J152" s="408"/>
      <c r="K152" s="408"/>
      <c r="L152" s="408"/>
      <c r="M152" s="408"/>
      <c r="N152" s="408"/>
      <c r="O152" s="408"/>
      <c r="P152" s="408"/>
      <c r="Q152" s="408"/>
      <c r="R152" s="408"/>
      <c r="S152" s="408"/>
      <c r="T152" s="408"/>
      <c r="U152" s="408"/>
      <c r="V152" s="408"/>
      <c r="W152" s="408"/>
      <c r="X152" s="408"/>
      <c r="Y152" s="408"/>
      <c r="Z152" s="408"/>
      <c r="AA152" s="408"/>
      <c r="AB152" s="408"/>
    </row>
    <row r="153" spans="1:51" ht="13.9">
      <c r="A153" s="589" t="s">
        <v>278</v>
      </c>
      <c r="B153" s="587"/>
      <c r="C153" s="587"/>
      <c r="D153" s="587"/>
      <c r="E153" s="587"/>
      <c r="F153" s="587"/>
      <c r="G153" s="587"/>
      <c r="H153" s="587"/>
      <c r="I153" s="587"/>
      <c r="J153" s="587"/>
      <c r="K153" s="587"/>
      <c r="L153" s="587"/>
      <c r="M153" s="587"/>
      <c r="N153" s="587"/>
      <c r="O153" s="587"/>
      <c r="P153" s="587"/>
      <c r="Q153" s="587"/>
      <c r="R153" s="587"/>
      <c r="S153" s="587"/>
      <c r="T153" s="587"/>
      <c r="U153" s="587"/>
      <c r="V153" s="587"/>
      <c r="W153" s="587"/>
      <c r="X153" s="587"/>
      <c r="Y153" s="587"/>
      <c r="Z153" s="587"/>
      <c r="AA153" s="587"/>
      <c r="AB153" s="587"/>
      <c r="AC153" s="587"/>
      <c r="AD153" s="587"/>
      <c r="AE153" s="587"/>
      <c r="AF153" s="587"/>
      <c r="AG153" s="587"/>
      <c r="AH153" s="587"/>
      <c r="AI153" s="587"/>
      <c r="AJ153" s="587"/>
      <c r="AK153" s="587"/>
      <c r="AL153" s="587"/>
      <c r="AM153" s="587"/>
    </row>
    <row r="154" spans="1:51" ht="14.45" thickBot="1">
      <c r="A154" s="446"/>
      <c r="B154" s="408"/>
      <c r="C154" s="408"/>
      <c r="D154" s="408"/>
      <c r="E154" s="408"/>
      <c r="F154" s="408"/>
      <c r="G154" s="408"/>
      <c r="H154" s="408"/>
      <c r="I154" s="408"/>
      <c r="J154" s="408"/>
      <c r="K154" s="408"/>
      <c r="L154" s="408"/>
      <c r="M154" s="408"/>
      <c r="N154" s="408"/>
      <c r="O154" s="408"/>
      <c r="P154" s="408"/>
      <c r="Q154" s="408"/>
      <c r="R154" s="408"/>
      <c r="S154" s="408"/>
      <c r="T154" s="408"/>
      <c r="U154" s="408"/>
      <c r="V154" s="408"/>
      <c r="W154" s="408"/>
      <c r="X154" s="408"/>
      <c r="Y154" s="408"/>
      <c r="Z154" s="408"/>
      <c r="AA154" s="408"/>
      <c r="AB154" s="408"/>
      <c r="AC154" s="408"/>
      <c r="AD154" s="408"/>
      <c r="AE154" s="408"/>
    </row>
    <row r="155" spans="1:51" ht="13.9">
      <c r="A155" s="447" t="s">
        <v>241</v>
      </c>
      <c r="B155" s="448">
        <v>42736</v>
      </c>
      <c r="C155" s="449">
        <v>2017</v>
      </c>
      <c r="D155" s="430">
        <f t="shared" ref="D155:AA155" si="62">D44/3</f>
        <v>56075</v>
      </c>
      <c r="E155" s="430">
        <f t="shared" si="62"/>
        <v>440</v>
      </c>
      <c r="F155" s="431">
        <f t="shared" si="62"/>
        <v>198.33333333333334</v>
      </c>
      <c r="G155" s="432">
        <f t="shared" si="62"/>
        <v>138</v>
      </c>
      <c r="H155" s="432">
        <f t="shared" si="62"/>
        <v>0</v>
      </c>
      <c r="I155" s="432">
        <f t="shared" si="62"/>
        <v>60.333333333333336</v>
      </c>
      <c r="J155" s="433">
        <f t="shared" si="62"/>
        <v>0</v>
      </c>
      <c r="K155" s="431">
        <f t="shared" si="62"/>
        <v>241.66666666666666</v>
      </c>
      <c r="L155" s="432">
        <f t="shared" si="62"/>
        <v>209.33333333333334</v>
      </c>
      <c r="M155" s="432">
        <f t="shared" si="62"/>
        <v>0</v>
      </c>
      <c r="N155" s="432">
        <f t="shared" si="62"/>
        <v>29.333333333333332</v>
      </c>
      <c r="O155" s="434">
        <f t="shared" si="62"/>
        <v>3</v>
      </c>
      <c r="P155" s="528">
        <f>P44/3</f>
        <v>80</v>
      </c>
      <c r="Q155" s="432">
        <f t="shared" si="62"/>
        <v>0</v>
      </c>
      <c r="R155" s="431">
        <f t="shared" si="62"/>
        <v>0</v>
      </c>
      <c r="S155" s="432">
        <f t="shared" si="62"/>
        <v>0</v>
      </c>
      <c r="T155" s="432">
        <f t="shared" si="62"/>
        <v>0</v>
      </c>
      <c r="U155" s="432">
        <f t="shared" si="62"/>
        <v>0</v>
      </c>
      <c r="V155" s="433">
        <f t="shared" si="62"/>
        <v>0</v>
      </c>
      <c r="W155" s="431">
        <f t="shared" si="62"/>
        <v>0</v>
      </c>
      <c r="X155" s="432">
        <f t="shared" si="62"/>
        <v>0</v>
      </c>
      <c r="Y155" s="432">
        <f t="shared" si="62"/>
        <v>0</v>
      </c>
      <c r="Z155" s="432">
        <f t="shared" si="62"/>
        <v>0</v>
      </c>
      <c r="AA155" s="434">
        <f t="shared" si="62"/>
        <v>0</v>
      </c>
      <c r="AB155" s="528">
        <f>AB44/3</f>
        <v>11.666666666666666</v>
      </c>
      <c r="AC155" s="432">
        <f t="shared" ref="AC155:AM155" si="63">AC44/3</f>
        <v>0.33333333333333331</v>
      </c>
      <c r="AD155" s="431">
        <f t="shared" si="63"/>
        <v>0</v>
      </c>
      <c r="AE155" s="432">
        <f t="shared" si="63"/>
        <v>0</v>
      </c>
      <c r="AF155" s="432">
        <f t="shared" si="63"/>
        <v>0</v>
      </c>
      <c r="AG155" s="432">
        <f t="shared" si="63"/>
        <v>0</v>
      </c>
      <c r="AH155" s="433">
        <f t="shared" si="63"/>
        <v>0</v>
      </c>
      <c r="AI155" s="431">
        <f t="shared" si="63"/>
        <v>0.33333333333333331</v>
      </c>
      <c r="AJ155" s="432">
        <f t="shared" si="63"/>
        <v>0.33333333333333331</v>
      </c>
      <c r="AK155" s="432">
        <f t="shared" si="63"/>
        <v>0</v>
      </c>
      <c r="AL155" s="432">
        <f t="shared" si="63"/>
        <v>0</v>
      </c>
      <c r="AM155" s="434">
        <f t="shared" si="63"/>
        <v>0</v>
      </c>
      <c r="AO155" s="430">
        <f t="shared" ref="AO155:AO218" si="64">Q155+AC155</f>
        <v>0.33333333333333331</v>
      </c>
      <c r="AP155" s="431">
        <f t="shared" ref="AP155:AP218" si="65">R155+AD155</f>
        <v>0</v>
      </c>
      <c r="AQ155" s="432">
        <f t="shared" ref="AQ155:AQ218" si="66">S155+AE155</f>
        <v>0</v>
      </c>
      <c r="AR155" s="432">
        <f t="shared" ref="AR155:AR218" si="67">T155+AF155</f>
        <v>0</v>
      </c>
      <c r="AS155" s="432">
        <f t="shared" ref="AS155:AS218" si="68">U155+AG155</f>
        <v>0</v>
      </c>
      <c r="AT155" s="433">
        <f t="shared" ref="AT155:AT218" si="69">V155+AH155</f>
        <v>0</v>
      </c>
      <c r="AU155" s="431">
        <f t="shared" ref="AU155:AU218" si="70">W155+AI155</f>
        <v>0.33333333333333331</v>
      </c>
      <c r="AV155" s="432">
        <f t="shared" ref="AV155:AV218" si="71">X155+AJ155</f>
        <v>0.33333333333333331</v>
      </c>
      <c r="AW155" s="432">
        <f t="shared" ref="AW155:AW218" si="72">Y155+AK155</f>
        <v>0</v>
      </c>
      <c r="AX155" s="432">
        <f t="shared" ref="AX155:AX218" si="73">Z155+AL155</f>
        <v>0</v>
      </c>
      <c r="AY155" s="434">
        <f t="shared" ref="AY155:AY218" si="74">AA155+AM155</f>
        <v>0</v>
      </c>
    </row>
    <row r="156" spans="1:51" ht="13.9">
      <c r="A156" s="447" t="s">
        <v>241</v>
      </c>
      <c r="B156" s="448">
        <v>42767</v>
      </c>
      <c r="C156" s="449">
        <v>2017</v>
      </c>
      <c r="D156" s="421">
        <f t="shared" ref="D156:AA167" si="75">D45/3+D155</f>
        <v>112150</v>
      </c>
      <c r="E156" s="421">
        <f t="shared" si="75"/>
        <v>880</v>
      </c>
      <c r="F156" s="422">
        <f t="shared" si="75"/>
        <v>396.66666666666669</v>
      </c>
      <c r="G156" s="423">
        <f t="shared" si="75"/>
        <v>276</v>
      </c>
      <c r="H156" s="423">
        <f t="shared" si="75"/>
        <v>0</v>
      </c>
      <c r="I156" s="423">
        <f t="shared" si="75"/>
        <v>120.66666666666667</v>
      </c>
      <c r="J156" s="424">
        <f t="shared" si="75"/>
        <v>0</v>
      </c>
      <c r="K156" s="422">
        <f t="shared" si="75"/>
        <v>483.33333333333331</v>
      </c>
      <c r="L156" s="423">
        <f t="shared" si="75"/>
        <v>418.66666666666669</v>
      </c>
      <c r="M156" s="423">
        <f t="shared" si="75"/>
        <v>0</v>
      </c>
      <c r="N156" s="423">
        <f t="shared" si="75"/>
        <v>58.666666666666664</v>
      </c>
      <c r="O156" s="425">
        <f t="shared" si="75"/>
        <v>6</v>
      </c>
      <c r="P156" s="526">
        <f t="shared" ref="P156:P192" si="76">P45/3+P155</f>
        <v>160</v>
      </c>
      <c r="Q156" s="423">
        <f t="shared" si="75"/>
        <v>0</v>
      </c>
      <c r="R156" s="422">
        <f t="shared" si="75"/>
        <v>0</v>
      </c>
      <c r="S156" s="423">
        <f t="shared" si="75"/>
        <v>0</v>
      </c>
      <c r="T156" s="423">
        <f t="shared" si="75"/>
        <v>0</v>
      </c>
      <c r="U156" s="423">
        <f t="shared" si="75"/>
        <v>0</v>
      </c>
      <c r="V156" s="424">
        <f t="shared" si="75"/>
        <v>0</v>
      </c>
      <c r="W156" s="422">
        <f t="shared" si="75"/>
        <v>0</v>
      </c>
      <c r="X156" s="423">
        <f t="shared" si="75"/>
        <v>0</v>
      </c>
      <c r="Y156" s="423">
        <f t="shared" si="75"/>
        <v>0</v>
      </c>
      <c r="Z156" s="423">
        <f t="shared" si="75"/>
        <v>0</v>
      </c>
      <c r="AA156" s="425">
        <f t="shared" si="75"/>
        <v>0</v>
      </c>
      <c r="AB156" s="526">
        <f t="shared" ref="AB156:AB192" si="77">AB45/3+AB155</f>
        <v>23.333333333333332</v>
      </c>
      <c r="AC156" s="423">
        <f t="shared" ref="AC156:AM171" si="78">AC45/3+AC155</f>
        <v>0.66666666666666663</v>
      </c>
      <c r="AD156" s="422">
        <f t="shared" si="78"/>
        <v>0</v>
      </c>
      <c r="AE156" s="423">
        <f t="shared" si="78"/>
        <v>0</v>
      </c>
      <c r="AF156" s="423">
        <f t="shared" si="78"/>
        <v>0</v>
      </c>
      <c r="AG156" s="423">
        <f t="shared" si="78"/>
        <v>0</v>
      </c>
      <c r="AH156" s="424">
        <f t="shared" si="78"/>
        <v>0</v>
      </c>
      <c r="AI156" s="422">
        <f t="shared" si="78"/>
        <v>0.66666666666666663</v>
      </c>
      <c r="AJ156" s="423">
        <f t="shared" si="78"/>
        <v>0.66666666666666663</v>
      </c>
      <c r="AK156" s="423">
        <f t="shared" si="78"/>
        <v>0</v>
      </c>
      <c r="AL156" s="423">
        <f t="shared" si="78"/>
        <v>0</v>
      </c>
      <c r="AM156" s="425">
        <f t="shared" si="78"/>
        <v>0</v>
      </c>
      <c r="AO156" s="421">
        <f t="shared" si="64"/>
        <v>0.66666666666666663</v>
      </c>
      <c r="AP156" s="422">
        <f t="shared" si="65"/>
        <v>0</v>
      </c>
      <c r="AQ156" s="423">
        <f t="shared" si="66"/>
        <v>0</v>
      </c>
      <c r="AR156" s="423">
        <f t="shared" si="67"/>
        <v>0</v>
      </c>
      <c r="AS156" s="423">
        <f t="shared" si="68"/>
        <v>0</v>
      </c>
      <c r="AT156" s="424">
        <f t="shared" si="69"/>
        <v>0</v>
      </c>
      <c r="AU156" s="422">
        <f t="shared" si="70"/>
        <v>0.66666666666666663</v>
      </c>
      <c r="AV156" s="423">
        <f t="shared" si="71"/>
        <v>0.66666666666666663</v>
      </c>
      <c r="AW156" s="423">
        <f t="shared" si="72"/>
        <v>0</v>
      </c>
      <c r="AX156" s="423">
        <f t="shared" si="73"/>
        <v>0</v>
      </c>
      <c r="AY156" s="425">
        <f t="shared" si="74"/>
        <v>0</v>
      </c>
    </row>
    <row r="157" spans="1:51" ht="13.9">
      <c r="A157" s="447" t="s">
        <v>241</v>
      </c>
      <c r="B157" s="448">
        <v>42795</v>
      </c>
      <c r="C157" s="449">
        <v>2017</v>
      </c>
      <c r="D157" s="421">
        <f t="shared" si="75"/>
        <v>168225</v>
      </c>
      <c r="E157" s="421">
        <f t="shared" si="75"/>
        <v>1320</v>
      </c>
      <c r="F157" s="422">
        <f t="shared" si="75"/>
        <v>595</v>
      </c>
      <c r="G157" s="423">
        <f t="shared" si="75"/>
        <v>414</v>
      </c>
      <c r="H157" s="423">
        <f t="shared" si="75"/>
        <v>0</v>
      </c>
      <c r="I157" s="423">
        <f t="shared" si="75"/>
        <v>181</v>
      </c>
      <c r="J157" s="424">
        <f t="shared" si="75"/>
        <v>0</v>
      </c>
      <c r="K157" s="422">
        <f t="shared" si="75"/>
        <v>725</v>
      </c>
      <c r="L157" s="423">
        <f t="shared" si="75"/>
        <v>628</v>
      </c>
      <c r="M157" s="423">
        <f t="shared" si="75"/>
        <v>0</v>
      </c>
      <c r="N157" s="423">
        <f t="shared" si="75"/>
        <v>88</v>
      </c>
      <c r="O157" s="425">
        <f t="shared" si="75"/>
        <v>9</v>
      </c>
      <c r="P157" s="526">
        <f t="shared" si="76"/>
        <v>240</v>
      </c>
      <c r="Q157" s="423">
        <f t="shared" si="75"/>
        <v>0</v>
      </c>
      <c r="R157" s="422">
        <f t="shared" si="75"/>
        <v>0</v>
      </c>
      <c r="S157" s="423">
        <f t="shared" si="75"/>
        <v>0</v>
      </c>
      <c r="T157" s="423">
        <f t="shared" si="75"/>
        <v>0</v>
      </c>
      <c r="U157" s="423">
        <f t="shared" si="75"/>
        <v>0</v>
      </c>
      <c r="V157" s="424">
        <f t="shared" si="75"/>
        <v>0</v>
      </c>
      <c r="W157" s="422">
        <f t="shared" si="75"/>
        <v>0</v>
      </c>
      <c r="X157" s="423">
        <f t="shared" si="75"/>
        <v>0</v>
      </c>
      <c r="Y157" s="423">
        <f t="shared" si="75"/>
        <v>0</v>
      </c>
      <c r="Z157" s="423">
        <f t="shared" si="75"/>
        <v>0</v>
      </c>
      <c r="AA157" s="425">
        <f t="shared" si="75"/>
        <v>0</v>
      </c>
      <c r="AB157" s="526">
        <f t="shared" si="77"/>
        <v>35</v>
      </c>
      <c r="AC157" s="423">
        <f t="shared" si="78"/>
        <v>1</v>
      </c>
      <c r="AD157" s="422">
        <f t="shared" si="78"/>
        <v>0</v>
      </c>
      <c r="AE157" s="423">
        <f t="shared" si="78"/>
        <v>0</v>
      </c>
      <c r="AF157" s="423">
        <f t="shared" si="78"/>
        <v>0</v>
      </c>
      <c r="AG157" s="423">
        <f t="shared" si="78"/>
        <v>0</v>
      </c>
      <c r="AH157" s="424">
        <f t="shared" si="78"/>
        <v>0</v>
      </c>
      <c r="AI157" s="422">
        <f t="shared" si="78"/>
        <v>1</v>
      </c>
      <c r="AJ157" s="423">
        <f t="shared" si="78"/>
        <v>1</v>
      </c>
      <c r="AK157" s="423">
        <f t="shared" si="78"/>
        <v>0</v>
      </c>
      <c r="AL157" s="423">
        <f t="shared" si="78"/>
        <v>0</v>
      </c>
      <c r="AM157" s="425">
        <f t="shared" si="78"/>
        <v>0</v>
      </c>
      <c r="AO157" s="421">
        <f t="shared" si="64"/>
        <v>1</v>
      </c>
      <c r="AP157" s="422">
        <f t="shared" si="65"/>
        <v>0</v>
      </c>
      <c r="AQ157" s="423">
        <f t="shared" si="66"/>
        <v>0</v>
      </c>
      <c r="AR157" s="423">
        <f t="shared" si="67"/>
        <v>0</v>
      </c>
      <c r="AS157" s="423">
        <f t="shared" si="68"/>
        <v>0</v>
      </c>
      <c r="AT157" s="424">
        <f t="shared" si="69"/>
        <v>0</v>
      </c>
      <c r="AU157" s="422">
        <f t="shared" si="70"/>
        <v>1</v>
      </c>
      <c r="AV157" s="423">
        <f t="shared" si="71"/>
        <v>1</v>
      </c>
      <c r="AW157" s="423">
        <f t="shared" si="72"/>
        <v>0</v>
      </c>
      <c r="AX157" s="423">
        <f t="shared" si="73"/>
        <v>0</v>
      </c>
      <c r="AY157" s="425">
        <f t="shared" si="74"/>
        <v>0</v>
      </c>
    </row>
    <row r="158" spans="1:51" ht="13.9">
      <c r="A158" s="447" t="s">
        <v>242</v>
      </c>
      <c r="B158" s="448">
        <v>42826</v>
      </c>
      <c r="C158" s="449">
        <v>2017</v>
      </c>
      <c r="D158" s="421">
        <f t="shared" si="75"/>
        <v>246232</v>
      </c>
      <c r="E158" s="421">
        <f t="shared" si="75"/>
        <v>2016.3333333333335</v>
      </c>
      <c r="F158" s="422">
        <f t="shared" si="75"/>
        <v>872.33333333333326</v>
      </c>
      <c r="G158" s="423">
        <f t="shared" si="75"/>
        <v>615.66666666666663</v>
      </c>
      <c r="H158" s="423">
        <f t="shared" si="75"/>
        <v>0</v>
      </c>
      <c r="I158" s="423">
        <f t="shared" si="75"/>
        <v>256.66666666666669</v>
      </c>
      <c r="J158" s="424">
        <f t="shared" si="75"/>
        <v>0</v>
      </c>
      <c r="K158" s="422">
        <f t="shared" si="75"/>
        <v>1144</v>
      </c>
      <c r="L158" s="423">
        <f t="shared" si="75"/>
        <v>940.33333333333326</v>
      </c>
      <c r="M158" s="423">
        <f t="shared" si="75"/>
        <v>0</v>
      </c>
      <c r="N158" s="423">
        <f t="shared" si="75"/>
        <v>139</v>
      </c>
      <c r="O158" s="425">
        <f t="shared" si="75"/>
        <v>64.666666666666657</v>
      </c>
      <c r="P158" s="526">
        <f t="shared" si="76"/>
        <v>393.66666666666663</v>
      </c>
      <c r="Q158" s="423">
        <f t="shared" si="75"/>
        <v>1</v>
      </c>
      <c r="R158" s="422">
        <f t="shared" si="75"/>
        <v>0.66666666666666663</v>
      </c>
      <c r="S158" s="423">
        <f t="shared" si="75"/>
        <v>0.66666666666666663</v>
      </c>
      <c r="T158" s="423">
        <f t="shared" si="75"/>
        <v>0</v>
      </c>
      <c r="U158" s="423">
        <f t="shared" si="75"/>
        <v>0</v>
      </c>
      <c r="V158" s="424">
        <f t="shared" si="75"/>
        <v>0</v>
      </c>
      <c r="W158" s="422">
        <f t="shared" si="75"/>
        <v>0.33333333333333331</v>
      </c>
      <c r="X158" s="423">
        <f t="shared" si="75"/>
        <v>0</v>
      </c>
      <c r="Y158" s="423">
        <f t="shared" si="75"/>
        <v>0</v>
      </c>
      <c r="Z158" s="423">
        <f t="shared" si="75"/>
        <v>0</v>
      </c>
      <c r="AA158" s="425">
        <f t="shared" si="75"/>
        <v>0.33333333333333331</v>
      </c>
      <c r="AB158" s="526">
        <f t="shared" si="77"/>
        <v>52.666666666666671</v>
      </c>
      <c r="AC158" s="423">
        <f t="shared" si="78"/>
        <v>1</v>
      </c>
      <c r="AD158" s="422">
        <f t="shared" si="78"/>
        <v>0</v>
      </c>
      <c r="AE158" s="423">
        <f t="shared" si="78"/>
        <v>0</v>
      </c>
      <c r="AF158" s="423">
        <f t="shared" si="78"/>
        <v>0</v>
      </c>
      <c r="AG158" s="423">
        <f t="shared" si="78"/>
        <v>0</v>
      </c>
      <c r="AH158" s="424">
        <f t="shared" si="78"/>
        <v>0</v>
      </c>
      <c r="AI158" s="422">
        <f t="shared" si="78"/>
        <v>1</v>
      </c>
      <c r="AJ158" s="423">
        <f t="shared" si="78"/>
        <v>1</v>
      </c>
      <c r="AK158" s="423">
        <f t="shared" si="78"/>
        <v>0</v>
      </c>
      <c r="AL158" s="423">
        <f t="shared" si="78"/>
        <v>0</v>
      </c>
      <c r="AM158" s="425">
        <f t="shared" si="78"/>
        <v>0</v>
      </c>
      <c r="AO158" s="421">
        <f t="shared" si="64"/>
        <v>2</v>
      </c>
      <c r="AP158" s="422">
        <f t="shared" si="65"/>
        <v>0.66666666666666663</v>
      </c>
      <c r="AQ158" s="423">
        <f t="shared" si="66"/>
        <v>0.66666666666666663</v>
      </c>
      <c r="AR158" s="423">
        <f t="shared" si="67"/>
        <v>0</v>
      </c>
      <c r="AS158" s="423">
        <f t="shared" si="68"/>
        <v>0</v>
      </c>
      <c r="AT158" s="424">
        <f t="shared" si="69"/>
        <v>0</v>
      </c>
      <c r="AU158" s="422">
        <f t="shared" si="70"/>
        <v>1.3333333333333333</v>
      </c>
      <c r="AV158" s="423">
        <f t="shared" si="71"/>
        <v>1</v>
      </c>
      <c r="AW158" s="423">
        <f t="shared" si="72"/>
        <v>0</v>
      </c>
      <c r="AX158" s="423">
        <f t="shared" si="73"/>
        <v>0</v>
      </c>
      <c r="AY158" s="425">
        <f t="shared" si="74"/>
        <v>0.33333333333333331</v>
      </c>
    </row>
    <row r="159" spans="1:51" ht="13.9">
      <c r="A159" s="447" t="s">
        <v>242</v>
      </c>
      <c r="B159" s="448">
        <v>42856</v>
      </c>
      <c r="C159" s="449">
        <v>2017</v>
      </c>
      <c r="D159" s="421">
        <f t="shared" si="75"/>
        <v>324239</v>
      </c>
      <c r="E159" s="421">
        <f t="shared" si="75"/>
        <v>2712.666666666667</v>
      </c>
      <c r="F159" s="422">
        <f t="shared" si="75"/>
        <v>1149.6666666666665</v>
      </c>
      <c r="G159" s="423">
        <f t="shared" si="75"/>
        <v>817.33333333333326</v>
      </c>
      <c r="H159" s="423">
        <f t="shared" si="75"/>
        <v>0</v>
      </c>
      <c r="I159" s="423">
        <f t="shared" si="75"/>
        <v>332.33333333333337</v>
      </c>
      <c r="J159" s="424">
        <f t="shared" si="75"/>
        <v>0</v>
      </c>
      <c r="K159" s="422">
        <f t="shared" si="75"/>
        <v>1563</v>
      </c>
      <c r="L159" s="423">
        <f t="shared" si="75"/>
        <v>1252.6666666666665</v>
      </c>
      <c r="M159" s="423">
        <f t="shared" si="75"/>
        <v>0</v>
      </c>
      <c r="N159" s="423">
        <f t="shared" si="75"/>
        <v>190</v>
      </c>
      <c r="O159" s="425">
        <f t="shared" si="75"/>
        <v>120.33333333333331</v>
      </c>
      <c r="P159" s="526">
        <f t="shared" si="76"/>
        <v>547.33333333333326</v>
      </c>
      <c r="Q159" s="423">
        <f t="shared" si="75"/>
        <v>2</v>
      </c>
      <c r="R159" s="422">
        <f t="shared" si="75"/>
        <v>1.3333333333333333</v>
      </c>
      <c r="S159" s="423">
        <f t="shared" si="75"/>
        <v>1.3333333333333333</v>
      </c>
      <c r="T159" s="423">
        <f t="shared" si="75"/>
        <v>0</v>
      </c>
      <c r="U159" s="423">
        <f t="shared" si="75"/>
        <v>0</v>
      </c>
      <c r="V159" s="424">
        <f t="shared" si="75"/>
        <v>0</v>
      </c>
      <c r="W159" s="422">
        <f t="shared" si="75"/>
        <v>0.66666666666666663</v>
      </c>
      <c r="X159" s="423">
        <f t="shared" si="75"/>
        <v>0</v>
      </c>
      <c r="Y159" s="423">
        <f t="shared" si="75"/>
        <v>0</v>
      </c>
      <c r="Z159" s="423">
        <f t="shared" si="75"/>
        <v>0</v>
      </c>
      <c r="AA159" s="425">
        <f t="shared" si="75"/>
        <v>0.66666666666666663</v>
      </c>
      <c r="AB159" s="526">
        <f t="shared" si="77"/>
        <v>70.333333333333343</v>
      </c>
      <c r="AC159" s="423">
        <f t="shared" si="78"/>
        <v>1</v>
      </c>
      <c r="AD159" s="422">
        <f t="shared" si="78"/>
        <v>0</v>
      </c>
      <c r="AE159" s="423">
        <f t="shared" si="78"/>
        <v>0</v>
      </c>
      <c r="AF159" s="423">
        <f t="shared" si="78"/>
        <v>0</v>
      </c>
      <c r="AG159" s="423">
        <f t="shared" si="78"/>
        <v>0</v>
      </c>
      <c r="AH159" s="424">
        <f t="shared" si="78"/>
        <v>0</v>
      </c>
      <c r="AI159" s="422">
        <f t="shared" si="78"/>
        <v>1</v>
      </c>
      <c r="AJ159" s="423">
        <f t="shared" si="78"/>
        <v>1</v>
      </c>
      <c r="AK159" s="423">
        <f t="shared" si="78"/>
        <v>0</v>
      </c>
      <c r="AL159" s="423">
        <f t="shared" si="78"/>
        <v>0</v>
      </c>
      <c r="AM159" s="425">
        <f t="shared" si="78"/>
        <v>0</v>
      </c>
      <c r="AO159" s="421">
        <f t="shared" si="64"/>
        <v>3</v>
      </c>
      <c r="AP159" s="422">
        <f t="shared" si="65"/>
        <v>1.3333333333333333</v>
      </c>
      <c r="AQ159" s="423">
        <f t="shared" si="66"/>
        <v>1.3333333333333333</v>
      </c>
      <c r="AR159" s="423">
        <f t="shared" si="67"/>
        <v>0</v>
      </c>
      <c r="AS159" s="423">
        <f t="shared" si="68"/>
        <v>0</v>
      </c>
      <c r="AT159" s="424">
        <f t="shared" si="69"/>
        <v>0</v>
      </c>
      <c r="AU159" s="422">
        <f t="shared" si="70"/>
        <v>1.6666666666666665</v>
      </c>
      <c r="AV159" s="423">
        <f t="shared" si="71"/>
        <v>1</v>
      </c>
      <c r="AW159" s="423">
        <f t="shared" si="72"/>
        <v>0</v>
      </c>
      <c r="AX159" s="423">
        <f t="shared" si="73"/>
        <v>0</v>
      </c>
      <c r="AY159" s="425">
        <f t="shared" si="74"/>
        <v>0.66666666666666663</v>
      </c>
    </row>
    <row r="160" spans="1:51" ht="13.9">
      <c r="A160" s="447" t="s">
        <v>242</v>
      </c>
      <c r="B160" s="448">
        <v>42887</v>
      </c>
      <c r="C160" s="449">
        <v>2017</v>
      </c>
      <c r="D160" s="421">
        <f t="shared" si="75"/>
        <v>402246</v>
      </c>
      <c r="E160" s="421">
        <f t="shared" si="75"/>
        <v>3409.0000000000005</v>
      </c>
      <c r="F160" s="422">
        <f t="shared" si="75"/>
        <v>1426.9999999999998</v>
      </c>
      <c r="G160" s="423">
        <f t="shared" si="75"/>
        <v>1018.9999999999999</v>
      </c>
      <c r="H160" s="423">
        <f t="shared" si="75"/>
        <v>0</v>
      </c>
      <c r="I160" s="423">
        <f t="shared" si="75"/>
        <v>408.00000000000006</v>
      </c>
      <c r="J160" s="424">
        <f t="shared" si="75"/>
        <v>0</v>
      </c>
      <c r="K160" s="422">
        <f t="shared" si="75"/>
        <v>1982</v>
      </c>
      <c r="L160" s="423">
        <f t="shared" si="75"/>
        <v>1564.9999999999998</v>
      </c>
      <c r="M160" s="423">
        <f t="shared" si="75"/>
        <v>0</v>
      </c>
      <c r="N160" s="423">
        <f t="shared" si="75"/>
        <v>241</v>
      </c>
      <c r="O160" s="425">
        <f t="shared" si="75"/>
        <v>175.99999999999997</v>
      </c>
      <c r="P160" s="526">
        <f t="shared" si="76"/>
        <v>700.99999999999989</v>
      </c>
      <c r="Q160" s="423">
        <f t="shared" si="75"/>
        <v>3</v>
      </c>
      <c r="R160" s="422">
        <f t="shared" si="75"/>
        <v>2</v>
      </c>
      <c r="S160" s="423">
        <f t="shared" si="75"/>
        <v>2</v>
      </c>
      <c r="T160" s="423">
        <f t="shared" si="75"/>
        <v>0</v>
      </c>
      <c r="U160" s="423">
        <f t="shared" si="75"/>
        <v>0</v>
      </c>
      <c r="V160" s="424">
        <f t="shared" si="75"/>
        <v>0</v>
      </c>
      <c r="W160" s="422">
        <f t="shared" si="75"/>
        <v>1</v>
      </c>
      <c r="X160" s="423">
        <f t="shared" si="75"/>
        <v>0</v>
      </c>
      <c r="Y160" s="423">
        <f t="shared" si="75"/>
        <v>0</v>
      </c>
      <c r="Z160" s="423">
        <f t="shared" si="75"/>
        <v>0</v>
      </c>
      <c r="AA160" s="425">
        <f t="shared" si="75"/>
        <v>1</v>
      </c>
      <c r="AB160" s="526">
        <f t="shared" si="77"/>
        <v>88.000000000000014</v>
      </c>
      <c r="AC160" s="423">
        <f t="shared" si="78"/>
        <v>1</v>
      </c>
      <c r="AD160" s="422">
        <f t="shared" si="78"/>
        <v>0</v>
      </c>
      <c r="AE160" s="423">
        <f t="shared" si="78"/>
        <v>0</v>
      </c>
      <c r="AF160" s="423">
        <f t="shared" si="78"/>
        <v>0</v>
      </c>
      <c r="AG160" s="423">
        <f t="shared" si="78"/>
        <v>0</v>
      </c>
      <c r="AH160" s="424">
        <f t="shared" si="78"/>
        <v>0</v>
      </c>
      <c r="AI160" s="422">
        <f t="shared" si="78"/>
        <v>1</v>
      </c>
      <c r="AJ160" s="423">
        <f t="shared" si="78"/>
        <v>1</v>
      </c>
      <c r="AK160" s="423">
        <f t="shared" si="78"/>
        <v>0</v>
      </c>
      <c r="AL160" s="423">
        <f t="shared" si="78"/>
        <v>0</v>
      </c>
      <c r="AM160" s="425">
        <f t="shared" si="78"/>
        <v>0</v>
      </c>
      <c r="AO160" s="421">
        <f t="shared" si="64"/>
        <v>4</v>
      </c>
      <c r="AP160" s="422">
        <f t="shared" si="65"/>
        <v>2</v>
      </c>
      <c r="AQ160" s="423">
        <f t="shared" si="66"/>
        <v>2</v>
      </c>
      <c r="AR160" s="423">
        <f t="shared" si="67"/>
        <v>0</v>
      </c>
      <c r="AS160" s="423">
        <f t="shared" si="68"/>
        <v>0</v>
      </c>
      <c r="AT160" s="424">
        <f t="shared" si="69"/>
        <v>0</v>
      </c>
      <c r="AU160" s="422">
        <f t="shared" si="70"/>
        <v>2</v>
      </c>
      <c r="AV160" s="423">
        <f t="shared" si="71"/>
        <v>1</v>
      </c>
      <c r="AW160" s="423">
        <f t="shared" si="72"/>
        <v>0</v>
      </c>
      <c r="AX160" s="423">
        <f t="shared" si="73"/>
        <v>0</v>
      </c>
      <c r="AY160" s="425">
        <f t="shared" si="74"/>
        <v>1</v>
      </c>
    </row>
    <row r="161" spans="1:51" ht="13.9">
      <c r="A161" s="447" t="s">
        <v>243</v>
      </c>
      <c r="B161" s="448">
        <v>42917</v>
      </c>
      <c r="C161" s="449">
        <v>2017</v>
      </c>
      <c r="D161" s="421">
        <f t="shared" si="75"/>
        <v>475456.66666666669</v>
      </c>
      <c r="E161" s="421">
        <f t="shared" si="75"/>
        <v>4118.666666666667</v>
      </c>
      <c r="F161" s="422">
        <f t="shared" si="75"/>
        <v>1743.6666666666665</v>
      </c>
      <c r="G161" s="423">
        <f t="shared" si="75"/>
        <v>1247.3333333333333</v>
      </c>
      <c r="H161" s="423">
        <f t="shared" si="75"/>
        <v>0</v>
      </c>
      <c r="I161" s="423">
        <f t="shared" si="75"/>
        <v>496.33333333333337</v>
      </c>
      <c r="J161" s="424">
        <f t="shared" si="75"/>
        <v>0</v>
      </c>
      <c r="K161" s="422">
        <f t="shared" si="75"/>
        <v>2375</v>
      </c>
      <c r="L161" s="423">
        <f t="shared" si="75"/>
        <v>1892.9999999999998</v>
      </c>
      <c r="M161" s="423">
        <f t="shared" si="75"/>
        <v>0</v>
      </c>
      <c r="N161" s="423">
        <f t="shared" si="75"/>
        <v>273.66666666666669</v>
      </c>
      <c r="O161" s="425">
        <f t="shared" si="75"/>
        <v>208.33333333333331</v>
      </c>
      <c r="P161" s="526">
        <f t="shared" si="76"/>
        <v>841.33333333333326</v>
      </c>
      <c r="Q161" s="423">
        <f t="shared" si="75"/>
        <v>3.6666666666666665</v>
      </c>
      <c r="R161" s="422">
        <f t="shared" si="75"/>
        <v>2.3333333333333335</v>
      </c>
      <c r="S161" s="423">
        <f t="shared" si="75"/>
        <v>2.3333333333333335</v>
      </c>
      <c r="T161" s="423">
        <f t="shared" si="75"/>
        <v>0</v>
      </c>
      <c r="U161" s="423">
        <f t="shared" si="75"/>
        <v>0</v>
      </c>
      <c r="V161" s="424">
        <f t="shared" si="75"/>
        <v>0</v>
      </c>
      <c r="W161" s="422">
        <f t="shared" si="75"/>
        <v>1.3333333333333333</v>
      </c>
      <c r="X161" s="423">
        <f t="shared" si="75"/>
        <v>0.33333333333333331</v>
      </c>
      <c r="Y161" s="423">
        <f t="shared" si="75"/>
        <v>0</v>
      </c>
      <c r="Z161" s="423">
        <f t="shared" si="75"/>
        <v>0</v>
      </c>
      <c r="AA161" s="425">
        <f t="shared" si="75"/>
        <v>1</v>
      </c>
      <c r="AB161" s="526">
        <f t="shared" si="77"/>
        <v>103.33333333333334</v>
      </c>
      <c r="AC161" s="423">
        <f t="shared" si="78"/>
        <v>1</v>
      </c>
      <c r="AD161" s="422">
        <f t="shared" si="78"/>
        <v>0</v>
      </c>
      <c r="AE161" s="423">
        <f t="shared" si="78"/>
        <v>0</v>
      </c>
      <c r="AF161" s="423">
        <f t="shared" si="78"/>
        <v>0</v>
      </c>
      <c r="AG161" s="423">
        <f t="shared" si="78"/>
        <v>0</v>
      </c>
      <c r="AH161" s="424">
        <f t="shared" si="78"/>
        <v>0</v>
      </c>
      <c r="AI161" s="422">
        <f t="shared" si="78"/>
        <v>1</v>
      </c>
      <c r="AJ161" s="423">
        <f t="shared" si="78"/>
        <v>1</v>
      </c>
      <c r="AK161" s="423">
        <f t="shared" si="78"/>
        <v>0</v>
      </c>
      <c r="AL161" s="423">
        <f t="shared" si="78"/>
        <v>0</v>
      </c>
      <c r="AM161" s="425">
        <f t="shared" si="78"/>
        <v>0</v>
      </c>
      <c r="AO161" s="421">
        <f t="shared" si="64"/>
        <v>4.6666666666666661</v>
      </c>
      <c r="AP161" s="422">
        <f t="shared" si="65"/>
        <v>2.3333333333333335</v>
      </c>
      <c r="AQ161" s="423">
        <f t="shared" si="66"/>
        <v>2.3333333333333335</v>
      </c>
      <c r="AR161" s="423">
        <f t="shared" si="67"/>
        <v>0</v>
      </c>
      <c r="AS161" s="423">
        <f t="shared" si="68"/>
        <v>0</v>
      </c>
      <c r="AT161" s="424">
        <f t="shared" si="69"/>
        <v>0</v>
      </c>
      <c r="AU161" s="422">
        <f t="shared" si="70"/>
        <v>2.333333333333333</v>
      </c>
      <c r="AV161" s="423">
        <f t="shared" si="71"/>
        <v>1.3333333333333333</v>
      </c>
      <c r="AW161" s="423">
        <f t="shared" si="72"/>
        <v>0</v>
      </c>
      <c r="AX161" s="423">
        <f t="shared" si="73"/>
        <v>0</v>
      </c>
      <c r="AY161" s="425">
        <f t="shared" si="74"/>
        <v>1</v>
      </c>
    </row>
    <row r="162" spans="1:51" ht="13.9">
      <c r="A162" s="447" t="s">
        <v>243</v>
      </c>
      <c r="B162" s="448">
        <v>42948</v>
      </c>
      <c r="C162" s="449">
        <v>2017</v>
      </c>
      <c r="D162" s="421">
        <f t="shared" si="75"/>
        <v>548667.33333333337</v>
      </c>
      <c r="E162" s="421">
        <f t="shared" si="75"/>
        <v>4828.3333333333339</v>
      </c>
      <c r="F162" s="422">
        <f t="shared" si="75"/>
        <v>2060.333333333333</v>
      </c>
      <c r="G162" s="423">
        <f t="shared" si="75"/>
        <v>1475.6666666666665</v>
      </c>
      <c r="H162" s="423">
        <f t="shared" si="75"/>
        <v>0</v>
      </c>
      <c r="I162" s="423">
        <f t="shared" si="75"/>
        <v>584.66666666666674</v>
      </c>
      <c r="J162" s="424">
        <f t="shared" si="75"/>
        <v>0</v>
      </c>
      <c r="K162" s="422">
        <f t="shared" si="75"/>
        <v>2768</v>
      </c>
      <c r="L162" s="423">
        <f t="shared" si="75"/>
        <v>2221</v>
      </c>
      <c r="M162" s="423">
        <f t="shared" si="75"/>
        <v>0</v>
      </c>
      <c r="N162" s="423">
        <f t="shared" si="75"/>
        <v>306.33333333333337</v>
      </c>
      <c r="O162" s="425">
        <f t="shared" si="75"/>
        <v>240.66666666666666</v>
      </c>
      <c r="P162" s="526">
        <f t="shared" si="76"/>
        <v>981.66666666666663</v>
      </c>
      <c r="Q162" s="423">
        <f t="shared" si="75"/>
        <v>4.333333333333333</v>
      </c>
      <c r="R162" s="422">
        <f t="shared" si="75"/>
        <v>2.666666666666667</v>
      </c>
      <c r="S162" s="423">
        <f t="shared" si="75"/>
        <v>2.666666666666667</v>
      </c>
      <c r="T162" s="423">
        <f t="shared" si="75"/>
        <v>0</v>
      </c>
      <c r="U162" s="423">
        <f t="shared" si="75"/>
        <v>0</v>
      </c>
      <c r="V162" s="424">
        <f t="shared" si="75"/>
        <v>0</v>
      </c>
      <c r="W162" s="422">
        <f t="shared" si="75"/>
        <v>1.6666666666666665</v>
      </c>
      <c r="X162" s="423">
        <f t="shared" si="75"/>
        <v>0.66666666666666663</v>
      </c>
      <c r="Y162" s="423">
        <f t="shared" si="75"/>
        <v>0</v>
      </c>
      <c r="Z162" s="423">
        <f t="shared" si="75"/>
        <v>0</v>
      </c>
      <c r="AA162" s="425">
        <f t="shared" si="75"/>
        <v>1</v>
      </c>
      <c r="AB162" s="526">
        <f t="shared" si="77"/>
        <v>118.66666666666667</v>
      </c>
      <c r="AC162" s="423">
        <f t="shared" si="78"/>
        <v>1</v>
      </c>
      <c r="AD162" s="422">
        <f t="shared" si="78"/>
        <v>0</v>
      </c>
      <c r="AE162" s="423">
        <f t="shared" si="78"/>
        <v>0</v>
      </c>
      <c r="AF162" s="423">
        <f t="shared" si="78"/>
        <v>0</v>
      </c>
      <c r="AG162" s="423">
        <f t="shared" si="78"/>
        <v>0</v>
      </c>
      <c r="AH162" s="424">
        <f t="shared" si="78"/>
        <v>0</v>
      </c>
      <c r="AI162" s="422">
        <f t="shared" si="78"/>
        <v>1</v>
      </c>
      <c r="AJ162" s="423">
        <f t="shared" si="78"/>
        <v>1</v>
      </c>
      <c r="AK162" s="423">
        <f t="shared" si="78"/>
        <v>0</v>
      </c>
      <c r="AL162" s="423">
        <f t="shared" si="78"/>
        <v>0</v>
      </c>
      <c r="AM162" s="425">
        <f t="shared" si="78"/>
        <v>0</v>
      </c>
      <c r="AO162" s="421">
        <f t="shared" si="64"/>
        <v>5.333333333333333</v>
      </c>
      <c r="AP162" s="422">
        <f t="shared" si="65"/>
        <v>2.666666666666667</v>
      </c>
      <c r="AQ162" s="423">
        <f t="shared" si="66"/>
        <v>2.666666666666667</v>
      </c>
      <c r="AR162" s="423">
        <f t="shared" si="67"/>
        <v>0</v>
      </c>
      <c r="AS162" s="423">
        <f t="shared" si="68"/>
        <v>0</v>
      </c>
      <c r="AT162" s="424">
        <f t="shared" si="69"/>
        <v>0</v>
      </c>
      <c r="AU162" s="422">
        <f t="shared" si="70"/>
        <v>2.6666666666666665</v>
      </c>
      <c r="AV162" s="423">
        <f t="shared" si="71"/>
        <v>1.6666666666666665</v>
      </c>
      <c r="AW162" s="423">
        <f t="shared" si="72"/>
        <v>0</v>
      </c>
      <c r="AX162" s="423">
        <f t="shared" si="73"/>
        <v>0</v>
      </c>
      <c r="AY162" s="425">
        <f t="shared" si="74"/>
        <v>1</v>
      </c>
    </row>
    <row r="163" spans="1:51" ht="13.9">
      <c r="A163" s="447" t="s">
        <v>243</v>
      </c>
      <c r="B163" s="448">
        <v>42979</v>
      </c>
      <c r="C163" s="449">
        <v>2017</v>
      </c>
      <c r="D163" s="421">
        <f t="shared" si="75"/>
        <v>621878</v>
      </c>
      <c r="E163" s="421">
        <f t="shared" si="75"/>
        <v>5538.0000000000009</v>
      </c>
      <c r="F163" s="422">
        <f t="shared" si="75"/>
        <v>2376.9999999999995</v>
      </c>
      <c r="G163" s="423">
        <f t="shared" si="75"/>
        <v>1703.9999999999998</v>
      </c>
      <c r="H163" s="423">
        <f t="shared" si="75"/>
        <v>0</v>
      </c>
      <c r="I163" s="423">
        <f t="shared" si="75"/>
        <v>673.00000000000011</v>
      </c>
      <c r="J163" s="424">
        <f t="shared" si="75"/>
        <v>0</v>
      </c>
      <c r="K163" s="422">
        <f t="shared" si="75"/>
        <v>3161</v>
      </c>
      <c r="L163" s="423">
        <f t="shared" si="75"/>
        <v>2549</v>
      </c>
      <c r="M163" s="423">
        <f t="shared" si="75"/>
        <v>0</v>
      </c>
      <c r="N163" s="423">
        <f t="shared" si="75"/>
        <v>339.00000000000006</v>
      </c>
      <c r="O163" s="425">
        <f t="shared" si="75"/>
        <v>273</v>
      </c>
      <c r="P163" s="526">
        <f t="shared" si="76"/>
        <v>1122</v>
      </c>
      <c r="Q163" s="423">
        <f t="shared" si="75"/>
        <v>5</v>
      </c>
      <c r="R163" s="422">
        <f t="shared" si="75"/>
        <v>3.0000000000000004</v>
      </c>
      <c r="S163" s="423">
        <f t="shared" si="75"/>
        <v>3.0000000000000004</v>
      </c>
      <c r="T163" s="423">
        <f t="shared" si="75"/>
        <v>0</v>
      </c>
      <c r="U163" s="423">
        <f t="shared" si="75"/>
        <v>0</v>
      </c>
      <c r="V163" s="424">
        <f t="shared" si="75"/>
        <v>0</v>
      </c>
      <c r="W163" s="422">
        <f t="shared" si="75"/>
        <v>1.9999999999999998</v>
      </c>
      <c r="X163" s="423">
        <f t="shared" si="75"/>
        <v>1</v>
      </c>
      <c r="Y163" s="423">
        <f t="shared" si="75"/>
        <v>0</v>
      </c>
      <c r="Z163" s="423">
        <f t="shared" si="75"/>
        <v>0</v>
      </c>
      <c r="AA163" s="425">
        <f t="shared" si="75"/>
        <v>1</v>
      </c>
      <c r="AB163" s="526">
        <f t="shared" si="77"/>
        <v>134</v>
      </c>
      <c r="AC163" s="423">
        <f t="shared" si="78"/>
        <v>1</v>
      </c>
      <c r="AD163" s="422">
        <f t="shared" si="78"/>
        <v>0</v>
      </c>
      <c r="AE163" s="423">
        <f t="shared" si="78"/>
        <v>0</v>
      </c>
      <c r="AF163" s="423">
        <f t="shared" si="78"/>
        <v>0</v>
      </c>
      <c r="AG163" s="423">
        <f t="shared" si="78"/>
        <v>0</v>
      </c>
      <c r="AH163" s="424">
        <f t="shared" si="78"/>
        <v>0</v>
      </c>
      <c r="AI163" s="422">
        <f t="shared" si="78"/>
        <v>1</v>
      </c>
      <c r="AJ163" s="423">
        <f t="shared" si="78"/>
        <v>1</v>
      </c>
      <c r="AK163" s="423">
        <f t="shared" si="78"/>
        <v>0</v>
      </c>
      <c r="AL163" s="423">
        <f t="shared" si="78"/>
        <v>0</v>
      </c>
      <c r="AM163" s="425">
        <f t="shared" si="78"/>
        <v>0</v>
      </c>
      <c r="AO163" s="421">
        <f t="shared" si="64"/>
        <v>6</v>
      </c>
      <c r="AP163" s="422">
        <f t="shared" si="65"/>
        <v>3.0000000000000004</v>
      </c>
      <c r="AQ163" s="423">
        <f t="shared" si="66"/>
        <v>3.0000000000000004</v>
      </c>
      <c r="AR163" s="423">
        <f t="shared" si="67"/>
        <v>0</v>
      </c>
      <c r="AS163" s="423">
        <f t="shared" si="68"/>
        <v>0</v>
      </c>
      <c r="AT163" s="424">
        <f t="shared" si="69"/>
        <v>0</v>
      </c>
      <c r="AU163" s="422">
        <f t="shared" si="70"/>
        <v>3</v>
      </c>
      <c r="AV163" s="423">
        <f t="shared" si="71"/>
        <v>2</v>
      </c>
      <c r="AW163" s="423">
        <f t="shared" si="72"/>
        <v>0</v>
      </c>
      <c r="AX163" s="423">
        <f t="shared" si="73"/>
        <v>0</v>
      </c>
      <c r="AY163" s="425">
        <f t="shared" si="74"/>
        <v>1</v>
      </c>
    </row>
    <row r="164" spans="1:51" ht="13.9">
      <c r="A164" s="447" t="s">
        <v>244</v>
      </c>
      <c r="B164" s="448">
        <v>43009</v>
      </c>
      <c r="C164" s="449">
        <v>2017</v>
      </c>
      <c r="D164" s="421">
        <f t="shared" si="75"/>
        <v>681717</v>
      </c>
      <c r="E164" s="421">
        <f t="shared" si="75"/>
        <v>6418.0000000000009</v>
      </c>
      <c r="F164" s="422">
        <f t="shared" si="75"/>
        <v>2772.333333333333</v>
      </c>
      <c r="G164" s="423">
        <f t="shared" si="75"/>
        <v>1979.9999999999998</v>
      </c>
      <c r="H164" s="423">
        <f t="shared" si="75"/>
        <v>0</v>
      </c>
      <c r="I164" s="423">
        <f t="shared" si="75"/>
        <v>792.33333333333348</v>
      </c>
      <c r="J164" s="424">
        <f t="shared" si="75"/>
        <v>0</v>
      </c>
      <c r="K164" s="422">
        <f t="shared" si="75"/>
        <v>3645.6666666666665</v>
      </c>
      <c r="L164" s="423">
        <f t="shared" si="75"/>
        <v>2918.3333333333335</v>
      </c>
      <c r="M164" s="423">
        <f t="shared" si="75"/>
        <v>0</v>
      </c>
      <c r="N164" s="423">
        <f t="shared" si="75"/>
        <v>371.33333333333337</v>
      </c>
      <c r="O164" s="425">
        <f t="shared" si="75"/>
        <v>356</v>
      </c>
      <c r="P164" s="526">
        <f t="shared" si="76"/>
        <v>1239</v>
      </c>
      <c r="Q164" s="423">
        <f t="shared" si="75"/>
        <v>6.333333333333333</v>
      </c>
      <c r="R164" s="422">
        <f t="shared" si="75"/>
        <v>3.0000000000000004</v>
      </c>
      <c r="S164" s="423">
        <f t="shared" si="75"/>
        <v>3.0000000000000004</v>
      </c>
      <c r="T164" s="423">
        <f t="shared" si="75"/>
        <v>0</v>
      </c>
      <c r="U164" s="423">
        <f t="shared" si="75"/>
        <v>0</v>
      </c>
      <c r="V164" s="424">
        <f t="shared" si="75"/>
        <v>0</v>
      </c>
      <c r="W164" s="422">
        <f t="shared" si="75"/>
        <v>3.333333333333333</v>
      </c>
      <c r="X164" s="423">
        <f t="shared" si="75"/>
        <v>2.333333333333333</v>
      </c>
      <c r="Y164" s="423">
        <f t="shared" si="75"/>
        <v>0</v>
      </c>
      <c r="Z164" s="423">
        <f t="shared" si="75"/>
        <v>0</v>
      </c>
      <c r="AA164" s="425">
        <f t="shared" si="75"/>
        <v>1</v>
      </c>
      <c r="AB164" s="526">
        <f t="shared" si="77"/>
        <v>146.66666666666666</v>
      </c>
      <c r="AC164" s="423">
        <f t="shared" si="78"/>
        <v>1</v>
      </c>
      <c r="AD164" s="422">
        <f t="shared" si="78"/>
        <v>0</v>
      </c>
      <c r="AE164" s="423">
        <f t="shared" si="78"/>
        <v>0</v>
      </c>
      <c r="AF164" s="423">
        <f t="shared" si="78"/>
        <v>0</v>
      </c>
      <c r="AG164" s="423">
        <f t="shared" si="78"/>
        <v>0</v>
      </c>
      <c r="AH164" s="424">
        <f t="shared" si="78"/>
        <v>0</v>
      </c>
      <c r="AI164" s="422">
        <f t="shared" si="78"/>
        <v>1</v>
      </c>
      <c r="AJ164" s="423">
        <f t="shared" si="78"/>
        <v>1</v>
      </c>
      <c r="AK164" s="423">
        <f t="shared" si="78"/>
        <v>0</v>
      </c>
      <c r="AL164" s="423">
        <f t="shared" si="78"/>
        <v>0</v>
      </c>
      <c r="AM164" s="425">
        <f t="shared" si="78"/>
        <v>0</v>
      </c>
      <c r="AO164" s="421">
        <f t="shared" si="64"/>
        <v>7.333333333333333</v>
      </c>
      <c r="AP164" s="422">
        <f t="shared" si="65"/>
        <v>3.0000000000000004</v>
      </c>
      <c r="AQ164" s="423">
        <f t="shared" si="66"/>
        <v>3.0000000000000004</v>
      </c>
      <c r="AR164" s="423">
        <f t="shared" si="67"/>
        <v>0</v>
      </c>
      <c r="AS164" s="423">
        <f t="shared" si="68"/>
        <v>0</v>
      </c>
      <c r="AT164" s="424">
        <f t="shared" si="69"/>
        <v>0</v>
      </c>
      <c r="AU164" s="422">
        <f t="shared" si="70"/>
        <v>4.333333333333333</v>
      </c>
      <c r="AV164" s="423">
        <f t="shared" si="71"/>
        <v>3.333333333333333</v>
      </c>
      <c r="AW164" s="423">
        <f t="shared" si="72"/>
        <v>0</v>
      </c>
      <c r="AX164" s="423">
        <f t="shared" si="73"/>
        <v>0</v>
      </c>
      <c r="AY164" s="425">
        <f t="shared" si="74"/>
        <v>1</v>
      </c>
    </row>
    <row r="165" spans="1:51" ht="13.9">
      <c r="A165" s="447" t="s">
        <v>244</v>
      </c>
      <c r="B165" s="448">
        <v>43040</v>
      </c>
      <c r="C165" s="449">
        <v>2017</v>
      </c>
      <c r="D165" s="421">
        <f t="shared" si="75"/>
        <v>741556</v>
      </c>
      <c r="E165" s="421">
        <f t="shared" si="75"/>
        <v>7298.0000000000009</v>
      </c>
      <c r="F165" s="422">
        <f t="shared" si="75"/>
        <v>3167.6666666666665</v>
      </c>
      <c r="G165" s="423">
        <f t="shared" si="75"/>
        <v>2256</v>
      </c>
      <c r="H165" s="423">
        <f t="shared" si="75"/>
        <v>0</v>
      </c>
      <c r="I165" s="423">
        <f t="shared" si="75"/>
        <v>911.66666666666686</v>
      </c>
      <c r="J165" s="424">
        <f t="shared" si="75"/>
        <v>0</v>
      </c>
      <c r="K165" s="422">
        <f t="shared" si="75"/>
        <v>4130.333333333333</v>
      </c>
      <c r="L165" s="423">
        <f t="shared" si="75"/>
        <v>3287.666666666667</v>
      </c>
      <c r="M165" s="423">
        <f t="shared" si="75"/>
        <v>0</v>
      </c>
      <c r="N165" s="423">
        <f t="shared" si="75"/>
        <v>403.66666666666669</v>
      </c>
      <c r="O165" s="425">
        <f t="shared" si="75"/>
        <v>439</v>
      </c>
      <c r="P165" s="526">
        <f t="shared" si="76"/>
        <v>1356</v>
      </c>
      <c r="Q165" s="423">
        <f t="shared" si="75"/>
        <v>7.6666666666666661</v>
      </c>
      <c r="R165" s="422">
        <f t="shared" si="75"/>
        <v>3.0000000000000004</v>
      </c>
      <c r="S165" s="423">
        <f t="shared" si="75"/>
        <v>3.0000000000000004</v>
      </c>
      <c r="T165" s="423">
        <f t="shared" si="75"/>
        <v>0</v>
      </c>
      <c r="U165" s="423">
        <f t="shared" si="75"/>
        <v>0</v>
      </c>
      <c r="V165" s="424">
        <f t="shared" si="75"/>
        <v>0</v>
      </c>
      <c r="W165" s="422">
        <f t="shared" si="75"/>
        <v>4.6666666666666661</v>
      </c>
      <c r="X165" s="423">
        <f t="shared" si="75"/>
        <v>3.6666666666666661</v>
      </c>
      <c r="Y165" s="423">
        <f t="shared" si="75"/>
        <v>0</v>
      </c>
      <c r="Z165" s="423">
        <f t="shared" si="75"/>
        <v>0</v>
      </c>
      <c r="AA165" s="425">
        <f t="shared" si="75"/>
        <v>1</v>
      </c>
      <c r="AB165" s="526">
        <f t="shared" si="77"/>
        <v>159.33333333333331</v>
      </c>
      <c r="AC165" s="423">
        <f t="shared" si="78"/>
        <v>1</v>
      </c>
      <c r="AD165" s="422">
        <f t="shared" si="78"/>
        <v>0</v>
      </c>
      <c r="AE165" s="423">
        <f t="shared" si="78"/>
        <v>0</v>
      </c>
      <c r="AF165" s="423">
        <f t="shared" si="78"/>
        <v>0</v>
      </c>
      <c r="AG165" s="423">
        <f t="shared" si="78"/>
        <v>0</v>
      </c>
      <c r="AH165" s="424">
        <f t="shared" si="78"/>
        <v>0</v>
      </c>
      <c r="AI165" s="422">
        <f t="shared" si="78"/>
        <v>1</v>
      </c>
      <c r="AJ165" s="423">
        <f t="shared" si="78"/>
        <v>1</v>
      </c>
      <c r="AK165" s="423">
        <f t="shared" si="78"/>
        <v>0</v>
      </c>
      <c r="AL165" s="423">
        <f t="shared" si="78"/>
        <v>0</v>
      </c>
      <c r="AM165" s="425">
        <f t="shared" si="78"/>
        <v>0</v>
      </c>
      <c r="AO165" s="421">
        <f t="shared" si="64"/>
        <v>8.6666666666666661</v>
      </c>
      <c r="AP165" s="422">
        <f t="shared" si="65"/>
        <v>3.0000000000000004</v>
      </c>
      <c r="AQ165" s="423">
        <f t="shared" si="66"/>
        <v>3.0000000000000004</v>
      </c>
      <c r="AR165" s="423">
        <f t="shared" si="67"/>
        <v>0</v>
      </c>
      <c r="AS165" s="423">
        <f t="shared" si="68"/>
        <v>0</v>
      </c>
      <c r="AT165" s="424">
        <f t="shared" si="69"/>
        <v>0</v>
      </c>
      <c r="AU165" s="422">
        <f t="shared" si="70"/>
        <v>5.6666666666666661</v>
      </c>
      <c r="AV165" s="423">
        <f t="shared" si="71"/>
        <v>4.6666666666666661</v>
      </c>
      <c r="AW165" s="423">
        <f t="shared" si="72"/>
        <v>0</v>
      </c>
      <c r="AX165" s="423">
        <f t="shared" si="73"/>
        <v>0</v>
      </c>
      <c r="AY165" s="425">
        <f t="shared" si="74"/>
        <v>1</v>
      </c>
    </row>
    <row r="166" spans="1:51" ht="13.9">
      <c r="A166" s="447" t="s">
        <v>244</v>
      </c>
      <c r="B166" s="448">
        <v>43070</v>
      </c>
      <c r="C166" s="449">
        <v>2017</v>
      </c>
      <c r="D166" s="421">
        <f t="shared" si="75"/>
        <v>801395</v>
      </c>
      <c r="E166" s="421">
        <f t="shared" si="75"/>
        <v>8178.0000000000009</v>
      </c>
      <c r="F166" s="422">
        <f t="shared" si="75"/>
        <v>3563</v>
      </c>
      <c r="G166" s="423">
        <f t="shared" si="75"/>
        <v>2532</v>
      </c>
      <c r="H166" s="423">
        <f t="shared" si="75"/>
        <v>0</v>
      </c>
      <c r="I166" s="423">
        <f t="shared" si="75"/>
        <v>1031.0000000000002</v>
      </c>
      <c r="J166" s="424">
        <f t="shared" si="75"/>
        <v>0</v>
      </c>
      <c r="K166" s="422">
        <f t="shared" si="75"/>
        <v>4615</v>
      </c>
      <c r="L166" s="423">
        <f t="shared" si="75"/>
        <v>3657.0000000000005</v>
      </c>
      <c r="M166" s="423">
        <f t="shared" si="75"/>
        <v>0</v>
      </c>
      <c r="N166" s="423">
        <f t="shared" si="75"/>
        <v>436</v>
      </c>
      <c r="O166" s="425">
        <f t="shared" si="75"/>
        <v>522</v>
      </c>
      <c r="P166" s="526">
        <f t="shared" si="76"/>
        <v>1473</v>
      </c>
      <c r="Q166" s="423">
        <f t="shared" si="75"/>
        <v>9</v>
      </c>
      <c r="R166" s="422">
        <f t="shared" si="75"/>
        <v>3.0000000000000004</v>
      </c>
      <c r="S166" s="423">
        <f t="shared" si="75"/>
        <v>3.0000000000000004</v>
      </c>
      <c r="T166" s="423">
        <f t="shared" si="75"/>
        <v>0</v>
      </c>
      <c r="U166" s="423">
        <f t="shared" si="75"/>
        <v>0</v>
      </c>
      <c r="V166" s="424">
        <f t="shared" si="75"/>
        <v>0</v>
      </c>
      <c r="W166" s="422">
        <f t="shared" si="75"/>
        <v>5.9999999999999991</v>
      </c>
      <c r="X166" s="423">
        <f t="shared" si="75"/>
        <v>4.9999999999999991</v>
      </c>
      <c r="Y166" s="423">
        <f t="shared" si="75"/>
        <v>0</v>
      </c>
      <c r="Z166" s="423">
        <f t="shared" si="75"/>
        <v>0</v>
      </c>
      <c r="AA166" s="425">
        <f t="shared" si="75"/>
        <v>1</v>
      </c>
      <c r="AB166" s="526">
        <f t="shared" si="77"/>
        <v>171.99999999999997</v>
      </c>
      <c r="AC166" s="423">
        <f t="shared" si="78"/>
        <v>1</v>
      </c>
      <c r="AD166" s="422">
        <f t="shared" si="78"/>
        <v>0</v>
      </c>
      <c r="AE166" s="423">
        <f t="shared" si="78"/>
        <v>0</v>
      </c>
      <c r="AF166" s="423">
        <f t="shared" si="78"/>
        <v>0</v>
      </c>
      <c r="AG166" s="423">
        <f t="shared" si="78"/>
        <v>0</v>
      </c>
      <c r="AH166" s="424">
        <f t="shared" si="78"/>
        <v>0</v>
      </c>
      <c r="AI166" s="422">
        <f t="shared" si="78"/>
        <v>1</v>
      </c>
      <c r="AJ166" s="423">
        <f t="shared" si="78"/>
        <v>1</v>
      </c>
      <c r="AK166" s="423">
        <f t="shared" si="78"/>
        <v>0</v>
      </c>
      <c r="AL166" s="423">
        <f t="shared" si="78"/>
        <v>0</v>
      </c>
      <c r="AM166" s="425">
        <f t="shared" si="78"/>
        <v>0</v>
      </c>
      <c r="AO166" s="421">
        <f t="shared" si="64"/>
        <v>10</v>
      </c>
      <c r="AP166" s="422">
        <f t="shared" si="65"/>
        <v>3.0000000000000004</v>
      </c>
      <c r="AQ166" s="423">
        <f t="shared" si="66"/>
        <v>3.0000000000000004</v>
      </c>
      <c r="AR166" s="423">
        <f t="shared" si="67"/>
        <v>0</v>
      </c>
      <c r="AS166" s="423">
        <f t="shared" si="68"/>
        <v>0</v>
      </c>
      <c r="AT166" s="424">
        <f t="shared" si="69"/>
        <v>0</v>
      </c>
      <c r="AU166" s="422">
        <f t="shared" si="70"/>
        <v>6.9999999999999991</v>
      </c>
      <c r="AV166" s="423">
        <f t="shared" si="71"/>
        <v>5.9999999999999991</v>
      </c>
      <c r="AW166" s="423">
        <f t="shared" si="72"/>
        <v>0</v>
      </c>
      <c r="AX166" s="423">
        <f t="shared" si="73"/>
        <v>0</v>
      </c>
      <c r="AY166" s="425">
        <f t="shared" si="74"/>
        <v>1</v>
      </c>
    </row>
    <row r="167" spans="1:51" ht="13.9">
      <c r="A167" s="447" t="s">
        <v>245</v>
      </c>
      <c r="B167" s="448">
        <v>43101</v>
      </c>
      <c r="C167" s="449">
        <v>2018</v>
      </c>
      <c r="D167" s="421">
        <f t="shared" si="75"/>
        <v>856527.33333333337</v>
      </c>
      <c r="E167" s="421">
        <f t="shared" si="75"/>
        <v>9093.6666666666679</v>
      </c>
      <c r="F167" s="422">
        <f t="shared" ref="F167:AA179" si="79">F56/3+F166</f>
        <v>3872.3333333333335</v>
      </c>
      <c r="G167" s="423">
        <f t="shared" si="79"/>
        <v>2783.3333333333335</v>
      </c>
      <c r="H167" s="423">
        <f t="shared" si="79"/>
        <v>0</v>
      </c>
      <c r="I167" s="423">
        <f t="shared" si="79"/>
        <v>1089.0000000000002</v>
      </c>
      <c r="J167" s="424">
        <f t="shared" si="79"/>
        <v>0</v>
      </c>
      <c r="K167" s="422">
        <f t="shared" si="79"/>
        <v>5221.333333333333</v>
      </c>
      <c r="L167" s="423">
        <f t="shared" si="79"/>
        <v>4074.0000000000005</v>
      </c>
      <c r="M167" s="423">
        <f t="shared" si="79"/>
        <v>0</v>
      </c>
      <c r="N167" s="423">
        <f t="shared" si="79"/>
        <v>555.66666666666663</v>
      </c>
      <c r="O167" s="425">
        <f t="shared" si="79"/>
        <v>591.66666666666663</v>
      </c>
      <c r="P167" s="526">
        <f t="shared" si="76"/>
        <v>1552</v>
      </c>
      <c r="Q167" s="423">
        <f t="shared" si="79"/>
        <v>10</v>
      </c>
      <c r="R167" s="422">
        <f t="shared" si="79"/>
        <v>3.0000000000000004</v>
      </c>
      <c r="S167" s="423">
        <f t="shared" si="79"/>
        <v>3.0000000000000004</v>
      </c>
      <c r="T167" s="423">
        <f t="shared" si="79"/>
        <v>0</v>
      </c>
      <c r="U167" s="423">
        <f t="shared" si="79"/>
        <v>0</v>
      </c>
      <c r="V167" s="424">
        <f t="shared" si="79"/>
        <v>0</v>
      </c>
      <c r="W167" s="422">
        <f t="shared" si="79"/>
        <v>6.9999999999999991</v>
      </c>
      <c r="X167" s="423">
        <f t="shared" si="79"/>
        <v>5.3333333333333321</v>
      </c>
      <c r="Y167" s="423">
        <f t="shared" si="79"/>
        <v>0</v>
      </c>
      <c r="Z167" s="423">
        <f t="shared" si="79"/>
        <v>0.33333333333333331</v>
      </c>
      <c r="AA167" s="425">
        <f t="shared" si="79"/>
        <v>1.3333333333333333</v>
      </c>
      <c r="AB167" s="526">
        <f t="shared" si="77"/>
        <v>177.99999999999997</v>
      </c>
      <c r="AC167" s="423">
        <f t="shared" si="78"/>
        <v>1.3333333333333333</v>
      </c>
      <c r="AD167" s="422">
        <f t="shared" si="78"/>
        <v>0.33333333333333331</v>
      </c>
      <c r="AE167" s="423">
        <f t="shared" si="78"/>
        <v>0</v>
      </c>
      <c r="AF167" s="423">
        <f t="shared" si="78"/>
        <v>0</v>
      </c>
      <c r="AG167" s="423">
        <f t="shared" si="78"/>
        <v>0.33333333333333331</v>
      </c>
      <c r="AH167" s="424">
        <f t="shared" si="78"/>
        <v>0</v>
      </c>
      <c r="AI167" s="422">
        <f t="shared" si="78"/>
        <v>1</v>
      </c>
      <c r="AJ167" s="423">
        <f t="shared" si="78"/>
        <v>1</v>
      </c>
      <c r="AK167" s="423">
        <f t="shared" si="78"/>
        <v>0</v>
      </c>
      <c r="AL167" s="423">
        <f t="shared" si="78"/>
        <v>0</v>
      </c>
      <c r="AM167" s="425">
        <f t="shared" si="78"/>
        <v>0</v>
      </c>
      <c r="AO167" s="421">
        <f t="shared" si="64"/>
        <v>11.333333333333334</v>
      </c>
      <c r="AP167" s="422">
        <f t="shared" si="65"/>
        <v>3.3333333333333339</v>
      </c>
      <c r="AQ167" s="423">
        <f t="shared" si="66"/>
        <v>3.0000000000000004</v>
      </c>
      <c r="AR167" s="423">
        <f t="shared" si="67"/>
        <v>0</v>
      </c>
      <c r="AS167" s="423">
        <f t="shared" si="68"/>
        <v>0.33333333333333331</v>
      </c>
      <c r="AT167" s="424">
        <f t="shared" si="69"/>
        <v>0</v>
      </c>
      <c r="AU167" s="422">
        <f t="shared" si="70"/>
        <v>7.9999999999999991</v>
      </c>
      <c r="AV167" s="423">
        <f t="shared" si="71"/>
        <v>6.3333333333333321</v>
      </c>
      <c r="AW167" s="423">
        <f t="shared" si="72"/>
        <v>0</v>
      </c>
      <c r="AX167" s="423">
        <f t="shared" si="73"/>
        <v>0.33333333333333331</v>
      </c>
      <c r="AY167" s="425">
        <f t="shared" si="74"/>
        <v>1.3333333333333333</v>
      </c>
    </row>
    <row r="168" spans="1:51" ht="13.9">
      <c r="A168" s="447" t="s">
        <v>245</v>
      </c>
      <c r="B168" s="448">
        <v>43132</v>
      </c>
      <c r="C168" s="449">
        <v>2018</v>
      </c>
      <c r="D168" s="421">
        <f t="shared" ref="D168:H183" si="80">D57/3+D167</f>
        <v>911659.66666666674</v>
      </c>
      <c r="E168" s="421">
        <f t="shared" si="80"/>
        <v>10009.333333333334</v>
      </c>
      <c r="F168" s="422">
        <f t="shared" si="79"/>
        <v>4181.666666666667</v>
      </c>
      <c r="G168" s="423">
        <f t="shared" si="79"/>
        <v>3034.666666666667</v>
      </c>
      <c r="H168" s="423">
        <f t="shared" si="79"/>
        <v>0</v>
      </c>
      <c r="I168" s="423">
        <f t="shared" si="79"/>
        <v>1147.0000000000002</v>
      </c>
      <c r="J168" s="424">
        <f t="shared" si="79"/>
        <v>0</v>
      </c>
      <c r="K168" s="422">
        <f t="shared" si="79"/>
        <v>5827.6666666666661</v>
      </c>
      <c r="L168" s="423">
        <f t="shared" si="79"/>
        <v>4491</v>
      </c>
      <c r="M168" s="423">
        <f t="shared" si="79"/>
        <v>0</v>
      </c>
      <c r="N168" s="423">
        <f t="shared" si="79"/>
        <v>675.33333333333326</v>
      </c>
      <c r="O168" s="425">
        <f t="shared" si="79"/>
        <v>661.33333333333326</v>
      </c>
      <c r="P168" s="526">
        <f t="shared" si="76"/>
        <v>1631</v>
      </c>
      <c r="Q168" s="423">
        <f t="shared" si="79"/>
        <v>11</v>
      </c>
      <c r="R168" s="422">
        <f t="shared" si="79"/>
        <v>3.0000000000000004</v>
      </c>
      <c r="S168" s="423">
        <f t="shared" si="79"/>
        <v>3.0000000000000004</v>
      </c>
      <c r="T168" s="423">
        <f t="shared" si="79"/>
        <v>0</v>
      </c>
      <c r="U168" s="423">
        <f t="shared" si="79"/>
        <v>0</v>
      </c>
      <c r="V168" s="424">
        <f t="shared" si="79"/>
        <v>0</v>
      </c>
      <c r="W168" s="422">
        <f t="shared" si="79"/>
        <v>7.9999999999999991</v>
      </c>
      <c r="X168" s="423">
        <f t="shared" si="79"/>
        <v>5.6666666666666652</v>
      </c>
      <c r="Y168" s="423">
        <f t="shared" si="79"/>
        <v>0</v>
      </c>
      <c r="Z168" s="423">
        <f t="shared" si="79"/>
        <v>0.66666666666666663</v>
      </c>
      <c r="AA168" s="425">
        <f t="shared" si="79"/>
        <v>1.6666666666666665</v>
      </c>
      <c r="AB168" s="526">
        <f t="shared" si="77"/>
        <v>183.99999999999997</v>
      </c>
      <c r="AC168" s="423">
        <f t="shared" si="78"/>
        <v>1.6666666666666665</v>
      </c>
      <c r="AD168" s="422">
        <f t="shared" si="78"/>
        <v>0.66666666666666663</v>
      </c>
      <c r="AE168" s="423">
        <f t="shared" si="78"/>
        <v>0</v>
      </c>
      <c r="AF168" s="423">
        <f t="shared" si="78"/>
        <v>0</v>
      </c>
      <c r="AG168" s="423">
        <f t="shared" si="78"/>
        <v>0.66666666666666663</v>
      </c>
      <c r="AH168" s="424">
        <f t="shared" si="78"/>
        <v>0</v>
      </c>
      <c r="AI168" s="422">
        <f t="shared" si="78"/>
        <v>1</v>
      </c>
      <c r="AJ168" s="423">
        <f t="shared" si="78"/>
        <v>1</v>
      </c>
      <c r="AK168" s="423">
        <f t="shared" si="78"/>
        <v>0</v>
      </c>
      <c r="AL168" s="423">
        <f t="shared" si="78"/>
        <v>0</v>
      </c>
      <c r="AM168" s="425">
        <f t="shared" si="78"/>
        <v>0</v>
      </c>
      <c r="AO168" s="421">
        <f t="shared" si="64"/>
        <v>12.666666666666666</v>
      </c>
      <c r="AP168" s="422">
        <f t="shared" si="65"/>
        <v>3.666666666666667</v>
      </c>
      <c r="AQ168" s="423">
        <f t="shared" si="66"/>
        <v>3.0000000000000004</v>
      </c>
      <c r="AR168" s="423">
        <f t="shared" si="67"/>
        <v>0</v>
      </c>
      <c r="AS168" s="423">
        <f t="shared" si="68"/>
        <v>0.66666666666666663</v>
      </c>
      <c r="AT168" s="424">
        <f t="shared" si="69"/>
        <v>0</v>
      </c>
      <c r="AU168" s="422">
        <f t="shared" si="70"/>
        <v>9</v>
      </c>
      <c r="AV168" s="423">
        <f t="shared" si="71"/>
        <v>6.6666666666666652</v>
      </c>
      <c r="AW168" s="423">
        <f t="shared" si="72"/>
        <v>0</v>
      </c>
      <c r="AX168" s="423">
        <f t="shared" si="73"/>
        <v>0.66666666666666663</v>
      </c>
      <c r="AY168" s="425">
        <f t="shared" si="74"/>
        <v>1.6666666666666665</v>
      </c>
    </row>
    <row r="169" spans="1:51" ht="13.9">
      <c r="A169" s="447" t="s">
        <v>245</v>
      </c>
      <c r="B169" s="448">
        <v>43160</v>
      </c>
      <c r="C169" s="449">
        <v>2018</v>
      </c>
      <c r="D169" s="421">
        <f t="shared" si="80"/>
        <v>966792.00000000012</v>
      </c>
      <c r="E169" s="421">
        <f t="shared" si="80"/>
        <v>10925</v>
      </c>
      <c r="F169" s="422">
        <f t="shared" si="79"/>
        <v>4491</v>
      </c>
      <c r="G169" s="423">
        <f t="shared" si="79"/>
        <v>3286.0000000000005</v>
      </c>
      <c r="H169" s="423">
        <f t="shared" si="79"/>
        <v>0</v>
      </c>
      <c r="I169" s="423">
        <f t="shared" si="79"/>
        <v>1205.0000000000002</v>
      </c>
      <c r="J169" s="424">
        <f t="shared" si="79"/>
        <v>0</v>
      </c>
      <c r="K169" s="422">
        <f t="shared" si="79"/>
        <v>6433.9999999999991</v>
      </c>
      <c r="L169" s="423">
        <f t="shared" si="79"/>
        <v>4908</v>
      </c>
      <c r="M169" s="423">
        <f t="shared" si="79"/>
        <v>0</v>
      </c>
      <c r="N169" s="423">
        <f t="shared" si="79"/>
        <v>794.99999999999989</v>
      </c>
      <c r="O169" s="425">
        <f t="shared" si="79"/>
        <v>730.99999999999989</v>
      </c>
      <c r="P169" s="526">
        <f t="shared" si="76"/>
        <v>1710</v>
      </c>
      <c r="Q169" s="423">
        <f t="shared" si="79"/>
        <v>12</v>
      </c>
      <c r="R169" s="422">
        <f t="shared" si="79"/>
        <v>3.0000000000000004</v>
      </c>
      <c r="S169" s="423">
        <f t="shared" si="79"/>
        <v>3.0000000000000004</v>
      </c>
      <c r="T169" s="423">
        <f t="shared" si="79"/>
        <v>0</v>
      </c>
      <c r="U169" s="423">
        <f t="shared" si="79"/>
        <v>0</v>
      </c>
      <c r="V169" s="424">
        <f t="shared" si="79"/>
        <v>0</v>
      </c>
      <c r="W169" s="422">
        <f t="shared" si="79"/>
        <v>9</v>
      </c>
      <c r="X169" s="423">
        <f t="shared" si="79"/>
        <v>5.9999999999999982</v>
      </c>
      <c r="Y169" s="423">
        <f t="shared" si="79"/>
        <v>0</v>
      </c>
      <c r="Z169" s="423">
        <f t="shared" si="79"/>
        <v>1</v>
      </c>
      <c r="AA169" s="425">
        <f t="shared" si="79"/>
        <v>1.9999999999999998</v>
      </c>
      <c r="AB169" s="526">
        <f t="shared" si="77"/>
        <v>189.99999999999997</v>
      </c>
      <c r="AC169" s="423">
        <f t="shared" si="78"/>
        <v>1.9999999999999998</v>
      </c>
      <c r="AD169" s="422">
        <f t="shared" si="78"/>
        <v>1</v>
      </c>
      <c r="AE169" s="423">
        <f t="shared" si="78"/>
        <v>0</v>
      </c>
      <c r="AF169" s="423">
        <f t="shared" si="78"/>
        <v>0</v>
      </c>
      <c r="AG169" s="423">
        <f t="shared" si="78"/>
        <v>1</v>
      </c>
      <c r="AH169" s="424">
        <f t="shared" si="78"/>
        <v>0</v>
      </c>
      <c r="AI169" s="422">
        <f t="shared" si="78"/>
        <v>1</v>
      </c>
      <c r="AJ169" s="423">
        <f t="shared" si="78"/>
        <v>1</v>
      </c>
      <c r="AK169" s="423">
        <f t="shared" si="78"/>
        <v>0</v>
      </c>
      <c r="AL169" s="423">
        <f t="shared" si="78"/>
        <v>0</v>
      </c>
      <c r="AM169" s="425">
        <f t="shared" si="78"/>
        <v>0</v>
      </c>
      <c r="AO169" s="421">
        <f t="shared" si="64"/>
        <v>14</v>
      </c>
      <c r="AP169" s="422">
        <f t="shared" si="65"/>
        <v>4</v>
      </c>
      <c r="AQ169" s="423">
        <f t="shared" si="66"/>
        <v>3.0000000000000004</v>
      </c>
      <c r="AR169" s="423">
        <f t="shared" si="67"/>
        <v>0</v>
      </c>
      <c r="AS169" s="423">
        <f t="shared" si="68"/>
        <v>1</v>
      </c>
      <c r="AT169" s="424">
        <f t="shared" si="69"/>
        <v>0</v>
      </c>
      <c r="AU169" s="422">
        <f t="shared" si="70"/>
        <v>10</v>
      </c>
      <c r="AV169" s="423">
        <f t="shared" si="71"/>
        <v>6.9999999999999982</v>
      </c>
      <c r="AW169" s="423">
        <f t="shared" si="72"/>
        <v>0</v>
      </c>
      <c r="AX169" s="423">
        <f t="shared" si="73"/>
        <v>1</v>
      </c>
      <c r="AY169" s="425">
        <f t="shared" si="74"/>
        <v>1.9999999999999998</v>
      </c>
    </row>
    <row r="170" spans="1:51" ht="13.9">
      <c r="A170" s="447" t="s">
        <v>246</v>
      </c>
      <c r="B170" s="448">
        <v>43191</v>
      </c>
      <c r="C170" s="449">
        <v>2018</v>
      </c>
      <c r="D170" s="421">
        <f t="shared" si="80"/>
        <v>1046752.3333333335</v>
      </c>
      <c r="E170" s="421">
        <f t="shared" si="80"/>
        <v>13241.333333333334</v>
      </c>
      <c r="F170" s="422">
        <f t="shared" si="79"/>
        <v>5696.666666666667</v>
      </c>
      <c r="G170" s="423">
        <f t="shared" si="79"/>
        <v>4388</v>
      </c>
      <c r="H170" s="423">
        <f t="shared" si="79"/>
        <v>0</v>
      </c>
      <c r="I170" s="423">
        <f t="shared" si="79"/>
        <v>1308.666666666667</v>
      </c>
      <c r="J170" s="424">
        <f t="shared" si="79"/>
        <v>0</v>
      </c>
      <c r="K170" s="422">
        <f t="shared" si="79"/>
        <v>7544.6666666666661</v>
      </c>
      <c r="L170" s="423">
        <f t="shared" si="79"/>
        <v>5647.333333333333</v>
      </c>
      <c r="M170" s="423">
        <f t="shared" si="79"/>
        <v>0</v>
      </c>
      <c r="N170" s="423">
        <f t="shared" si="79"/>
        <v>1030.6666666666665</v>
      </c>
      <c r="O170" s="425">
        <f t="shared" si="79"/>
        <v>866.66666666666652</v>
      </c>
      <c r="P170" s="526">
        <f t="shared" si="76"/>
        <v>1833.3333333333333</v>
      </c>
      <c r="Q170" s="423">
        <f t="shared" si="79"/>
        <v>12.666666666666666</v>
      </c>
      <c r="R170" s="422">
        <f t="shared" si="79"/>
        <v>3.3333333333333339</v>
      </c>
      <c r="S170" s="423">
        <f t="shared" si="79"/>
        <v>3.3333333333333339</v>
      </c>
      <c r="T170" s="423">
        <f t="shared" si="79"/>
        <v>0</v>
      </c>
      <c r="U170" s="423">
        <f t="shared" si="79"/>
        <v>0</v>
      </c>
      <c r="V170" s="424">
        <f t="shared" si="79"/>
        <v>0</v>
      </c>
      <c r="W170" s="422">
        <f t="shared" si="79"/>
        <v>9.3333333333333339</v>
      </c>
      <c r="X170" s="423">
        <f t="shared" si="79"/>
        <v>5.9999999999999982</v>
      </c>
      <c r="Y170" s="423">
        <f t="shared" si="79"/>
        <v>0</v>
      </c>
      <c r="Z170" s="423">
        <f t="shared" si="79"/>
        <v>1.3333333333333333</v>
      </c>
      <c r="AA170" s="425">
        <f t="shared" si="79"/>
        <v>1.9999999999999998</v>
      </c>
      <c r="AB170" s="526">
        <f t="shared" si="77"/>
        <v>207.33333333333331</v>
      </c>
      <c r="AC170" s="423">
        <f t="shared" si="78"/>
        <v>1.9999999999999998</v>
      </c>
      <c r="AD170" s="422">
        <f t="shared" si="78"/>
        <v>1</v>
      </c>
      <c r="AE170" s="423">
        <f t="shared" si="78"/>
        <v>0</v>
      </c>
      <c r="AF170" s="423">
        <f t="shared" si="78"/>
        <v>0</v>
      </c>
      <c r="AG170" s="423">
        <f t="shared" si="78"/>
        <v>1</v>
      </c>
      <c r="AH170" s="424">
        <f t="shared" si="78"/>
        <v>0</v>
      </c>
      <c r="AI170" s="422">
        <f t="shared" si="78"/>
        <v>1</v>
      </c>
      <c r="AJ170" s="423">
        <f t="shared" si="78"/>
        <v>1</v>
      </c>
      <c r="AK170" s="423">
        <f t="shared" si="78"/>
        <v>0</v>
      </c>
      <c r="AL170" s="423">
        <f t="shared" si="78"/>
        <v>0</v>
      </c>
      <c r="AM170" s="425">
        <f t="shared" si="78"/>
        <v>0</v>
      </c>
      <c r="AO170" s="421">
        <f t="shared" si="64"/>
        <v>14.666666666666666</v>
      </c>
      <c r="AP170" s="422">
        <f t="shared" si="65"/>
        <v>4.3333333333333339</v>
      </c>
      <c r="AQ170" s="423">
        <f t="shared" si="66"/>
        <v>3.3333333333333339</v>
      </c>
      <c r="AR170" s="423">
        <f t="shared" si="67"/>
        <v>0</v>
      </c>
      <c r="AS170" s="423">
        <f t="shared" si="68"/>
        <v>1</v>
      </c>
      <c r="AT170" s="424">
        <f t="shared" si="69"/>
        <v>0</v>
      </c>
      <c r="AU170" s="422">
        <f t="shared" si="70"/>
        <v>10.333333333333334</v>
      </c>
      <c r="AV170" s="423">
        <f t="shared" si="71"/>
        <v>6.9999999999999982</v>
      </c>
      <c r="AW170" s="423">
        <f t="shared" si="72"/>
        <v>0</v>
      </c>
      <c r="AX170" s="423">
        <f t="shared" si="73"/>
        <v>1.3333333333333333</v>
      </c>
      <c r="AY170" s="425">
        <f t="shared" si="74"/>
        <v>1.9999999999999998</v>
      </c>
    </row>
    <row r="171" spans="1:51" ht="13.9">
      <c r="A171" s="447" t="s">
        <v>246</v>
      </c>
      <c r="B171" s="448">
        <v>43221</v>
      </c>
      <c r="C171" s="449">
        <v>2018</v>
      </c>
      <c r="D171" s="421">
        <f t="shared" si="80"/>
        <v>1126712.6666666667</v>
      </c>
      <c r="E171" s="421">
        <f t="shared" si="80"/>
        <v>15557.666666666668</v>
      </c>
      <c r="F171" s="422">
        <f t="shared" si="79"/>
        <v>6902.3333333333339</v>
      </c>
      <c r="G171" s="423">
        <f t="shared" si="79"/>
        <v>5490</v>
      </c>
      <c r="H171" s="423">
        <f t="shared" si="79"/>
        <v>0</v>
      </c>
      <c r="I171" s="423">
        <f t="shared" si="79"/>
        <v>1412.3333333333337</v>
      </c>
      <c r="J171" s="424">
        <f t="shared" si="79"/>
        <v>0</v>
      </c>
      <c r="K171" s="422">
        <f t="shared" si="79"/>
        <v>8655.3333333333321</v>
      </c>
      <c r="L171" s="423">
        <f t="shared" si="79"/>
        <v>6386.6666666666661</v>
      </c>
      <c r="M171" s="423">
        <f t="shared" si="79"/>
        <v>0</v>
      </c>
      <c r="N171" s="423">
        <f t="shared" si="79"/>
        <v>1266.3333333333333</v>
      </c>
      <c r="O171" s="425">
        <f t="shared" si="79"/>
        <v>1002.3333333333331</v>
      </c>
      <c r="P171" s="526">
        <f t="shared" si="76"/>
        <v>1956.6666666666665</v>
      </c>
      <c r="Q171" s="423">
        <f t="shared" si="79"/>
        <v>13.333333333333332</v>
      </c>
      <c r="R171" s="422">
        <f t="shared" si="79"/>
        <v>3.6666666666666674</v>
      </c>
      <c r="S171" s="423">
        <f t="shared" si="79"/>
        <v>3.6666666666666674</v>
      </c>
      <c r="T171" s="423">
        <f t="shared" si="79"/>
        <v>0</v>
      </c>
      <c r="U171" s="423">
        <f t="shared" si="79"/>
        <v>0</v>
      </c>
      <c r="V171" s="424">
        <f t="shared" si="79"/>
        <v>0</v>
      </c>
      <c r="W171" s="422">
        <f t="shared" si="79"/>
        <v>9.6666666666666679</v>
      </c>
      <c r="X171" s="423">
        <f t="shared" si="79"/>
        <v>5.9999999999999982</v>
      </c>
      <c r="Y171" s="423">
        <f t="shared" si="79"/>
        <v>0</v>
      </c>
      <c r="Z171" s="423">
        <f t="shared" si="79"/>
        <v>1.6666666666666665</v>
      </c>
      <c r="AA171" s="425">
        <f t="shared" si="79"/>
        <v>1.9999999999999998</v>
      </c>
      <c r="AB171" s="526">
        <f t="shared" si="77"/>
        <v>224.66666666666666</v>
      </c>
      <c r="AC171" s="423">
        <f t="shared" si="78"/>
        <v>1.9999999999999998</v>
      </c>
      <c r="AD171" s="422">
        <f t="shared" si="78"/>
        <v>1</v>
      </c>
      <c r="AE171" s="423">
        <f t="shared" si="78"/>
        <v>0</v>
      </c>
      <c r="AF171" s="423">
        <f t="shared" si="78"/>
        <v>0</v>
      </c>
      <c r="AG171" s="423">
        <f t="shared" si="78"/>
        <v>1</v>
      </c>
      <c r="AH171" s="424">
        <f t="shared" si="78"/>
        <v>0</v>
      </c>
      <c r="AI171" s="422">
        <f t="shared" si="78"/>
        <v>1</v>
      </c>
      <c r="AJ171" s="423">
        <f t="shared" si="78"/>
        <v>1</v>
      </c>
      <c r="AK171" s="423">
        <f t="shared" si="78"/>
        <v>0</v>
      </c>
      <c r="AL171" s="423">
        <f t="shared" si="78"/>
        <v>0</v>
      </c>
      <c r="AM171" s="425">
        <f t="shared" si="78"/>
        <v>0</v>
      </c>
      <c r="AO171" s="421">
        <f t="shared" si="64"/>
        <v>15.333333333333332</v>
      </c>
      <c r="AP171" s="422">
        <f t="shared" si="65"/>
        <v>4.6666666666666679</v>
      </c>
      <c r="AQ171" s="423">
        <f t="shared" si="66"/>
        <v>3.6666666666666674</v>
      </c>
      <c r="AR171" s="423">
        <f t="shared" si="67"/>
        <v>0</v>
      </c>
      <c r="AS171" s="423">
        <f t="shared" si="68"/>
        <v>1</v>
      </c>
      <c r="AT171" s="424">
        <f t="shared" si="69"/>
        <v>0</v>
      </c>
      <c r="AU171" s="422">
        <f t="shared" si="70"/>
        <v>10.666666666666668</v>
      </c>
      <c r="AV171" s="423">
        <f t="shared" si="71"/>
        <v>6.9999999999999982</v>
      </c>
      <c r="AW171" s="423">
        <f t="shared" si="72"/>
        <v>0</v>
      </c>
      <c r="AX171" s="423">
        <f t="shared" si="73"/>
        <v>1.6666666666666665</v>
      </c>
      <c r="AY171" s="425">
        <f t="shared" si="74"/>
        <v>1.9999999999999998</v>
      </c>
    </row>
    <row r="172" spans="1:51" ht="13.9">
      <c r="A172" s="447" t="s">
        <v>246</v>
      </c>
      <c r="B172" s="448">
        <v>43252</v>
      </c>
      <c r="C172" s="449">
        <v>2018</v>
      </c>
      <c r="D172" s="421">
        <f t="shared" si="80"/>
        <v>1206673</v>
      </c>
      <c r="E172" s="421">
        <f t="shared" si="80"/>
        <v>17874</v>
      </c>
      <c r="F172" s="422">
        <f t="shared" si="79"/>
        <v>8108.0000000000009</v>
      </c>
      <c r="G172" s="423">
        <f t="shared" si="79"/>
        <v>6592</v>
      </c>
      <c r="H172" s="423">
        <f t="shared" si="79"/>
        <v>0</v>
      </c>
      <c r="I172" s="423">
        <f t="shared" si="79"/>
        <v>1516.0000000000005</v>
      </c>
      <c r="J172" s="424">
        <f t="shared" si="79"/>
        <v>0</v>
      </c>
      <c r="K172" s="422">
        <f t="shared" si="79"/>
        <v>9765.9999999999982</v>
      </c>
      <c r="L172" s="423">
        <f t="shared" si="79"/>
        <v>7125.9999999999991</v>
      </c>
      <c r="M172" s="423">
        <f t="shared" si="79"/>
        <v>0</v>
      </c>
      <c r="N172" s="423">
        <f t="shared" si="79"/>
        <v>1502</v>
      </c>
      <c r="O172" s="425">
        <f t="shared" si="79"/>
        <v>1137.9999999999998</v>
      </c>
      <c r="P172" s="526">
        <f t="shared" si="76"/>
        <v>2080</v>
      </c>
      <c r="Q172" s="423">
        <f t="shared" si="79"/>
        <v>13.999999999999998</v>
      </c>
      <c r="R172" s="422">
        <f t="shared" si="79"/>
        <v>4.0000000000000009</v>
      </c>
      <c r="S172" s="423">
        <f t="shared" si="79"/>
        <v>4.0000000000000009</v>
      </c>
      <c r="T172" s="423">
        <f t="shared" si="79"/>
        <v>0</v>
      </c>
      <c r="U172" s="423">
        <f t="shared" si="79"/>
        <v>0</v>
      </c>
      <c r="V172" s="424">
        <f t="shared" si="79"/>
        <v>0</v>
      </c>
      <c r="W172" s="422">
        <f t="shared" si="79"/>
        <v>10.000000000000002</v>
      </c>
      <c r="X172" s="423">
        <f t="shared" si="79"/>
        <v>5.9999999999999982</v>
      </c>
      <c r="Y172" s="423">
        <f t="shared" si="79"/>
        <v>0</v>
      </c>
      <c r="Z172" s="423">
        <f t="shared" si="79"/>
        <v>1.9999999999999998</v>
      </c>
      <c r="AA172" s="425">
        <f t="shared" si="79"/>
        <v>1.9999999999999998</v>
      </c>
      <c r="AB172" s="526">
        <f t="shared" si="77"/>
        <v>242</v>
      </c>
      <c r="AC172" s="423">
        <f t="shared" ref="AC172:AM187" si="81">AC61/3+AC171</f>
        <v>1.9999999999999998</v>
      </c>
      <c r="AD172" s="422">
        <f t="shared" si="81"/>
        <v>1</v>
      </c>
      <c r="AE172" s="423">
        <f t="shared" si="81"/>
        <v>0</v>
      </c>
      <c r="AF172" s="423">
        <f t="shared" si="81"/>
        <v>0</v>
      </c>
      <c r="AG172" s="423">
        <f t="shared" si="81"/>
        <v>1</v>
      </c>
      <c r="AH172" s="424">
        <f t="shared" si="81"/>
        <v>0</v>
      </c>
      <c r="AI172" s="422">
        <f t="shared" si="81"/>
        <v>1</v>
      </c>
      <c r="AJ172" s="423">
        <f t="shared" si="81"/>
        <v>1</v>
      </c>
      <c r="AK172" s="423">
        <f t="shared" si="81"/>
        <v>0</v>
      </c>
      <c r="AL172" s="423">
        <f t="shared" si="81"/>
        <v>0</v>
      </c>
      <c r="AM172" s="425">
        <f t="shared" si="81"/>
        <v>0</v>
      </c>
      <c r="AO172" s="421">
        <f t="shared" si="64"/>
        <v>15.999999999999998</v>
      </c>
      <c r="AP172" s="422">
        <f t="shared" si="65"/>
        <v>5.0000000000000009</v>
      </c>
      <c r="AQ172" s="423">
        <f t="shared" si="66"/>
        <v>4.0000000000000009</v>
      </c>
      <c r="AR172" s="423">
        <f t="shared" si="67"/>
        <v>0</v>
      </c>
      <c r="AS172" s="423">
        <f t="shared" si="68"/>
        <v>1</v>
      </c>
      <c r="AT172" s="424">
        <f t="shared" si="69"/>
        <v>0</v>
      </c>
      <c r="AU172" s="422">
        <f t="shared" si="70"/>
        <v>11.000000000000002</v>
      </c>
      <c r="AV172" s="423">
        <f t="shared" si="71"/>
        <v>6.9999999999999982</v>
      </c>
      <c r="AW172" s="423">
        <f t="shared" si="72"/>
        <v>0</v>
      </c>
      <c r="AX172" s="423">
        <f t="shared" si="73"/>
        <v>1.9999999999999998</v>
      </c>
      <c r="AY172" s="425">
        <f t="shared" si="74"/>
        <v>1.9999999999999998</v>
      </c>
    </row>
    <row r="173" spans="1:51" ht="13.9">
      <c r="A173" s="447" t="s">
        <v>247</v>
      </c>
      <c r="B173" s="448">
        <v>43282</v>
      </c>
      <c r="C173" s="449">
        <v>2018</v>
      </c>
      <c r="D173" s="421">
        <f t="shared" si="80"/>
        <v>1279597</v>
      </c>
      <c r="E173" s="421">
        <f t="shared" si="80"/>
        <v>19600</v>
      </c>
      <c r="F173" s="422">
        <f t="shared" si="79"/>
        <v>8950</v>
      </c>
      <c r="G173" s="423">
        <f t="shared" si="79"/>
        <v>7350.333333333333</v>
      </c>
      <c r="H173" s="423">
        <f t="shared" si="79"/>
        <v>0</v>
      </c>
      <c r="I173" s="423">
        <f t="shared" si="79"/>
        <v>1599.6666666666672</v>
      </c>
      <c r="J173" s="424">
        <f t="shared" si="79"/>
        <v>0</v>
      </c>
      <c r="K173" s="422">
        <f t="shared" si="79"/>
        <v>10649.999999999998</v>
      </c>
      <c r="L173" s="423">
        <f t="shared" si="79"/>
        <v>7660.3333333333321</v>
      </c>
      <c r="M173" s="423">
        <f t="shared" si="79"/>
        <v>0</v>
      </c>
      <c r="N173" s="423">
        <f t="shared" si="79"/>
        <v>1783.3333333333333</v>
      </c>
      <c r="O173" s="425">
        <f t="shared" si="79"/>
        <v>1206.333333333333</v>
      </c>
      <c r="P173" s="526">
        <f t="shared" si="76"/>
        <v>2209.6666666666665</v>
      </c>
      <c r="Q173" s="423">
        <f t="shared" si="79"/>
        <v>15.333333333333332</v>
      </c>
      <c r="R173" s="422">
        <f t="shared" si="79"/>
        <v>4.3333333333333339</v>
      </c>
      <c r="S173" s="423">
        <f t="shared" si="79"/>
        <v>4.3333333333333339</v>
      </c>
      <c r="T173" s="423">
        <f t="shared" si="79"/>
        <v>0</v>
      </c>
      <c r="U173" s="423">
        <f t="shared" si="79"/>
        <v>0</v>
      </c>
      <c r="V173" s="424">
        <f t="shared" si="79"/>
        <v>0</v>
      </c>
      <c r="W173" s="422">
        <f t="shared" si="79"/>
        <v>11.000000000000002</v>
      </c>
      <c r="X173" s="423">
        <f t="shared" si="79"/>
        <v>6.3333333333333313</v>
      </c>
      <c r="Y173" s="423">
        <f t="shared" si="79"/>
        <v>0</v>
      </c>
      <c r="Z173" s="423">
        <f t="shared" si="79"/>
        <v>2.6666666666666665</v>
      </c>
      <c r="AA173" s="425">
        <f t="shared" si="79"/>
        <v>1.9999999999999998</v>
      </c>
      <c r="AB173" s="526">
        <f t="shared" si="77"/>
        <v>254.66666666666666</v>
      </c>
      <c r="AC173" s="423">
        <f t="shared" si="81"/>
        <v>1.9999999999999998</v>
      </c>
      <c r="AD173" s="422">
        <f t="shared" si="81"/>
        <v>1</v>
      </c>
      <c r="AE173" s="423">
        <f t="shared" si="81"/>
        <v>0</v>
      </c>
      <c r="AF173" s="423">
        <f t="shared" si="81"/>
        <v>0</v>
      </c>
      <c r="AG173" s="423">
        <f t="shared" si="81"/>
        <v>1</v>
      </c>
      <c r="AH173" s="424">
        <f t="shared" si="81"/>
        <v>0</v>
      </c>
      <c r="AI173" s="422">
        <f t="shared" si="81"/>
        <v>1</v>
      </c>
      <c r="AJ173" s="423">
        <f t="shared" si="81"/>
        <v>1</v>
      </c>
      <c r="AK173" s="423">
        <f t="shared" si="81"/>
        <v>0</v>
      </c>
      <c r="AL173" s="423">
        <f t="shared" si="81"/>
        <v>0</v>
      </c>
      <c r="AM173" s="425">
        <f t="shared" si="81"/>
        <v>0</v>
      </c>
      <c r="AO173" s="421">
        <f t="shared" si="64"/>
        <v>17.333333333333332</v>
      </c>
      <c r="AP173" s="422">
        <f t="shared" si="65"/>
        <v>5.3333333333333339</v>
      </c>
      <c r="AQ173" s="423">
        <f t="shared" si="66"/>
        <v>4.3333333333333339</v>
      </c>
      <c r="AR173" s="423">
        <f t="shared" si="67"/>
        <v>0</v>
      </c>
      <c r="AS173" s="423">
        <f t="shared" si="68"/>
        <v>1</v>
      </c>
      <c r="AT173" s="424">
        <f t="shared" si="69"/>
        <v>0</v>
      </c>
      <c r="AU173" s="422">
        <f t="shared" si="70"/>
        <v>12.000000000000002</v>
      </c>
      <c r="AV173" s="423">
        <f t="shared" si="71"/>
        <v>7.3333333333333313</v>
      </c>
      <c r="AW173" s="423">
        <f t="shared" si="72"/>
        <v>0</v>
      </c>
      <c r="AX173" s="423">
        <f t="shared" si="73"/>
        <v>2.6666666666666665</v>
      </c>
      <c r="AY173" s="425">
        <f t="shared" si="74"/>
        <v>1.9999999999999998</v>
      </c>
    </row>
    <row r="174" spans="1:51" ht="13.9">
      <c r="A174" s="447" t="s">
        <v>247</v>
      </c>
      <c r="B174" s="448">
        <v>43313</v>
      </c>
      <c r="C174" s="449">
        <v>2018</v>
      </c>
      <c r="D174" s="421">
        <f t="shared" si="80"/>
        <v>1352521</v>
      </c>
      <c r="E174" s="421">
        <f t="shared" si="80"/>
        <v>21326</v>
      </c>
      <c r="F174" s="422">
        <f t="shared" si="79"/>
        <v>9792</v>
      </c>
      <c r="G174" s="423">
        <f t="shared" si="79"/>
        <v>8108.6666666666661</v>
      </c>
      <c r="H174" s="423">
        <f t="shared" si="79"/>
        <v>0</v>
      </c>
      <c r="I174" s="423">
        <f t="shared" si="79"/>
        <v>1683.3333333333339</v>
      </c>
      <c r="J174" s="424">
        <f t="shared" si="79"/>
        <v>0</v>
      </c>
      <c r="K174" s="422">
        <f t="shared" si="79"/>
        <v>11533.999999999998</v>
      </c>
      <c r="L174" s="423">
        <f t="shared" si="79"/>
        <v>8194.6666666666661</v>
      </c>
      <c r="M174" s="423">
        <f t="shared" si="79"/>
        <v>0</v>
      </c>
      <c r="N174" s="423">
        <f t="shared" si="79"/>
        <v>2064.6666666666665</v>
      </c>
      <c r="O174" s="425">
        <f t="shared" si="79"/>
        <v>1274.6666666666663</v>
      </c>
      <c r="P174" s="526">
        <f t="shared" si="76"/>
        <v>2339.333333333333</v>
      </c>
      <c r="Q174" s="423">
        <f t="shared" si="79"/>
        <v>16.666666666666664</v>
      </c>
      <c r="R174" s="422">
        <f t="shared" si="79"/>
        <v>4.666666666666667</v>
      </c>
      <c r="S174" s="423">
        <f t="shared" si="79"/>
        <v>4.666666666666667</v>
      </c>
      <c r="T174" s="423">
        <f t="shared" si="79"/>
        <v>0</v>
      </c>
      <c r="U174" s="423">
        <f t="shared" si="79"/>
        <v>0</v>
      </c>
      <c r="V174" s="424">
        <f t="shared" si="79"/>
        <v>0</v>
      </c>
      <c r="W174" s="422">
        <f t="shared" si="79"/>
        <v>12.000000000000002</v>
      </c>
      <c r="X174" s="423">
        <f t="shared" si="79"/>
        <v>6.6666666666666643</v>
      </c>
      <c r="Y174" s="423">
        <f t="shared" si="79"/>
        <v>0</v>
      </c>
      <c r="Z174" s="423">
        <f t="shared" si="79"/>
        <v>3.333333333333333</v>
      </c>
      <c r="AA174" s="425">
        <f t="shared" si="79"/>
        <v>1.9999999999999998</v>
      </c>
      <c r="AB174" s="526">
        <f t="shared" si="77"/>
        <v>267.33333333333331</v>
      </c>
      <c r="AC174" s="423">
        <f t="shared" si="81"/>
        <v>1.9999999999999998</v>
      </c>
      <c r="AD174" s="422">
        <f t="shared" si="81"/>
        <v>1</v>
      </c>
      <c r="AE174" s="423">
        <f t="shared" si="81"/>
        <v>0</v>
      </c>
      <c r="AF174" s="423">
        <f t="shared" si="81"/>
        <v>0</v>
      </c>
      <c r="AG174" s="423">
        <f t="shared" si="81"/>
        <v>1</v>
      </c>
      <c r="AH174" s="424">
        <f t="shared" si="81"/>
        <v>0</v>
      </c>
      <c r="AI174" s="422">
        <f t="shared" si="81"/>
        <v>1</v>
      </c>
      <c r="AJ174" s="423">
        <f t="shared" si="81"/>
        <v>1</v>
      </c>
      <c r="AK174" s="423">
        <f t="shared" si="81"/>
        <v>0</v>
      </c>
      <c r="AL174" s="423">
        <f t="shared" si="81"/>
        <v>0</v>
      </c>
      <c r="AM174" s="425">
        <f t="shared" si="81"/>
        <v>0</v>
      </c>
      <c r="AO174" s="421">
        <f t="shared" si="64"/>
        <v>18.666666666666664</v>
      </c>
      <c r="AP174" s="422">
        <f t="shared" si="65"/>
        <v>5.666666666666667</v>
      </c>
      <c r="AQ174" s="423">
        <f t="shared" si="66"/>
        <v>4.666666666666667</v>
      </c>
      <c r="AR174" s="423">
        <f t="shared" si="67"/>
        <v>0</v>
      </c>
      <c r="AS174" s="423">
        <f t="shared" si="68"/>
        <v>1</v>
      </c>
      <c r="AT174" s="424">
        <f t="shared" si="69"/>
        <v>0</v>
      </c>
      <c r="AU174" s="422">
        <f t="shared" si="70"/>
        <v>13.000000000000002</v>
      </c>
      <c r="AV174" s="423">
        <f t="shared" si="71"/>
        <v>7.6666666666666643</v>
      </c>
      <c r="AW174" s="423">
        <f t="shared" si="72"/>
        <v>0</v>
      </c>
      <c r="AX174" s="423">
        <f t="shared" si="73"/>
        <v>3.333333333333333</v>
      </c>
      <c r="AY174" s="425">
        <f t="shared" si="74"/>
        <v>1.9999999999999998</v>
      </c>
    </row>
    <row r="175" spans="1:51" ht="13.9">
      <c r="A175" s="447" t="s">
        <v>247</v>
      </c>
      <c r="B175" s="448">
        <v>43344</v>
      </c>
      <c r="C175" s="449">
        <v>2018</v>
      </c>
      <c r="D175" s="421">
        <f t="shared" si="80"/>
        <v>1425445</v>
      </c>
      <c r="E175" s="421">
        <f t="shared" si="80"/>
        <v>23052</v>
      </c>
      <c r="F175" s="422">
        <f t="shared" si="79"/>
        <v>10634</v>
      </c>
      <c r="G175" s="423">
        <f t="shared" si="79"/>
        <v>8867</v>
      </c>
      <c r="H175" s="423">
        <f t="shared" si="79"/>
        <v>0</v>
      </c>
      <c r="I175" s="423">
        <f t="shared" si="79"/>
        <v>1767.0000000000007</v>
      </c>
      <c r="J175" s="424">
        <f t="shared" si="79"/>
        <v>0</v>
      </c>
      <c r="K175" s="422">
        <f t="shared" si="79"/>
        <v>12417.999999999998</v>
      </c>
      <c r="L175" s="423">
        <f t="shared" si="79"/>
        <v>8729</v>
      </c>
      <c r="M175" s="423">
        <f t="shared" si="79"/>
        <v>0</v>
      </c>
      <c r="N175" s="423">
        <f t="shared" si="79"/>
        <v>2346</v>
      </c>
      <c r="O175" s="425">
        <f t="shared" si="79"/>
        <v>1342.9999999999995</v>
      </c>
      <c r="P175" s="526">
        <f t="shared" si="76"/>
        <v>2468.9999999999995</v>
      </c>
      <c r="Q175" s="423">
        <f t="shared" si="79"/>
        <v>17.999999999999996</v>
      </c>
      <c r="R175" s="422">
        <f t="shared" si="79"/>
        <v>5</v>
      </c>
      <c r="S175" s="423">
        <f t="shared" si="79"/>
        <v>5</v>
      </c>
      <c r="T175" s="423">
        <f t="shared" si="79"/>
        <v>0</v>
      </c>
      <c r="U175" s="423">
        <f t="shared" si="79"/>
        <v>0</v>
      </c>
      <c r="V175" s="424">
        <f t="shared" si="79"/>
        <v>0</v>
      </c>
      <c r="W175" s="422">
        <f t="shared" si="79"/>
        <v>13.000000000000002</v>
      </c>
      <c r="X175" s="423">
        <f t="shared" si="79"/>
        <v>6.9999999999999973</v>
      </c>
      <c r="Y175" s="423">
        <f t="shared" si="79"/>
        <v>0</v>
      </c>
      <c r="Z175" s="423">
        <f t="shared" si="79"/>
        <v>3.9999999999999996</v>
      </c>
      <c r="AA175" s="425">
        <f t="shared" si="79"/>
        <v>1.9999999999999998</v>
      </c>
      <c r="AB175" s="526">
        <f t="shared" si="77"/>
        <v>280</v>
      </c>
      <c r="AC175" s="423">
        <f t="shared" si="81"/>
        <v>1.9999999999999998</v>
      </c>
      <c r="AD175" s="422">
        <f t="shared" si="81"/>
        <v>1</v>
      </c>
      <c r="AE175" s="423">
        <f t="shared" si="81"/>
        <v>0</v>
      </c>
      <c r="AF175" s="423">
        <f t="shared" si="81"/>
        <v>0</v>
      </c>
      <c r="AG175" s="423">
        <f t="shared" si="81"/>
        <v>1</v>
      </c>
      <c r="AH175" s="424">
        <f t="shared" si="81"/>
        <v>0</v>
      </c>
      <c r="AI175" s="422">
        <f t="shared" si="81"/>
        <v>1</v>
      </c>
      <c r="AJ175" s="423">
        <f t="shared" si="81"/>
        <v>1</v>
      </c>
      <c r="AK175" s="423">
        <f t="shared" si="81"/>
        <v>0</v>
      </c>
      <c r="AL175" s="423">
        <f t="shared" si="81"/>
        <v>0</v>
      </c>
      <c r="AM175" s="425">
        <f t="shared" si="81"/>
        <v>0</v>
      </c>
      <c r="AO175" s="421">
        <f t="shared" si="64"/>
        <v>19.999999999999996</v>
      </c>
      <c r="AP175" s="422">
        <f t="shared" si="65"/>
        <v>6</v>
      </c>
      <c r="AQ175" s="423">
        <f t="shared" si="66"/>
        <v>5</v>
      </c>
      <c r="AR175" s="423">
        <f t="shared" si="67"/>
        <v>0</v>
      </c>
      <c r="AS175" s="423">
        <f t="shared" si="68"/>
        <v>1</v>
      </c>
      <c r="AT175" s="424">
        <f t="shared" si="69"/>
        <v>0</v>
      </c>
      <c r="AU175" s="422">
        <f t="shared" si="70"/>
        <v>14.000000000000002</v>
      </c>
      <c r="AV175" s="423">
        <f t="shared" si="71"/>
        <v>7.9999999999999973</v>
      </c>
      <c r="AW175" s="423">
        <f t="shared" si="72"/>
        <v>0</v>
      </c>
      <c r="AX175" s="423">
        <f t="shared" si="73"/>
        <v>3.9999999999999996</v>
      </c>
      <c r="AY175" s="425">
        <f t="shared" si="74"/>
        <v>1.9999999999999998</v>
      </c>
    </row>
    <row r="176" spans="1:51" ht="13.9">
      <c r="A176" s="447" t="s">
        <v>248</v>
      </c>
      <c r="B176" s="448">
        <v>43374</v>
      </c>
      <c r="C176" s="449">
        <v>2018</v>
      </c>
      <c r="D176" s="421">
        <f t="shared" si="80"/>
        <v>1483619.3333333333</v>
      </c>
      <c r="E176" s="421">
        <f t="shared" si="80"/>
        <v>23680.666666666668</v>
      </c>
      <c r="F176" s="422">
        <f t="shared" si="79"/>
        <v>11015.666666666666</v>
      </c>
      <c r="G176" s="423">
        <f t="shared" si="79"/>
        <v>9194</v>
      </c>
      <c r="H176" s="423">
        <f t="shared" si="79"/>
        <v>0</v>
      </c>
      <c r="I176" s="423">
        <f t="shared" si="79"/>
        <v>1821.6666666666674</v>
      </c>
      <c r="J176" s="424">
        <f t="shared" si="79"/>
        <v>0</v>
      </c>
      <c r="K176" s="422">
        <f t="shared" si="79"/>
        <v>12664.999999999998</v>
      </c>
      <c r="L176" s="423">
        <f t="shared" si="79"/>
        <v>8877.6666666666661</v>
      </c>
      <c r="M176" s="423">
        <f t="shared" si="79"/>
        <v>0</v>
      </c>
      <c r="N176" s="423">
        <f t="shared" si="79"/>
        <v>2426.6666666666665</v>
      </c>
      <c r="O176" s="425">
        <f t="shared" si="79"/>
        <v>1360.6666666666663</v>
      </c>
      <c r="P176" s="526">
        <f t="shared" si="76"/>
        <v>2559.333333333333</v>
      </c>
      <c r="Q176" s="423">
        <f t="shared" si="79"/>
        <v>17.999999999999996</v>
      </c>
      <c r="R176" s="422">
        <f t="shared" si="79"/>
        <v>5</v>
      </c>
      <c r="S176" s="423">
        <f t="shared" si="79"/>
        <v>5</v>
      </c>
      <c r="T176" s="423">
        <f t="shared" si="79"/>
        <v>0</v>
      </c>
      <c r="U176" s="423">
        <f t="shared" si="79"/>
        <v>0</v>
      </c>
      <c r="V176" s="424">
        <f t="shared" si="79"/>
        <v>0</v>
      </c>
      <c r="W176" s="422">
        <f t="shared" si="79"/>
        <v>13.000000000000002</v>
      </c>
      <c r="X176" s="423">
        <f t="shared" si="79"/>
        <v>6.9999999999999973</v>
      </c>
      <c r="Y176" s="423">
        <f t="shared" si="79"/>
        <v>0</v>
      </c>
      <c r="Z176" s="423">
        <f t="shared" si="79"/>
        <v>3.9999999999999996</v>
      </c>
      <c r="AA176" s="425">
        <f t="shared" si="79"/>
        <v>1.9999999999999998</v>
      </c>
      <c r="AB176" s="526">
        <f t="shared" si="77"/>
        <v>290.33333333333331</v>
      </c>
      <c r="AC176" s="423">
        <f t="shared" si="81"/>
        <v>1.9999999999999998</v>
      </c>
      <c r="AD176" s="422">
        <f t="shared" si="81"/>
        <v>1</v>
      </c>
      <c r="AE176" s="423">
        <f t="shared" si="81"/>
        <v>0</v>
      </c>
      <c r="AF176" s="423">
        <f t="shared" si="81"/>
        <v>0</v>
      </c>
      <c r="AG176" s="423">
        <f t="shared" si="81"/>
        <v>1</v>
      </c>
      <c r="AH176" s="424">
        <f t="shared" si="81"/>
        <v>0</v>
      </c>
      <c r="AI176" s="422">
        <f t="shared" si="81"/>
        <v>1</v>
      </c>
      <c r="AJ176" s="423">
        <f t="shared" si="81"/>
        <v>1</v>
      </c>
      <c r="AK176" s="423">
        <f t="shared" si="81"/>
        <v>0</v>
      </c>
      <c r="AL176" s="423">
        <f t="shared" si="81"/>
        <v>0</v>
      </c>
      <c r="AM176" s="425">
        <f t="shared" si="81"/>
        <v>0</v>
      </c>
      <c r="AO176" s="421">
        <f t="shared" si="64"/>
        <v>19.999999999999996</v>
      </c>
      <c r="AP176" s="422">
        <f t="shared" si="65"/>
        <v>6</v>
      </c>
      <c r="AQ176" s="423">
        <f t="shared" si="66"/>
        <v>5</v>
      </c>
      <c r="AR176" s="423">
        <f t="shared" si="67"/>
        <v>0</v>
      </c>
      <c r="AS176" s="423">
        <f t="shared" si="68"/>
        <v>1</v>
      </c>
      <c r="AT176" s="424">
        <f t="shared" si="69"/>
        <v>0</v>
      </c>
      <c r="AU176" s="422">
        <f t="shared" si="70"/>
        <v>14.000000000000002</v>
      </c>
      <c r="AV176" s="423">
        <f t="shared" si="71"/>
        <v>7.9999999999999973</v>
      </c>
      <c r="AW176" s="423">
        <f t="shared" si="72"/>
        <v>0</v>
      </c>
      <c r="AX176" s="423">
        <f t="shared" si="73"/>
        <v>3.9999999999999996</v>
      </c>
      <c r="AY176" s="425">
        <f t="shared" si="74"/>
        <v>1.9999999999999998</v>
      </c>
    </row>
    <row r="177" spans="1:51" ht="13.9">
      <c r="A177" s="447" t="s">
        <v>248</v>
      </c>
      <c r="B177" s="448">
        <v>43405</v>
      </c>
      <c r="C177" s="449">
        <v>2018</v>
      </c>
      <c r="D177" s="421">
        <f t="shared" si="80"/>
        <v>1541793.6666666665</v>
      </c>
      <c r="E177" s="421">
        <f t="shared" si="80"/>
        <v>24309.333333333336</v>
      </c>
      <c r="F177" s="422">
        <f t="shared" si="79"/>
        <v>11397.333333333332</v>
      </c>
      <c r="G177" s="423">
        <f t="shared" si="79"/>
        <v>9521</v>
      </c>
      <c r="H177" s="423">
        <f t="shared" si="79"/>
        <v>0</v>
      </c>
      <c r="I177" s="423">
        <f t="shared" si="79"/>
        <v>1876.3333333333342</v>
      </c>
      <c r="J177" s="424">
        <f t="shared" si="79"/>
        <v>0</v>
      </c>
      <c r="K177" s="422">
        <f t="shared" si="79"/>
        <v>12911.999999999998</v>
      </c>
      <c r="L177" s="423">
        <f t="shared" si="79"/>
        <v>9026.3333333333321</v>
      </c>
      <c r="M177" s="423">
        <f t="shared" si="79"/>
        <v>0</v>
      </c>
      <c r="N177" s="423">
        <f t="shared" si="79"/>
        <v>2507.333333333333</v>
      </c>
      <c r="O177" s="425">
        <f t="shared" si="79"/>
        <v>1378.333333333333</v>
      </c>
      <c r="P177" s="526">
        <f t="shared" si="76"/>
        <v>2649.6666666666665</v>
      </c>
      <c r="Q177" s="423">
        <f t="shared" si="79"/>
        <v>17.999999999999996</v>
      </c>
      <c r="R177" s="422">
        <f t="shared" si="79"/>
        <v>5</v>
      </c>
      <c r="S177" s="423">
        <f t="shared" si="79"/>
        <v>5</v>
      </c>
      <c r="T177" s="423">
        <f t="shared" si="79"/>
        <v>0</v>
      </c>
      <c r="U177" s="423">
        <f t="shared" si="79"/>
        <v>0</v>
      </c>
      <c r="V177" s="424">
        <f t="shared" si="79"/>
        <v>0</v>
      </c>
      <c r="W177" s="422">
        <f t="shared" si="79"/>
        <v>13.000000000000002</v>
      </c>
      <c r="X177" s="423">
        <f t="shared" si="79"/>
        <v>6.9999999999999973</v>
      </c>
      <c r="Y177" s="423">
        <f t="shared" si="79"/>
        <v>0</v>
      </c>
      <c r="Z177" s="423">
        <f t="shared" si="79"/>
        <v>3.9999999999999996</v>
      </c>
      <c r="AA177" s="425">
        <f t="shared" si="79"/>
        <v>1.9999999999999998</v>
      </c>
      <c r="AB177" s="526">
        <f t="shared" si="77"/>
        <v>300.66666666666663</v>
      </c>
      <c r="AC177" s="423">
        <f t="shared" si="81"/>
        <v>1.9999999999999998</v>
      </c>
      <c r="AD177" s="422">
        <f t="shared" si="81"/>
        <v>1</v>
      </c>
      <c r="AE177" s="423">
        <f t="shared" si="81"/>
        <v>0</v>
      </c>
      <c r="AF177" s="423">
        <f t="shared" si="81"/>
        <v>0</v>
      </c>
      <c r="AG177" s="423">
        <f t="shared" si="81"/>
        <v>1</v>
      </c>
      <c r="AH177" s="424">
        <f t="shared" si="81"/>
        <v>0</v>
      </c>
      <c r="AI177" s="422">
        <f t="shared" si="81"/>
        <v>1</v>
      </c>
      <c r="AJ177" s="423">
        <f t="shared" si="81"/>
        <v>1</v>
      </c>
      <c r="AK177" s="423">
        <f t="shared" si="81"/>
        <v>0</v>
      </c>
      <c r="AL177" s="423">
        <f t="shared" si="81"/>
        <v>0</v>
      </c>
      <c r="AM177" s="425">
        <f t="shared" si="81"/>
        <v>0</v>
      </c>
      <c r="AO177" s="421">
        <f t="shared" si="64"/>
        <v>19.999999999999996</v>
      </c>
      <c r="AP177" s="422">
        <f t="shared" si="65"/>
        <v>6</v>
      </c>
      <c r="AQ177" s="423">
        <f t="shared" si="66"/>
        <v>5</v>
      </c>
      <c r="AR177" s="423">
        <f t="shared" si="67"/>
        <v>0</v>
      </c>
      <c r="AS177" s="423">
        <f t="shared" si="68"/>
        <v>1</v>
      </c>
      <c r="AT177" s="424">
        <f t="shared" si="69"/>
        <v>0</v>
      </c>
      <c r="AU177" s="422">
        <f t="shared" si="70"/>
        <v>14.000000000000002</v>
      </c>
      <c r="AV177" s="423">
        <f t="shared" si="71"/>
        <v>7.9999999999999973</v>
      </c>
      <c r="AW177" s="423">
        <f t="shared" si="72"/>
        <v>0</v>
      </c>
      <c r="AX177" s="423">
        <f t="shared" si="73"/>
        <v>3.9999999999999996</v>
      </c>
      <c r="AY177" s="425">
        <f t="shared" si="74"/>
        <v>1.9999999999999998</v>
      </c>
    </row>
    <row r="178" spans="1:51" ht="13.9">
      <c r="A178" s="447" t="s">
        <v>248</v>
      </c>
      <c r="B178" s="448">
        <v>43435</v>
      </c>
      <c r="C178" s="449">
        <v>2018</v>
      </c>
      <c r="D178" s="421">
        <f t="shared" si="80"/>
        <v>1599967.9999999998</v>
      </c>
      <c r="E178" s="421">
        <f t="shared" si="80"/>
        <v>24938.000000000004</v>
      </c>
      <c r="F178" s="422">
        <f t="shared" si="79"/>
        <v>11778.999999999998</v>
      </c>
      <c r="G178" s="423">
        <f t="shared" si="79"/>
        <v>9848</v>
      </c>
      <c r="H178" s="423">
        <f t="shared" si="79"/>
        <v>0</v>
      </c>
      <c r="I178" s="423">
        <f t="shared" si="79"/>
        <v>1931.0000000000009</v>
      </c>
      <c r="J178" s="424">
        <f t="shared" si="79"/>
        <v>0</v>
      </c>
      <c r="K178" s="422">
        <f t="shared" si="79"/>
        <v>13158.999999999998</v>
      </c>
      <c r="L178" s="423">
        <f t="shared" si="79"/>
        <v>9174.9999999999982</v>
      </c>
      <c r="M178" s="423">
        <f t="shared" si="79"/>
        <v>0</v>
      </c>
      <c r="N178" s="423">
        <f t="shared" si="79"/>
        <v>2587.9999999999995</v>
      </c>
      <c r="O178" s="425">
        <f t="shared" si="79"/>
        <v>1395.9999999999998</v>
      </c>
      <c r="P178" s="526">
        <f t="shared" si="76"/>
        <v>2740</v>
      </c>
      <c r="Q178" s="423">
        <f t="shared" si="79"/>
        <v>17.999999999999996</v>
      </c>
      <c r="R178" s="422">
        <f t="shared" si="79"/>
        <v>5</v>
      </c>
      <c r="S178" s="423">
        <f t="shared" si="79"/>
        <v>5</v>
      </c>
      <c r="T178" s="423">
        <f t="shared" si="79"/>
        <v>0</v>
      </c>
      <c r="U178" s="423">
        <f t="shared" si="79"/>
        <v>0</v>
      </c>
      <c r="V178" s="424">
        <f t="shared" si="79"/>
        <v>0</v>
      </c>
      <c r="W178" s="422">
        <f t="shared" si="79"/>
        <v>13.000000000000002</v>
      </c>
      <c r="X178" s="423">
        <f t="shared" si="79"/>
        <v>6.9999999999999973</v>
      </c>
      <c r="Y178" s="423">
        <f t="shared" si="79"/>
        <v>0</v>
      </c>
      <c r="Z178" s="423">
        <f t="shared" si="79"/>
        <v>3.9999999999999996</v>
      </c>
      <c r="AA178" s="425">
        <f t="shared" si="79"/>
        <v>1.9999999999999998</v>
      </c>
      <c r="AB178" s="526">
        <f t="shared" si="77"/>
        <v>310.99999999999994</v>
      </c>
      <c r="AC178" s="423">
        <f t="shared" si="81"/>
        <v>1.9999999999999998</v>
      </c>
      <c r="AD178" s="422">
        <f t="shared" si="81"/>
        <v>1</v>
      </c>
      <c r="AE178" s="423">
        <f t="shared" si="81"/>
        <v>0</v>
      </c>
      <c r="AF178" s="423">
        <f t="shared" si="81"/>
        <v>0</v>
      </c>
      <c r="AG178" s="423">
        <f t="shared" si="81"/>
        <v>1</v>
      </c>
      <c r="AH178" s="424">
        <f t="shared" si="81"/>
        <v>0</v>
      </c>
      <c r="AI178" s="422">
        <f t="shared" si="81"/>
        <v>1</v>
      </c>
      <c r="AJ178" s="423">
        <f t="shared" si="81"/>
        <v>1</v>
      </c>
      <c r="AK178" s="423">
        <f t="shared" si="81"/>
        <v>0</v>
      </c>
      <c r="AL178" s="423">
        <f t="shared" si="81"/>
        <v>0</v>
      </c>
      <c r="AM178" s="425">
        <f t="shared" si="81"/>
        <v>0</v>
      </c>
      <c r="AO178" s="421">
        <f t="shared" si="64"/>
        <v>19.999999999999996</v>
      </c>
      <c r="AP178" s="422">
        <f t="shared" si="65"/>
        <v>6</v>
      </c>
      <c r="AQ178" s="423">
        <f t="shared" si="66"/>
        <v>5</v>
      </c>
      <c r="AR178" s="423">
        <f t="shared" si="67"/>
        <v>0</v>
      </c>
      <c r="AS178" s="423">
        <f t="shared" si="68"/>
        <v>1</v>
      </c>
      <c r="AT178" s="424">
        <f t="shared" si="69"/>
        <v>0</v>
      </c>
      <c r="AU178" s="422">
        <f t="shared" si="70"/>
        <v>14.000000000000002</v>
      </c>
      <c r="AV178" s="423">
        <f t="shared" si="71"/>
        <v>7.9999999999999973</v>
      </c>
      <c r="AW178" s="423">
        <f t="shared" si="72"/>
        <v>0</v>
      </c>
      <c r="AX178" s="423">
        <f t="shared" si="73"/>
        <v>3.9999999999999996</v>
      </c>
      <c r="AY178" s="425">
        <f t="shared" si="74"/>
        <v>1.9999999999999998</v>
      </c>
    </row>
    <row r="179" spans="1:51" ht="13.9">
      <c r="A179" s="447" t="s">
        <v>249</v>
      </c>
      <c r="B179" s="448">
        <v>43466</v>
      </c>
      <c r="C179" s="449">
        <v>2019</v>
      </c>
      <c r="D179" s="421">
        <f t="shared" si="80"/>
        <v>1656287.6666666665</v>
      </c>
      <c r="E179" s="421">
        <f t="shared" si="80"/>
        <v>25385.666666666672</v>
      </c>
      <c r="F179" s="422">
        <f t="shared" si="79"/>
        <v>12062.333333333332</v>
      </c>
      <c r="G179" s="423">
        <f t="shared" si="79"/>
        <v>10036.333333333334</v>
      </c>
      <c r="H179" s="423">
        <f t="shared" si="79"/>
        <v>0</v>
      </c>
      <c r="I179" s="423">
        <f t="shared" ref="I179:AA193" si="82">I68/3+I178</f>
        <v>2026.0000000000009</v>
      </c>
      <c r="J179" s="424">
        <f t="shared" si="82"/>
        <v>0</v>
      </c>
      <c r="K179" s="422">
        <f t="shared" si="82"/>
        <v>13323.333333333332</v>
      </c>
      <c r="L179" s="423">
        <f t="shared" si="82"/>
        <v>9268.3333333333321</v>
      </c>
      <c r="M179" s="423">
        <f t="shared" si="82"/>
        <v>0</v>
      </c>
      <c r="N179" s="423">
        <f t="shared" si="82"/>
        <v>2650.9999999999995</v>
      </c>
      <c r="O179" s="425">
        <f t="shared" si="82"/>
        <v>1403.9999999999998</v>
      </c>
      <c r="P179" s="526">
        <f t="shared" si="76"/>
        <v>2829.3333333333335</v>
      </c>
      <c r="Q179" s="423">
        <f t="shared" si="82"/>
        <v>17.999999999999996</v>
      </c>
      <c r="R179" s="422">
        <f t="shared" si="82"/>
        <v>5</v>
      </c>
      <c r="S179" s="423">
        <f t="shared" si="82"/>
        <v>5</v>
      </c>
      <c r="T179" s="423">
        <f t="shared" si="82"/>
        <v>0</v>
      </c>
      <c r="U179" s="423">
        <f t="shared" si="82"/>
        <v>0</v>
      </c>
      <c r="V179" s="424">
        <f t="shared" si="82"/>
        <v>0</v>
      </c>
      <c r="W179" s="422">
        <f t="shared" si="82"/>
        <v>13.000000000000002</v>
      </c>
      <c r="X179" s="423">
        <f t="shared" si="82"/>
        <v>6.9999999999999973</v>
      </c>
      <c r="Y179" s="423">
        <f t="shared" si="82"/>
        <v>0</v>
      </c>
      <c r="Z179" s="423">
        <f t="shared" si="82"/>
        <v>3.9999999999999996</v>
      </c>
      <c r="AA179" s="425">
        <f t="shared" si="82"/>
        <v>1.9999999999999998</v>
      </c>
      <c r="AB179" s="526">
        <f t="shared" si="77"/>
        <v>321.66666666666663</v>
      </c>
      <c r="AC179" s="423">
        <f t="shared" si="81"/>
        <v>1.9999999999999998</v>
      </c>
      <c r="AD179" s="422">
        <f t="shared" si="81"/>
        <v>1</v>
      </c>
      <c r="AE179" s="423">
        <f t="shared" si="81"/>
        <v>0</v>
      </c>
      <c r="AF179" s="423">
        <f t="shared" si="81"/>
        <v>0</v>
      </c>
      <c r="AG179" s="423">
        <f t="shared" si="81"/>
        <v>1</v>
      </c>
      <c r="AH179" s="424">
        <f t="shared" si="81"/>
        <v>0</v>
      </c>
      <c r="AI179" s="422">
        <f t="shared" si="81"/>
        <v>1</v>
      </c>
      <c r="AJ179" s="423">
        <f t="shared" si="81"/>
        <v>1</v>
      </c>
      <c r="AK179" s="423">
        <f t="shared" si="81"/>
        <v>0</v>
      </c>
      <c r="AL179" s="423">
        <f t="shared" si="81"/>
        <v>0</v>
      </c>
      <c r="AM179" s="425">
        <f t="shared" si="81"/>
        <v>0</v>
      </c>
      <c r="AO179" s="421">
        <f t="shared" si="64"/>
        <v>19.999999999999996</v>
      </c>
      <c r="AP179" s="422">
        <f t="shared" si="65"/>
        <v>6</v>
      </c>
      <c r="AQ179" s="423">
        <f t="shared" si="66"/>
        <v>5</v>
      </c>
      <c r="AR179" s="423">
        <f t="shared" si="67"/>
        <v>0</v>
      </c>
      <c r="AS179" s="423">
        <f t="shared" si="68"/>
        <v>1</v>
      </c>
      <c r="AT179" s="424">
        <f t="shared" si="69"/>
        <v>0</v>
      </c>
      <c r="AU179" s="422">
        <f t="shared" si="70"/>
        <v>14.000000000000002</v>
      </c>
      <c r="AV179" s="423">
        <f t="shared" si="71"/>
        <v>7.9999999999999973</v>
      </c>
      <c r="AW179" s="423">
        <f t="shared" si="72"/>
        <v>0</v>
      </c>
      <c r="AX179" s="423">
        <f t="shared" si="73"/>
        <v>3.9999999999999996</v>
      </c>
      <c r="AY179" s="425">
        <f t="shared" si="74"/>
        <v>1.9999999999999998</v>
      </c>
    </row>
    <row r="180" spans="1:51" ht="13.9">
      <c r="A180" s="447" t="s">
        <v>249</v>
      </c>
      <c r="B180" s="448">
        <v>43497</v>
      </c>
      <c r="C180" s="449">
        <v>2019</v>
      </c>
      <c r="D180" s="421">
        <f t="shared" si="80"/>
        <v>1712607.3333333333</v>
      </c>
      <c r="E180" s="421">
        <f t="shared" si="80"/>
        <v>25833.333333333339</v>
      </c>
      <c r="F180" s="422">
        <f t="shared" si="80"/>
        <v>12345.666666666666</v>
      </c>
      <c r="G180" s="423">
        <f t="shared" si="80"/>
        <v>10224.666666666668</v>
      </c>
      <c r="H180" s="423">
        <f t="shared" si="80"/>
        <v>0</v>
      </c>
      <c r="I180" s="423">
        <f t="shared" si="82"/>
        <v>2121.0000000000009</v>
      </c>
      <c r="J180" s="424">
        <f t="shared" si="82"/>
        <v>0</v>
      </c>
      <c r="K180" s="422">
        <f t="shared" si="82"/>
        <v>13487.666666666666</v>
      </c>
      <c r="L180" s="423">
        <f t="shared" si="82"/>
        <v>9361.6666666666661</v>
      </c>
      <c r="M180" s="423">
        <f t="shared" si="82"/>
        <v>0</v>
      </c>
      <c r="N180" s="423">
        <f t="shared" si="82"/>
        <v>2713.9999999999995</v>
      </c>
      <c r="O180" s="425">
        <f t="shared" si="82"/>
        <v>1411.9999999999998</v>
      </c>
      <c r="P180" s="526">
        <f t="shared" si="76"/>
        <v>2918.666666666667</v>
      </c>
      <c r="Q180" s="423">
        <f t="shared" si="82"/>
        <v>17.999999999999996</v>
      </c>
      <c r="R180" s="422">
        <f t="shared" si="82"/>
        <v>5</v>
      </c>
      <c r="S180" s="423">
        <f t="shared" si="82"/>
        <v>5</v>
      </c>
      <c r="T180" s="423">
        <f t="shared" si="82"/>
        <v>0</v>
      </c>
      <c r="U180" s="423">
        <f t="shared" si="82"/>
        <v>0</v>
      </c>
      <c r="V180" s="424">
        <f t="shared" si="82"/>
        <v>0</v>
      </c>
      <c r="W180" s="422">
        <f t="shared" si="82"/>
        <v>13.000000000000002</v>
      </c>
      <c r="X180" s="423">
        <f t="shared" si="82"/>
        <v>6.9999999999999973</v>
      </c>
      <c r="Y180" s="423">
        <f t="shared" si="82"/>
        <v>0</v>
      </c>
      <c r="Z180" s="423">
        <f t="shared" si="82"/>
        <v>3.9999999999999996</v>
      </c>
      <c r="AA180" s="425">
        <f t="shared" si="82"/>
        <v>1.9999999999999998</v>
      </c>
      <c r="AB180" s="526">
        <f t="shared" si="77"/>
        <v>332.33333333333331</v>
      </c>
      <c r="AC180" s="423">
        <f t="shared" si="81"/>
        <v>1.9999999999999998</v>
      </c>
      <c r="AD180" s="422">
        <f t="shared" si="81"/>
        <v>1</v>
      </c>
      <c r="AE180" s="423">
        <f t="shared" si="81"/>
        <v>0</v>
      </c>
      <c r="AF180" s="423">
        <f t="shared" si="81"/>
        <v>0</v>
      </c>
      <c r="AG180" s="423">
        <f t="shared" si="81"/>
        <v>1</v>
      </c>
      <c r="AH180" s="424">
        <f t="shared" si="81"/>
        <v>0</v>
      </c>
      <c r="AI180" s="422">
        <f t="shared" si="81"/>
        <v>1</v>
      </c>
      <c r="AJ180" s="423">
        <f t="shared" si="81"/>
        <v>1</v>
      </c>
      <c r="AK180" s="423">
        <f t="shared" si="81"/>
        <v>0</v>
      </c>
      <c r="AL180" s="423">
        <f t="shared" si="81"/>
        <v>0</v>
      </c>
      <c r="AM180" s="425">
        <f t="shared" si="81"/>
        <v>0</v>
      </c>
      <c r="AO180" s="421">
        <f t="shared" si="64"/>
        <v>19.999999999999996</v>
      </c>
      <c r="AP180" s="422">
        <f t="shared" si="65"/>
        <v>6</v>
      </c>
      <c r="AQ180" s="423">
        <f t="shared" si="66"/>
        <v>5</v>
      </c>
      <c r="AR180" s="423">
        <f t="shared" si="67"/>
        <v>0</v>
      </c>
      <c r="AS180" s="423">
        <f t="shared" si="68"/>
        <v>1</v>
      </c>
      <c r="AT180" s="424">
        <f t="shared" si="69"/>
        <v>0</v>
      </c>
      <c r="AU180" s="422">
        <f t="shared" si="70"/>
        <v>14.000000000000002</v>
      </c>
      <c r="AV180" s="423">
        <f t="shared" si="71"/>
        <v>7.9999999999999973</v>
      </c>
      <c r="AW180" s="423">
        <f t="shared" si="72"/>
        <v>0</v>
      </c>
      <c r="AX180" s="423">
        <f t="shared" si="73"/>
        <v>3.9999999999999996</v>
      </c>
      <c r="AY180" s="425">
        <f t="shared" si="74"/>
        <v>1.9999999999999998</v>
      </c>
    </row>
    <row r="181" spans="1:51" ht="13.9">
      <c r="A181" s="447" t="s">
        <v>249</v>
      </c>
      <c r="B181" s="448">
        <v>43525</v>
      </c>
      <c r="C181" s="449">
        <v>2019</v>
      </c>
      <c r="D181" s="421">
        <f t="shared" si="80"/>
        <v>1768927</v>
      </c>
      <c r="E181" s="421">
        <f t="shared" si="80"/>
        <v>26281.000000000007</v>
      </c>
      <c r="F181" s="422">
        <f t="shared" si="80"/>
        <v>12629</v>
      </c>
      <c r="G181" s="423">
        <f t="shared" si="80"/>
        <v>10413.000000000002</v>
      </c>
      <c r="H181" s="423">
        <f t="shared" si="80"/>
        <v>0</v>
      </c>
      <c r="I181" s="423">
        <f t="shared" si="82"/>
        <v>2216.0000000000009</v>
      </c>
      <c r="J181" s="424">
        <f t="shared" si="82"/>
        <v>0</v>
      </c>
      <c r="K181" s="422">
        <f t="shared" si="82"/>
        <v>13652</v>
      </c>
      <c r="L181" s="423">
        <f t="shared" si="82"/>
        <v>9455</v>
      </c>
      <c r="M181" s="423">
        <f t="shared" si="82"/>
        <v>0</v>
      </c>
      <c r="N181" s="423">
        <f t="shared" si="82"/>
        <v>2776.9999999999995</v>
      </c>
      <c r="O181" s="425">
        <f t="shared" si="82"/>
        <v>1419.9999999999998</v>
      </c>
      <c r="P181" s="526">
        <f t="shared" si="76"/>
        <v>3008.0000000000005</v>
      </c>
      <c r="Q181" s="423">
        <f t="shared" si="82"/>
        <v>17.999999999999996</v>
      </c>
      <c r="R181" s="422">
        <f t="shared" si="82"/>
        <v>5</v>
      </c>
      <c r="S181" s="423">
        <f t="shared" si="82"/>
        <v>5</v>
      </c>
      <c r="T181" s="423">
        <f t="shared" si="82"/>
        <v>0</v>
      </c>
      <c r="U181" s="423">
        <f t="shared" si="82"/>
        <v>0</v>
      </c>
      <c r="V181" s="424">
        <f t="shared" si="82"/>
        <v>0</v>
      </c>
      <c r="W181" s="422">
        <f t="shared" si="82"/>
        <v>13.000000000000002</v>
      </c>
      <c r="X181" s="423">
        <f t="shared" si="82"/>
        <v>6.9999999999999973</v>
      </c>
      <c r="Y181" s="423">
        <f t="shared" si="82"/>
        <v>0</v>
      </c>
      <c r="Z181" s="423">
        <f t="shared" si="82"/>
        <v>3.9999999999999996</v>
      </c>
      <c r="AA181" s="425">
        <f t="shared" si="82"/>
        <v>1.9999999999999998</v>
      </c>
      <c r="AB181" s="526">
        <f t="shared" si="77"/>
        <v>343</v>
      </c>
      <c r="AC181" s="423">
        <f t="shared" si="81"/>
        <v>1.9999999999999998</v>
      </c>
      <c r="AD181" s="422">
        <f t="shared" si="81"/>
        <v>1</v>
      </c>
      <c r="AE181" s="423">
        <f t="shared" si="81"/>
        <v>0</v>
      </c>
      <c r="AF181" s="423">
        <f t="shared" si="81"/>
        <v>0</v>
      </c>
      <c r="AG181" s="423">
        <f t="shared" si="81"/>
        <v>1</v>
      </c>
      <c r="AH181" s="424">
        <f t="shared" si="81"/>
        <v>0</v>
      </c>
      <c r="AI181" s="422">
        <f t="shared" si="81"/>
        <v>1</v>
      </c>
      <c r="AJ181" s="423">
        <f t="shared" si="81"/>
        <v>1</v>
      </c>
      <c r="AK181" s="423">
        <f t="shared" si="81"/>
        <v>0</v>
      </c>
      <c r="AL181" s="423">
        <f t="shared" si="81"/>
        <v>0</v>
      </c>
      <c r="AM181" s="425">
        <f t="shared" si="81"/>
        <v>0</v>
      </c>
      <c r="AO181" s="421">
        <f t="shared" si="64"/>
        <v>19.999999999999996</v>
      </c>
      <c r="AP181" s="422">
        <f t="shared" si="65"/>
        <v>6</v>
      </c>
      <c r="AQ181" s="423">
        <f t="shared" si="66"/>
        <v>5</v>
      </c>
      <c r="AR181" s="423">
        <f t="shared" si="67"/>
        <v>0</v>
      </c>
      <c r="AS181" s="423">
        <f t="shared" si="68"/>
        <v>1</v>
      </c>
      <c r="AT181" s="424">
        <f t="shared" si="69"/>
        <v>0</v>
      </c>
      <c r="AU181" s="422">
        <f t="shared" si="70"/>
        <v>14.000000000000002</v>
      </c>
      <c r="AV181" s="423">
        <f t="shared" si="71"/>
        <v>7.9999999999999973</v>
      </c>
      <c r="AW181" s="423">
        <f t="shared" si="72"/>
        <v>0</v>
      </c>
      <c r="AX181" s="423">
        <f t="shared" si="73"/>
        <v>3.9999999999999996</v>
      </c>
      <c r="AY181" s="425">
        <f t="shared" si="74"/>
        <v>1.9999999999999998</v>
      </c>
    </row>
    <row r="182" spans="1:51" ht="13.9">
      <c r="A182" s="447" t="s">
        <v>250</v>
      </c>
      <c r="B182" s="448">
        <v>43556</v>
      </c>
      <c r="C182" s="449">
        <v>2019</v>
      </c>
      <c r="D182" s="421">
        <f t="shared" si="80"/>
        <v>1843191</v>
      </c>
      <c r="E182" s="421">
        <f t="shared" si="80"/>
        <v>27239.333333333339</v>
      </c>
      <c r="F182" s="422">
        <f t="shared" si="80"/>
        <v>13293</v>
      </c>
      <c r="G182" s="423">
        <f t="shared" si="80"/>
        <v>10965.000000000002</v>
      </c>
      <c r="H182" s="423">
        <f t="shared" si="80"/>
        <v>0</v>
      </c>
      <c r="I182" s="423">
        <f t="shared" si="82"/>
        <v>2328.0000000000009</v>
      </c>
      <c r="J182" s="424">
        <f t="shared" si="82"/>
        <v>0</v>
      </c>
      <c r="K182" s="422">
        <f t="shared" si="82"/>
        <v>13946.333333333334</v>
      </c>
      <c r="L182" s="423">
        <f t="shared" si="82"/>
        <v>9620.6666666666661</v>
      </c>
      <c r="M182" s="423">
        <f t="shared" si="82"/>
        <v>0</v>
      </c>
      <c r="N182" s="423">
        <f t="shared" si="82"/>
        <v>2893.333333333333</v>
      </c>
      <c r="O182" s="425">
        <f t="shared" si="82"/>
        <v>1432.333333333333</v>
      </c>
      <c r="P182" s="526">
        <f t="shared" si="76"/>
        <v>3133.3333333333339</v>
      </c>
      <c r="Q182" s="423">
        <f t="shared" si="82"/>
        <v>19.333333333333329</v>
      </c>
      <c r="R182" s="422">
        <f t="shared" si="82"/>
        <v>5.666666666666667</v>
      </c>
      <c r="S182" s="423">
        <f t="shared" si="82"/>
        <v>5.666666666666667</v>
      </c>
      <c r="T182" s="423">
        <f t="shared" si="82"/>
        <v>0</v>
      </c>
      <c r="U182" s="423">
        <f t="shared" si="82"/>
        <v>0</v>
      </c>
      <c r="V182" s="424">
        <f t="shared" si="82"/>
        <v>0</v>
      </c>
      <c r="W182" s="422">
        <f t="shared" si="82"/>
        <v>13.666666666666668</v>
      </c>
      <c r="X182" s="423">
        <f t="shared" si="82"/>
        <v>7.3333333333333304</v>
      </c>
      <c r="Y182" s="423">
        <f t="shared" si="82"/>
        <v>0</v>
      </c>
      <c r="Z182" s="423">
        <f t="shared" si="82"/>
        <v>4.333333333333333</v>
      </c>
      <c r="AA182" s="425">
        <f t="shared" si="82"/>
        <v>1.9999999999999998</v>
      </c>
      <c r="AB182" s="526">
        <f t="shared" si="77"/>
        <v>357.33333333333331</v>
      </c>
      <c r="AC182" s="423">
        <f t="shared" si="81"/>
        <v>1.9999999999999998</v>
      </c>
      <c r="AD182" s="422">
        <f t="shared" si="81"/>
        <v>1</v>
      </c>
      <c r="AE182" s="423">
        <f t="shared" si="81"/>
        <v>0</v>
      </c>
      <c r="AF182" s="423">
        <f t="shared" si="81"/>
        <v>0</v>
      </c>
      <c r="AG182" s="423">
        <f t="shared" si="81"/>
        <v>1</v>
      </c>
      <c r="AH182" s="424">
        <f t="shared" si="81"/>
        <v>0</v>
      </c>
      <c r="AI182" s="422">
        <f t="shared" si="81"/>
        <v>1</v>
      </c>
      <c r="AJ182" s="423">
        <f t="shared" si="81"/>
        <v>1</v>
      </c>
      <c r="AK182" s="423">
        <f t="shared" si="81"/>
        <v>0</v>
      </c>
      <c r="AL182" s="423">
        <f t="shared" si="81"/>
        <v>0</v>
      </c>
      <c r="AM182" s="425">
        <f t="shared" si="81"/>
        <v>0</v>
      </c>
      <c r="AO182" s="421">
        <f t="shared" si="64"/>
        <v>21.333333333333329</v>
      </c>
      <c r="AP182" s="422">
        <f t="shared" si="65"/>
        <v>6.666666666666667</v>
      </c>
      <c r="AQ182" s="423">
        <f t="shared" si="66"/>
        <v>5.666666666666667</v>
      </c>
      <c r="AR182" s="423">
        <f t="shared" si="67"/>
        <v>0</v>
      </c>
      <c r="AS182" s="423">
        <f t="shared" si="68"/>
        <v>1</v>
      </c>
      <c r="AT182" s="424">
        <f t="shared" si="69"/>
        <v>0</v>
      </c>
      <c r="AU182" s="422">
        <f t="shared" si="70"/>
        <v>14.666666666666668</v>
      </c>
      <c r="AV182" s="423">
        <f t="shared" si="71"/>
        <v>8.3333333333333304</v>
      </c>
      <c r="AW182" s="423">
        <f t="shared" si="72"/>
        <v>0</v>
      </c>
      <c r="AX182" s="423">
        <f t="shared" si="73"/>
        <v>4.333333333333333</v>
      </c>
      <c r="AY182" s="425">
        <f t="shared" si="74"/>
        <v>1.9999999999999998</v>
      </c>
    </row>
    <row r="183" spans="1:51" ht="13.9">
      <c r="A183" s="447" t="s">
        <v>250</v>
      </c>
      <c r="B183" s="448">
        <v>43586</v>
      </c>
      <c r="C183" s="449">
        <v>2019</v>
      </c>
      <c r="D183" s="421">
        <f t="shared" si="80"/>
        <v>1917455</v>
      </c>
      <c r="E183" s="421">
        <f t="shared" si="80"/>
        <v>28197.666666666672</v>
      </c>
      <c r="F183" s="422">
        <f t="shared" si="80"/>
        <v>13957</v>
      </c>
      <c r="G183" s="423">
        <f t="shared" si="80"/>
        <v>11517.000000000002</v>
      </c>
      <c r="H183" s="423">
        <f t="shared" si="80"/>
        <v>0</v>
      </c>
      <c r="I183" s="423">
        <f t="shared" si="82"/>
        <v>2440.0000000000009</v>
      </c>
      <c r="J183" s="424">
        <f t="shared" si="82"/>
        <v>0</v>
      </c>
      <c r="K183" s="422">
        <f t="shared" si="82"/>
        <v>14240.666666666668</v>
      </c>
      <c r="L183" s="423">
        <f t="shared" si="82"/>
        <v>9786.3333333333321</v>
      </c>
      <c r="M183" s="423">
        <f t="shared" si="82"/>
        <v>0</v>
      </c>
      <c r="N183" s="423">
        <f t="shared" si="82"/>
        <v>3009.6666666666665</v>
      </c>
      <c r="O183" s="425">
        <f t="shared" si="82"/>
        <v>1444.6666666666663</v>
      </c>
      <c r="P183" s="526">
        <f t="shared" si="76"/>
        <v>3258.6666666666674</v>
      </c>
      <c r="Q183" s="423">
        <f t="shared" si="82"/>
        <v>20.666666666666661</v>
      </c>
      <c r="R183" s="422">
        <f t="shared" si="82"/>
        <v>6.3333333333333339</v>
      </c>
      <c r="S183" s="423">
        <f t="shared" si="82"/>
        <v>6.3333333333333339</v>
      </c>
      <c r="T183" s="423">
        <f t="shared" si="82"/>
        <v>0</v>
      </c>
      <c r="U183" s="423">
        <f t="shared" si="82"/>
        <v>0</v>
      </c>
      <c r="V183" s="424">
        <f t="shared" si="82"/>
        <v>0</v>
      </c>
      <c r="W183" s="422">
        <f t="shared" si="82"/>
        <v>14.333333333333334</v>
      </c>
      <c r="X183" s="423">
        <f t="shared" si="82"/>
        <v>7.6666666666666634</v>
      </c>
      <c r="Y183" s="423">
        <f t="shared" si="82"/>
        <v>0</v>
      </c>
      <c r="Z183" s="423">
        <f t="shared" si="82"/>
        <v>4.6666666666666661</v>
      </c>
      <c r="AA183" s="425">
        <f t="shared" si="82"/>
        <v>1.9999999999999998</v>
      </c>
      <c r="AB183" s="526">
        <f t="shared" si="77"/>
        <v>371.66666666666663</v>
      </c>
      <c r="AC183" s="423">
        <f t="shared" si="81"/>
        <v>1.9999999999999998</v>
      </c>
      <c r="AD183" s="422">
        <f t="shared" si="81"/>
        <v>1</v>
      </c>
      <c r="AE183" s="423">
        <f t="shared" si="81"/>
        <v>0</v>
      </c>
      <c r="AF183" s="423">
        <f t="shared" si="81"/>
        <v>0</v>
      </c>
      <c r="AG183" s="423">
        <f t="shared" si="81"/>
        <v>1</v>
      </c>
      <c r="AH183" s="424">
        <f t="shared" si="81"/>
        <v>0</v>
      </c>
      <c r="AI183" s="422">
        <f t="shared" si="81"/>
        <v>1</v>
      </c>
      <c r="AJ183" s="423">
        <f t="shared" si="81"/>
        <v>1</v>
      </c>
      <c r="AK183" s="423">
        <f t="shared" si="81"/>
        <v>0</v>
      </c>
      <c r="AL183" s="423">
        <f t="shared" si="81"/>
        <v>0</v>
      </c>
      <c r="AM183" s="425">
        <f t="shared" si="81"/>
        <v>0</v>
      </c>
      <c r="AO183" s="421">
        <f t="shared" si="64"/>
        <v>22.666666666666661</v>
      </c>
      <c r="AP183" s="422">
        <f t="shared" si="65"/>
        <v>7.3333333333333339</v>
      </c>
      <c r="AQ183" s="423">
        <f t="shared" si="66"/>
        <v>6.3333333333333339</v>
      </c>
      <c r="AR183" s="423">
        <f t="shared" si="67"/>
        <v>0</v>
      </c>
      <c r="AS183" s="423">
        <f t="shared" si="68"/>
        <v>1</v>
      </c>
      <c r="AT183" s="424">
        <f t="shared" si="69"/>
        <v>0</v>
      </c>
      <c r="AU183" s="422">
        <f t="shared" si="70"/>
        <v>15.333333333333334</v>
      </c>
      <c r="AV183" s="423">
        <f t="shared" si="71"/>
        <v>8.6666666666666643</v>
      </c>
      <c r="AW183" s="423">
        <f t="shared" si="72"/>
        <v>0</v>
      </c>
      <c r="AX183" s="423">
        <f t="shared" si="73"/>
        <v>4.6666666666666661</v>
      </c>
      <c r="AY183" s="425">
        <f t="shared" si="74"/>
        <v>1.9999999999999998</v>
      </c>
    </row>
    <row r="184" spans="1:51" ht="13.9">
      <c r="A184" s="447" t="s">
        <v>250</v>
      </c>
      <c r="B184" s="448">
        <v>43617</v>
      </c>
      <c r="C184" s="449">
        <v>2019</v>
      </c>
      <c r="D184" s="421">
        <f t="shared" ref="D184:K199" si="83">D73/3+D183</f>
        <v>1991719</v>
      </c>
      <c r="E184" s="421">
        <f t="shared" si="83"/>
        <v>29156.000000000004</v>
      </c>
      <c r="F184" s="422">
        <f t="shared" si="83"/>
        <v>14621</v>
      </c>
      <c r="G184" s="423">
        <f t="shared" si="83"/>
        <v>12069.000000000002</v>
      </c>
      <c r="H184" s="423">
        <f t="shared" si="83"/>
        <v>0</v>
      </c>
      <c r="I184" s="423">
        <f t="shared" si="82"/>
        <v>2552.0000000000009</v>
      </c>
      <c r="J184" s="424">
        <f t="shared" si="82"/>
        <v>0</v>
      </c>
      <c r="K184" s="422">
        <f t="shared" si="82"/>
        <v>14535.000000000002</v>
      </c>
      <c r="L184" s="423">
        <f t="shared" si="82"/>
        <v>9951.9999999999982</v>
      </c>
      <c r="M184" s="423">
        <f t="shared" si="82"/>
        <v>0</v>
      </c>
      <c r="N184" s="423">
        <f t="shared" si="82"/>
        <v>3126</v>
      </c>
      <c r="O184" s="425">
        <f t="shared" si="82"/>
        <v>1456.9999999999995</v>
      </c>
      <c r="P184" s="526">
        <f t="shared" si="76"/>
        <v>3384.0000000000009</v>
      </c>
      <c r="Q184" s="423">
        <f t="shared" si="82"/>
        <v>21.999999999999993</v>
      </c>
      <c r="R184" s="422">
        <f t="shared" si="82"/>
        <v>7.0000000000000009</v>
      </c>
      <c r="S184" s="423">
        <f t="shared" si="82"/>
        <v>7.0000000000000009</v>
      </c>
      <c r="T184" s="423">
        <f t="shared" si="82"/>
        <v>0</v>
      </c>
      <c r="U184" s="423">
        <f t="shared" si="82"/>
        <v>0</v>
      </c>
      <c r="V184" s="424">
        <f t="shared" si="82"/>
        <v>0</v>
      </c>
      <c r="W184" s="422">
        <f t="shared" si="82"/>
        <v>15</v>
      </c>
      <c r="X184" s="423">
        <f t="shared" si="82"/>
        <v>7.9999999999999964</v>
      </c>
      <c r="Y184" s="423">
        <f t="shared" si="82"/>
        <v>0</v>
      </c>
      <c r="Z184" s="423">
        <f t="shared" si="82"/>
        <v>4.9999999999999991</v>
      </c>
      <c r="AA184" s="425">
        <f t="shared" si="82"/>
        <v>1.9999999999999998</v>
      </c>
      <c r="AB184" s="526">
        <f t="shared" si="77"/>
        <v>385.99999999999994</v>
      </c>
      <c r="AC184" s="423">
        <f t="shared" si="81"/>
        <v>1.9999999999999998</v>
      </c>
      <c r="AD184" s="422">
        <f t="shared" si="81"/>
        <v>1</v>
      </c>
      <c r="AE184" s="423">
        <f t="shared" si="81"/>
        <v>0</v>
      </c>
      <c r="AF184" s="423">
        <f t="shared" si="81"/>
        <v>0</v>
      </c>
      <c r="AG184" s="423">
        <f t="shared" si="81"/>
        <v>1</v>
      </c>
      <c r="AH184" s="424">
        <f t="shared" si="81"/>
        <v>0</v>
      </c>
      <c r="AI184" s="422">
        <f t="shared" si="81"/>
        <v>1</v>
      </c>
      <c r="AJ184" s="423">
        <f t="shared" si="81"/>
        <v>1</v>
      </c>
      <c r="AK184" s="423">
        <f t="shared" si="81"/>
        <v>0</v>
      </c>
      <c r="AL184" s="423">
        <f t="shared" si="81"/>
        <v>0</v>
      </c>
      <c r="AM184" s="425">
        <f t="shared" si="81"/>
        <v>0</v>
      </c>
      <c r="AO184" s="421">
        <f t="shared" si="64"/>
        <v>23.999999999999993</v>
      </c>
      <c r="AP184" s="422">
        <f t="shared" si="65"/>
        <v>8</v>
      </c>
      <c r="AQ184" s="423">
        <f t="shared" si="66"/>
        <v>7.0000000000000009</v>
      </c>
      <c r="AR184" s="423">
        <f t="shared" si="67"/>
        <v>0</v>
      </c>
      <c r="AS184" s="423">
        <f t="shared" si="68"/>
        <v>1</v>
      </c>
      <c r="AT184" s="424">
        <f t="shared" si="69"/>
        <v>0</v>
      </c>
      <c r="AU184" s="422">
        <f t="shared" si="70"/>
        <v>16</v>
      </c>
      <c r="AV184" s="423">
        <f t="shared" si="71"/>
        <v>8.9999999999999964</v>
      </c>
      <c r="AW184" s="423">
        <f t="shared" si="72"/>
        <v>0</v>
      </c>
      <c r="AX184" s="423">
        <f t="shared" si="73"/>
        <v>4.9999999999999991</v>
      </c>
      <c r="AY184" s="425">
        <f t="shared" si="74"/>
        <v>1.9999999999999998</v>
      </c>
    </row>
    <row r="185" spans="1:51" ht="13.9">
      <c r="A185" s="447" t="s">
        <v>251</v>
      </c>
      <c r="B185" s="448">
        <v>43647</v>
      </c>
      <c r="C185" s="449">
        <v>2019</v>
      </c>
      <c r="D185" s="421">
        <f t="shared" si="83"/>
        <v>2064915.6666666667</v>
      </c>
      <c r="E185" s="421">
        <f t="shared" si="83"/>
        <v>30205.666666666672</v>
      </c>
      <c r="F185" s="422">
        <f t="shared" si="83"/>
        <v>15348</v>
      </c>
      <c r="G185" s="423">
        <f t="shared" si="83"/>
        <v>12683.666666666668</v>
      </c>
      <c r="H185" s="423">
        <f t="shared" si="83"/>
        <v>0</v>
      </c>
      <c r="I185" s="423">
        <f t="shared" si="82"/>
        <v>2664.3333333333344</v>
      </c>
      <c r="J185" s="424">
        <f t="shared" si="82"/>
        <v>0</v>
      </c>
      <c r="K185" s="422">
        <f t="shared" si="82"/>
        <v>14857.666666666668</v>
      </c>
      <c r="L185" s="423">
        <f t="shared" si="82"/>
        <v>10166.666666666664</v>
      </c>
      <c r="M185" s="423">
        <f t="shared" si="82"/>
        <v>0</v>
      </c>
      <c r="N185" s="423">
        <f t="shared" si="82"/>
        <v>3228</v>
      </c>
      <c r="O185" s="425">
        <f t="shared" si="82"/>
        <v>1462.9999999999995</v>
      </c>
      <c r="P185" s="526">
        <f t="shared" si="76"/>
        <v>3519.3333333333344</v>
      </c>
      <c r="Q185" s="423">
        <f t="shared" si="82"/>
        <v>22.999999999999993</v>
      </c>
      <c r="R185" s="422">
        <f t="shared" si="82"/>
        <v>7.0000000000000009</v>
      </c>
      <c r="S185" s="423">
        <f t="shared" si="82"/>
        <v>7.0000000000000009</v>
      </c>
      <c r="T185" s="423">
        <f t="shared" si="82"/>
        <v>0</v>
      </c>
      <c r="U185" s="423">
        <f t="shared" si="82"/>
        <v>0</v>
      </c>
      <c r="V185" s="424">
        <f t="shared" si="82"/>
        <v>0</v>
      </c>
      <c r="W185" s="422">
        <f t="shared" si="82"/>
        <v>16</v>
      </c>
      <c r="X185" s="423">
        <f t="shared" si="82"/>
        <v>8.9999999999999964</v>
      </c>
      <c r="Y185" s="423">
        <f t="shared" si="82"/>
        <v>0</v>
      </c>
      <c r="Z185" s="423">
        <f t="shared" si="82"/>
        <v>4.9999999999999991</v>
      </c>
      <c r="AA185" s="425">
        <f t="shared" si="82"/>
        <v>1.9999999999999998</v>
      </c>
      <c r="AB185" s="526">
        <f t="shared" si="77"/>
        <v>399.99999999999994</v>
      </c>
      <c r="AC185" s="423">
        <f t="shared" si="81"/>
        <v>1.9999999999999998</v>
      </c>
      <c r="AD185" s="422">
        <f t="shared" si="81"/>
        <v>1</v>
      </c>
      <c r="AE185" s="423">
        <f t="shared" si="81"/>
        <v>0</v>
      </c>
      <c r="AF185" s="423">
        <f t="shared" si="81"/>
        <v>0</v>
      </c>
      <c r="AG185" s="423">
        <f t="shared" si="81"/>
        <v>1</v>
      </c>
      <c r="AH185" s="424">
        <f t="shared" si="81"/>
        <v>0</v>
      </c>
      <c r="AI185" s="422">
        <f t="shared" si="81"/>
        <v>1</v>
      </c>
      <c r="AJ185" s="423">
        <f t="shared" si="81"/>
        <v>1</v>
      </c>
      <c r="AK185" s="423">
        <f t="shared" si="81"/>
        <v>0</v>
      </c>
      <c r="AL185" s="423">
        <f t="shared" si="81"/>
        <v>0</v>
      </c>
      <c r="AM185" s="425">
        <f t="shared" si="81"/>
        <v>0</v>
      </c>
      <c r="AO185" s="421">
        <f t="shared" si="64"/>
        <v>24.999999999999993</v>
      </c>
      <c r="AP185" s="422">
        <f t="shared" si="65"/>
        <v>8</v>
      </c>
      <c r="AQ185" s="423">
        <f t="shared" si="66"/>
        <v>7.0000000000000009</v>
      </c>
      <c r="AR185" s="423">
        <f t="shared" si="67"/>
        <v>0</v>
      </c>
      <c r="AS185" s="423">
        <f t="shared" si="68"/>
        <v>1</v>
      </c>
      <c r="AT185" s="424">
        <f t="shared" si="69"/>
        <v>0</v>
      </c>
      <c r="AU185" s="422">
        <f t="shared" si="70"/>
        <v>17</v>
      </c>
      <c r="AV185" s="423">
        <f t="shared" si="71"/>
        <v>9.9999999999999964</v>
      </c>
      <c r="AW185" s="423">
        <f t="shared" si="72"/>
        <v>0</v>
      </c>
      <c r="AX185" s="423">
        <f t="shared" si="73"/>
        <v>4.9999999999999991</v>
      </c>
      <c r="AY185" s="425">
        <f t="shared" si="74"/>
        <v>1.9999999999999998</v>
      </c>
    </row>
    <row r="186" spans="1:51" ht="13.9">
      <c r="A186" s="447" t="s">
        <v>251</v>
      </c>
      <c r="B186" s="448">
        <v>43678</v>
      </c>
      <c r="C186" s="449">
        <v>2019</v>
      </c>
      <c r="D186" s="421">
        <f t="shared" si="83"/>
        <v>2138112.3333333335</v>
      </c>
      <c r="E186" s="421">
        <f t="shared" si="83"/>
        <v>31255.333333333339</v>
      </c>
      <c r="F186" s="422">
        <f t="shared" si="83"/>
        <v>16075</v>
      </c>
      <c r="G186" s="423">
        <f t="shared" si="83"/>
        <v>13298.333333333334</v>
      </c>
      <c r="H186" s="423">
        <f t="shared" si="83"/>
        <v>0</v>
      </c>
      <c r="I186" s="423">
        <f t="shared" si="82"/>
        <v>2776.6666666666679</v>
      </c>
      <c r="J186" s="424">
        <f t="shared" si="82"/>
        <v>0</v>
      </c>
      <c r="K186" s="422">
        <f t="shared" si="82"/>
        <v>15180.333333333334</v>
      </c>
      <c r="L186" s="423">
        <f t="shared" si="82"/>
        <v>10381.33333333333</v>
      </c>
      <c r="M186" s="423">
        <f t="shared" si="82"/>
        <v>0</v>
      </c>
      <c r="N186" s="423">
        <f t="shared" si="82"/>
        <v>3330</v>
      </c>
      <c r="O186" s="425">
        <f t="shared" si="82"/>
        <v>1468.9999999999995</v>
      </c>
      <c r="P186" s="526">
        <f t="shared" si="76"/>
        <v>3654.6666666666679</v>
      </c>
      <c r="Q186" s="423">
        <f t="shared" si="82"/>
        <v>23.999999999999993</v>
      </c>
      <c r="R186" s="422">
        <f t="shared" si="82"/>
        <v>7.0000000000000009</v>
      </c>
      <c r="S186" s="423">
        <f t="shared" si="82"/>
        <v>7.0000000000000009</v>
      </c>
      <c r="T186" s="423">
        <f t="shared" si="82"/>
        <v>0</v>
      </c>
      <c r="U186" s="423">
        <f t="shared" si="82"/>
        <v>0</v>
      </c>
      <c r="V186" s="424">
        <f t="shared" si="82"/>
        <v>0</v>
      </c>
      <c r="W186" s="422">
        <f t="shared" si="82"/>
        <v>17</v>
      </c>
      <c r="X186" s="423">
        <f t="shared" si="82"/>
        <v>9.9999999999999964</v>
      </c>
      <c r="Y186" s="423">
        <f t="shared" si="82"/>
        <v>0</v>
      </c>
      <c r="Z186" s="423">
        <f t="shared" si="82"/>
        <v>4.9999999999999991</v>
      </c>
      <c r="AA186" s="425">
        <f t="shared" si="82"/>
        <v>1.9999999999999998</v>
      </c>
      <c r="AB186" s="526">
        <f t="shared" si="77"/>
        <v>413.99999999999994</v>
      </c>
      <c r="AC186" s="423">
        <f t="shared" si="81"/>
        <v>1.9999999999999998</v>
      </c>
      <c r="AD186" s="422">
        <f t="shared" si="81"/>
        <v>1</v>
      </c>
      <c r="AE186" s="423">
        <f t="shared" si="81"/>
        <v>0</v>
      </c>
      <c r="AF186" s="423">
        <f t="shared" si="81"/>
        <v>0</v>
      </c>
      <c r="AG186" s="423">
        <f t="shared" si="81"/>
        <v>1</v>
      </c>
      <c r="AH186" s="424">
        <f t="shared" si="81"/>
        <v>0</v>
      </c>
      <c r="AI186" s="422">
        <f t="shared" si="81"/>
        <v>1</v>
      </c>
      <c r="AJ186" s="423">
        <f t="shared" si="81"/>
        <v>1</v>
      </c>
      <c r="AK186" s="423">
        <f t="shared" si="81"/>
        <v>0</v>
      </c>
      <c r="AL186" s="423">
        <f t="shared" si="81"/>
        <v>0</v>
      </c>
      <c r="AM186" s="425">
        <f t="shared" si="81"/>
        <v>0</v>
      </c>
      <c r="AO186" s="421">
        <f t="shared" si="64"/>
        <v>25.999999999999993</v>
      </c>
      <c r="AP186" s="422">
        <f t="shared" si="65"/>
        <v>8</v>
      </c>
      <c r="AQ186" s="423">
        <f t="shared" si="66"/>
        <v>7.0000000000000009</v>
      </c>
      <c r="AR186" s="423">
        <f t="shared" si="67"/>
        <v>0</v>
      </c>
      <c r="AS186" s="423">
        <f t="shared" si="68"/>
        <v>1</v>
      </c>
      <c r="AT186" s="424">
        <f t="shared" si="69"/>
        <v>0</v>
      </c>
      <c r="AU186" s="422">
        <f t="shared" si="70"/>
        <v>18</v>
      </c>
      <c r="AV186" s="423">
        <f t="shared" si="71"/>
        <v>10.999999999999996</v>
      </c>
      <c r="AW186" s="423">
        <f t="shared" si="72"/>
        <v>0</v>
      </c>
      <c r="AX186" s="423">
        <f t="shared" si="73"/>
        <v>4.9999999999999991</v>
      </c>
      <c r="AY186" s="425">
        <f t="shared" si="74"/>
        <v>1.9999999999999998</v>
      </c>
    </row>
    <row r="187" spans="1:51" ht="13.9">
      <c r="A187" s="447" t="s">
        <v>251</v>
      </c>
      <c r="B187" s="448">
        <v>43709</v>
      </c>
      <c r="C187" s="449">
        <v>2019</v>
      </c>
      <c r="D187" s="421">
        <f t="shared" si="83"/>
        <v>2211309</v>
      </c>
      <c r="E187" s="421">
        <f t="shared" si="83"/>
        <v>32305.000000000007</v>
      </c>
      <c r="F187" s="422">
        <f t="shared" si="83"/>
        <v>16802</v>
      </c>
      <c r="G187" s="423">
        <f t="shared" si="83"/>
        <v>13913</v>
      </c>
      <c r="H187" s="423">
        <f t="shared" si="83"/>
        <v>0</v>
      </c>
      <c r="I187" s="423">
        <f t="shared" si="82"/>
        <v>2889.0000000000014</v>
      </c>
      <c r="J187" s="424">
        <f t="shared" si="82"/>
        <v>0</v>
      </c>
      <c r="K187" s="422">
        <f t="shared" si="82"/>
        <v>15503</v>
      </c>
      <c r="L187" s="423">
        <f t="shared" si="82"/>
        <v>10595.999999999996</v>
      </c>
      <c r="M187" s="423">
        <f t="shared" si="82"/>
        <v>0</v>
      </c>
      <c r="N187" s="423">
        <f t="shared" si="82"/>
        <v>3432</v>
      </c>
      <c r="O187" s="425">
        <f t="shared" si="82"/>
        <v>1474.9999999999995</v>
      </c>
      <c r="P187" s="526">
        <f t="shared" si="76"/>
        <v>3790.0000000000014</v>
      </c>
      <c r="Q187" s="423">
        <f t="shared" si="82"/>
        <v>24.999999999999993</v>
      </c>
      <c r="R187" s="422">
        <f t="shared" si="82"/>
        <v>7.0000000000000009</v>
      </c>
      <c r="S187" s="423">
        <f t="shared" si="82"/>
        <v>7.0000000000000009</v>
      </c>
      <c r="T187" s="423">
        <f t="shared" si="82"/>
        <v>0</v>
      </c>
      <c r="U187" s="423">
        <f t="shared" si="82"/>
        <v>0</v>
      </c>
      <c r="V187" s="424">
        <f t="shared" si="82"/>
        <v>0</v>
      </c>
      <c r="W187" s="422">
        <f t="shared" si="82"/>
        <v>18</v>
      </c>
      <c r="X187" s="423">
        <f t="shared" si="82"/>
        <v>10.999999999999996</v>
      </c>
      <c r="Y187" s="423">
        <f t="shared" si="82"/>
        <v>0</v>
      </c>
      <c r="Z187" s="423">
        <f t="shared" si="82"/>
        <v>4.9999999999999991</v>
      </c>
      <c r="AA187" s="425">
        <f t="shared" si="82"/>
        <v>1.9999999999999998</v>
      </c>
      <c r="AB187" s="526">
        <f t="shared" si="77"/>
        <v>427.99999999999994</v>
      </c>
      <c r="AC187" s="423">
        <f t="shared" si="81"/>
        <v>1.9999999999999998</v>
      </c>
      <c r="AD187" s="422">
        <f t="shared" si="81"/>
        <v>1</v>
      </c>
      <c r="AE187" s="423">
        <f t="shared" si="81"/>
        <v>0</v>
      </c>
      <c r="AF187" s="423">
        <f t="shared" si="81"/>
        <v>0</v>
      </c>
      <c r="AG187" s="423">
        <f t="shared" si="81"/>
        <v>1</v>
      </c>
      <c r="AH187" s="424">
        <f t="shared" si="81"/>
        <v>0</v>
      </c>
      <c r="AI187" s="422">
        <f t="shared" si="81"/>
        <v>1</v>
      </c>
      <c r="AJ187" s="423">
        <f t="shared" si="81"/>
        <v>1</v>
      </c>
      <c r="AK187" s="423">
        <f t="shared" si="81"/>
        <v>0</v>
      </c>
      <c r="AL187" s="423">
        <f t="shared" si="81"/>
        <v>0</v>
      </c>
      <c r="AM187" s="425">
        <f t="shared" si="81"/>
        <v>0</v>
      </c>
      <c r="AO187" s="421">
        <f t="shared" si="64"/>
        <v>26.999999999999993</v>
      </c>
      <c r="AP187" s="422">
        <f t="shared" si="65"/>
        <v>8</v>
      </c>
      <c r="AQ187" s="423">
        <f t="shared" si="66"/>
        <v>7.0000000000000009</v>
      </c>
      <c r="AR187" s="423">
        <f t="shared" si="67"/>
        <v>0</v>
      </c>
      <c r="AS187" s="423">
        <f t="shared" si="68"/>
        <v>1</v>
      </c>
      <c r="AT187" s="424">
        <f t="shared" si="69"/>
        <v>0</v>
      </c>
      <c r="AU187" s="422">
        <f t="shared" si="70"/>
        <v>19</v>
      </c>
      <c r="AV187" s="423">
        <f t="shared" si="71"/>
        <v>11.999999999999996</v>
      </c>
      <c r="AW187" s="423">
        <f t="shared" si="72"/>
        <v>0</v>
      </c>
      <c r="AX187" s="423">
        <f t="shared" si="73"/>
        <v>4.9999999999999991</v>
      </c>
      <c r="AY187" s="425">
        <f t="shared" si="74"/>
        <v>1.9999999999999998</v>
      </c>
    </row>
    <row r="188" spans="1:51" ht="13.9">
      <c r="A188" s="447" t="s">
        <v>252</v>
      </c>
      <c r="B188" s="448">
        <v>43739</v>
      </c>
      <c r="C188" s="449">
        <v>2019</v>
      </c>
      <c r="D188" s="421">
        <f t="shared" si="83"/>
        <v>2272888</v>
      </c>
      <c r="E188" s="421">
        <f t="shared" si="83"/>
        <v>33064.333333333343</v>
      </c>
      <c r="F188" s="422">
        <f t="shared" si="83"/>
        <v>17315</v>
      </c>
      <c r="G188" s="423">
        <f t="shared" si="83"/>
        <v>14311</v>
      </c>
      <c r="H188" s="423">
        <f t="shared" si="83"/>
        <v>0</v>
      </c>
      <c r="I188" s="423">
        <f t="shared" si="82"/>
        <v>3004.0000000000014</v>
      </c>
      <c r="J188" s="424">
        <f t="shared" si="82"/>
        <v>0</v>
      </c>
      <c r="K188" s="422">
        <f t="shared" si="82"/>
        <v>15749.333333333334</v>
      </c>
      <c r="L188" s="423">
        <f t="shared" si="82"/>
        <v>10743.33333333333</v>
      </c>
      <c r="M188" s="423">
        <f t="shared" si="82"/>
        <v>0</v>
      </c>
      <c r="N188" s="423">
        <f t="shared" si="82"/>
        <v>3526.6666666666665</v>
      </c>
      <c r="O188" s="425">
        <f t="shared" si="82"/>
        <v>1479.3333333333328</v>
      </c>
      <c r="P188" s="526">
        <f t="shared" si="76"/>
        <v>3879.6666666666679</v>
      </c>
      <c r="Q188" s="423">
        <f t="shared" si="82"/>
        <v>25.666666666666661</v>
      </c>
      <c r="R188" s="422">
        <f t="shared" si="82"/>
        <v>7.0000000000000009</v>
      </c>
      <c r="S188" s="423">
        <f t="shared" si="82"/>
        <v>7.0000000000000009</v>
      </c>
      <c r="T188" s="423">
        <f t="shared" si="82"/>
        <v>0</v>
      </c>
      <c r="U188" s="423">
        <f t="shared" si="82"/>
        <v>0</v>
      </c>
      <c r="V188" s="424">
        <f t="shared" si="82"/>
        <v>0</v>
      </c>
      <c r="W188" s="422">
        <f t="shared" si="82"/>
        <v>18.666666666666668</v>
      </c>
      <c r="X188" s="423">
        <f t="shared" si="82"/>
        <v>10.999999999999996</v>
      </c>
      <c r="Y188" s="423">
        <f t="shared" si="82"/>
        <v>0</v>
      </c>
      <c r="Z188" s="423">
        <f t="shared" si="82"/>
        <v>5.6666666666666661</v>
      </c>
      <c r="AA188" s="425">
        <f t="shared" si="82"/>
        <v>1.9999999999999998</v>
      </c>
      <c r="AB188" s="526">
        <f t="shared" si="77"/>
        <v>436.66666666666663</v>
      </c>
      <c r="AC188" s="423">
        <f t="shared" ref="AC188:AM192" si="84">AC77/3+AC187</f>
        <v>1.9999999999999998</v>
      </c>
      <c r="AD188" s="422">
        <f t="shared" si="84"/>
        <v>1</v>
      </c>
      <c r="AE188" s="423">
        <f t="shared" si="84"/>
        <v>0</v>
      </c>
      <c r="AF188" s="423">
        <f t="shared" si="84"/>
        <v>0</v>
      </c>
      <c r="AG188" s="423">
        <f t="shared" si="84"/>
        <v>1</v>
      </c>
      <c r="AH188" s="424">
        <f t="shared" si="84"/>
        <v>0</v>
      </c>
      <c r="AI188" s="422">
        <f t="shared" si="84"/>
        <v>1</v>
      </c>
      <c r="AJ188" s="423">
        <f t="shared" si="84"/>
        <v>1</v>
      </c>
      <c r="AK188" s="423">
        <f t="shared" si="84"/>
        <v>0</v>
      </c>
      <c r="AL188" s="423">
        <f t="shared" si="84"/>
        <v>0</v>
      </c>
      <c r="AM188" s="425">
        <f t="shared" si="84"/>
        <v>0</v>
      </c>
      <c r="AO188" s="421">
        <f t="shared" si="64"/>
        <v>27.666666666666661</v>
      </c>
      <c r="AP188" s="422">
        <f t="shared" si="65"/>
        <v>8</v>
      </c>
      <c r="AQ188" s="423">
        <f t="shared" si="66"/>
        <v>7.0000000000000009</v>
      </c>
      <c r="AR188" s="423">
        <f t="shared" si="67"/>
        <v>0</v>
      </c>
      <c r="AS188" s="423">
        <f t="shared" si="68"/>
        <v>1</v>
      </c>
      <c r="AT188" s="424">
        <f t="shared" si="69"/>
        <v>0</v>
      </c>
      <c r="AU188" s="422">
        <f t="shared" si="70"/>
        <v>19.666666666666668</v>
      </c>
      <c r="AV188" s="423">
        <f t="shared" si="71"/>
        <v>11.999999999999996</v>
      </c>
      <c r="AW188" s="423">
        <f t="shared" si="72"/>
        <v>0</v>
      </c>
      <c r="AX188" s="423">
        <f t="shared" si="73"/>
        <v>5.6666666666666661</v>
      </c>
      <c r="AY188" s="425">
        <f t="shared" si="74"/>
        <v>1.9999999999999998</v>
      </c>
    </row>
    <row r="189" spans="1:51" ht="13.9">
      <c r="A189" s="447" t="s">
        <v>252</v>
      </c>
      <c r="B189" s="448">
        <v>43770</v>
      </c>
      <c r="C189" s="449">
        <v>2019</v>
      </c>
      <c r="D189" s="421">
        <f t="shared" si="83"/>
        <v>2334467</v>
      </c>
      <c r="E189" s="421">
        <f t="shared" si="83"/>
        <v>33823.666666666679</v>
      </c>
      <c r="F189" s="422">
        <f t="shared" si="83"/>
        <v>17828</v>
      </c>
      <c r="G189" s="423">
        <f t="shared" si="83"/>
        <v>14709</v>
      </c>
      <c r="H189" s="423">
        <f t="shared" si="83"/>
        <v>0</v>
      </c>
      <c r="I189" s="423">
        <f t="shared" si="82"/>
        <v>3119.0000000000014</v>
      </c>
      <c r="J189" s="424">
        <f t="shared" si="82"/>
        <v>0</v>
      </c>
      <c r="K189" s="422">
        <f t="shared" si="82"/>
        <v>15995.666666666668</v>
      </c>
      <c r="L189" s="423">
        <f t="shared" si="82"/>
        <v>10890.666666666664</v>
      </c>
      <c r="M189" s="423">
        <f t="shared" si="82"/>
        <v>0</v>
      </c>
      <c r="N189" s="423">
        <f t="shared" si="82"/>
        <v>3621.333333333333</v>
      </c>
      <c r="O189" s="425">
        <f t="shared" si="82"/>
        <v>1483.6666666666661</v>
      </c>
      <c r="P189" s="526">
        <f t="shared" si="76"/>
        <v>3969.3333333333344</v>
      </c>
      <c r="Q189" s="423">
        <f t="shared" si="82"/>
        <v>26.333333333333329</v>
      </c>
      <c r="R189" s="422">
        <f t="shared" si="82"/>
        <v>7.0000000000000009</v>
      </c>
      <c r="S189" s="423">
        <f t="shared" si="82"/>
        <v>7.0000000000000009</v>
      </c>
      <c r="T189" s="423">
        <f t="shared" si="82"/>
        <v>0</v>
      </c>
      <c r="U189" s="423">
        <f t="shared" si="82"/>
        <v>0</v>
      </c>
      <c r="V189" s="424">
        <f t="shared" si="82"/>
        <v>0</v>
      </c>
      <c r="W189" s="422">
        <f t="shared" si="82"/>
        <v>19.333333333333336</v>
      </c>
      <c r="X189" s="423">
        <f t="shared" si="82"/>
        <v>10.999999999999996</v>
      </c>
      <c r="Y189" s="423">
        <f t="shared" si="82"/>
        <v>0</v>
      </c>
      <c r="Z189" s="423">
        <f t="shared" si="82"/>
        <v>6.333333333333333</v>
      </c>
      <c r="AA189" s="425">
        <f t="shared" si="82"/>
        <v>1.9999999999999998</v>
      </c>
      <c r="AB189" s="526">
        <f t="shared" si="77"/>
        <v>445.33333333333331</v>
      </c>
      <c r="AC189" s="423">
        <f t="shared" si="84"/>
        <v>1.9999999999999998</v>
      </c>
      <c r="AD189" s="422">
        <f t="shared" si="84"/>
        <v>1</v>
      </c>
      <c r="AE189" s="423">
        <f t="shared" si="84"/>
        <v>0</v>
      </c>
      <c r="AF189" s="423">
        <f t="shared" si="84"/>
        <v>0</v>
      </c>
      <c r="AG189" s="423">
        <f t="shared" si="84"/>
        <v>1</v>
      </c>
      <c r="AH189" s="424">
        <f t="shared" si="84"/>
        <v>0</v>
      </c>
      <c r="AI189" s="422">
        <f t="shared" si="84"/>
        <v>1</v>
      </c>
      <c r="AJ189" s="423">
        <f t="shared" si="84"/>
        <v>1</v>
      </c>
      <c r="AK189" s="423">
        <f t="shared" si="84"/>
        <v>0</v>
      </c>
      <c r="AL189" s="423">
        <f t="shared" si="84"/>
        <v>0</v>
      </c>
      <c r="AM189" s="425">
        <f t="shared" si="84"/>
        <v>0</v>
      </c>
      <c r="AO189" s="421">
        <f t="shared" si="64"/>
        <v>28.333333333333329</v>
      </c>
      <c r="AP189" s="422">
        <f t="shared" si="65"/>
        <v>8</v>
      </c>
      <c r="AQ189" s="423">
        <f t="shared" si="66"/>
        <v>7.0000000000000009</v>
      </c>
      <c r="AR189" s="423">
        <f t="shared" si="67"/>
        <v>0</v>
      </c>
      <c r="AS189" s="423">
        <f t="shared" si="68"/>
        <v>1</v>
      </c>
      <c r="AT189" s="424">
        <f t="shared" si="69"/>
        <v>0</v>
      </c>
      <c r="AU189" s="422">
        <f t="shared" si="70"/>
        <v>20.333333333333336</v>
      </c>
      <c r="AV189" s="423">
        <f t="shared" si="71"/>
        <v>11.999999999999996</v>
      </c>
      <c r="AW189" s="423">
        <f t="shared" si="72"/>
        <v>0</v>
      </c>
      <c r="AX189" s="423">
        <f t="shared" si="73"/>
        <v>6.333333333333333</v>
      </c>
      <c r="AY189" s="425">
        <f t="shared" si="74"/>
        <v>1.9999999999999998</v>
      </c>
    </row>
    <row r="190" spans="1:51" ht="13.9">
      <c r="A190" s="447" t="s">
        <v>252</v>
      </c>
      <c r="B190" s="448">
        <v>43800</v>
      </c>
      <c r="C190" s="449">
        <v>2019</v>
      </c>
      <c r="D190" s="421">
        <f t="shared" si="83"/>
        <v>2396046</v>
      </c>
      <c r="E190" s="421">
        <f t="shared" si="83"/>
        <v>34583.000000000015</v>
      </c>
      <c r="F190" s="422">
        <f t="shared" si="83"/>
        <v>18341</v>
      </c>
      <c r="G190" s="423">
        <f t="shared" si="83"/>
        <v>15107</v>
      </c>
      <c r="H190" s="423">
        <f t="shared" si="83"/>
        <v>0</v>
      </c>
      <c r="I190" s="423">
        <f t="shared" si="82"/>
        <v>3234.0000000000014</v>
      </c>
      <c r="J190" s="424">
        <f t="shared" si="82"/>
        <v>0</v>
      </c>
      <c r="K190" s="422">
        <f t="shared" si="82"/>
        <v>16242.000000000002</v>
      </c>
      <c r="L190" s="423">
        <f t="shared" si="82"/>
        <v>11037.999999999998</v>
      </c>
      <c r="M190" s="423">
        <f t="shared" si="82"/>
        <v>0</v>
      </c>
      <c r="N190" s="423">
        <f t="shared" si="82"/>
        <v>3715.9999999999995</v>
      </c>
      <c r="O190" s="425">
        <f t="shared" si="82"/>
        <v>1487.9999999999993</v>
      </c>
      <c r="P190" s="526">
        <f t="shared" si="76"/>
        <v>4059.0000000000009</v>
      </c>
      <c r="Q190" s="423">
        <f t="shared" si="82"/>
        <v>26.999999999999996</v>
      </c>
      <c r="R190" s="422">
        <f t="shared" si="82"/>
        <v>7.0000000000000009</v>
      </c>
      <c r="S190" s="423">
        <f t="shared" si="82"/>
        <v>7.0000000000000009</v>
      </c>
      <c r="T190" s="423">
        <f t="shared" si="82"/>
        <v>0</v>
      </c>
      <c r="U190" s="423">
        <f t="shared" si="82"/>
        <v>0</v>
      </c>
      <c r="V190" s="424">
        <f t="shared" si="82"/>
        <v>0</v>
      </c>
      <c r="W190" s="422">
        <f t="shared" si="82"/>
        <v>20.000000000000004</v>
      </c>
      <c r="X190" s="423">
        <f t="shared" si="82"/>
        <v>10.999999999999996</v>
      </c>
      <c r="Y190" s="423">
        <f t="shared" si="82"/>
        <v>0</v>
      </c>
      <c r="Z190" s="423">
        <f t="shared" si="82"/>
        <v>7</v>
      </c>
      <c r="AA190" s="425">
        <f t="shared" si="82"/>
        <v>1.9999999999999998</v>
      </c>
      <c r="AB190" s="526">
        <f t="shared" si="77"/>
        <v>454</v>
      </c>
      <c r="AC190" s="423">
        <f t="shared" si="84"/>
        <v>1.9999999999999998</v>
      </c>
      <c r="AD190" s="422">
        <f t="shared" si="84"/>
        <v>1</v>
      </c>
      <c r="AE190" s="423">
        <f t="shared" si="84"/>
        <v>0</v>
      </c>
      <c r="AF190" s="423">
        <f t="shared" si="84"/>
        <v>0</v>
      </c>
      <c r="AG190" s="423">
        <f t="shared" si="84"/>
        <v>1</v>
      </c>
      <c r="AH190" s="424">
        <f t="shared" si="84"/>
        <v>0</v>
      </c>
      <c r="AI190" s="422">
        <f t="shared" si="84"/>
        <v>1</v>
      </c>
      <c r="AJ190" s="423">
        <f t="shared" si="84"/>
        <v>1</v>
      </c>
      <c r="AK190" s="423">
        <f t="shared" si="84"/>
        <v>0</v>
      </c>
      <c r="AL190" s="423">
        <f t="shared" si="84"/>
        <v>0</v>
      </c>
      <c r="AM190" s="425">
        <f t="shared" si="84"/>
        <v>0</v>
      </c>
      <c r="AO190" s="421">
        <f t="shared" si="64"/>
        <v>28.999999999999996</v>
      </c>
      <c r="AP190" s="422">
        <f t="shared" si="65"/>
        <v>8</v>
      </c>
      <c r="AQ190" s="423">
        <f t="shared" si="66"/>
        <v>7.0000000000000009</v>
      </c>
      <c r="AR190" s="423">
        <f t="shared" si="67"/>
        <v>0</v>
      </c>
      <c r="AS190" s="423">
        <f t="shared" si="68"/>
        <v>1</v>
      </c>
      <c r="AT190" s="424">
        <f t="shared" si="69"/>
        <v>0</v>
      </c>
      <c r="AU190" s="422">
        <f t="shared" si="70"/>
        <v>21.000000000000004</v>
      </c>
      <c r="AV190" s="423">
        <f t="shared" si="71"/>
        <v>11.999999999999996</v>
      </c>
      <c r="AW190" s="423">
        <f t="shared" si="72"/>
        <v>0</v>
      </c>
      <c r="AX190" s="423">
        <f t="shared" si="73"/>
        <v>7</v>
      </c>
      <c r="AY190" s="425">
        <f t="shared" si="74"/>
        <v>1.9999999999999998</v>
      </c>
    </row>
    <row r="191" spans="1:51" ht="13.9">
      <c r="A191" s="447" t="s">
        <v>253</v>
      </c>
      <c r="B191" s="448">
        <v>43831</v>
      </c>
      <c r="C191" s="449">
        <v>2020</v>
      </c>
      <c r="D191" s="421">
        <f t="shared" si="83"/>
        <v>2442406</v>
      </c>
      <c r="E191" s="421">
        <f t="shared" si="83"/>
        <v>35153.666666666679</v>
      </c>
      <c r="F191" s="422">
        <f t="shared" si="83"/>
        <v>18735.666666666668</v>
      </c>
      <c r="G191" s="423">
        <f t="shared" si="83"/>
        <v>15353.666666666666</v>
      </c>
      <c r="H191" s="423">
        <f t="shared" si="83"/>
        <v>0</v>
      </c>
      <c r="I191" s="423">
        <f t="shared" si="82"/>
        <v>3382.0000000000014</v>
      </c>
      <c r="J191" s="424">
        <f t="shared" si="82"/>
        <v>0</v>
      </c>
      <c r="K191" s="422">
        <f t="shared" si="82"/>
        <v>16418</v>
      </c>
      <c r="L191" s="423">
        <f t="shared" si="82"/>
        <v>11122.333333333332</v>
      </c>
      <c r="M191" s="423">
        <f t="shared" si="82"/>
        <v>0</v>
      </c>
      <c r="N191" s="423">
        <f t="shared" si="82"/>
        <v>3793.9999999999995</v>
      </c>
      <c r="O191" s="425">
        <f t="shared" si="82"/>
        <v>1501.6666666666661</v>
      </c>
      <c r="P191" s="526">
        <f t="shared" si="76"/>
        <v>4142.6666666666679</v>
      </c>
      <c r="Q191" s="423">
        <f t="shared" si="82"/>
        <v>28.333333333333329</v>
      </c>
      <c r="R191" s="422">
        <f t="shared" si="82"/>
        <v>7.0000000000000009</v>
      </c>
      <c r="S191" s="423">
        <f t="shared" si="82"/>
        <v>7.0000000000000009</v>
      </c>
      <c r="T191" s="423">
        <f t="shared" si="82"/>
        <v>0</v>
      </c>
      <c r="U191" s="423">
        <f t="shared" si="82"/>
        <v>0</v>
      </c>
      <c r="V191" s="424">
        <f t="shared" si="82"/>
        <v>0</v>
      </c>
      <c r="W191" s="422">
        <f t="shared" si="82"/>
        <v>21.333333333333336</v>
      </c>
      <c r="X191" s="423">
        <f t="shared" si="82"/>
        <v>11.666666666666663</v>
      </c>
      <c r="Y191" s="423">
        <f t="shared" si="82"/>
        <v>0</v>
      </c>
      <c r="Z191" s="423">
        <f t="shared" si="82"/>
        <v>7.333333333333333</v>
      </c>
      <c r="AA191" s="425">
        <f t="shared" si="82"/>
        <v>2.333333333333333</v>
      </c>
      <c r="AB191" s="526">
        <f t="shared" si="77"/>
        <v>459.33333333333331</v>
      </c>
      <c r="AC191" s="423">
        <f t="shared" si="84"/>
        <v>1.9999999999999998</v>
      </c>
      <c r="AD191" s="422">
        <f t="shared" si="84"/>
        <v>1</v>
      </c>
      <c r="AE191" s="423">
        <f t="shared" si="84"/>
        <v>0</v>
      </c>
      <c r="AF191" s="423">
        <f t="shared" si="84"/>
        <v>0</v>
      </c>
      <c r="AG191" s="423">
        <f t="shared" si="84"/>
        <v>1</v>
      </c>
      <c r="AH191" s="424">
        <f t="shared" si="84"/>
        <v>0</v>
      </c>
      <c r="AI191" s="422">
        <f t="shared" si="84"/>
        <v>1</v>
      </c>
      <c r="AJ191" s="423">
        <f t="shared" si="84"/>
        <v>1</v>
      </c>
      <c r="AK191" s="423">
        <f t="shared" si="84"/>
        <v>0</v>
      </c>
      <c r="AL191" s="423">
        <f t="shared" si="84"/>
        <v>0</v>
      </c>
      <c r="AM191" s="425">
        <f t="shared" si="84"/>
        <v>0</v>
      </c>
      <c r="AO191" s="421">
        <f t="shared" si="64"/>
        <v>30.333333333333329</v>
      </c>
      <c r="AP191" s="422">
        <f t="shared" si="65"/>
        <v>8</v>
      </c>
      <c r="AQ191" s="423">
        <f t="shared" si="66"/>
        <v>7.0000000000000009</v>
      </c>
      <c r="AR191" s="423">
        <f t="shared" si="67"/>
        <v>0</v>
      </c>
      <c r="AS191" s="423">
        <f t="shared" si="68"/>
        <v>1</v>
      </c>
      <c r="AT191" s="424">
        <f t="shared" si="69"/>
        <v>0</v>
      </c>
      <c r="AU191" s="422">
        <f t="shared" si="70"/>
        <v>22.333333333333336</v>
      </c>
      <c r="AV191" s="423">
        <f t="shared" si="71"/>
        <v>12.666666666666663</v>
      </c>
      <c r="AW191" s="423">
        <f t="shared" si="72"/>
        <v>0</v>
      </c>
      <c r="AX191" s="423">
        <f t="shared" si="73"/>
        <v>7.333333333333333</v>
      </c>
      <c r="AY191" s="425">
        <f t="shared" si="74"/>
        <v>2.333333333333333</v>
      </c>
    </row>
    <row r="192" spans="1:51" ht="13.9">
      <c r="A192" s="447" t="s">
        <v>253</v>
      </c>
      <c r="B192" s="448">
        <v>43862</v>
      </c>
      <c r="C192" s="449">
        <v>2020</v>
      </c>
      <c r="D192" s="421">
        <f t="shared" si="83"/>
        <v>2488766</v>
      </c>
      <c r="E192" s="421">
        <f t="shared" si="83"/>
        <v>35724.333333333343</v>
      </c>
      <c r="F192" s="422">
        <f t="shared" si="83"/>
        <v>19130.333333333336</v>
      </c>
      <c r="G192" s="423">
        <f t="shared" si="83"/>
        <v>15600.333333333332</v>
      </c>
      <c r="H192" s="423">
        <f t="shared" si="83"/>
        <v>0</v>
      </c>
      <c r="I192" s="423">
        <f t="shared" si="82"/>
        <v>3530.0000000000014</v>
      </c>
      <c r="J192" s="424">
        <f t="shared" si="82"/>
        <v>0</v>
      </c>
      <c r="K192" s="422">
        <f t="shared" si="82"/>
        <v>16594</v>
      </c>
      <c r="L192" s="423">
        <f t="shared" si="82"/>
        <v>11206.666666666666</v>
      </c>
      <c r="M192" s="423">
        <f t="shared" si="82"/>
        <v>0</v>
      </c>
      <c r="N192" s="423">
        <f t="shared" si="82"/>
        <v>3871.9999999999995</v>
      </c>
      <c r="O192" s="425">
        <f t="shared" si="82"/>
        <v>1515.3333333333328</v>
      </c>
      <c r="P192" s="526">
        <f t="shared" si="76"/>
        <v>4226.3333333333348</v>
      </c>
      <c r="Q192" s="423">
        <f t="shared" si="82"/>
        <v>29.666666666666661</v>
      </c>
      <c r="R192" s="422">
        <f t="shared" si="82"/>
        <v>7.0000000000000009</v>
      </c>
      <c r="S192" s="423">
        <f t="shared" si="82"/>
        <v>7.0000000000000009</v>
      </c>
      <c r="T192" s="423">
        <f t="shared" si="82"/>
        <v>0</v>
      </c>
      <c r="U192" s="423">
        <f t="shared" si="82"/>
        <v>0</v>
      </c>
      <c r="V192" s="424">
        <f t="shared" si="82"/>
        <v>0</v>
      </c>
      <c r="W192" s="422">
        <f t="shared" si="82"/>
        <v>22.666666666666668</v>
      </c>
      <c r="X192" s="423">
        <f t="shared" si="82"/>
        <v>12.333333333333329</v>
      </c>
      <c r="Y192" s="423">
        <f t="shared" si="82"/>
        <v>0</v>
      </c>
      <c r="Z192" s="423">
        <f t="shared" si="82"/>
        <v>7.6666666666666661</v>
      </c>
      <c r="AA192" s="425">
        <f t="shared" si="82"/>
        <v>2.6666666666666665</v>
      </c>
      <c r="AB192" s="526">
        <f t="shared" si="77"/>
        <v>464.66666666666663</v>
      </c>
      <c r="AC192" s="423">
        <f t="shared" si="84"/>
        <v>1.9999999999999998</v>
      </c>
      <c r="AD192" s="422">
        <f t="shared" si="84"/>
        <v>1</v>
      </c>
      <c r="AE192" s="423">
        <f t="shared" si="84"/>
        <v>0</v>
      </c>
      <c r="AF192" s="423">
        <f t="shared" si="84"/>
        <v>0</v>
      </c>
      <c r="AG192" s="423">
        <f t="shared" si="84"/>
        <v>1</v>
      </c>
      <c r="AH192" s="424">
        <f t="shared" si="84"/>
        <v>0</v>
      </c>
      <c r="AI192" s="422">
        <f t="shared" si="84"/>
        <v>1</v>
      </c>
      <c r="AJ192" s="423">
        <f t="shared" si="84"/>
        <v>1</v>
      </c>
      <c r="AK192" s="423">
        <f t="shared" si="84"/>
        <v>0</v>
      </c>
      <c r="AL192" s="423">
        <f t="shared" si="84"/>
        <v>0</v>
      </c>
      <c r="AM192" s="425">
        <f t="shared" si="84"/>
        <v>0</v>
      </c>
      <c r="AO192" s="421">
        <f t="shared" si="64"/>
        <v>31.666666666666661</v>
      </c>
      <c r="AP192" s="422">
        <f t="shared" si="65"/>
        <v>8</v>
      </c>
      <c r="AQ192" s="423">
        <f t="shared" si="66"/>
        <v>7.0000000000000009</v>
      </c>
      <c r="AR192" s="423">
        <f t="shared" si="67"/>
        <v>0</v>
      </c>
      <c r="AS192" s="423">
        <f t="shared" si="68"/>
        <v>1</v>
      </c>
      <c r="AT192" s="424">
        <f t="shared" si="69"/>
        <v>0</v>
      </c>
      <c r="AU192" s="422">
        <f t="shared" si="70"/>
        <v>23.666666666666668</v>
      </c>
      <c r="AV192" s="423">
        <f t="shared" si="71"/>
        <v>13.333333333333329</v>
      </c>
      <c r="AW192" s="423">
        <f t="shared" si="72"/>
        <v>0</v>
      </c>
      <c r="AX192" s="423">
        <f t="shared" si="73"/>
        <v>7.6666666666666661</v>
      </c>
      <c r="AY192" s="425">
        <f t="shared" si="74"/>
        <v>2.6666666666666665</v>
      </c>
    </row>
    <row r="193" spans="1:51" ht="13.9">
      <c r="A193" s="447" t="s">
        <v>253</v>
      </c>
      <c r="B193" s="448">
        <v>43891</v>
      </c>
      <c r="C193" s="449">
        <v>2020</v>
      </c>
      <c r="D193" s="421">
        <f t="shared" si="83"/>
        <v>2535126</v>
      </c>
      <c r="E193" s="421">
        <f t="shared" si="83"/>
        <v>36295.000000000007</v>
      </c>
      <c r="F193" s="422">
        <f t="shared" si="83"/>
        <v>19525.000000000004</v>
      </c>
      <c r="G193" s="423">
        <f t="shared" si="83"/>
        <v>15846.999999999998</v>
      </c>
      <c r="H193" s="423">
        <f t="shared" si="83"/>
        <v>0</v>
      </c>
      <c r="I193" s="423">
        <f t="shared" si="82"/>
        <v>3678.0000000000014</v>
      </c>
      <c r="J193" s="424">
        <f t="shared" si="82"/>
        <v>0</v>
      </c>
      <c r="K193" s="422">
        <f t="shared" si="82"/>
        <v>16770</v>
      </c>
      <c r="L193" s="423">
        <f t="shared" ref="L193:AA208" si="85">L82/3+L192</f>
        <v>11291</v>
      </c>
      <c r="M193" s="423">
        <f t="shared" si="85"/>
        <v>0</v>
      </c>
      <c r="N193" s="423">
        <f t="shared" si="85"/>
        <v>3949.9999999999995</v>
      </c>
      <c r="O193" s="425">
        <f t="shared" si="85"/>
        <v>1528.9999999999995</v>
      </c>
      <c r="P193" s="526">
        <f t="shared" ref="P193:P214" si="86">P82/3+P192</f>
        <v>4310.0000000000018</v>
      </c>
      <c r="Q193" s="423">
        <f t="shared" si="85"/>
        <v>30.999999999999993</v>
      </c>
      <c r="R193" s="422">
        <f t="shared" si="85"/>
        <v>7.0000000000000009</v>
      </c>
      <c r="S193" s="423">
        <f t="shared" si="85"/>
        <v>7.0000000000000009</v>
      </c>
      <c r="T193" s="423">
        <f t="shared" si="85"/>
        <v>0</v>
      </c>
      <c r="U193" s="423">
        <f t="shared" si="85"/>
        <v>0</v>
      </c>
      <c r="V193" s="424">
        <f t="shared" si="85"/>
        <v>0</v>
      </c>
      <c r="W193" s="422">
        <f t="shared" si="85"/>
        <v>24</v>
      </c>
      <c r="X193" s="423">
        <f t="shared" si="85"/>
        <v>12.999999999999995</v>
      </c>
      <c r="Y193" s="423">
        <f t="shared" si="85"/>
        <v>0</v>
      </c>
      <c r="Z193" s="423">
        <f t="shared" si="85"/>
        <v>7.9999999999999991</v>
      </c>
      <c r="AA193" s="425">
        <f t="shared" si="85"/>
        <v>3</v>
      </c>
      <c r="AB193" s="526">
        <f t="shared" ref="AB193:AB208" si="87">AB82/3+AB192</f>
        <v>469.99999999999994</v>
      </c>
      <c r="AC193" s="423">
        <f t="shared" ref="AC193:AM193" si="88">AC82/3+AC192</f>
        <v>1.9999999999999998</v>
      </c>
      <c r="AD193" s="422">
        <f t="shared" si="88"/>
        <v>1</v>
      </c>
      <c r="AE193" s="423">
        <f t="shared" si="88"/>
        <v>0</v>
      </c>
      <c r="AF193" s="423">
        <f t="shared" si="88"/>
        <v>0</v>
      </c>
      <c r="AG193" s="423">
        <f t="shared" si="88"/>
        <v>1</v>
      </c>
      <c r="AH193" s="424">
        <f t="shared" si="88"/>
        <v>0</v>
      </c>
      <c r="AI193" s="422">
        <f t="shared" si="88"/>
        <v>1</v>
      </c>
      <c r="AJ193" s="423">
        <f t="shared" si="88"/>
        <v>1</v>
      </c>
      <c r="AK193" s="423">
        <f t="shared" si="88"/>
        <v>0</v>
      </c>
      <c r="AL193" s="423">
        <f t="shared" si="88"/>
        <v>0</v>
      </c>
      <c r="AM193" s="425">
        <f t="shared" si="88"/>
        <v>0</v>
      </c>
      <c r="AO193" s="421">
        <f t="shared" si="64"/>
        <v>32.999999999999993</v>
      </c>
      <c r="AP193" s="422">
        <f t="shared" si="65"/>
        <v>8</v>
      </c>
      <c r="AQ193" s="423">
        <f t="shared" si="66"/>
        <v>7.0000000000000009</v>
      </c>
      <c r="AR193" s="423">
        <f t="shared" si="67"/>
        <v>0</v>
      </c>
      <c r="AS193" s="423">
        <f t="shared" si="68"/>
        <v>1</v>
      </c>
      <c r="AT193" s="424">
        <f t="shared" si="69"/>
        <v>0</v>
      </c>
      <c r="AU193" s="422">
        <f t="shared" si="70"/>
        <v>25</v>
      </c>
      <c r="AV193" s="423">
        <f t="shared" si="71"/>
        <v>13.999999999999995</v>
      </c>
      <c r="AW193" s="423">
        <f t="shared" si="72"/>
        <v>0</v>
      </c>
      <c r="AX193" s="423">
        <f t="shared" si="73"/>
        <v>7.9999999999999991</v>
      </c>
      <c r="AY193" s="425">
        <f t="shared" si="74"/>
        <v>3</v>
      </c>
    </row>
    <row r="194" spans="1:51" ht="13.9">
      <c r="A194" s="447" t="s">
        <v>254</v>
      </c>
      <c r="B194" s="448">
        <v>43922</v>
      </c>
      <c r="C194" s="449">
        <v>2020</v>
      </c>
      <c r="D194" s="421">
        <f t="shared" si="83"/>
        <v>2571525</v>
      </c>
      <c r="E194" s="421">
        <f t="shared" si="83"/>
        <v>36882.000000000007</v>
      </c>
      <c r="F194" s="422">
        <f t="shared" si="83"/>
        <v>19970.666666666672</v>
      </c>
      <c r="G194" s="423">
        <f t="shared" si="83"/>
        <v>16220.999999999998</v>
      </c>
      <c r="H194" s="423">
        <f t="shared" si="83"/>
        <v>0</v>
      </c>
      <c r="I194" s="423">
        <f t="shared" si="83"/>
        <v>3749.6666666666679</v>
      </c>
      <c r="J194" s="424">
        <f t="shared" si="83"/>
        <v>0</v>
      </c>
      <c r="K194" s="422">
        <f t="shared" si="83"/>
        <v>16911.333333333332</v>
      </c>
      <c r="L194" s="423">
        <f t="shared" si="85"/>
        <v>11361</v>
      </c>
      <c r="M194" s="423">
        <f t="shared" si="85"/>
        <v>0</v>
      </c>
      <c r="N194" s="423">
        <f t="shared" si="85"/>
        <v>4013.9999999999995</v>
      </c>
      <c r="O194" s="425">
        <f t="shared" si="85"/>
        <v>1536.3333333333328</v>
      </c>
      <c r="P194" s="526">
        <f t="shared" si="86"/>
        <v>4380.3333333333348</v>
      </c>
      <c r="Q194" s="423">
        <f t="shared" si="85"/>
        <v>31.333333333333325</v>
      </c>
      <c r="R194" s="422">
        <f t="shared" si="85"/>
        <v>7.3333333333333339</v>
      </c>
      <c r="S194" s="423">
        <f t="shared" si="85"/>
        <v>7.0000000000000009</v>
      </c>
      <c r="T194" s="423">
        <f t="shared" si="85"/>
        <v>0</v>
      </c>
      <c r="U194" s="423">
        <f t="shared" si="85"/>
        <v>0.33333333333333331</v>
      </c>
      <c r="V194" s="424">
        <f t="shared" si="85"/>
        <v>0</v>
      </c>
      <c r="W194" s="422">
        <f t="shared" si="85"/>
        <v>24</v>
      </c>
      <c r="X194" s="423">
        <f t="shared" si="85"/>
        <v>12.999999999999995</v>
      </c>
      <c r="Y194" s="423">
        <f t="shared" si="85"/>
        <v>0</v>
      </c>
      <c r="Z194" s="423">
        <f t="shared" si="85"/>
        <v>7.9999999999999991</v>
      </c>
      <c r="AA194" s="425">
        <f t="shared" si="85"/>
        <v>3</v>
      </c>
      <c r="AB194" s="526">
        <f t="shared" si="87"/>
        <v>476.33333333333326</v>
      </c>
      <c r="AC194" s="423">
        <f t="shared" ref="AC194:AM194" si="89">AC83/3+AC193</f>
        <v>1.9999999999999998</v>
      </c>
      <c r="AD194" s="422">
        <f t="shared" si="89"/>
        <v>1</v>
      </c>
      <c r="AE194" s="423">
        <f t="shared" si="89"/>
        <v>0</v>
      </c>
      <c r="AF194" s="423">
        <f t="shared" si="89"/>
        <v>0</v>
      </c>
      <c r="AG194" s="423">
        <f t="shared" si="89"/>
        <v>1</v>
      </c>
      <c r="AH194" s="424">
        <f t="shared" si="89"/>
        <v>0</v>
      </c>
      <c r="AI194" s="422">
        <f t="shared" si="89"/>
        <v>1</v>
      </c>
      <c r="AJ194" s="423">
        <f t="shared" si="89"/>
        <v>1</v>
      </c>
      <c r="AK194" s="423">
        <f t="shared" si="89"/>
        <v>0</v>
      </c>
      <c r="AL194" s="423">
        <f t="shared" si="89"/>
        <v>0</v>
      </c>
      <c r="AM194" s="425">
        <f t="shared" si="89"/>
        <v>0</v>
      </c>
      <c r="AO194" s="421">
        <f t="shared" si="64"/>
        <v>33.333333333333321</v>
      </c>
      <c r="AP194" s="422">
        <f t="shared" si="65"/>
        <v>8.3333333333333339</v>
      </c>
      <c r="AQ194" s="423">
        <f t="shared" si="66"/>
        <v>7.0000000000000009</v>
      </c>
      <c r="AR194" s="423">
        <f t="shared" si="67"/>
        <v>0</v>
      </c>
      <c r="AS194" s="423">
        <f t="shared" si="68"/>
        <v>1.3333333333333333</v>
      </c>
      <c r="AT194" s="424">
        <f t="shared" si="69"/>
        <v>0</v>
      </c>
      <c r="AU194" s="422">
        <f t="shared" si="70"/>
        <v>25</v>
      </c>
      <c r="AV194" s="423">
        <f t="shared" si="71"/>
        <v>13.999999999999995</v>
      </c>
      <c r="AW194" s="423">
        <f t="shared" si="72"/>
        <v>0</v>
      </c>
      <c r="AX194" s="423">
        <f t="shared" si="73"/>
        <v>7.9999999999999991</v>
      </c>
      <c r="AY194" s="425">
        <f t="shared" si="74"/>
        <v>3</v>
      </c>
    </row>
    <row r="195" spans="1:51" ht="13.9">
      <c r="A195" s="447" t="s">
        <v>254</v>
      </c>
      <c r="B195" s="448">
        <v>43952</v>
      </c>
      <c r="C195" s="449">
        <v>2020</v>
      </c>
      <c r="D195" s="421">
        <f t="shared" si="83"/>
        <v>2607924</v>
      </c>
      <c r="E195" s="421">
        <f t="shared" si="83"/>
        <v>37469.000000000007</v>
      </c>
      <c r="F195" s="422">
        <f t="shared" si="83"/>
        <v>20416.333333333339</v>
      </c>
      <c r="G195" s="423">
        <f t="shared" si="83"/>
        <v>16595</v>
      </c>
      <c r="H195" s="423">
        <f t="shared" si="83"/>
        <v>0</v>
      </c>
      <c r="I195" s="423">
        <f t="shared" si="83"/>
        <v>3821.3333333333344</v>
      </c>
      <c r="J195" s="424">
        <f t="shared" si="83"/>
        <v>0</v>
      </c>
      <c r="K195" s="422">
        <f t="shared" si="83"/>
        <v>17052.666666666664</v>
      </c>
      <c r="L195" s="423">
        <f t="shared" si="85"/>
        <v>11431</v>
      </c>
      <c r="M195" s="423">
        <f t="shared" si="85"/>
        <v>0</v>
      </c>
      <c r="N195" s="423">
        <f t="shared" si="85"/>
        <v>4077.9999999999995</v>
      </c>
      <c r="O195" s="425">
        <f t="shared" si="85"/>
        <v>1543.6666666666661</v>
      </c>
      <c r="P195" s="526">
        <f t="shared" si="86"/>
        <v>4450.6666666666679</v>
      </c>
      <c r="Q195" s="423">
        <f t="shared" si="85"/>
        <v>31.666666666666657</v>
      </c>
      <c r="R195" s="422">
        <f t="shared" si="85"/>
        <v>7.666666666666667</v>
      </c>
      <c r="S195" s="423">
        <f t="shared" si="85"/>
        <v>7.0000000000000009</v>
      </c>
      <c r="T195" s="423">
        <f t="shared" si="85"/>
        <v>0</v>
      </c>
      <c r="U195" s="423">
        <f t="shared" si="85"/>
        <v>0.66666666666666663</v>
      </c>
      <c r="V195" s="424">
        <f t="shared" si="85"/>
        <v>0</v>
      </c>
      <c r="W195" s="422">
        <f t="shared" si="85"/>
        <v>24</v>
      </c>
      <c r="X195" s="423">
        <f t="shared" si="85"/>
        <v>12.999999999999995</v>
      </c>
      <c r="Y195" s="423">
        <f t="shared" si="85"/>
        <v>0</v>
      </c>
      <c r="Z195" s="423">
        <f t="shared" si="85"/>
        <v>7.9999999999999991</v>
      </c>
      <c r="AA195" s="425">
        <f t="shared" si="85"/>
        <v>3</v>
      </c>
      <c r="AB195" s="526">
        <f t="shared" si="87"/>
        <v>482.66666666666657</v>
      </c>
      <c r="AC195" s="423">
        <f t="shared" ref="AC195:AM195" si="90">AC84/3+AC194</f>
        <v>1.9999999999999998</v>
      </c>
      <c r="AD195" s="422">
        <f t="shared" si="90"/>
        <v>1</v>
      </c>
      <c r="AE195" s="423">
        <f t="shared" si="90"/>
        <v>0</v>
      </c>
      <c r="AF195" s="423">
        <f t="shared" si="90"/>
        <v>0</v>
      </c>
      <c r="AG195" s="423">
        <f t="shared" si="90"/>
        <v>1</v>
      </c>
      <c r="AH195" s="424">
        <f t="shared" si="90"/>
        <v>0</v>
      </c>
      <c r="AI195" s="422">
        <f t="shared" si="90"/>
        <v>1</v>
      </c>
      <c r="AJ195" s="423">
        <f t="shared" si="90"/>
        <v>1</v>
      </c>
      <c r="AK195" s="423">
        <f t="shared" si="90"/>
        <v>0</v>
      </c>
      <c r="AL195" s="423">
        <f t="shared" si="90"/>
        <v>0</v>
      </c>
      <c r="AM195" s="425">
        <f t="shared" si="90"/>
        <v>0</v>
      </c>
      <c r="AO195" s="421">
        <f t="shared" si="64"/>
        <v>33.666666666666657</v>
      </c>
      <c r="AP195" s="422">
        <f t="shared" si="65"/>
        <v>8.6666666666666679</v>
      </c>
      <c r="AQ195" s="423">
        <f t="shared" si="66"/>
        <v>7.0000000000000009</v>
      </c>
      <c r="AR195" s="423">
        <f t="shared" si="67"/>
        <v>0</v>
      </c>
      <c r="AS195" s="423">
        <f t="shared" si="68"/>
        <v>1.6666666666666665</v>
      </c>
      <c r="AT195" s="424">
        <f t="shared" si="69"/>
        <v>0</v>
      </c>
      <c r="AU195" s="422">
        <f t="shared" si="70"/>
        <v>25</v>
      </c>
      <c r="AV195" s="423">
        <f t="shared" si="71"/>
        <v>13.999999999999995</v>
      </c>
      <c r="AW195" s="423">
        <f t="shared" si="72"/>
        <v>0</v>
      </c>
      <c r="AX195" s="423">
        <f t="shared" si="73"/>
        <v>7.9999999999999991</v>
      </c>
      <c r="AY195" s="425">
        <f t="shared" si="74"/>
        <v>3</v>
      </c>
    </row>
    <row r="196" spans="1:51" ht="13.9">
      <c r="A196" s="447" t="s">
        <v>254</v>
      </c>
      <c r="B196" s="448">
        <v>43983</v>
      </c>
      <c r="C196" s="449">
        <v>2020</v>
      </c>
      <c r="D196" s="421">
        <f t="shared" si="83"/>
        <v>2644323</v>
      </c>
      <c r="E196" s="421">
        <f t="shared" si="83"/>
        <v>38056.000000000007</v>
      </c>
      <c r="F196" s="422">
        <f t="shared" si="83"/>
        <v>20862.000000000007</v>
      </c>
      <c r="G196" s="423">
        <f t="shared" si="83"/>
        <v>16969</v>
      </c>
      <c r="H196" s="423">
        <f t="shared" si="83"/>
        <v>0</v>
      </c>
      <c r="I196" s="423">
        <f t="shared" si="83"/>
        <v>3893.0000000000009</v>
      </c>
      <c r="J196" s="424">
        <f t="shared" si="83"/>
        <v>0</v>
      </c>
      <c r="K196" s="422">
        <f t="shared" si="83"/>
        <v>17193.999999999996</v>
      </c>
      <c r="L196" s="423">
        <f t="shared" si="85"/>
        <v>11501</v>
      </c>
      <c r="M196" s="423">
        <f t="shared" si="85"/>
        <v>0</v>
      </c>
      <c r="N196" s="423">
        <f t="shared" si="85"/>
        <v>4142</v>
      </c>
      <c r="O196" s="425">
        <f t="shared" si="85"/>
        <v>1550.9999999999993</v>
      </c>
      <c r="P196" s="526">
        <f t="shared" si="86"/>
        <v>4521.0000000000009</v>
      </c>
      <c r="Q196" s="423">
        <f t="shared" si="85"/>
        <v>31.999999999999989</v>
      </c>
      <c r="R196" s="422">
        <f t="shared" si="85"/>
        <v>8</v>
      </c>
      <c r="S196" s="423">
        <f t="shared" si="85"/>
        <v>7.0000000000000009</v>
      </c>
      <c r="T196" s="423">
        <f t="shared" si="85"/>
        <v>0</v>
      </c>
      <c r="U196" s="423">
        <f t="shared" si="85"/>
        <v>1</v>
      </c>
      <c r="V196" s="424">
        <f t="shared" si="85"/>
        <v>0</v>
      </c>
      <c r="W196" s="422">
        <f t="shared" si="85"/>
        <v>24</v>
      </c>
      <c r="X196" s="423">
        <f t="shared" si="85"/>
        <v>12.999999999999995</v>
      </c>
      <c r="Y196" s="423">
        <f t="shared" si="85"/>
        <v>0</v>
      </c>
      <c r="Z196" s="423">
        <f t="shared" si="85"/>
        <v>7.9999999999999991</v>
      </c>
      <c r="AA196" s="425">
        <f t="shared" si="85"/>
        <v>3</v>
      </c>
      <c r="AB196" s="526">
        <f t="shared" si="87"/>
        <v>488.99999999999989</v>
      </c>
      <c r="AC196" s="423">
        <f t="shared" ref="AC196:AM196" si="91">AC85/3+AC195</f>
        <v>1.9999999999999998</v>
      </c>
      <c r="AD196" s="422">
        <f t="shared" si="91"/>
        <v>1</v>
      </c>
      <c r="AE196" s="423">
        <f t="shared" si="91"/>
        <v>0</v>
      </c>
      <c r="AF196" s="423">
        <f t="shared" si="91"/>
        <v>0</v>
      </c>
      <c r="AG196" s="423">
        <f t="shared" si="91"/>
        <v>1</v>
      </c>
      <c r="AH196" s="424">
        <f t="shared" si="91"/>
        <v>0</v>
      </c>
      <c r="AI196" s="422">
        <f t="shared" si="91"/>
        <v>1</v>
      </c>
      <c r="AJ196" s="423">
        <f t="shared" si="91"/>
        <v>1</v>
      </c>
      <c r="AK196" s="423">
        <f t="shared" si="91"/>
        <v>0</v>
      </c>
      <c r="AL196" s="423">
        <f t="shared" si="91"/>
        <v>0</v>
      </c>
      <c r="AM196" s="425">
        <f t="shared" si="91"/>
        <v>0</v>
      </c>
      <c r="AO196" s="421">
        <f t="shared" si="64"/>
        <v>33.999999999999986</v>
      </c>
      <c r="AP196" s="422">
        <f t="shared" si="65"/>
        <v>9</v>
      </c>
      <c r="AQ196" s="423">
        <f t="shared" si="66"/>
        <v>7.0000000000000009</v>
      </c>
      <c r="AR196" s="423">
        <f t="shared" si="67"/>
        <v>0</v>
      </c>
      <c r="AS196" s="423">
        <f t="shared" si="68"/>
        <v>2</v>
      </c>
      <c r="AT196" s="424">
        <f t="shared" si="69"/>
        <v>0</v>
      </c>
      <c r="AU196" s="422">
        <f t="shared" si="70"/>
        <v>25</v>
      </c>
      <c r="AV196" s="423">
        <f t="shared" si="71"/>
        <v>13.999999999999995</v>
      </c>
      <c r="AW196" s="423">
        <f t="shared" si="72"/>
        <v>0</v>
      </c>
      <c r="AX196" s="423">
        <f t="shared" si="73"/>
        <v>7.9999999999999991</v>
      </c>
      <c r="AY196" s="425">
        <f t="shared" si="74"/>
        <v>3</v>
      </c>
    </row>
    <row r="197" spans="1:51" ht="13.9">
      <c r="A197" s="447" t="s">
        <v>255</v>
      </c>
      <c r="B197" s="448">
        <v>44013</v>
      </c>
      <c r="C197" s="449">
        <v>2020</v>
      </c>
      <c r="D197" s="421">
        <f t="shared" si="83"/>
        <v>2710458.3333333335</v>
      </c>
      <c r="E197" s="421">
        <f t="shared" si="83"/>
        <v>39245.333333333343</v>
      </c>
      <c r="F197" s="422">
        <f t="shared" si="83"/>
        <v>21797.666666666675</v>
      </c>
      <c r="G197" s="423">
        <f t="shared" si="83"/>
        <v>17462</v>
      </c>
      <c r="H197" s="423">
        <f t="shared" si="83"/>
        <v>0</v>
      </c>
      <c r="I197" s="423">
        <f t="shared" si="83"/>
        <v>4335.6666666666679</v>
      </c>
      <c r="J197" s="424">
        <f t="shared" si="83"/>
        <v>0</v>
      </c>
      <c r="K197" s="422">
        <f t="shared" si="83"/>
        <v>17447.666666666664</v>
      </c>
      <c r="L197" s="423">
        <f t="shared" si="85"/>
        <v>11609</v>
      </c>
      <c r="M197" s="423">
        <f t="shared" si="85"/>
        <v>0</v>
      </c>
      <c r="N197" s="423">
        <f t="shared" si="85"/>
        <v>4277</v>
      </c>
      <c r="O197" s="425">
        <f t="shared" si="85"/>
        <v>1561.6666666666661</v>
      </c>
      <c r="P197" s="526">
        <f t="shared" si="86"/>
        <v>4636.0000000000009</v>
      </c>
      <c r="Q197" s="423">
        <f t="shared" si="85"/>
        <v>32.333333333333321</v>
      </c>
      <c r="R197" s="422">
        <f t="shared" si="85"/>
        <v>8.3333333333333339</v>
      </c>
      <c r="S197" s="423">
        <f t="shared" si="85"/>
        <v>7.3333333333333339</v>
      </c>
      <c r="T197" s="423">
        <f t="shared" si="85"/>
        <v>0</v>
      </c>
      <c r="U197" s="423">
        <f t="shared" si="85"/>
        <v>1</v>
      </c>
      <c r="V197" s="424">
        <f t="shared" si="85"/>
        <v>0</v>
      </c>
      <c r="W197" s="422">
        <f t="shared" si="85"/>
        <v>24</v>
      </c>
      <c r="X197" s="423">
        <f t="shared" si="85"/>
        <v>12.999999999999995</v>
      </c>
      <c r="Y197" s="423">
        <f t="shared" si="85"/>
        <v>0</v>
      </c>
      <c r="Z197" s="423">
        <f t="shared" si="85"/>
        <v>7.9999999999999991</v>
      </c>
      <c r="AA197" s="425">
        <f t="shared" si="85"/>
        <v>3</v>
      </c>
      <c r="AB197" s="526">
        <f t="shared" si="87"/>
        <v>502.66666666666657</v>
      </c>
      <c r="AC197" s="423">
        <f t="shared" ref="AC197:AM197" si="92">AC86/3+AC196</f>
        <v>1.9999999999999998</v>
      </c>
      <c r="AD197" s="422">
        <f t="shared" si="92"/>
        <v>1</v>
      </c>
      <c r="AE197" s="423">
        <f t="shared" si="92"/>
        <v>0</v>
      </c>
      <c r="AF197" s="423">
        <f t="shared" si="92"/>
        <v>0</v>
      </c>
      <c r="AG197" s="423">
        <f t="shared" si="92"/>
        <v>1</v>
      </c>
      <c r="AH197" s="424">
        <f t="shared" si="92"/>
        <v>0</v>
      </c>
      <c r="AI197" s="422">
        <f t="shared" si="92"/>
        <v>1</v>
      </c>
      <c r="AJ197" s="423">
        <f t="shared" si="92"/>
        <v>1</v>
      </c>
      <c r="AK197" s="423">
        <f t="shared" si="92"/>
        <v>0</v>
      </c>
      <c r="AL197" s="423">
        <f t="shared" si="92"/>
        <v>0</v>
      </c>
      <c r="AM197" s="425">
        <f t="shared" si="92"/>
        <v>0</v>
      </c>
      <c r="AO197" s="421">
        <f t="shared" si="64"/>
        <v>34.333333333333321</v>
      </c>
      <c r="AP197" s="422">
        <f t="shared" si="65"/>
        <v>9.3333333333333339</v>
      </c>
      <c r="AQ197" s="423">
        <f t="shared" si="66"/>
        <v>7.3333333333333339</v>
      </c>
      <c r="AR197" s="423">
        <f t="shared" si="67"/>
        <v>0</v>
      </c>
      <c r="AS197" s="423">
        <f t="shared" si="68"/>
        <v>2</v>
      </c>
      <c r="AT197" s="424">
        <f t="shared" si="69"/>
        <v>0</v>
      </c>
      <c r="AU197" s="422">
        <f t="shared" si="70"/>
        <v>25</v>
      </c>
      <c r="AV197" s="423">
        <f t="shared" si="71"/>
        <v>13.999999999999995</v>
      </c>
      <c r="AW197" s="423">
        <f t="shared" si="72"/>
        <v>0</v>
      </c>
      <c r="AX197" s="423">
        <f t="shared" si="73"/>
        <v>7.9999999999999991</v>
      </c>
      <c r="AY197" s="425">
        <f t="shared" si="74"/>
        <v>3</v>
      </c>
    </row>
    <row r="198" spans="1:51" ht="13.9">
      <c r="A198" s="447" t="s">
        <v>255</v>
      </c>
      <c r="B198" s="448">
        <v>44044</v>
      </c>
      <c r="C198" s="449">
        <v>2020</v>
      </c>
      <c r="D198" s="421">
        <f t="shared" si="83"/>
        <v>2776593.666666667</v>
      </c>
      <c r="E198" s="421">
        <f t="shared" si="83"/>
        <v>40434.666666666679</v>
      </c>
      <c r="F198" s="422">
        <f t="shared" si="83"/>
        <v>22733.333333333343</v>
      </c>
      <c r="G198" s="423">
        <f t="shared" si="83"/>
        <v>17955</v>
      </c>
      <c r="H198" s="423">
        <f t="shared" si="83"/>
        <v>0</v>
      </c>
      <c r="I198" s="423">
        <f t="shared" si="83"/>
        <v>4778.3333333333348</v>
      </c>
      <c r="J198" s="424">
        <f t="shared" si="83"/>
        <v>0</v>
      </c>
      <c r="K198" s="422">
        <f t="shared" si="83"/>
        <v>17701.333333333332</v>
      </c>
      <c r="L198" s="423">
        <f t="shared" si="85"/>
        <v>11717</v>
      </c>
      <c r="M198" s="423">
        <f t="shared" si="85"/>
        <v>0</v>
      </c>
      <c r="N198" s="423">
        <f t="shared" si="85"/>
        <v>4412</v>
      </c>
      <c r="O198" s="425">
        <f t="shared" si="85"/>
        <v>1572.3333333333328</v>
      </c>
      <c r="P198" s="526">
        <f t="shared" si="86"/>
        <v>4751.0000000000009</v>
      </c>
      <c r="Q198" s="423">
        <f t="shared" si="85"/>
        <v>32.666666666666657</v>
      </c>
      <c r="R198" s="422">
        <f t="shared" si="85"/>
        <v>8.6666666666666679</v>
      </c>
      <c r="S198" s="423">
        <f t="shared" si="85"/>
        <v>7.666666666666667</v>
      </c>
      <c r="T198" s="423">
        <f t="shared" si="85"/>
        <v>0</v>
      </c>
      <c r="U198" s="423">
        <f t="shared" si="85"/>
        <v>1</v>
      </c>
      <c r="V198" s="424">
        <f t="shared" si="85"/>
        <v>0</v>
      </c>
      <c r="W198" s="422">
        <f t="shared" si="85"/>
        <v>24</v>
      </c>
      <c r="X198" s="423">
        <f t="shared" si="85"/>
        <v>12.999999999999995</v>
      </c>
      <c r="Y198" s="423">
        <f t="shared" si="85"/>
        <v>0</v>
      </c>
      <c r="Z198" s="423">
        <f t="shared" si="85"/>
        <v>7.9999999999999991</v>
      </c>
      <c r="AA198" s="425">
        <f t="shared" si="85"/>
        <v>3</v>
      </c>
      <c r="AB198" s="526">
        <f t="shared" si="87"/>
        <v>516.33333333333326</v>
      </c>
      <c r="AC198" s="423">
        <f t="shared" ref="AC198:AM198" si="93">AC87/3+AC197</f>
        <v>1.9999999999999998</v>
      </c>
      <c r="AD198" s="422">
        <f t="shared" si="93"/>
        <v>1</v>
      </c>
      <c r="AE198" s="423">
        <f t="shared" si="93"/>
        <v>0</v>
      </c>
      <c r="AF198" s="423">
        <f t="shared" si="93"/>
        <v>0</v>
      </c>
      <c r="AG198" s="423">
        <f t="shared" si="93"/>
        <v>1</v>
      </c>
      <c r="AH198" s="424">
        <f t="shared" si="93"/>
        <v>0</v>
      </c>
      <c r="AI198" s="422">
        <f t="shared" si="93"/>
        <v>1</v>
      </c>
      <c r="AJ198" s="423">
        <f t="shared" si="93"/>
        <v>1</v>
      </c>
      <c r="AK198" s="423">
        <f t="shared" si="93"/>
        <v>0</v>
      </c>
      <c r="AL198" s="423">
        <f t="shared" si="93"/>
        <v>0</v>
      </c>
      <c r="AM198" s="425">
        <f t="shared" si="93"/>
        <v>0</v>
      </c>
      <c r="AO198" s="421">
        <f t="shared" si="64"/>
        <v>34.666666666666657</v>
      </c>
      <c r="AP198" s="422">
        <f t="shared" si="65"/>
        <v>9.6666666666666679</v>
      </c>
      <c r="AQ198" s="423">
        <f t="shared" si="66"/>
        <v>7.666666666666667</v>
      </c>
      <c r="AR198" s="423">
        <f t="shared" si="67"/>
        <v>0</v>
      </c>
      <c r="AS198" s="423">
        <f t="shared" si="68"/>
        <v>2</v>
      </c>
      <c r="AT198" s="424">
        <f t="shared" si="69"/>
        <v>0</v>
      </c>
      <c r="AU198" s="422">
        <f t="shared" si="70"/>
        <v>25</v>
      </c>
      <c r="AV198" s="423">
        <f t="shared" si="71"/>
        <v>13.999999999999995</v>
      </c>
      <c r="AW198" s="423">
        <f t="shared" si="72"/>
        <v>0</v>
      </c>
      <c r="AX198" s="423">
        <f t="shared" si="73"/>
        <v>7.9999999999999991</v>
      </c>
      <c r="AY198" s="425">
        <f t="shared" si="74"/>
        <v>3</v>
      </c>
    </row>
    <row r="199" spans="1:51" ht="13.9">
      <c r="A199" s="447" t="s">
        <v>255</v>
      </c>
      <c r="B199" s="448">
        <v>44075</v>
      </c>
      <c r="C199" s="449">
        <v>2020</v>
      </c>
      <c r="D199" s="421">
        <f t="shared" si="83"/>
        <v>2842729.0000000005</v>
      </c>
      <c r="E199" s="421">
        <f t="shared" si="83"/>
        <v>41624.000000000015</v>
      </c>
      <c r="F199" s="422">
        <f t="shared" si="83"/>
        <v>23669.000000000011</v>
      </c>
      <c r="G199" s="423">
        <f t="shared" si="83"/>
        <v>18448</v>
      </c>
      <c r="H199" s="423">
        <f t="shared" si="83"/>
        <v>0</v>
      </c>
      <c r="I199" s="423">
        <f t="shared" si="83"/>
        <v>5221.0000000000018</v>
      </c>
      <c r="J199" s="424">
        <f t="shared" si="83"/>
        <v>0</v>
      </c>
      <c r="K199" s="422">
        <f t="shared" si="83"/>
        <v>17955</v>
      </c>
      <c r="L199" s="423">
        <f t="shared" si="85"/>
        <v>11825</v>
      </c>
      <c r="M199" s="423">
        <f t="shared" si="85"/>
        <v>0</v>
      </c>
      <c r="N199" s="423">
        <f t="shared" si="85"/>
        <v>4547</v>
      </c>
      <c r="O199" s="425">
        <f t="shared" si="85"/>
        <v>1582.9999999999995</v>
      </c>
      <c r="P199" s="526">
        <f t="shared" si="86"/>
        <v>4866.0000000000009</v>
      </c>
      <c r="Q199" s="423">
        <f t="shared" si="85"/>
        <v>32.999999999999993</v>
      </c>
      <c r="R199" s="422">
        <f t="shared" si="85"/>
        <v>9.0000000000000018</v>
      </c>
      <c r="S199" s="423">
        <f t="shared" si="85"/>
        <v>8</v>
      </c>
      <c r="T199" s="423">
        <f t="shared" si="85"/>
        <v>0</v>
      </c>
      <c r="U199" s="423">
        <f t="shared" si="85"/>
        <v>1</v>
      </c>
      <c r="V199" s="424">
        <f t="shared" si="85"/>
        <v>0</v>
      </c>
      <c r="W199" s="422">
        <f t="shared" si="85"/>
        <v>24</v>
      </c>
      <c r="X199" s="423">
        <f t="shared" si="85"/>
        <v>12.999999999999995</v>
      </c>
      <c r="Y199" s="423">
        <f t="shared" si="85"/>
        <v>0</v>
      </c>
      <c r="Z199" s="423">
        <f t="shared" si="85"/>
        <v>7.9999999999999991</v>
      </c>
      <c r="AA199" s="425">
        <f t="shared" si="85"/>
        <v>3</v>
      </c>
      <c r="AB199" s="526">
        <f t="shared" si="87"/>
        <v>529.99999999999989</v>
      </c>
      <c r="AC199" s="423">
        <f t="shared" ref="AC199:AM199" si="94">AC88/3+AC198</f>
        <v>1.9999999999999998</v>
      </c>
      <c r="AD199" s="422">
        <f t="shared" si="94"/>
        <v>1</v>
      </c>
      <c r="AE199" s="423">
        <f t="shared" si="94"/>
        <v>0</v>
      </c>
      <c r="AF199" s="423">
        <f t="shared" si="94"/>
        <v>0</v>
      </c>
      <c r="AG199" s="423">
        <f t="shared" si="94"/>
        <v>1</v>
      </c>
      <c r="AH199" s="424">
        <f t="shared" si="94"/>
        <v>0</v>
      </c>
      <c r="AI199" s="422">
        <f t="shared" si="94"/>
        <v>1</v>
      </c>
      <c r="AJ199" s="423">
        <f t="shared" si="94"/>
        <v>1</v>
      </c>
      <c r="AK199" s="423">
        <f t="shared" si="94"/>
        <v>0</v>
      </c>
      <c r="AL199" s="423">
        <f t="shared" si="94"/>
        <v>0</v>
      </c>
      <c r="AM199" s="425">
        <f t="shared" si="94"/>
        <v>0</v>
      </c>
      <c r="AO199" s="421">
        <f t="shared" si="64"/>
        <v>34.999999999999993</v>
      </c>
      <c r="AP199" s="422">
        <f t="shared" si="65"/>
        <v>10.000000000000002</v>
      </c>
      <c r="AQ199" s="423">
        <f t="shared" si="66"/>
        <v>8</v>
      </c>
      <c r="AR199" s="423">
        <f t="shared" si="67"/>
        <v>0</v>
      </c>
      <c r="AS199" s="423">
        <f t="shared" si="68"/>
        <v>2</v>
      </c>
      <c r="AT199" s="424">
        <f t="shared" si="69"/>
        <v>0</v>
      </c>
      <c r="AU199" s="422">
        <f t="shared" si="70"/>
        <v>25</v>
      </c>
      <c r="AV199" s="423">
        <f t="shared" si="71"/>
        <v>13.999999999999995</v>
      </c>
      <c r="AW199" s="423">
        <f t="shared" si="72"/>
        <v>0</v>
      </c>
      <c r="AX199" s="423">
        <f t="shared" si="73"/>
        <v>7.9999999999999991</v>
      </c>
      <c r="AY199" s="425">
        <f t="shared" si="74"/>
        <v>3</v>
      </c>
    </row>
    <row r="200" spans="1:51" ht="13.9">
      <c r="A200" s="447" t="s">
        <v>256</v>
      </c>
      <c r="B200" s="448">
        <v>44105</v>
      </c>
      <c r="C200" s="449">
        <v>2020</v>
      </c>
      <c r="D200" s="421">
        <f t="shared" ref="D200:T215" si="95">D89/3+D199</f>
        <v>2894020.333333334</v>
      </c>
      <c r="E200" s="421">
        <f t="shared" si="95"/>
        <v>42782.666666666679</v>
      </c>
      <c r="F200" s="422">
        <f t="shared" si="95"/>
        <v>24613.333333333343</v>
      </c>
      <c r="G200" s="423">
        <f t="shared" si="95"/>
        <v>18900.666666666668</v>
      </c>
      <c r="H200" s="423">
        <f t="shared" si="95"/>
        <v>0</v>
      </c>
      <c r="I200" s="423">
        <f t="shared" si="95"/>
        <v>5712.6666666666688</v>
      </c>
      <c r="J200" s="424">
        <f t="shared" si="95"/>
        <v>0</v>
      </c>
      <c r="K200" s="422">
        <f t="shared" si="95"/>
        <v>18169.333333333332</v>
      </c>
      <c r="L200" s="423">
        <f t="shared" si="85"/>
        <v>11898</v>
      </c>
      <c r="M200" s="423">
        <f t="shared" si="85"/>
        <v>0</v>
      </c>
      <c r="N200" s="423">
        <f t="shared" si="85"/>
        <v>4675</v>
      </c>
      <c r="O200" s="425">
        <f t="shared" si="85"/>
        <v>1596.3333333333328</v>
      </c>
      <c r="P200" s="526">
        <f t="shared" si="86"/>
        <v>4961.0000000000009</v>
      </c>
      <c r="Q200" s="423">
        <f t="shared" si="85"/>
        <v>33.666666666666657</v>
      </c>
      <c r="R200" s="422">
        <f t="shared" si="85"/>
        <v>9.6666666666666679</v>
      </c>
      <c r="S200" s="423">
        <f t="shared" si="85"/>
        <v>8</v>
      </c>
      <c r="T200" s="423">
        <f t="shared" si="85"/>
        <v>0</v>
      </c>
      <c r="U200" s="423">
        <f t="shared" si="85"/>
        <v>1.6666666666666665</v>
      </c>
      <c r="V200" s="424">
        <f t="shared" si="85"/>
        <v>0</v>
      </c>
      <c r="W200" s="422">
        <f t="shared" si="85"/>
        <v>24</v>
      </c>
      <c r="X200" s="423">
        <f t="shared" si="85"/>
        <v>12.999999999999995</v>
      </c>
      <c r="Y200" s="423">
        <f t="shared" si="85"/>
        <v>0</v>
      </c>
      <c r="Z200" s="423">
        <f t="shared" si="85"/>
        <v>7.9999999999999991</v>
      </c>
      <c r="AA200" s="425">
        <f t="shared" si="85"/>
        <v>3</v>
      </c>
      <c r="AB200" s="526">
        <f t="shared" si="87"/>
        <v>539.33333333333326</v>
      </c>
      <c r="AC200" s="423">
        <f t="shared" ref="AC200:AM200" si="96">AC89/3+AC199</f>
        <v>1.9999999999999998</v>
      </c>
      <c r="AD200" s="422">
        <f t="shared" si="96"/>
        <v>1</v>
      </c>
      <c r="AE200" s="423">
        <f t="shared" si="96"/>
        <v>0</v>
      </c>
      <c r="AF200" s="423">
        <f t="shared" si="96"/>
        <v>0</v>
      </c>
      <c r="AG200" s="423">
        <f t="shared" si="96"/>
        <v>1</v>
      </c>
      <c r="AH200" s="424">
        <f t="shared" si="96"/>
        <v>0</v>
      </c>
      <c r="AI200" s="422">
        <f t="shared" si="96"/>
        <v>1</v>
      </c>
      <c r="AJ200" s="423">
        <f t="shared" si="96"/>
        <v>1</v>
      </c>
      <c r="AK200" s="423">
        <f t="shared" si="96"/>
        <v>0</v>
      </c>
      <c r="AL200" s="423">
        <f t="shared" si="96"/>
        <v>0</v>
      </c>
      <c r="AM200" s="425">
        <f t="shared" si="96"/>
        <v>0</v>
      </c>
      <c r="AO200" s="421">
        <f t="shared" si="64"/>
        <v>35.666666666666657</v>
      </c>
      <c r="AP200" s="422">
        <f t="shared" si="65"/>
        <v>10.666666666666668</v>
      </c>
      <c r="AQ200" s="423">
        <f t="shared" si="66"/>
        <v>8</v>
      </c>
      <c r="AR200" s="423">
        <f t="shared" si="67"/>
        <v>0</v>
      </c>
      <c r="AS200" s="423">
        <f t="shared" si="68"/>
        <v>2.6666666666666665</v>
      </c>
      <c r="AT200" s="424">
        <f t="shared" si="69"/>
        <v>0</v>
      </c>
      <c r="AU200" s="422">
        <f t="shared" si="70"/>
        <v>25</v>
      </c>
      <c r="AV200" s="423">
        <f t="shared" si="71"/>
        <v>13.999999999999995</v>
      </c>
      <c r="AW200" s="423">
        <f t="shared" si="72"/>
        <v>0</v>
      </c>
      <c r="AX200" s="423">
        <f t="shared" si="73"/>
        <v>7.9999999999999991</v>
      </c>
      <c r="AY200" s="425">
        <f t="shared" si="74"/>
        <v>3</v>
      </c>
    </row>
    <row r="201" spans="1:51" ht="13.9">
      <c r="A201" s="447" t="s">
        <v>256</v>
      </c>
      <c r="B201" s="448">
        <v>44136</v>
      </c>
      <c r="C201" s="449">
        <v>2020</v>
      </c>
      <c r="D201" s="421">
        <f t="shared" si="95"/>
        <v>2945311.6666666674</v>
      </c>
      <c r="E201" s="421">
        <f t="shared" si="95"/>
        <v>43941.333333333343</v>
      </c>
      <c r="F201" s="422">
        <f t="shared" si="95"/>
        <v>25557.666666666675</v>
      </c>
      <c r="G201" s="423">
        <f t="shared" si="95"/>
        <v>19353.333333333336</v>
      </c>
      <c r="H201" s="423">
        <f t="shared" si="95"/>
        <v>0</v>
      </c>
      <c r="I201" s="423">
        <f t="shared" si="95"/>
        <v>6204.3333333333358</v>
      </c>
      <c r="J201" s="424">
        <f t="shared" si="95"/>
        <v>0</v>
      </c>
      <c r="K201" s="422">
        <f t="shared" si="95"/>
        <v>18383.666666666664</v>
      </c>
      <c r="L201" s="423">
        <f t="shared" si="85"/>
        <v>11971</v>
      </c>
      <c r="M201" s="423">
        <f t="shared" si="85"/>
        <v>0</v>
      </c>
      <c r="N201" s="423">
        <f t="shared" si="85"/>
        <v>4803</v>
      </c>
      <c r="O201" s="425">
        <f t="shared" si="85"/>
        <v>1609.6666666666661</v>
      </c>
      <c r="P201" s="526">
        <f t="shared" si="86"/>
        <v>5056.0000000000009</v>
      </c>
      <c r="Q201" s="423">
        <f t="shared" si="85"/>
        <v>34.333333333333321</v>
      </c>
      <c r="R201" s="422">
        <f t="shared" si="85"/>
        <v>10.333333333333334</v>
      </c>
      <c r="S201" s="423">
        <f t="shared" si="85"/>
        <v>8</v>
      </c>
      <c r="T201" s="423">
        <f t="shared" si="85"/>
        <v>0</v>
      </c>
      <c r="U201" s="423">
        <f t="shared" si="85"/>
        <v>2.333333333333333</v>
      </c>
      <c r="V201" s="424">
        <f t="shared" si="85"/>
        <v>0</v>
      </c>
      <c r="W201" s="422">
        <f t="shared" si="85"/>
        <v>24</v>
      </c>
      <c r="X201" s="423">
        <f t="shared" si="85"/>
        <v>12.999999999999995</v>
      </c>
      <c r="Y201" s="423">
        <f t="shared" si="85"/>
        <v>0</v>
      </c>
      <c r="Z201" s="423">
        <f t="shared" si="85"/>
        <v>7.9999999999999991</v>
      </c>
      <c r="AA201" s="425">
        <f t="shared" si="85"/>
        <v>3</v>
      </c>
      <c r="AB201" s="526">
        <f t="shared" si="87"/>
        <v>548.66666666666663</v>
      </c>
      <c r="AC201" s="423">
        <f t="shared" ref="AC201:AM201" si="97">AC90/3+AC200</f>
        <v>1.9999999999999998</v>
      </c>
      <c r="AD201" s="422">
        <f t="shared" si="97"/>
        <v>1</v>
      </c>
      <c r="AE201" s="423">
        <f t="shared" si="97"/>
        <v>0</v>
      </c>
      <c r="AF201" s="423">
        <f t="shared" si="97"/>
        <v>0</v>
      </c>
      <c r="AG201" s="423">
        <f t="shared" si="97"/>
        <v>1</v>
      </c>
      <c r="AH201" s="424">
        <f t="shared" si="97"/>
        <v>0</v>
      </c>
      <c r="AI201" s="422">
        <f t="shared" si="97"/>
        <v>1</v>
      </c>
      <c r="AJ201" s="423">
        <f t="shared" si="97"/>
        <v>1</v>
      </c>
      <c r="AK201" s="423">
        <f t="shared" si="97"/>
        <v>0</v>
      </c>
      <c r="AL201" s="423">
        <f t="shared" si="97"/>
        <v>0</v>
      </c>
      <c r="AM201" s="425">
        <f t="shared" si="97"/>
        <v>0</v>
      </c>
      <c r="AO201" s="421">
        <f t="shared" si="64"/>
        <v>36.333333333333321</v>
      </c>
      <c r="AP201" s="422">
        <f t="shared" si="65"/>
        <v>11.333333333333334</v>
      </c>
      <c r="AQ201" s="423">
        <f t="shared" si="66"/>
        <v>8</v>
      </c>
      <c r="AR201" s="423">
        <f t="shared" si="67"/>
        <v>0</v>
      </c>
      <c r="AS201" s="423">
        <f t="shared" si="68"/>
        <v>3.333333333333333</v>
      </c>
      <c r="AT201" s="424">
        <f t="shared" si="69"/>
        <v>0</v>
      </c>
      <c r="AU201" s="422">
        <f t="shared" si="70"/>
        <v>25</v>
      </c>
      <c r="AV201" s="423">
        <f t="shared" si="71"/>
        <v>13.999999999999995</v>
      </c>
      <c r="AW201" s="423">
        <f t="shared" si="72"/>
        <v>0</v>
      </c>
      <c r="AX201" s="423">
        <f t="shared" si="73"/>
        <v>7.9999999999999991</v>
      </c>
      <c r="AY201" s="425">
        <f t="shared" si="74"/>
        <v>3</v>
      </c>
    </row>
    <row r="202" spans="1:51" ht="13.9">
      <c r="A202" s="447" t="s">
        <v>256</v>
      </c>
      <c r="B202" s="448">
        <v>44166</v>
      </c>
      <c r="C202" s="449">
        <v>2020</v>
      </c>
      <c r="D202" s="421">
        <f t="shared" si="95"/>
        <v>2996603.0000000009</v>
      </c>
      <c r="E202" s="421">
        <f t="shared" si="95"/>
        <v>45100.000000000007</v>
      </c>
      <c r="F202" s="422">
        <f t="shared" si="95"/>
        <v>26502.000000000007</v>
      </c>
      <c r="G202" s="423">
        <f t="shared" si="95"/>
        <v>19806.000000000004</v>
      </c>
      <c r="H202" s="423">
        <f t="shared" si="95"/>
        <v>0</v>
      </c>
      <c r="I202" s="423">
        <f t="shared" si="95"/>
        <v>6696.0000000000027</v>
      </c>
      <c r="J202" s="424">
        <f t="shared" si="95"/>
        <v>0</v>
      </c>
      <c r="K202" s="422">
        <f t="shared" si="95"/>
        <v>18597.999999999996</v>
      </c>
      <c r="L202" s="423">
        <f t="shared" si="85"/>
        <v>12044</v>
      </c>
      <c r="M202" s="423">
        <f t="shared" si="85"/>
        <v>0</v>
      </c>
      <c r="N202" s="423">
        <f t="shared" si="85"/>
        <v>4931</v>
      </c>
      <c r="O202" s="425">
        <f t="shared" si="85"/>
        <v>1622.9999999999993</v>
      </c>
      <c r="P202" s="526">
        <f t="shared" si="86"/>
        <v>5151.0000000000009</v>
      </c>
      <c r="Q202" s="423">
        <f t="shared" si="85"/>
        <v>34.999999999999986</v>
      </c>
      <c r="R202" s="422">
        <f t="shared" si="85"/>
        <v>11</v>
      </c>
      <c r="S202" s="423">
        <f t="shared" si="85"/>
        <v>8</v>
      </c>
      <c r="T202" s="423">
        <f t="shared" si="85"/>
        <v>0</v>
      </c>
      <c r="U202" s="423">
        <f t="shared" si="85"/>
        <v>2.9999999999999996</v>
      </c>
      <c r="V202" s="424">
        <f t="shared" si="85"/>
        <v>0</v>
      </c>
      <c r="W202" s="422">
        <f t="shared" si="85"/>
        <v>24</v>
      </c>
      <c r="X202" s="423">
        <f t="shared" si="85"/>
        <v>12.999999999999995</v>
      </c>
      <c r="Y202" s="423">
        <f t="shared" si="85"/>
        <v>0</v>
      </c>
      <c r="Z202" s="423">
        <f t="shared" si="85"/>
        <v>7.9999999999999991</v>
      </c>
      <c r="AA202" s="425">
        <f t="shared" si="85"/>
        <v>3</v>
      </c>
      <c r="AB202" s="526">
        <f t="shared" si="87"/>
        <v>558</v>
      </c>
      <c r="AC202" s="423">
        <f t="shared" ref="AC202:AM202" si="98">AC91/3+AC201</f>
        <v>1.9999999999999998</v>
      </c>
      <c r="AD202" s="422">
        <f t="shared" si="98"/>
        <v>1</v>
      </c>
      <c r="AE202" s="423">
        <f t="shared" si="98"/>
        <v>0</v>
      </c>
      <c r="AF202" s="423">
        <f t="shared" si="98"/>
        <v>0</v>
      </c>
      <c r="AG202" s="423">
        <f t="shared" si="98"/>
        <v>1</v>
      </c>
      <c r="AH202" s="424">
        <f t="shared" si="98"/>
        <v>0</v>
      </c>
      <c r="AI202" s="422">
        <f t="shared" si="98"/>
        <v>1</v>
      </c>
      <c r="AJ202" s="423">
        <f t="shared" si="98"/>
        <v>1</v>
      </c>
      <c r="AK202" s="423">
        <f t="shared" si="98"/>
        <v>0</v>
      </c>
      <c r="AL202" s="423">
        <f t="shared" si="98"/>
        <v>0</v>
      </c>
      <c r="AM202" s="425">
        <f t="shared" si="98"/>
        <v>0</v>
      </c>
      <c r="AO202" s="421">
        <f t="shared" si="64"/>
        <v>36.999999999999986</v>
      </c>
      <c r="AP202" s="422">
        <f t="shared" si="65"/>
        <v>12</v>
      </c>
      <c r="AQ202" s="423">
        <f t="shared" si="66"/>
        <v>8</v>
      </c>
      <c r="AR202" s="423">
        <f t="shared" si="67"/>
        <v>0</v>
      </c>
      <c r="AS202" s="423">
        <f t="shared" si="68"/>
        <v>3.9999999999999996</v>
      </c>
      <c r="AT202" s="424">
        <f t="shared" si="69"/>
        <v>0</v>
      </c>
      <c r="AU202" s="422">
        <f t="shared" si="70"/>
        <v>25</v>
      </c>
      <c r="AV202" s="423">
        <f t="shared" si="71"/>
        <v>13.999999999999995</v>
      </c>
      <c r="AW202" s="423">
        <f t="shared" si="72"/>
        <v>0</v>
      </c>
      <c r="AX202" s="423">
        <f t="shared" si="73"/>
        <v>7.9999999999999991</v>
      </c>
      <c r="AY202" s="425">
        <f t="shared" si="74"/>
        <v>3</v>
      </c>
    </row>
    <row r="203" spans="1:51" ht="13.9">
      <c r="A203" s="447" t="s">
        <v>257</v>
      </c>
      <c r="B203" s="448">
        <v>44197</v>
      </c>
      <c r="C203" s="449">
        <v>2021</v>
      </c>
      <c r="D203" s="421">
        <f t="shared" si="95"/>
        <v>3043876.0000000009</v>
      </c>
      <c r="E203" s="421">
        <f t="shared" si="95"/>
        <v>46220.666666666672</v>
      </c>
      <c r="F203" s="422">
        <f t="shared" si="95"/>
        <v>27368.666666666675</v>
      </c>
      <c r="G203" s="423">
        <f t="shared" si="95"/>
        <v>20145.333333333336</v>
      </c>
      <c r="H203" s="423">
        <f t="shared" si="95"/>
        <v>0</v>
      </c>
      <c r="I203" s="423">
        <f t="shared" si="95"/>
        <v>7223.3333333333358</v>
      </c>
      <c r="J203" s="424">
        <f t="shared" si="95"/>
        <v>0</v>
      </c>
      <c r="K203" s="422">
        <f t="shared" si="95"/>
        <v>18851.999999999996</v>
      </c>
      <c r="L203" s="423">
        <f t="shared" si="85"/>
        <v>12105</v>
      </c>
      <c r="M203" s="423">
        <f t="shared" si="85"/>
        <v>0</v>
      </c>
      <c r="N203" s="423">
        <f t="shared" si="85"/>
        <v>5101.666666666667</v>
      </c>
      <c r="O203" s="425">
        <f t="shared" si="85"/>
        <v>1645.3333333333326</v>
      </c>
      <c r="P203" s="526">
        <f t="shared" si="86"/>
        <v>5238.0000000000009</v>
      </c>
      <c r="Q203" s="423">
        <f t="shared" si="85"/>
        <v>36.66666666666665</v>
      </c>
      <c r="R203" s="422">
        <f t="shared" si="85"/>
        <v>12.666666666666666</v>
      </c>
      <c r="S203" s="423">
        <f t="shared" si="85"/>
        <v>8.6666666666666661</v>
      </c>
      <c r="T203" s="423">
        <f t="shared" si="85"/>
        <v>0</v>
      </c>
      <c r="U203" s="423">
        <f t="shared" si="85"/>
        <v>3.9999999999999996</v>
      </c>
      <c r="V203" s="424">
        <f t="shared" si="85"/>
        <v>0</v>
      </c>
      <c r="W203" s="422">
        <f t="shared" si="85"/>
        <v>24</v>
      </c>
      <c r="X203" s="423">
        <f t="shared" si="85"/>
        <v>12.999999999999995</v>
      </c>
      <c r="Y203" s="423">
        <f t="shared" si="85"/>
        <v>0</v>
      </c>
      <c r="Z203" s="423">
        <f t="shared" si="85"/>
        <v>7.9999999999999991</v>
      </c>
      <c r="AA203" s="425">
        <f t="shared" si="85"/>
        <v>3</v>
      </c>
      <c r="AB203" s="526">
        <f t="shared" si="87"/>
        <v>566.33333333333337</v>
      </c>
      <c r="AC203" s="423">
        <f t="shared" ref="AC203:AM203" si="99">AC92/3+AC202</f>
        <v>1.9999999999999998</v>
      </c>
      <c r="AD203" s="422">
        <f t="shared" si="99"/>
        <v>1</v>
      </c>
      <c r="AE203" s="423">
        <f t="shared" si="99"/>
        <v>0</v>
      </c>
      <c r="AF203" s="423">
        <f t="shared" si="99"/>
        <v>0</v>
      </c>
      <c r="AG203" s="423">
        <f t="shared" si="99"/>
        <v>1</v>
      </c>
      <c r="AH203" s="424">
        <f t="shared" si="99"/>
        <v>0</v>
      </c>
      <c r="AI203" s="422">
        <f t="shared" si="99"/>
        <v>1</v>
      </c>
      <c r="AJ203" s="423">
        <f t="shared" si="99"/>
        <v>1</v>
      </c>
      <c r="AK203" s="423">
        <f t="shared" si="99"/>
        <v>0</v>
      </c>
      <c r="AL203" s="423">
        <f t="shared" si="99"/>
        <v>0</v>
      </c>
      <c r="AM203" s="425">
        <f t="shared" si="99"/>
        <v>0</v>
      </c>
      <c r="AO203" s="421">
        <f t="shared" si="64"/>
        <v>38.66666666666665</v>
      </c>
      <c r="AP203" s="422">
        <f t="shared" si="65"/>
        <v>13.666666666666666</v>
      </c>
      <c r="AQ203" s="423">
        <f t="shared" si="66"/>
        <v>8.6666666666666661</v>
      </c>
      <c r="AR203" s="423">
        <f t="shared" si="67"/>
        <v>0</v>
      </c>
      <c r="AS203" s="423">
        <f t="shared" si="68"/>
        <v>5</v>
      </c>
      <c r="AT203" s="424">
        <f t="shared" si="69"/>
        <v>0</v>
      </c>
      <c r="AU203" s="422">
        <f t="shared" si="70"/>
        <v>25</v>
      </c>
      <c r="AV203" s="423">
        <f t="shared" si="71"/>
        <v>13.999999999999995</v>
      </c>
      <c r="AW203" s="423">
        <f t="shared" si="72"/>
        <v>0</v>
      </c>
      <c r="AX203" s="423">
        <f t="shared" si="73"/>
        <v>7.9999999999999991</v>
      </c>
      <c r="AY203" s="425">
        <f t="shared" si="74"/>
        <v>3</v>
      </c>
    </row>
    <row r="204" spans="1:51" ht="13.9">
      <c r="A204" s="447" t="s">
        <v>257</v>
      </c>
      <c r="B204" s="448">
        <v>44228</v>
      </c>
      <c r="C204" s="449">
        <v>2021</v>
      </c>
      <c r="D204" s="421">
        <f t="shared" si="95"/>
        <v>3091149.0000000009</v>
      </c>
      <c r="E204" s="421">
        <f t="shared" si="95"/>
        <v>47341.333333333336</v>
      </c>
      <c r="F204" s="422">
        <f t="shared" si="95"/>
        <v>28235.333333333343</v>
      </c>
      <c r="G204" s="423">
        <f t="shared" si="95"/>
        <v>20484.666666666668</v>
      </c>
      <c r="H204" s="423">
        <f t="shared" si="95"/>
        <v>0</v>
      </c>
      <c r="I204" s="423">
        <f t="shared" si="95"/>
        <v>7750.6666666666688</v>
      </c>
      <c r="J204" s="424">
        <f t="shared" si="95"/>
        <v>0</v>
      </c>
      <c r="K204" s="422">
        <f t="shared" si="95"/>
        <v>19105.999999999996</v>
      </c>
      <c r="L204" s="423">
        <f t="shared" si="85"/>
        <v>12166</v>
      </c>
      <c r="M204" s="423">
        <f t="shared" si="85"/>
        <v>0</v>
      </c>
      <c r="N204" s="423">
        <f t="shared" si="85"/>
        <v>5272.3333333333339</v>
      </c>
      <c r="O204" s="425">
        <f t="shared" si="85"/>
        <v>1667.6666666666658</v>
      </c>
      <c r="P204" s="526">
        <f t="shared" si="86"/>
        <v>5325.0000000000009</v>
      </c>
      <c r="Q204" s="423">
        <f t="shared" si="85"/>
        <v>38.333333333333314</v>
      </c>
      <c r="R204" s="422">
        <f t="shared" si="85"/>
        <v>14.333333333333332</v>
      </c>
      <c r="S204" s="423">
        <f t="shared" si="85"/>
        <v>9.3333333333333321</v>
      </c>
      <c r="T204" s="423">
        <f t="shared" si="85"/>
        <v>0</v>
      </c>
      <c r="U204" s="423">
        <f t="shared" si="85"/>
        <v>5</v>
      </c>
      <c r="V204" s="424">
        <f t="shared" si="85"/>
        <v>0</v>
      </c>
      <c r="W204" s="422">
        <f t="shared" si="85"/>
        <v>24</v>
      </c>
      <c r="X204" s="423">
        <f t="shared" si="85"/>
        <v>12.999999999999995</v>
      </c>
      <c r="Y204" s="423">
        <f t="shared" si="85"/>
        <v>0</v>
      </c>
      <c r="Z204" s="423">
        <f t="shared" si="85"/>
        <v>7.9999999999999991</v>
      </c>
      <c r="AA204" s="425">
        <f t="shared" si="85"/>
        <v>3</v>
      </c>
      <c r="AB204" s="526">
        <f t="shared" si="87"/>
        <v>574.66666666666674</v>
      </c>
      <c r="AC204" s="423">
        <f t="shared" ref="AC204:AM204" si="100">AC93/3+AC203</f>
        <v>1.9999999999999998</v>
      </c>
      <c r="AD204" s="422">
        <f t="shared" si="100"/>
        <v>1</v>
      </c>
      <c r="AE204" s="423">
        <f t="shared" si="100"/>
        <v>0</v>
      </c>
      <c r="AF204" s="423">
        <f t="shared" si="100"/>
        <v>0</v>
      </c>
      <c r="AG204" s="423">
        <f t="shared" si="100"/>
        <v>1</v>
      </c>
      <c r="AH204" s="424">
        <f t="shared" si="100"/>
        <v>0</v>
      </c>
      <c r="AI204" s="422">
        <f t="shared" si="100"/>
        <v>1</v>
      </c>
      <c r="AJ204" s="423">
        <f t="shared" si="100"/>
        <v>1</v>
      </c>
      <c r="AK204" s="423">
        <f t="shared" si="100"/>
        <v>0</v>
      </c>
      <c r="AL204" s="423">
        <f t="shared" si="100"/>
        <v>0</v>
      </c>
      <c r="AM204" s="425">
        <f t="shared" si="100"/>
        <v>0</v>
      </c>
      <c r="AO204" s="421">
        <f t="shared" si="64"/>
        <v>40.333333333333314</v>
      </c>
      <c r="AP204" s="422">
        <f t="shared" si="65"/>
        <v>15.333333333333332</v>
      </c>
      <c r="AQ204" s="423">
        <f t="shared" si="66"/>
        <v>9.3333333333333321</v>
      </c>
      <c r="AR204" s="423">
        <f t="shared" si="67"/>
        <v>0</v>
      </c>
      <c r="AS204" s="423">
        <f t="shared" si="68"/>
        <v>6</v>
      </c>
      <c r="AT204" s="424">
        <f t="shared" si="69"/>
        <v>0</v>
      </c>
      <c r="AU204" s="422">
        <f t="shared" si="70"/>
        <v>25</v>
      </c>
      <c r="AV204" s="423">
        <f t="shared" si="71"/>
        <v>13.999999999999995</v>
      </c>
      <c r="AW204" s="423">
        <f t="shared" si="72"/>
        <v>0</v>
      </c>
      <c r="AX204" s="423">
        <f t="shared" si="73"/>
        <v>7.9999999999999991</v>
      </c>
      <c r="AY204" s="425">
        <f t="shared" si="74"/>
        <v>3</v>
      </c>
    </row>
    <row r="205" spans="1:51" ht="13.9">
      <c r="A205" s="447" t="s">
        <v>257</v>
      </c>
      <c r="B205" s="448">
        <v>44256</v>
      </c>
      <c r="C205" s="449">
        <v>2021</v>
      </c>
      <c r="D205" s="421">
        <f t="shared" si="95"/>
        <v>3138422.0000000009</v>
      </c>
      <c r="E205" s="421">
        <f t="shared" si="95"/>
        <v>48462</v>
      </c>
      <c r="F205" s="422">
        <f t="shared" si="95"/>
        <v>29102.000000000011</v>
      </c>
      <c r="G205" s="423">
        <f t="shared" si="95"/>
        <v>20824</v>
      </c>
      <c r="H205" s="423">
        <f t="shared" si="95"/>
        <v>0</v>
      </c>
      <c r="I205" s="423">
        <f t="shared" si="95"/>
        <v>8278.0000000000018</v>
      </c>
      <c r="J205" s="424">
        <f t="shared" si="95"/>
        <v>0</v>
      </c>
      <c r="K205" s="422">
        <f t="shared" si="95"/>
        <v>19359.999999999996</v>
      </c>
      <c r="L205" s="423">
        <f t="shared" si="85"/>
        <v>12227</v>
      </c>
      <c r="M205" s="423">
        <f t="shared" si="85"/>
        <v>0</v>
      </c>
      <c r="N205" s="423">
        <f t="shared" si="85"/>
        <v>5443.0000000000009</v>
      </c>
      <c r="O205" s="425">
        <f t="shared" si="85"/>
        <v>1689.9999999999991</v>
      </c>
      <c r="P205" s="526">
        <f t="shared" si="86"/>
        <v>5412.0000000000009</v>
      </c>
      <c r="Q205" s="423">
        <f t="shared" si="85"/>
        <v>39.999999999999979</v>
      </c>
      <c r="R205" s="422">
        <f t="shared" si="85"/>
        <v>15.999999999999998</v>
      </c>
      <c r="S205" s="423">
        <f t="shared" si="85"/>
        <v>9.9999999999999982</v>
      </c>
      <c r="T205" s="423">
        <f t="shared" si="85"/>
        <v>0</v>
      </c>
      <c r="U205" s="423">
        <f t="shared" si="85"/>
        <v>6</v>
      </c>
      <c r="V205" s="424">
        <f t="shared" si="85"/>
        <v>0</v>
      </c>
      <c r="W205" s="422">
        <f t="shared" si="85"/>
        <v>24</v>
      </c>
      <c r="X205" s="423">
        <f t="shared" si="85"/>
        <v>12.999999999999995</v>
      </c>
      <c r="Y205" s="423">
        <f t="shared" si="85"/>
        <v>0</v>
      </c>
      <c r="Z205" s="423">
        <f t="shared" si="85"/>
        <v>7.9999999999999991</v>
      </c>
      <c r="AA205" s="425">
        <f t="shared" si="85"/>
        <v>3</v>
      </c>
      <c r="AB205" s="526">
        <f t="shared" si="87"/>
        <v>583.00000000000011</v>
      </c>
      <c r="AC205" s="423">
        <f t="shared" ref="AC205:AM205" si="101">AC94/3+AC204</f>
        <v>1.9999999999999998</v>
      </c>
      <c r="AD205" s="422">
        <f t="shared" si="101"/>
        <v>1</v>
      </c>
      <c r="AE205" s="423">
        <f t="shared" si="101"/>
        <v>0</v>
      </c>
      <c r="AF205" s="423">
        <f t="shared" si="101"/>
        <v>0</v>
      </c>
      <c r="AG205" s="423">
        <f t="shared" si="101"/>
        <v>1</v>
      </c>
      <c r="AH205" s="424">
        <f t="shared" si="101"/>
        <v>0</v>
      </c>
      <c r="AI205" s="422">
        <f t="shared" si="101"/>
        <v>1</v>
      </c>
      <c r="AJ205" s="423">
        <f t="shared" si="101"/>
        <v>1</v>
      </c>
      <c r="AK205" s="423">
        <f t="shared" si="101"/>
        <v>0</v>
      </c>
      <c r="AL205" s="423">
        <f t="shared" si="101"/>
        <v>0</v>
      </c>
      <c r="AM205" s="425">
        <f t="shared" si="101"/>
        <v>0</v>
      </c>
      <c r="AO205" s="421">
        <f t="shared" si="64"/>
        <v>41.999999999999979</v>
      </c>
      <c r="AP205" s="422">
        <f t="shared" si="65"/>
        <v>17</v>
      </c>
      <c r="AQ205" s="423">
        <f t="shared" si="66"/>
        <v>9.9999999999999982</v>
      </c>
      <c r="AR205" s="423">
        <f t="shared" si="67"/>
        <v>0</v>
      </c>
      <c r="AS205" s="423">
        <f t="shared" si="68"/>
        <v>7</v>
      </c>
      <c r="AT205" s="424">
        <f t="shared" si="69"/>
        <v>0</v>
      </c>
      <c r="AU205" s="422">
        <f t="shared" si="70"/>
        <v>25</v>
      </c>
      <c r="AV205" s="423">
        <f t="shared" si="71"/>
        <v>13.999999999999995</v>
      </c>
      <c r="AW205" s="423">
        <f t="shared" si="72"/>
        <v>0</v>
      </c>
      <c r="AX205" s="423">
        <f t="shared" si="73"/>
        <v>7.9999999999999991</v>
      </c>
      <c r="AY205" s="425">
        <f t="shared" si="74"/>
        <v>3</v>
      </c>
    </row>
    <row r="206" spans="1:51" ht="13.9">
      <c r="A206" s="447" t="s">
        <v>258</v>
      </c>
      <c r="B206" s="448">
        <v>44287</v>
      </c>
      <c r="C206" s="449">
        <v>2021</v>
      </c>
      <c r="D206" s="421">
        <f t="shared" si="95"/>
        <v>3198482.3333333344</v>
      </c>
      <c r="E206" s="421">
        <f t="shared" si="95"/>
        <v>50178</v>
      </c>
      <c r="F206" s="422">
        <f t="shared" si="95"/>
        <v>30356.000000000011</v>
      </c>
      <c r="G206" s="423">
        <f t="shared" si="95"/>
        <v>21391.333333333332</v>
      </c>
      <c r="H206" s="423">
        <f t="shared" si="95"/>
        <v>0</v>
      </c>
      <c r="I206" s="423">
        <f t="shared" si="95"/>
        <v>8964.6666666666679</v>
      </c>
      <c r="J206" s="424">
        <f t="shared" si="95"/>
        <v>0</v>
      </c>
      <c r="K206" s="422">
        <f t="shared" si="95"/>
        <v>19821.999999999996</v>
      </c>
      <c r="L206" s="423">
        <f t="shared" si="85"/>
        <v>12316</v>
      </c>
      <c r="M206" s="423">
        <f t="shared" si="85"/>
        <v>0</v>
      </c>
      <c r="N206" s="423">
        <f t="shared" si="85"/>
        <v>5797.3333333333339</v>
      </c>
      <c r="O206" s="425">
        <f t="shared" si="85"/>
        <v>1708.6666666666658</v>
      </c>
      <c r="P206" s="526">
        <f t="shared" si="86"/>
        <v>5537.0000000000009</v>
      </c>
      <c r="Q206" s="423">
        <f t="shared" si="85"/>
        <v>40.666666666666643</v>
      </c>
      <c r="R206" s="422">
        <f t="shared" si="85"/>
        <v>16.666666666666664</v>
      </c>
      <c r="S206" s="423">
        <f t="shared" si="85"/>
        <v>10.333333333333332</v>
      </c>
      <c r="T206" s="423">
        <f t="shared" si="85"/>
        <v>0</v>
      </c>
      <c r="U206" s="423">
        <f t="shared" si="85"/>
        <v>6.333333333333333</v>
      </c>
      <c r="V206" s="424">
        <f t="shared" si="85"/>
        <v>0</v>
      </c>
      <c r="W206" s="422">
        <f t="shared" si="85"/>
        <v>24</v>
      </c>
      <c r="X206" s="423">
        <f t="shared" si="85"/>
        <v>12.999999999999995</v>
      </c>
      <c r="Y206" s="423">
        <f t="shared" si="85"/>
        <v>0</v>
      </c>
      <c r="Z206" s="423">
        <f t="shared" si="85"/>
        <v>7.9999999999999991</v>
      </c>
      <c r="AA206" s="425">
        <f t="shared" si="85"/>
        <v>3</v>
      </c>
      <c r="AB206" s="526">
        <f t="shared" si="87"/>
        <v>597.00000000000011</v>
      </c>
      <c r="AC206" s="423">
        <f t="shared" ref="AC206:AM206" si="102">AC95/3+AC205</f>
        <v>1.9999999999999998</v>
      </c>
      <c r="AD206" s="422">
        <f t="shared" si="102"/>
        <v>1</v>
      </c>
      <c r="AE206" s="423">
        <f t="shared" si="102"/>
        <v>0</v>
      </c>
      <c r="AF206" s="423">
        <f t="shared" si="102"/>
        <v>0</v>
      </c>
      <c r="AG206" s="423">
        <f t="shared" si="102"/>
        <v>1</v>
      </c>
      <c r="AH206" s="424">
        <f t="shared" si="102"/>
        <v>0</v>
      </c>
      <c r="AI206" s="422">
        <f t="shared" si="102"/>
        <v>1</v>
      </c>
      <c r="AJ206" s="423">
        <f t="shared" si="102"/>
        <v>1</v>
      </c>
      <c r="AK206" s="423">
        <f t="shared" si="102"/>
        <v>0</v>
      </c>
      <c r="AL206" s="423">
        <f t="shared" si="102"/>
        <v>0</v>
      </c>
      <c r="AM206" s="425">
        <f t="shared" si="102"/>
        <v>0</v>
      </c>
      <c r="AO206" s="421">
        <f t="shared" si="64"/>
        <v>42.666666666666643</v>
      </c>
      <c r="AP206" s="422">
        <f t="shared" si="65"/>
        <v>17.666666666666664</v>
      </c>
      <c r="AQ206" s="423">
        <f t="shared" si="66"/>
        <v>10.333333333333332</v>
      </c>
      <c r="AR206" s="423">
        <f t="shared" si="67"/>
        <v>0</v>
      </c>
      <c r="AS206" s="423">
        <f t="shared" si="68"/>
        <v>7.333333333333333</v>
      </c>
      <c r="AT206" s="424">
        <f t="shared" si="69"/>
        <v>0</v>
      </c>
      <c r="AU206" s="422">
        <f t="shared" si="70"/>
        <v>25</v>
      </c>
      <c r="AV206" s="423">
        <f t="shared" si="71"/>
        <v>13.999999999999995</v>
      </c>
      <c r="AW206" s="423">
        <f t="shared" si="72"/>
        <v>0</v>
      </c>
      <c r="AX206" s="423">
        <f t="shared" si="73"/>
        <v>7.9999999999999991</v>
      </c>
      <c r="AY206" s="425">
        <f t="shared" si="74"/>
        <v>3</v>
      </c>
    </row>
    <row r="207" spans="1:51" ht="13.9">
      <c r="A207" s="447" t="s">
        <v>258</v>
      </c>
      <c r="B207" s="448">
        <v>44317</v>
      </c>
      <c r="C207" s="449">
        <v>2021</v>
      </c>
      <c r="D207" s="421">
        <f t="shared" si="95"/>
        <v>3258542.6666666679</v>
      </c>
      <c r="E207" s="421">
        <f t="shared" si="95"/>
        <v>51894</v>
      </c>
      <c r="F207" s="422">
        <f t="shared" si="95"/>
        <v>31610.000000000011</v>
      </c>
      <c r="G207" s="423">
        <f t="shared" si="95"/>
        <v>21958.666666666664</v>
      </c>
      <c r="H207" s="423">
        <f t="shared" si="95"/>
        <v>0</v>
      </c>
      <c r="I207" s="423">
        <f t="shared" si="95"/>
        <v>9651.3333333333339</v>
      </c>
      <c r="J207" s="424">
        <f t="shared" si="95"/>
        <v>0</v>
      </c>
      <c r="K207" s="422">
        <f t="shared" si="95"/>
        <v>20283.999999999996</v>
      </c>
      <c r="L207" s="423">
        <f t="shared" si="85"/>
        <v>12405</v>
      </c>
      <c r="M207" s="423">
        <f t="shared" si="85"/>
        <v>0</v>
      </c>
      <c r="N207" s="423">
        <f t="shared" si="85"/>
        <v>6151.666666666667</v>
      </c>
      <c r="O207" s="425">
        <f t="shared" si="85"/>
        <v>1727.3333333333326</v>
      </c>
      <c r="P207" s="526">
        <f t="shared" si="86"/>
        <v>5662.0000000000009</v>
      </c>
      <c r="Q207" s="423">
        <f t="shared" si="85"/>
        <v>41.333333333333307</v>
      </c>
      <c r="R207" s="422">
        <f t="shared" si="85"/>
        <v>17.333333333333332</v>
      </c>
      <c r="S207" s="423">
        <f t="shared" si="85"/>
        <v>10.666666666666666</v>
      </c>
      <c r="T207" s="423">
        <f t="shared" si="85"/>
        <v>0</v>
      </c>
      <c r="U207" s="423">
        <f t="shared" si="85"/>
        <v>6.6666666666666661</v>
      </c>
      <c r="V207" s="424">
        <f t="shared" si="85"/>
        <v>0</v>
      </c>
      <c r="W207" s="422">
        <f t="shared" si="85"/>
        <v>24</v>
      </c>
      <c r="X207" s="423">
        <f t="shared" si="85"/>
        <v>12.999999999999995</v>
      </c>
      <c r="Y207" s="423">
        <f t="shared" si="85"/>
        <v>0</v>
      </c>
      <c r="Z207" s="423">
        <f t="shared" si="85"/>
        <v>7.9999999999999991</v>
      </c>
      <c r="AA207" s="425">
        <f t="shared" si="85"/>
        <v>3</v>
      </c>
      <c r="AB207" s="526">
        <f t="shared" si="87"/>
        <v>611.00000000000011</v>
      </c>
      <c r="AC207" s="423">
        <f t="shared" ref="AC207:AM207" si="103">AC96/3+AC206</f>
        <v>1.9999999999999998</v>
      </c>
      <c r="AD207" s="422">
        <f t="shared" si="103"/>
        <v>1</v>
      </c>
      <c r="AE207" s="423">
        <f t="shared" si="103"/>
        <v>0</v>
      </c>
      <c r="AF207" s="423">
        <f t="shared" si="103"/>
        <v>0</v>
      </c>
      <c r="AG207" s="423">
        <f t="shared" si="103"/>
        <v>1</v>
      </c>
      <c r="AH207" s="424">
        <f t="shared" si="103"/>
        <v>0</v>
      </c>
      <c r="AI207" s="422">
        <f t="shared" si="103"/>
        <v>1</v>
      </c>
      <c r="AJ207" s="423">
        <f t="shared" si="103"/>
        <v>1</v>
      </c>
      <c r="AK207" s="423">
        <f t="shared" si="103"/>
        <v>0</v>
      </c>
      <c r="AL207" s="423">
        <f t="shared" si="103"/>
        <v>0</v>
      </c>
      <c r="AM207" s="425">
        <f t="shared" si="103"/>
        <v>0</v>
      </c>
      <c r="AO207" s="421">
        <f t="shared" si="64"/>
        <v>43.333333333333307</v>
      </c>
      <c r="AP207" s="422">
        <f t="shared" si="65"/>
        <v>18.333333333333332</v>
      </c>
      <c r="AQ207" s="423">
        <f t="shared" si="66"/>
        <v>10.666666666666666</v>
      </c>
      <c r="AR207" s="423">
        <f t="shared" si="67"/>
        <v>0</v>
      </c>
      <c r="AS207" s="423">
        <f t="shared" si="68"/>
        <v>7.6666666666666661</v>
      </c>
      <c r="AT207" s="424">
        <f t="shared" si="69"/>
        <v>0</v>
      </c>
      <c r="AU207" s="422">
        <f t="shared" si="70"/>
        <v>25</v>
      </c>
      <c r="AV207" s="423">
        <f t="shared" si="71"/>
        <v>13.999999999999995</v>
      </c>
      <c r="AW207" s="423">
        <f t="shared" si="72"/>
        <v>0</v>
      </c>
      <c r="AX207" s="423">
        <f t="shared" si="73"/>
        <v>7.9999999999999991</v>
      </c>
      <c r="AY207" s="425">
        <f t="shared" si="74"/>
        <v>3</v>
      </c>
    </row>
    <row r="208" spans="1:51" ht="13.9">
      <c r="A208" s="447" t="s">
        <v>258</v>
      </c>
      <c r="B208" s="448">
        <v>44348</v>
      </c>
      <c r="C208" s="449">
        <v>2021</v>
      </c>
      <c r="D208" s="421">
        <f t="shared" si="95"/>
        <v>3318603.0000000014</v>
      </c>
      <c r="E208" s="421">
        <f t="shared" si="95"/>
        <v>53610</v>
      </c>
      <c r="F208" s="422">
        <f t="shared" si="95"/>
        <v>32864.000000000015</v>
      </c>
      <c r="G208" s="423">
        <f t="shared" si="95"/>
        <v>22525.999999999996</v>
      </c>
      <c r="H208" s="423">
        <f t="shared" si="95"/>
        <v>0</v>
      </c>
      <c r="I208" s="423">
        <f t="shared" si="95"/>
        <v>10338</v>
      </c>
      <c r="J208" s="424">
        <f t="shared" si="95"/>
        <v>0</v>
      </c>
      <c r="K208" s="422">
        <f t="shared" si="95"/>
        <v>20745.999999999996</v>
      </c>
      <c r="L208" s="423">
        <f t="shared" si="85"/>
        <v>12494</v>
      </c>
      <c r="M208" s="423">
        <f t="shared" si="85"/>
        <v>0</v>
      </c>
      <c r="N208" s="423">
        <f t="shared" si="85"/>
        <v>6506</v>
      </c>
      <c r="O208" s="425">
        <f t="shared" si="85"/>
        <v>1745.9999999999993</v>
      </c>
      <c r="P208" s="526">
        <f t="shared" si="86"/>
        <v>5787.0000000000009</v>
      </c>
      <c r="Q208" s="423">
        <f t="shared" si="85"/>
        <v>41.999999999999972</v>
      </c>
      <c r="R208" s="422">
        <f t="shared" si="85"/>
        <v>18</v>
      </c>
      <c r="S208" s="423">
        <f t="shared" si="85"/>
        <v>11</v>
      </c>
      <c r="T208" s="423">
        <f t="shared" si="85"/>
        <v>0</v>
      </c>
      <c r="U208" s="423">
        <f t="shared" si="85"/>
        <v>6.9999999999999991</v>
      </c>
      <c r="V208" s="424">
        <f t="shared" si="85"/>
        <v>0</v>
      </c>
      <c r="W208" s="422">
        <f t="shared" si="85"/>
        <v>24</v>
      </c>
      <c r="X208" s="423">
        <f t="shared" si="85"/>
        <v>12.999999999999995</v>
      </c>
      <c r="Y208" s="423">
        <f t="shared" si="85"/>
        <v>0</v>
      </c>
      <c r="Z208" s="423">
        <f t="shared" si="85"/>
        <v>7.9999999999999991</v>
      </c>
      <c r="AA208" s="425">
        <f t="shared" si="85"/>
        <v>3</v>
      </c>
      <c r="AB208" s="526">
        <f t="shared" si="87"/>
        <v>625.00000000000011</v>
      </c>
      <c r="AC208" s="423">
        <f t="shared" ref="AC208:AM208" si="104">AC97/3+AC207</f>
        <v>1.9999999999999998</v>
      </c>
      <c r="AD208" s="422">
        <f t="shared" si="104"/>
        <v>1</v>
      </c>
      <c r="AE208" s="423">
        <f t="shared" si="104"/>
        <v>0</v>
      </c>
      <c r="AF208" s="423">
        <f t="shared" si="104"/>
        <v>0</v>
      </c>
      <c r="AG208" s="423">
        <f t="shared" si="104"/>
        <v>1</v>
      </c>
      <c r="AH208" s="424">
        <f t="shared" si="104"/>
        <v>0</v>
      </c>
      <c r="AI208" s="422">
        <f t="shared" si="104"/>
        <v>1</v>
      </c>
      <c r="AJ208" s="423">
        <f t="shared" si="104"/>
        <v>1</v>
      </c>
      <c r="AK208" s="423">
        <f t="shared" si="104"/>
        <v>0</v>
      </c>
      <c r="AL208" s="423">
        <f t="shared" si="104"/>
        <v>0</v>
      </c>
      <c r="AM208" s="425">
        <f t="shared" si="104"/>
        <v>0</v>
      </c>
      <c r="AO208" s="421">
        <f t="shared" si="64"/>
        <v>43.999999999999972</v>
      </c>
      <c r="AP208" s="422">
        <f t="shared" si="65"/>
        <v>19</v>
      </c>
      <c r="AQ208" s="423">
        <f t="shared" si="66"/>
        <v>11</v>
      </c>
      <c r="AR208" s="423">
        <f t="shared" si="67"/>
        <v>0</v>
      </c>
      <c r="AS208" s="423">
        <f t="shared" si="68"/>
        <v>7.9999999999999991</v>
      </c>
      <c r="AT208" s="424">
        <f t="shared" si="69"/>
        <v>0</v>
      </c>
      <c r="AU208" s="422">
        <f t="shared" si="70"/>
        <v>25</v>
      </c>
      <c r="AV208" s="423">
        <f t="shared" si="71"/>
        <v>13.999999999999995</v>
      </c>
      <c r="AW208" s="423">
        <f t="shared" si="72"/>
        <v>0</v>
      </c>
      <c r="AX208" s="423">
        <f t="shared" si="73"/>
        <v>7.9999999999999991</v>
      </c>
      <c r="AY208" s="425">
        <f t="shared" si="74"/>
        <v>3</v>
      </c>
    </row>
    <row r="209" spans="1:51" ht="13.9">
      <c r="A209" s="447" t="s">
        <v>259</v>
      </c>
      <c r="B209" s="448">
        <v>44378</v>
      </c>
      <c r="C209" s="449">
        <v>2021</v>
      </c>
      <c r="D209" s="421">
        <f t="shared" si="95"/>
        <v>3376815.6666666679</v>
      </c>
      <c r="E209" s="421">
        <f t="shared" si="95"/>
        <v>55333.666666666664</v>
      </c>
      <c r="F209" s="422">
        <f t="shared" si="95"/>
        <v>34088.000000000015</v>
      </c>
      <c r="G209" s="423">
        <f t="shared" si="95"/>
        <v>23198.666666666664</v>
      </c>
      <c r="H209" s="423">
        <f t="shared" si="95"/>
        <v>0</v>
      </c>
      <c r="I209" s="423">
        <f t="shared" si="95"/>
        <v>10889.333333333334</v>
      </c>
      <c r="J209" s="424">
        <f t="shared" si="95"/>
        <v>0</v>
      </c>
      <c r="K209" s="422">
        <f t="shared" si="95"/>
        <v>21245.666666666664</v>
      </c>
      <c r="L209" s="423">
        <f t="shared" si="95"/>
        <v>12621.333333333334</v>
      </c>
      <c r="M209" s="423">
        <f t="shared" si="95"/>
        <v>0</v>
      </c>
      <c r="N209" s="423">
        <f t="shared" si="95"/>
        <v>6835</v>
      </c>
      <c r="O209" s="425">
        <f t="shared" si="95"/>
        <v>1789.3333333333326</v>
      </c>
      <c r="P209" s="526">
        <f t="shared" si="86"/>
        <v>5909.3333333333339</v>
      </c>
      <c r="Q209" s="423">
        <f t="shared" si="95"/>
        <v>43.333333333333307</v>
      </c>
      <c r="R209" s="422">
        <f t="shared" si="95"/>
        <v>18.666666666666668</v>
      </c>
      <c r="S209" s="423">
        <f t="shared" si="95"/>
        <v>11.333333333333334</v>
      </c>
      <c r="T209" s="423">
        <f t="shared" si="95"/>
        <v>0</v>
      </c>
      <c r="U209" s="423">
        <f t="shared" ref="U209:AF224" si="105">U98/3+U208</f>
        <v>7.3333333333333321</v>
      </c>
      <c r="V209" s="424">
        <f t="shared" si="105"/>
        <v>0</v>
      </c>
      <c r="W209" s="422">
        <f t="shared" si="105"/>
        <v>24.666666666666668</v>
      </c>
      <c r="X209" s="423">
        <f t="shared" si="105"/>
        <v>12.999999999999995</v>
      </c>
      <c r="Y209" s="423">
        <f t="shared" si="105"/>
        <v>0</v>
      </c>
      <c r="Z209" s="423">
        <f t="shared" si="105"/>
        <v>8.6666666666666661</v>
      </c>
      <c r="AA209" s="425">
        <f t="shared" si="105"/>
        <v>3</v>
      </c>
      <c r="AB209" s="526">
        <f t="shared" si="105"/>
        <v>638.00000000000011</v>
      </c>
      <c r="AC209" s="423">
        <f t="shared" si="105"/>
        <v>1.9999999999999998</v>
      </c>
      <c r="AD209" s="422">
        <f t="shared" si="105"/>
        <v>1</v>
      </c>
      <c r="AE209" s="423">
        <f t="shared" si="105"/>
        <v>0</v>
      </c>
      <c r="AF209" s="423">
        <f t="shared" si="105"/>
        <v>0</v>
      </c>
      <c r="AG209" s="423">
        <f t="shared" ref="AG209:AM209" si="106">AG98/3+AG208</f>
        <v>1</v>
      </c>
      <c r="AH209" s="424">
        <f t="shared" si="106"/>
        <v>0</v>
      </c>
      <c r="AI209" s="422">
        <f t="shared" si="106"/>
        <v>1</v>
      </c>
      <c r="AJ209" s="423">
        <f t="shared" si="106"/>
        <v>1</v>
      </c>
      <c r="AK209" s="423">
        <f t="shared" si="106"/>
        <v>0</v>
      </c>
      <c r="AL209" s="423">
        <f t="shared" si="106"/>
        <v>0</v>
      </c>
      <c r="AM209" s="425">
        <f t="shared" si="106"/>
        <v>0</v>
      </c>
      <c r="AO209" s="421">
        <f t="shared" si="64"/>
        <v>45.333333333333307</v>
      </c>
      <c r="AP209" s="422">
        <f t="shared" si="65"/>
        <v>19.666666666666668</v>
      </c>
      <c r="AQ209" s="423">
        <f t="shared" si="66"/>
        <v>11.333333333333334</v>
      </c>
      <c r="AR209" s="423">
        <f t="shared" si="67"/>
        <v>0</v>
      </c>
      <c r="AS209" s="423">
        <f t="shared" si="68"/>
        <v>8.3333333333333321</v>
      </c>
      <c r="AT209" s="424">
        <f t="shared" si="69"/>
        <v>0</v>
      </c>
      <c r="AU209" s="422">
        <f t="shared" si="70"/>
        <v>25.666666666666668</v>
      </c>
      <c r="AV209" s="423">
        <f t="shared" si="71"/>
        <v>13.999999999999995</v>
      </c>
      <c r="AW209" s="423">
        <f t="shared" si="72"/>
        <v>0</v>
      </c>
      <c r="AX209" s="423">
        <f t="shared" si="73"/>
        <v>8.6666666666666661</v>
      </c>
      <c r="AY209" s="425">
        <f t="shared" si="74"/>
        <v>3</v>
      </c>
    </row>
    <row r="210" spans="1:51" ht="13.9">
      <c r="A210" s="447" t="s">
        <v>259</v>
      </c>
      <c r="B210" s="448">
        <v>44409</v>
      </c>
      <c r="C210" s="449">
        <v>2021</v>
      </c>
      <c r="D210" s="421">
        <f t="shared" si="95"/>
        <v>3435028.3333333344</v>
      </c>
      <c r="E210" s="421">
        <f t="shared" si="95"/>
        <v>57057.333333333328</v>
      </c>
      <c r="F210" s="422">
        <f t="shared" si="95"/>
        <v>35312.000000000015</v>
      </c>
      <c r="G210" s="423">
        <f t="shared" si="95"/>
        <v>23871.333333333332</v>
      </c>
      <c r="H210" s="423">
        <f t="shared" si="95"/>
        <v>0</v>
      </c>
      <c r="I210" s="423">
        <f t="shared" si="95"/>
        <v>11440.666666666668</v>
      </c>
      <c r="J210" s="424">
        <f t="shared" si="95"/>
        <v>0</v>
      </c>
      <c r="K210" s="422">
        <f t="shared" si="95"/>
        <v>21745.333333333332</v>
      </c>
      <c r="L210" s="423">
        <f t="shared" si="95"/>
        <v>12748.666666666668</v>
      </c>
      <c r="M210" s="423">
        <f t="shared" si="95"/>
        <v>0</v>
      </c>
      <c r="N210" s="423">
        <f t="shared" si="95"/>
        <v>7164</v>
      </c>
      <c r="O210" s="425">
        <f t="shared" si="95"/>
        <v>1832.6666666666658</v>
      </c>
      <c r="P210" s="526">
        <f t="shared" si="86"/>
        <v>6031.666666666667</v>
      </c>
      <c r="Q210" s="423">
        <f t="shared" si="95"/>
        <v>44.666666666666643</v>
      </c>
      <c r="R210" s="422">
        <f t="shared" si="95"/>
        <v>19.333333333333336</v>
      </c>
      <c r="S210" s="423">
        <f t="shared" si="95"/>
        <v>11.666666666666668</v>
      </c>
      <c r="T210" s="423">
        <f t="shared" si="95"/>
        <v>0</v>
      </c>
      <c r="U210" s="423">
        <f t="shared" si="105"/>
        <v>7.6666666666666652</v>
      </c>
      <c r="V210" s="424">
        <f t="shared" si="105"/>
        <v>0</v>
      </c>
      <c r="W210" s="422">
        <f t="shared" si="105"/>
        <v>25.333333333333336</v>
      </c>
      <c r="X210" s="423">
        <f t="shared" si="105"/>
        <v>12.999999999999995</v>
      </c>
      <c r="Y210" s="423">
        <f t="shared" si="105"/>
        <v>0</v>
      </c>
      <c r="Z210" s="423">
        <f t="shared" si="105"/>
        <v>9.3333333333333321</v>
      </c>
      <c r="AA210" s="425">
        <f t="shared" si="105"/>
        <v>3</v>
      </c>
      <c r="AB210" s="526">
        <f t="shared" si="105"/>
        <v>651.00000000000011</v>
      </c>
      <c r="AC210" s="423">
        <f t="shared" si="105"/>
        <v>1.9999999999999998</v>
      </c>
      <c r="AD210" s="422">
        <f t="shared" si="105"/>
        <v>1</v>
      </c>
      <c r="AE210" s="423">
        <f t="shared" si="105"/>
        <v>0</v>
      </c>
      <c r="AF210" s="423">
        <f t="shared" si="105"/>
        <v>0</v>
      </c>
      <c r="AG210" s="423">
        <f t="shared" ref="AG210:AM210" si="107">AG99/3+AG209</f>
        <v>1</v>
      </c>
      <c r="AH210" s="424">
        <f t="shared" si="107"/>
        <v>0</v>
      </c>
      <c r="AI210" s="422">
        <f t="shared" si="107"/>
        <v>1</v>
      </c>
      <c r="AJ210" s="423">
        <f t="shared" si="107"/>
        <v>1</v>
      </c>
      <c r="AK210" s="423">
        <f t="shared" si="107"/>
        <v>0</v>
      </c>
      <c r="AL210" s="423">
        <f t="shared" si="107"/>
        <v>0</v>
      </c>
      <c r="AM210" s="425">
        <f t="shared" si="107"/>
        <v>0</v>
      </c>
      <c r="AO210" s="421">
        <f t="shared" si="64"/>
        <v>46.666666666666643</v>
      </c>
      <c r="AP210" s="422">
        <f t="shared" si="65"/>
        <v>20.333333333333336</v>
      </c>
      <c r="AQ210" s="423">
        <f t="shared" si="66"/>
        <v>11.666666666666668</v>
      </c>
      <c r="AR210" s="423">
        <f t="shared" si="67"/>
        <v>0</v>
      </c>
      <c r="AS210" s="423">
        <f t="shared" si="68"/>
        <v>8.6666666666666643</v>
      </c>
      <c r="AT210" s="424">
        <f t="shared" si="69"/>
        <v>0</v>
      </c>
      <c r="AU210" s="422">
        <f t="shared" si="70"/>
        <v>26.333333333333336</v>
      </c>
      <c r="AV210" s="423">
        <f t="shared" si="71"/>
        <v>13.999999999999995</v>
      </c>
      <c r="AW210" s="423">
        <f t="shared" si="72"/>
        <v>0</v>
      </c>
      <c r="AX210" s="423">
        <f t="shared" si="73"/>
        <v>9.3333333333333321</v>
      </c>
      <c r="AY210" s="425">
        <f t="shared" si="74"/>
        <v>3</v>
      </c>
    </row>
    <row r="211" spans="1:51" ht="13.9">
      <c r="A211" s="447" t="s">
        <v>259</v>
      </c>
      <c r="B211" s="448">
        <v>44440</v>
      </c>
      <c r="C211" s="449">
        <v>2021</v>
      </c>
      <c r="D211" s="421">
        <f t="shared" si="95"/>
        <v>3493241.0000000009</v>
      </c>
      <c r="E211" s="421">
        <f t="shared" si="95"/>
        <v>58780.999999999993</v>
      </c>
      <c r="F211" s="422">
        <f t="shared" si="95"/>
        <v>36536.000000000015</v>
      </c>
      <c r="G211" s="423">
        <f t="shared" si="95"/>
        <v>24544</v>
      </c>
      <c r="H211" s="423">
        <f t="shared" si="95"/>
        <v>0</v>
      </c>
      <c r="I211" s="423">
        <f t="shared" si="95"/>
        <v>11992.000000000002</v>
      </c>
      <c r="J211" s="424">
        <f t="shared" si="95"/>
        <v>0</v>
      </c>
      <c r="K211" s="422">
        <f t="shared" si="95"/>
        <v>22245</v>
      </c>
      <c r="L211" s="423">
        <f t="shared" si="95"/>
        <v>12876.000000000002</v>
      </c>
      <c r="M211" s="423">
        <f t="shared" si="95"/>
        <v>0</v>
      </c>
      <c r="N211" s="423">
        <f t="shared" si="95"/>
        <v>7493</v>
      </c>
      <c r="O211" s="425">
        <f t="shared" si="95"/>
        <v>1875.9999999999991</v>
      </c>
      <c r="P211" s="526">
        <f t="shared" si="86"/>
        <v>6154</v>
      </c>
      <c r="Q211" s="423">
        <f t="shared" si="95"/>
        <v>45.999999999999979</v>
      </c>
      <c r="R211" s="422">
        <f t="shared" si="95"/>
        <v>20.000000000000004</v>
      </c>
      <c r="S211" s="423">
        <f t="shared" si="95"/>
        <v>12.000000000000002</v>
      </c>
      <c r="T211" s="423">
        <f t="shared" si="95"/>
        <v>0</v>
      </c>
      <c r="U211" s="423">
        <f t="shared" si="105"/>
        <v>7.9999999999999982</v>
      </c>
      <c r="V211" s="424">
        <f t="shared" si="105"/>
        <v>0</v>
      </c>
      <c r="W211" s="422">
        <f t="shared" si="105"/>
        <v>26.000000000000004</v>
      </c>
      <c r="X211" s="423">
        <f t="shared" si="105"/>
        <v>12.999999999999995</v>
      </c>
      <c r="Y211" s="423">
        <f t="shared" si="105"/>
        <v>0</v>
      </c>
      <c r="Z211" s="423">
        <f t="shared" si="105"/>
        <v>9.9999999999999982</v>
      </c>
      <c r="AA211" s="425">
        <f t="shared" si="105"/>
        <v>3</v>
      </c>
      <c r="AB211" s="526">
        <f t="shared" si="105"/>
        <v>664.00000000000011</v>
      </c>
      <c r="AC211" s="423">
        <f t="shared" si="105"/>
        <v>1.9999999999999998</v>
      </c>
      <c r="AD211" s="422">
        <f t="shared" si="105"/>
        <v>1</v>
      </c>
      <c r="AE211" s="423">
        <f t="shared" si="105"/>
        <v>0</v>
      </c>
      <c r="AF211" s="423">
        <f t="shared" si="105"/>
        <v>0</v>
      </c>
      <c r="AG211" s="423">
        <f t="shared" ref="AG211:AM211" si="108">AG100/3+AG210</f>
        <v>1</v>
      </c>
      <c r="AH211" s="424">
        <f t="shared" si="108"/>
        <v>0</v>
      </c>
      <c r="AI211" s="422">
        <f t="shared" si="108"/>
        <v>1</v>
      </c>
      <c r="AJ211" s="423">
        <f t="shared" si="108"/>
        <v>1</v>
      </c>
      <c r="AK211" s="423">
        <f t="shared" si="108"/>
        <v>0</v>
      </c>
      <c r="AL211" s="423">
        <f t="shared" si="108"/>
        <v>0</v>
      </c>
      <c r="AM211" s="425">
        <f t="shared" si="108"/>
        <v>0</v>
      </c>
      <c r="AO211" s="421">
        <f t="shared" si="64"/>
        <v>47.999999999999979</v>
      </c>
      <c r="AP211" s="422">
        <f t="shared" si="65"/>
        <v>21.000000000000004</v>
      </c>
      <c r="AQ211" s="423">
        <f t="shared" si="66"/>
        <v>12.000000000000002</v>
      </c>
      <c r="AR211" s="423">
        <f t="shared" si="67"/>
        <v>0</v>
      </c>
      <c r="AS211" s="423">
        <f t="shared" si="68"/>
        <v>8.9999999999999982</v>
      </c>
      <c r="AT211" s="424">
        <f t="shared" si="69"/>
        <v>0</v>
      </c>
      <c r="AU211" s="422">
        <f t="shared" si="70"/>
        <v>27.000000000000004</v>
      </c>
      <c r="AV211" s="423">
        <f t="shared" si="71"/>
        <v>13.999999999999995</v>
      </c>
      <c r="AW211" s="423">
        <f t="shared" si="72"/>
        <v>0</v>
      </c>
      <c r="AX211" s="423">
        <f t="shared" si="73"/>
        <v>9.9999999999999982</v>
      </c>
      <c r="AY211" s="425">
        <f t="shared" si="74"/>
        <v>3</v>
      </c>
    </row>
    <row r="212" spans="1:51" ht="13.9">
      <c r="A212" s="447" t="s">
        <v>260</v>
      </c>
      <c r="B212" s="448">
        <v>44470</v>
      </c>
      <c r="C212" s="449">
        <v>2021</v>
      </c>
      <c r="D212" s="421">
        <f t="shared" si="95"/>
        <v>3536784.3333333344</v>
      </c>
      <c r="E212" s="421">
        <f t="shared" si="95"/>
        <v>60823.999999999993</v>
      </c>
      <c r="F212" s="422">
        <f t="shared" si="95"/>
        <v>38131.666666666679</v>
      </c>
      <c r="G212" s="423">
        <f t="shared" si="95"/>
        <v>25324.666666666668</v>
      </c>
      <c r="H212" s="423">
        <f t="shared" si="95"/>
        <v>0</v>
      </c>
      <c r="I212" s="423">
        <f t="shared" si="95"/>
        <v>12807.000000000002</v>
      </c>
      <c r="J212" s="424">
        <f t="shared" si="95"/>
        <v>0</v>
      </c>
      <c r="K212" s="422">
        <f t="shared" si="95"/>
        <v>22692.333333333332</v>
      </c>
      <c r="L212" s="423">
        <f t="shared" si="95"/>
        <v>12942.333333333336</v>
      </c>
      <c r="M212" s="423">
        <f t="shared" si="95"/>
        <v>0</v>
      </c>
      <c r="N212" s="423">
        <f t="shared" si="95"/>
        <v>7864.333333333333</v>
      </c>
      <c r="O212" s="425">
        <f t="shared" si="95"/>
        <v>1885.6666666666658</v>
      </c>
      <c r="P212" s="526">
        <f t="shared" si="86"/>
        <v>6235.666666666667</v>
      </c>
      <c r="Q212" s="423">
        <f t="shared" si="95"/>
        <v>46.666666666666643</v>
      </c>
      <c r="R212" s="422">
        <f t="shared" si="95"/>
        <v>20.333333333333336</v>
      </c>
      <c r="S212" s="423">
        <f t="shared" si="95"/>
        <v>12.333333333333336</v>
      </c>
      <c r="T212" s="423">
        <f t="shared" si="95"/>
        <v>0</v>
      </c>
      <c r="U212" s="423">
        <f t="shared" si="105"/>
        <v>7.9999999999999982</v>
      </c>
      <c r="V212" s="424">
        <f t="shared" si="105"/>
        <v>0</v>
      </c>
      <c r="W212" s="422">
        <f t="shared" si="105"/>
        <v>26.333333333333336</v>
      </c>
      <c r="X212" s="423">
        <f t="shared" si="105"/>
        <v>12.999999999999995</v>
      </c>
      <c r="Y212" s="423">
        <f t="shared" si="105"/>
        <v>0</v>
      </c>
      <c r="Z212" s="423">
        <f t="shared" si="105"/>
        <v>10.333333333333332</v>
      </c>
      <c r="AA212" s="425">
        <f t="shared" si="105"/>
        <v>3</v>
      </c>
      <c r="AB212" s="526">
        <f t="shared" si="105"/>
        <v>671.66666666666674</v>
      </c>
      <c r="AC212" s="423">
        <f t="shared" si="105"/>
        <v>1.9999999999999998</v>
      </c>
      <c r="AD212" s="422">
        <f t="shared" si="105"/>
        <v>1</v>
      </c>
      <c r="AE212" s="423">
        <f t="shared" si="105"/>
        <v>0</v>
      </c>
      <c r="AF212" s="423">
        <f t="shared" si="105"/>
        <v>0</v>
      </c>
      <c r="AG212" s="423">
        <f t="shared" ref="AG212:AM212" si="109">AG101/3+AG211</f>
        <v>1</v>
      </c>
      <c r="AH212" s="424">
        <f t="shared" si="109"/>
        <v>0</v>
      </c>
      <c r="AI212" s="422">
        <f t="shared" si="109"/>
        <v>1</v>
      </c>
      <c r="AJ212" s="423">
        <f t="shared" si="109"/>
        <v>1</v>
      </c>
      <c r="AK212" s="423">
        <f t="shared" si="109"/>
        <v>0</v>
      </c>
      <c r="AL212" s="423">
        <f t="shared" si="109"/>
        <v>0</v>
      </c>
      <c r="AM212" s="425">
        <f t="shared" si="109"/>
        <v>0</v>
      </c>
      <c r="AO212" s="421">
        <f t="shared" si="64"/>
        <v>48.666666666666643</v>
      </c>
      <c r="AP212" s="422">
        <f t="shared" si="65"/>
        <v>21.333333333333336</v>
      </c>
      <c r="AQ212" s="423">
        <f t="shared" si="66"/>
        <v>12.333333333333336</v>
      </c>
      <c r="AR212" s="423">
        <f t="shared" si="67"/>
        <v>0</v>
      </c>
      <c r="AS212" s="423">
        <f t="shared" si="68"/>
        <v>8.9999999999999982</v>
      </c>
      <c r="AT212" s="424">
        <f t="shared" si="69"/>
        <v>0</v>
      </c>
      <c r="AU212" s="422">
        <f t="shared" si="70"/>
        <v>27.333333333333336</v>
      </c>
      <c r="AV212" s="423">
        <f t="shared" si="71"/>
        <v>13.999999999999995</v>
      </c>
      <c r="AW212" s="423">
        <f t="shared" si="72"/>
        <v>0</v>
      </c>
      <c r="AX212" s="423">
        <f t="shared" si="73"/>
        <v>10.333333333333332</v>
      </c>
      <c r="AY212" s="425">
        <f t="shared" si="74"/>
        <v>3</v>
      </c>
    </row>
    <row r="213" spans="1:51" ht="13.9">
      <c r="A213" s="447" t="s">
        <v>260</v>
      </c>
      <c r="B213" s="448">
        <v>44501</v>
      </c>
      <c r="C213" s="449">
        <v>2021</v>
      </c>
      <c r="D213" s="421">
        <f t="shared" si="95"/>
        <v>3580327.6666666679</v>
      </c>
      <c r="E213" s="421">
        <f t="shared" si="95"/>
        <v>62866.999999999993</v>
      </c>
      <c r="F213" s="422">
        <f t="shared" si="95"/>
        <v>39727.333333333343</v>
      </c>
      <c r="G213" s="423">
        <f t="shared" si="95"/>
        <v>26105.333333333336</v>
      </c>
      <c r="H213" s="423">
        <f t="shared" si="95"/>
        <v>0</v>
      </c>
      <c r="I213" s="423">
        <f t="shared" si="95"/>
        <v>13622.000000000002</v>
      </c>
      <c r="J213" s="424">
        <f t="shared" si="95"/>
        <v>0</v>
      </c>
      <c r="K213" s="422">
        <f t="shared" si="95"/>
        <v>23139.666666666664</v>
      </c>
      <c r="L213" s="423">
        <f t="shared" si="95"/>
        <v>13008.66666666667</v>
      </c>
      <c r="M213" s="423">
        <f t="shared" si="95"/>
        <v>0</v>
      </c>
      <c r="N213" s="423">
        <f t="shared" si="95"/>
        <v>8235.6666666666661</v>
      </c>
      <c r="O213" s="425">
        <f t="shared" si="95"/>
        <v>1895.3333333333326</v>
      </c>
      <c r="P213" s="526">
        <f t="shared" si="86"/>
        <v>6317.3333333333339</v>
      </c>
      <c r="Q213" s="423">
        <f t="shared" si="95"/>
        <v>47.333333333333307</v>
      </c>
      <c r="R213" s="422">
        <f t="shared" si="95"/>
        <v>20.666666666666668</v>
      </c>
      <c r="S213" s="423">
        <f t="shared" si="95"/>
        <v>12.66666666666667</v>
      </c>
      <c r="T213" s="423">
        <f t="shared" si="95"/>
        <v>0</v>
      </c>
      <c r="U213" s="423">
        <f t="shared" si="105"/>
        <v>7.9999999999999982</v>
      </c>
      <c r="V213" s="424">
        <f t="shared" si="105"/>
        <v>0</v>
      </c>
      <c r="W213" s="422">
        <f t="shared" si="105"/>
        <v>26.666666666666668</v>
      </c>
      <c r="X213" s="423">
        <f t="shared" si="105"/>
        <v>12.999999999999995</v>
      </c>
      <c r="Y213" s="423">
        <f t="shared" si="105"/>
        <v>0</v>
      </c>
      <c r="Z213" s="423">
        <f t="shared" si="105"/>
        <v>10.666666666666666</v>
      </c>
      <c r="AA213" s="425">
        <f t="shared" si="105"/>
        <v>3</v>
      </c>
      <c r="AB213" s="526">
        <f t="shared" si="105"/>
        <v>679.33333333333337</v>
      </c>
      <c r="AC213" s="423">
        <f t="shared" si="105"/>
        <v>1.9999999999999998</v>
      </c>
      <c r="AD213" s="422">
        <f t="shared" si="105"/>
        <v>1</v>
      </c>
      <c r="AE213" s="423">
        <f t="shared" si="105"/>
        <v>0</v>
      </c>
      <c r="AF213" s="423">
        <f t="shared" si="105"/>
        <v>0</v>
      </c>
      <c r="AG213" s="423">
        <f t="shared" ref="AG213:AM213" si="110">AG102/3+AG212</f>
        <v>1</v>
      </c>
      <c r="AH213" s="424">
        <f t="shared" si="110"/>
        <v>0</v>
      </c>
      <c r="AI213" s="422">
        <f t="shared" si="110"/>
        <v>1</v>
      </c>
      <c r="AJ213" s="423">
        <f t="shared" si="110"/>
        <v>1</v>
      </c>
      <c r="AK213" s="423">
        <f t="shared" si="110"/>
        <v>0</v>
      </c>
      <c r="AL213" s="423">
        <f t="shared" si="110"/>
        <v>0</v>
      </c>
      <c r="AM213" s="425">
        <f t="shared" si="110"/>
        <v>0</v>
      </c>
      <c r="AO213" s="421">
        <f t="shared" si="64"/>
        <v>49.333333333333307</v>
      </c>
      <c r="AP213" s="422">
        <f t="shared" si="65"/>
        <v>21.666666666666668</v>
      </c>
      <c r="AQ213" s="423">
        <f t="shared" si="66"/>
        <v>12.66666666666667</v>
      </c>
      <c r="AR213" s="423">
        <f t="shared" si="67"/>
        <v>0</v>
      </c>
      <c r="AS213" s="423">
        <f t="shared" si="68"/>
        <v>8.9999999999999982</v>
      </c>
      <c r="AT213" s="424">
        <f t="shared" si="69"/>
        <v>0</v>
      </c>
      <c r="AU213" s="422">
        <f t="shared" si="70"/>
        <v>27.666666666666668</v>
      </c>
      <c r="AV213" s="423">
        <f t="shared" si="71"/>
        <v>13.999999999999995</v>
      </c>
      <c r="AW213" s="423">
        <f t="shared" si="72"/>
        <v>0</v>
      </c>
      <c r="AX213" s="423">
        <f t="shared" si="73"/>
        <v>10.666666666666666</v>
      </c>
      <c r="AY213" s="425">
        <f t="shared" si="74"/>
        <v>3</v>
      </c>
    </row>
    <row r="214" spans="1:51" ht="13.9">
      <c r="A214" s="447" t="s">
        <v>260</v>
      </c>
      <c r="B214" s="448">
        <v>44531</v>
      </c>
      <c r="C214" s="449">
        <v>2021</v>
      </c>
      <c r="D214" s="421">
        <f t="shared" si="95"/>
        <v>3623871.0000000014</v>
      </c>
      <c r="E214" s="421">
        <f t="shared" si="95"/>
        <v>64909.999999999993</v>
      </c>
      <c r="F214" s="422">
        <f t="shared" si="95"/>
        <v>41323.000000000007</v>
      </c>
      <c r="G214" s="423">
        <f t="shared" si="95"/>
        <v>26886.000000000004</v>
      </c>
      <c r="H214" s="423">
        <f t="shared" si="95"/>
        <v>0</v>
      </c>
      <c r="I214" s="423">
        <f t="shared" si="95"/>
        <v>14437.000000000002</v>
      </c>
      <c r="J214" s="424">
        <f t="shared" si="95"/>
        <v>0</v>
      </c>
      <c r="K214" s="422">
        <f t="shared" si="95"/>
        <v>23586.999999999996</v>
      </c>
      <c r="L214" s="423">
        <f t="shared" si="95"/>
        <v>13075.000000000004</v>
      </c>
      <c r="M214" s="423">
        <f t="shared" si="95"/>
        <v>0</v>
      </c>
      <c r="N214" s="423">
        <f t="shared" si="95"/>
        <v>8607</v>
      </c>
      <c r="O214" s="425">
        <f t="shared" si="95"/>
        <v>1904.9999999999993</v>
      </c>
      <c r="P214" s="526">
        <f t="shared" si="86"/>
        <v>6399.0000000000009</v>
      </c>
      <c r="Q214" s="423">
        <f t="shared" si="95"/>
        <v>47.999999999999972</v>
      </c>
      <c r="R214" s="422">
        <f t="shared" si="95"/>
        <v>21</v>
      </c>
      <c r="S214" s="423">
        <f t="shared" si="95"/>
        <v>13.000000000000004</v>
      </c>
      <c r="T214" s="423">
        <f t="shared" si="95"/>
        <v>0</v>
      </c>
      <c r="U214" s="423">
        <f t="shared" si="105"/>
        <v>7.9999999999999982</v>
      </c>
      <c r="V214" s="424">
        <f t="shared" si="105"/>
        <v>0</v>
      </c>
      <c r="W214" s="422">
        <f t="shared" si="105"/>
        <v>27</v>
      </c>
      <c r="X214" s="423">
        <f t="shared" si="105"/>
        <v>12.999999999999995</v>
      </c>
      <c r="Y214" s="423">
        <f t="shared" si="105"/>
        <v>0</v>
      </c>
      <c r="Z214" s="423">
        <f t="shared" si="105"/>
        <v>11</v>
      </c>
      <c r="AA214" s="425">
        <f t="shared" si="105"/>
        <v>3</v>
      </c>
      <c r="AB214" s="526">
        <f t="shared" si="105"/>
        <v>687</v>
      </c>
      <c r="AC214" s="423">
        <f t="shared" si="105"/>
        <v>1.9999999999999998</v>
      </c>
      <c r="AD214" s="422">
        <f t="shared" si="105"/>
        <v>1</v>
      </c>
      <c r="AE214" s="423">
        <f t="shared" si="105"/>
        <v>0</v>
      </c>
      <c r="AF214" s="423">
        <f t="shared" si="105"/>
        <v>0</v>
      </c>
      <c r="AG214" s="423">
        <f t="shared" ref="AG214:AM214" si="111">AG103/3+AG213</f>
        <v>1</v>
      </c>
      <c r="AH214" s="424">
        <f t="shared" si="111"/>
        <v>0</v>
      </c>
      <c r="AI214" s="422">
        <f t="shared" si="111"/>
        <v>1</v>
      </c>
      <c r="AJ214" s="423">
        <f t="shared" si="111"/>
        <v>1</v>
      </c>
      <c r="AK214" s="423">
        <f t="shared" si="111"/>
        <v>0</v>
      </c>
      <c r="AL214" s="423">
        <f t="shared" si="111"/>
        <v>0</v>
      </c>
      <c r="AM214" s="425">
        <f t="shared" si="111"/>
        <v>0</v>
      </c>
      <c r="AO214" s="421">
        <f t="shared" si="64"/>
        <v>49.999999999999972</v>
      </c>
      <c r="AP214" s="422">
        <f t="shared" si="65"/>
        <v>22</v>
      </c>
      <c r="AQ214" s="423">
        <f t="shared" si="66"/>
        <v>13.000000000000004</v>
      </c>
      <c r="AR214" s="423">
        <f t="shared" si="67"/>
        <v>0</v>
      </c>
      <c r="AS214" s="423">
        <f t="shared" si="68"/>
        <v>8.9999999999999982</v>
      </c>
      <c r="AT214" s="424">
        <f t="shared" si="69"/>
        <v>0</v>
      </c>
      <c r="AU214" s="422">
        <f t="shared" si="70"/>
        <v>28</v>
      </c>
      <c r="AV214" s="423">
        <f t="shared" si="71"/>
        <v>13.999999999999995</v>
      </c>
      <c r="AW214" s="423">
        <f t="shared" si="72"/>
        <v>0</v>
      </c>
      <c r="AX214" s="423">
        <f t="shared" si="73"/>
        <v>11</v>
      </c>
      <c r="AY214" s="425">
        <f t="shared" si="74"/>
        <v>3</v>
      </c>
    </row>
    <row r="215" spans="1:51" ht="13.9">
      <c r="A215" s="447" t="s">
        <v>261</v>
      </c>
      <c r="B215" s="448">
        <v>44562</v>
      </c>
      <c r="C215" s="449">
        <v>2022</v>
      </c>
      <c r="D215" s="421">
        <f t="shared" si="95"/>
        <v>3668917.0000000014</v>
      </c>
      <c r="E215" s="421">
        <f t="shared" si="95"/>
        <v>67284.666666666657</v>
      </c>
      <c r="F215" s="422">
        <f t="shared" si="95"/>
        <v>43218.333333333343</v>
      </c>
      <c r="G215" s="423">
        <f t="shared" si="95"/>
        <v>27842.333333333336</v>
      </c>
      <c r="H215" s="423">
        <f t="shared" si="95"/>
        <v>0</v>
      </c>
      <c r="I215" s="423">
        <f t="shared" si="95"/>
        <v>15374.666666666668</v>
      </c>
      <c r="J215" s="424">
        <f t="shared" si="95"/>
        <v>1.3333333333333333</v>
      </c>
      <c r="K215" s="422">
        <f t="shared" si="95"/>
        <v>24066.333333333328</v>
      </c>
      <c r="L215" s="423">
        <f t="shared" si="95"/>
        <v>13125.66666666667</v>
      </c>
      <c r="M215" s="423">
        <f t="shared" si="95"/>
        <v>0</v>
      </c>
      <c r="N215" s="423">
        <f t="shared" si="95"/>
        <v>8955.3333333333339</v>
      </c>
      <c r="O215" s="425">
        <f t="shared" si="95"/>
        <v>1985.3333333333326</v>
      </c>
      <c r="P215" s="526">
        <f t="shared" ref="P215:P231" si="112">P104/3+P214</f>
        <v>6491.0000000000009</v>
      </c>
      <c r="Q215" s="423">
        <f t="shared" si="95"/>
        <v>49.333333333333307</v>
      </c>
      <c r="R215" s="422">
        <f t="shared" si="95"/>
        <v>22</v>
      </c>
      <c r="S215" s="423">
        <f t="shared" si="95"/>
        <v>13.66666666666667</v>
      </c>
      <c r="T215" s="423">
        <f t="shared" si="95"/>
        <v>0</v>
      </c>
      <c r="U215" s="423">
        <f t="shared" si="105"/>
        <v>8.3333333333333321</v>
      </c>
      <c r="V215" s="424">
        <f t="shared" si="105"/>
        <v>0</v>
      </c>
      <c r="W215" s="422">
        <f t="shared" si="105"/>
        <v>27.333333333333332</v>
      </c>
      <c r="X215" s="423">
        <f t="shared" si="105"/>
        <v>12.999999999999995</v>
      </c>
      <c r="Y215" s="423">
        <f t="shared" si="105"/>
        <v>0</v>
      </c>
      <c r="Z215" s="423">
        <f t="shared" si="105"/>
        <v>11</v>
      </c>
      <c r="AA215" s="425">
        <f t="shared" si="105"/>
        <v>3.3333333333333335</v>
      </c>
      <c r="AB215" s="526">
        <f t="shared" si="105"/>
        <v>696.33333333333337</v>
      </c>
      <c r="AC215" s="423">
        <f t="shared" si="105"/>
        <v>1.9999999999999998</v>
      </c>
      <c r="AD215" s="422">
        <f t="shared" si="105"/>
        <v>1</v>
      </c>
      <c r="AE215" s="423">
        <f t="shared" si="105"/>
        <v>0</v>
      </c>
      <c r="AF215" s="423">
        <f t="shared" si="105"/>
        <v>0</v>
      </c>
      <c r="AG215" s="423">
        <f t="shared" ref="AG215:AM215" si="113">AG104/3+AG214</f>
        <v>1</v>
      </c>
      <c r="AH215" s="424">
        <f t="shared" si="113"/>
        <v>0</v>
      </c>
      <c r="AI215" s="422">
        <f t="shared" si="113"/>
        <v>1</v>
      </c>
      <c r="AJ215" s="423">
        <f t="shared" si="113"/>
        <v>1</v>
      </c>
      <c r="AK215" s="423">
        <f t="shared" si="113"/>
        <v>0</v>
      </c>
      <c r="AL215" s="423">
        <f t="shared" si="113"/>
        <v>0</v>
      </c>
      <c r="AM215" s="425">
        <f t="shared" si="113"/>
        <v>0</v>
      </c>
      <c r="AO215" s="421">
        <f t="shared" si="64"/>
        <v>51.333333333333307</v>
      </c>
      <c r="AP215" s="422">
        <f t="shared" si="65"/>
        <v>23</v>
      </c>
      <c r="AQ215" s="423">
        <f t="shared" si="66"/>
        <v>13.66666666666667</v>
      </c>
      <c r="AR215" s="423">
        <f t="shared" si="67"/>
        <v>0</v>
      </c>
      <c r="AS215" s="423">
        <f t="shared" si="68"/>
        <v>9.3333333333333321</v>
      </c>
      <c r="AT215" s="424">
        <f t="shared" si="69"/>
        <v>0</v>
      </c>
      <c r="AU215" s="422">
        <f t="shared" si="70"/>
        <v>28.333333333333332</v>
      </c>
      <c r="AV215" s="423">
        <f t="shared" si="71"/>
        <v>13.999999999999995</v>
      </c>
      <c r="AW215" s="423">
        <f t="shared" si="72"/>
        <v>0</v>
      </c>
      <c r="AX215" s="423">
        <f t="shared" si="73"/>
        <v>11</v>
      </c>
      <c r="AY215" s="425">
        <f t="shared" si="74"/>
        <v>3.3333333333333335</v>
      </c>
    </row>
    <row r="216" spans="1:51" ht="13.9">
      <c r="A216" s="447" t="s">
        <v>261</v>
      </c>
      <c r="B216" s="448">
        <v>44593</v>
      </c>
      <c r="C216" s="449">
        <v>2022</v>
      </c>
      <c r="D216" s="421">
        <f t="shared" ref="D216:T231" si="114">D105/3+D215</f>
        <v>3713963.0000000014</v>
      </c>
      <c r="E216" s="421">
        <f t="shared" si="114"/>
        <v>69659.333333333328</v>
      </c>
      <c r="F216" s="422">
        <f t="shared" si="114"/>
        <v>45113.666666666679</v>
      </c>
      <c r="G216" s="423">
        <f t="shared" si="114"/>
        <v>28798.666666666668</v>
      </c>
      <c r="H216" s="423">
        <f t="shared" si="114"/>
        <v>0</v>
      </c>
      <c r="I216" s="423">
        <f t="shared" si="114"/>
        <v>16312.333333333334</v>
      </c>
      <c r="J216" s="424">
        <f t="shared" si="114"/>
        <v>2.6666666666666665</v>
      </c>
      <c r="K216" s="422">
        <f t="shared" si="114"/>
        <v>24545.666666666661</v>
      </c>
      <c r="L216" s="423">
        <f t="shared" si="114"/>
        <v>13176.333333333336</v>
      </c>
      <c r="M216" s="423">
        <f t="shared" si="114"/>
        <v>0</v>
      </c>
      <c r="N216" s="423">
        <f t="shared" si="114"/>
        <v>9303.6666666666679</v>
      </c>
      <c r="O216" s="425">
        <f t="shared" si="114"/>
        <v>2065.6666666666661</v>
      </c>
      <c r="P216" s="526">
        <f t="shared" si="112"/>
        <v>6583.0000000000009</v>
      </c>
      <c r="Q216" s="423">
        <f t="shared" si="114"/>
        <v>50.666666666666643</v>
      </c>
      <c r="R216" s="422">
        <f t="shared" si="114"/>
        <v>23</v>
      </c>
      <c r="S216" s="423">
        <f t="shared" si="114"/>
        <v>14.333333333333336</v>
      </c>
      <c r="T216" s="423">
        <f t="shared" si="114"/>
        <v>0</v>
      </c>
      <c r="U216" s="423">
        <f t="shared" si="105"/>
        <v>8.6666666666666661</v>
      </c>
      <c r="V216" s="424">
        <f t="shared" si="105"/>
        <v>0</v>
      </c>
      <c r="W216" s="422">
        <f t="shared" si="105"/>
        <v>27.666666666666664</v>
      </c>
      <c r="X216" s="423">
        <f t="shared" si="105"/>
        <v>12.999999999999995</v>
      </c>
      <c r="Y216" s="423">
        <f t="shared" si="105"/>
        <v>0</v>
      </c>
      <c r="Z216" s="423">
        <f t="shared" si="105"/>
        <v>11</v>
      </c>
      <c r="AA216" s="425">
        <f t="shared" si="105"/>
        <v>3.666666666666667</v>
      </c>
      <c r="AB216" s="526">
        <f t="shared" si="105"/>
        <v>705.66666666666674</v>
      </c>
      <c r="AC216" s="423">
        <f t="shared" si="105"/>
        <v>1.9999999999999998</v>
      </c>
      <c r="AD216" s="422">
        <f t="shared" si="105"/>
        <v>1</v>
      </c>
      <c r="AE216" s="423">
        <f t="shared" si="105"/>
        <v>0</v>
      </c>
      <c r="AF216" s="423">
        <f t="shared" si="105"/>
        <v>0</v>
      </c>
      <c r="AG216" s="423">
        <f t="shared" ref="AG216:AM216" si="115">AG105/3+AG215</f>
        <v>1</v>
      </c>
      <c r="AH216" s="424">
        <f t="shared" si="115"/>
        <v>0</v>
      </c>
      <c r="AI216" s="422">
        <f t="shared" si="115"/>
        <v>1</v>
      </c>
      <c r="AJ216" s="423">
        <f t="shared" si="115"/>
        <v>1</v>
      </c>
      <c r="AK216" s="423">
        <f t="shared" si="115"/>
        <v>0</v>
      </c>
      <c r="AL216" s="423">
        <f t="shared" si="115"/>
        <v>0</v>
      </c>
      <c r="AM216" s="425">
        <f t="shared" si="115"/>
        <v>0</v>
      </c>
      <c r="AO216" s="421">
        <f t="shared" si="64"/>
        <v>52.666666666666643</v>
      </c>
      <c r="AP216" s="422">
        <f t="shared" si="65"/>
        <v>24</v>
      </c>
      <c r="AQ216" s="423">
        <f t="shared" si="66"/>
        <v>14.333333333333336</v>
      </c>
      <c r="AR216" s="423">
        <f t="shared" si="67"/>
        <v>0</v>
      </c>
      <c r="AS216" s="423">
        <f t="shared" si="68"/>
        <v>9.6666666666666661</v>
      </c>
      <c r="AT216" s="424">
        <f t="shared" si="69"/>
        <v>0</v>
      </c>
      <c r="AU216" s="422">
        <f t="shared" si="70"/>
        <v>28.666666666666664</v>
      </c>
      <c r="AV216" s="423">
        <f t="shared" si="71"/>
        <v>13.999999999999995</v>
      </c>
      <c r="AW216" s="423">
        <f t="shared" si="72"/>
        <v>0</v>
      </c>
      <c r="AX216" s="423">
        <f t="shared" si="73"/>
        <v>11</v>
      </c>
      <c r="AY216" s="425">
        <f t="shared" si="74"/>
        <v>3.666666666666667</v>
      </c>
    </row>
    <row r="217" spans="1:51" ht="13.9">
      <c r="A217" s="447" t="s">
        <v>261</v>
      </c>
      <c r="B217" s="448">
        <v>44621</v>
      </c>
      <c r="C217" s="449">
        <v>2022</v>
      </c>
      <c r="D217" s="421">
        <f t="shared" si="114"/>
        <v>3759009.0000000014</v>
      </c>
      <c r="E217" s="421">
        <f t="shared" si="114"/>
        <v>72034</v>
      </c>
      <c r="F217" s="422">
        <f t="shared" si="114"/>
        <v>47009.000000000015</v>
      </c>
      <c r="G217" s="423">
        <f t="shared" si="114"/>
        <v>29755</v>
      </c>
      <c r="H217" s="423">
        <f t="shared" si="114"/>
        <v>0</v>
      </c>
      <c r="I217" s="423">
        <f t="shared" si="114"/>
        <v>17250</v>
      </c>
      <c r="J217" s="424">
        <f t="shared" si="114"/>
        <v>4</v>
      </c>
      <c r="K217" s="422">
        <f t="shared" si="114"/>
        <v>25024.999999999993</v>
      </c>
      <c r="L217" s="423">
        <f t="shared" si="114"/>
        <v>13227.000000000002</v>
      </c>
      <c r="M217" s="423">
        <f t="shared" si="114"/>
        <v>0</v>
      </c>
      <c r="N217" s="423">
        <f t="shared" si="114"/>
        <v>9652.0000000000018</v>
      </c>
      <c r="O217" s="425">
        <f t="shared" si="114"/>
        <v>2145.9999999999995</v>
      </c>
      <c r="P217" s="526">
        <f t="shared" si="112"/>
        <v>6675.0000000000009</v>
      </c>
      <c r="Q217" s="423">
        <f t="shared" si="114"/>
        <v>51.999999999999979</v>
      </c>
      <c r="R217" s="422">
        <f t="shared" si="114"/>
        <v>24</v>
      </c>
      <c r="S217" s="423">
        <f t="shared" si="114"/>
        <v>15.000000000000002</v>
      </c>
      <c r="T217" s="423">
        <f t="shared" si="114"/>
        <v>0</v>
      </c>
      <c r="U217" s="423">
        <f t="shared" si="105"/>
        <v>9</v>
      </c>
      <c r="V217" s="424">
        <f t="shared" si="105"/>
        <v>0</v>
      </c>
      <c r="W217" s="422">
        <f t="shared" si="105"/>
        <v>27.999999999999996</v>
      </c>
      <c r="X217" s="423">
        <f t="shared" si="105"/>
        <v>12.999999999999995</v>
      </c>
      <c r="Y217" s="423">
        <f t="shared" si="105"/>
        <v>0</v>
      </c>
      <c r="Z217" s="423">
        <f t="shared" si="105"/>
        <v>11</v>
      </c>
      <c r="AA217" s="425">
        <f t="shared" si="105"/>
        <v>4</v>
      </c>
      <c r="AB217" s="526">
        <f t="shared" si="105"/>
        <v>715.00000000000011</v>
      </c>
      <c r="AC217" s="423">
        <f t="shared" si="105"/>
        <v>1.9999999999999998</v>
      </c>
      <c r="AD217" s="422">
        <f t="shared" si="105"/>
        <v>1</v>
      </c>
      <c r="AE217" s="423">
        <f t="shared" si="105"/>
        <v>0</v>
      </c>
      <c r="AF217" s="423">
        <f t="shared" si="105"/>
        <v>0</v>
      </c>
      <c r="AG217" s="423">
        <f t="shared" ref="AG217:AM217" si="116">AG106/3+AG216</f>
        <v>1</v>
      </c>
      <c r="AH217" s="424">
        <f t="shared" si="116"/>
        <v>0</v>
      </c>
      <c r="AI217" s="422">
        <f t="shared" si="116"/>
        <v>1</v>
      </c>
      <c r="AJ217" s="423">
        <f t="shared" si="116"/>
        <v>1</v>
      </c>
      <c r="AK217" s="423">
        <f t="shared" si="116"/>
        <v>0</v>
      </c>
      <c r="AL217" s="423">
        <f t="shared" si="116"/>
        <v>0</v>
      </c>
      <c r="AM217" s="425">
        <f t="shared" si="116"/>
        <v>0</v>
      </c>
      <c r="AO217" s="421">
        <f t="shared" si="64"/>
        <v>53.999999999999979</v>
      </c>
      <c r="AP217" s="422">
        <f t="shared" si="65"/>
        <v>25</v>
      </c>
      <c r="AQ217" s="423">
        <f t="shared" si="66"/>
        <v>15.000000000000002</v>
      </c>
      <c r="AR217" s="423">
        <f t="shared" si="67"/>
        <v>0</v>
      </c>
      <c r="AS217" s="423">
        <f t="shared" si="68"/>
        <v>10</v>
      </c>
      <c r="AT217" s="424">
        <f t="shared" si="69"/>
        <v>0</v>
      </c>
      <c r="AU217" s="422">
        <f t="shared" si="70"/>
        <v>28.999999999999996</v>
      </c>
      <c r="AV217" s="423">
        <f t="shared" si="71"/>
        <v>13.999999999999995</v>
      </c>
      <c r="AW217" s="423">
        <f t="shared" si="72"/>
        <v>0</v>
      </c>
      <c r="AX217" s="423">
        <f t="shared" si="73"/>
        <v>11</v>
      </c>
      <c r="AY217" s="425">
        <f t="shared" si="74"/>
        <v>4</v>
      </c>
    </row>
    <row r="218" spans="1:51" ht="13.9">
      <c r="A218" s="447" t="s">
        <v>262</v>
      </c>
      <c r="B218" s="448">
        <v>44652</v>
      </c>
      <c r="C218" s="449">
        <v>2022</v>
      </c>
      <c r="D218" s="421">
        <f t="shared" si="114"/>
        <v>3815423.6666666679</v>
      </c>
      <c r="E218" s="421">
        <f t="shared" si="114"/>
        <v>75212</v>
      </c>
      <c r="F218" s="422">
        <f t="shared" si="114"/>
        <v>49634.000000000015</v>
      </c>
      <c r="G218" s="423">
        <f t="shared" si="114"/>
        <v>30723</v>
      </c>
      <c r="H218" s="423">
        <f t="shared" si="114"/>
        <v>19.666666666666668</v>
      </c>
      <c r="I218" s="423">
        <f t="shared" si="114"/>
        <v>18872.666666666668</v>
      </c>
      <c r="J218" s="424">
        <f t="shared" si="114"/>
        <v>18.666666666666664</v>
      </c>
      <c r="K218" s="422">
        <f t="shared" si="114"/>
        <v>25577.999999999993</v>
      </c>
      <c r="L218" s="423">
        <f t="shared" si="114"/>
        <v>13317.333333333336</v>
      </c>
      <c r="M218" s="423">
        <f t="shared" si="114"/>
        <v>0</v>
      </c>
      <c r="N218" s="423">
        <f t="shared" si="114"/>
        <v>10075.666666666668</v>
      </c>
      <c r="O218" s="425">
        <f t="shared" si="114"/>
        <v>2184.9999999999995</v>
      </c>
      <c r="P218" s="526">
        <f t="shared" si="112"/>
        <v>6786.6666666666679</v>
      </c>
      <c r="Q218" s="423">
        <f t="shared" si="114"/>
        <v>55.666666666666643</v>
      </c>
      <c r="R218" s="422">
        <f t="shared" si="114"/>
        <v>26.666666666666668</v>
      </c>
      <c r="S218" s="423">
        <f t="shared" si="114"/>
        <v>16.333333333333336</v>
      </c>
      <c r="T218" s="423">
        <f t="shared" si="114"/>
        <v>0</v>
      </c>
      <c r="U218" s="423">
        <f t="shared" si="105"/>
        <v>10.333333333333334</v>
      </c>
      <c r="V218" s="424">
        <f t="shared" si="105"/>
        <v>0</v>
      </c>
      <c r="W218" s="422">
        <f t="shared" si="105"/>
        <v>28.999999999999996</v>
      </c>
      <c r="X218" s="423">
        <f t="shared" si="105"/>
        <v>12.999999999999995</v>
      </c>
      <c r="Y218" s="423">
        <f t="shared" si="105"/>
        <v>0</v>
      </c>
      <c r="Z218" s="423">
        <f t="shared" si="105"/>
        <v>12</v>
      </c>
      <c r="AA218" s="425">
        <f t="shared" si="105"/>
        <v>4</v>
      </c>
      <c r="AB218" s="526">
        <f t="shared" si="105"/>
        <v>724.00000000000011</v>
      </c>
      <c r="AC218" s="423">
        <f t="shared" si="105"/>
        <v>1.9999999999999998</v>
      </c>
      <c r="AD218" s="422">
        <f t="shared" si="105"/>
        <v>1</v>
      </c>
      <c r="AE218" s="423">
        <f t="shared" si="105"/>
        <v>0</v>
      </c>
      <c r="AF218" s="423">
        <f t="shared" si="105"/>
        <v>0</v>
      </c>
      <c r="AG218" s="423">
        <f t="shared" ref="AG218:AM218" si="117">AG107/3+AG217</f>
        <v>1</v>
      </c>
      <c r="AH218" s="424">
        <f t="shared" si="117"/>
        <v>0</v>
      </c>
      <c r="AI218" s="422">
        <f t="shared" si="117"/>
        <v>1</v>
      </c>
      <c r="AJ218" s="423">
        <f t="shared" si="117"/>
        <v>1</v>
      </c>
      <c r="AK218" s="423">
        <f t="shared" si="117"/>
        <v>0</v>
      </c>
      <c r="AL218" s="423">
        <f t="shared" si="117"/>
        <v>0</v>
      </c>
      <c r="AM218" s="425">
        <f t="shared" si="117"/>
        <v>0</v>
      </c>
      <c r="AO218" s="421">
        <f t="shared" si="64"/>
        <v>57.666666666666643</v>
      </c>
      <c r="AP218" s="422">
        <f t="shared" si="65"/>
        <v>27.666666666666668</v>
      </c>
      <c r="AQ218" s="423">
        <f t="shared" si="66"/>
        <v>16.333333333333336</v>
      </c>
      <c r="AR218" s="423">
        <f t="shared" si="67"/>
        <v>0</v>
      </c>
      <c r="AS218" s="423">
        <f t="shared" si="68"/>
        <v>11.333333333333334</v>
      </c>
      <c r="AT218" s="424">
        <f t="shared" si="69"/>
        <v>0</v>
      </c>
      <c r="AU218" s="422">
        <f t="shared" si="70"/>
        <v>29.999999999999996</v>
      </c>
      <c r="AV218" s="423">
        <f t="shared" si="71"/>
        <v>13.999999999999995</v>
      </c>
      <c r="AW218" s="423">
        <f t="shared" si="72"/>
        <v>0</v>
      </c>
      <c r="AX218" s="423">
        <f t="shared" si="73"/>
        <v>12</v>
      </c>
      <c r="AY218" s="425">
        <f t="shared" si="74"/>
        <v>4</v>
      </c>
    </row>
    <row r="219" spans="1:51" ht="13.9">
      <c r="A219" s="447" t="s">
        <v>262</v>
      </c>
      <c r="B219" s="448">
        <v>44682</v>
      </c>
      <c r="C219" s="449">
        <v>2022</v>
      </c>
      <c r="D219" s="421">
        <f t="shared" si="114"/>
        <v>3871838.3333333344</v>
      </c>
      <c r="E219" s="421">
        <f t="shared" si="114"/>
        <v>78390</v>
      </c>
      <c r="F219" s="422">
        <f t="shared" si="114"/>
        <v>52259.000000000015</v>
      </c>
      <c r="G219" s="423">
        <f t="shared" si="114"/>
        <v>31691</v>
      </c>
      <c r="H219" s="423">
        <f t="shared" si="114"/>
        <v>39.333333333333336</v>
      </c>
      <c r="I219" s="423">
        <f t="shared" si="114"/>
        <v>20495.333333333336</v>
      </c>
      <c r="J219" s="424">
        <f t="shared" si="114"/>
        <v>33.333333333333329</v>
      </c>
      <c r="K219" s="422">
        <f t="shared" si="114"/>
        <v>26130.999999999993</v>
      </c>
      <c r="L219" s="423">
        <f t="shared" si="114"/>
        <v>13407.66666666667</v>
      </c>
      <c r="M219" s="423">
        <f t="shared" si="114"/>
        <v>0</v>
      </c>
      <c r="N219" s="423">
        <f t="shared" si="114"/>
        <v>10499.333333333334</v>
      </c>
      <c r="O219" s="425">
        <f t="shared" si="114"/>
        <v>2223.9999999999995</v>
      </c>
      <c r="P219" s="526">
        <f t="shared" si="112"/>
        <v>6898.3333333333348</v>
      </c>
      <c r="Q219" s="423">
        <f t="shared" si="114"/>
        <v>59.333333333333307</v>
      </c>
      <c r="R219" s="422">
        <f t="shared" si="114"/>
        <v>29.333333333333336</v>
      </c>
      <c r="S219" s="423">
        <f t="shared" si="114"/>
        <v>17.666666666666668</v>
      </c>
      <c r="T219" s="423">
        <f t="shared" si="114"/>
        <v>0</v>
      </c>
      <c r="U219" s="423">
        <f t="shared" si="105"/>
        <v>11.666666666666668</v>
      </c>
      <c r="V219" s="424">
        <f t="shared" si="105"/>
        <v>0</v>
      </c>
      <c r="W219" s="422">
        <f t="shared" si="105"/>
        <v>29.999999999999996</v>
      </c>
      <c r="X219" s="423">
        <f t="shared" si="105"/>
        <v>12.999999999999995</v>
      </c>
      <c r="Y219" s="423">
        <f t="shared" si="105"/>
        <v>0</v>
      </c>
      <c r="Z219" s="423">
        <f t="shared" si="105"/>
        <v>13</v>
      </c>
      <c r="AA219" s="425">
        <f t="shared" si="105"/>
        <v>4</v>
      </c>
      <c r="AB219" s="526">
        <f t="shared" si="105"/>
        <v>733.00000000000011</v>
      </c>
      <c r="AC219" s="423">
        <f t="shared" si="105"/>
        <v>1.9999999999999998</v>
      </c>
      <c r="AD219" s="422">
        <f t="shared" si="105"/>
        <v>1</v>
      </c>
      <c r="AE219" s="423">
        <f t="shared" si="105"/>
        <v>0</v>
      </c>
      <c r="AF219" s="423">
        <f t="shared" si="105"/>
        <v>0</v>
      </c>
      <c r="AG219" s="423">
        <f t="shared" ref="AG219:AM219" si="118">AG108/3+AG218</f>
        <v>1</v>
      </c>
      <c r="AH219" s="424">
        <f t="shared" si="118"/>
        <v>0</v>
      </c>
      <c r="AI219" s="422">
        <f t="shared" si="118"/>
        <v>1</v>
      </c>
      <c r="AJ219" s="423">
        <f t="shared" si="118"/>
        <v>1</v>
      </c>
      <c r="AK219" s="423">
        <f t="shared" si="118"/>
        <v>0</v>
      </c>
      <c r="AL219" s="423">
        <f t="shared" si="118"/>
        <v>0</v>
      </c>
      <c r="AM219" s="425">
        <f t="shared" si="118"/>
        <v>0</v>
      </c>
      <c r="AO219" s="421">
        <f t="shared" ref="AO219:AO262" si="119">Q219+AC219</f>
        <v>61.333333333333307</v>
      </c>
      <c r="AP219" s="422">
        <f t="shared" ref="AP219:AP262" si="120">R219+AD219</f>
        <v>30.333333333333336</v>
      </c>
      <c r="AQ219" s="423">
        <f t="shared" ref="AQ219:AQ262" si="121">S219+AE219</f>
        <v>17.666666666666668</v>
      </c>
      <c r="AR219" s="423">
        <f t="shared" ref="AR219:AR262" si="122">T219+AF219</f>
        <v>0</v>
      </c>
      <c r="AS219" s="423">
        <f t="shared" ref="AS219:AS262" si="123">U219+AG219</f>
        <v>12.666666666666668</v>
      </c>
      <c r="AT219" s="424">
        <f t="shared" ref="AT219:AT262" si="124">V219+AH219</f>
        <v>0</v>
      </c>
      <c r="AU219" s="422">
        <f t="shared" ref="AU219:AU262" si="125">W219+AI219</f>
        <v>30.999999999999996</v>
      </c>
      <c r="AV219" s="423">
        <f t="shared" ref="AV219:AV262" si="126">X219+AJ219</f>
        <v>13.999999999999995</v>
      </c>
      <c r="AW219" s="423">
        <f t="shared" ref="AW219:AW262" si="127">Y219+AK219</f>
        <v>0</v>
      </c>
      <c r="AX219" s="423">
        <f t="shared" ref="AX219:AX262" si="128">Z219+AL219</f>
        <v>13</v>
      </c>
      <c r="AY219" s="425">
        <f t="shared" ref="AY219:AY262" si="129">AA219+AM219</f>
        <v>4</v>
      </c>
    </row>
    <row r="220" spans="1:51" ht="13.9">
      <c r="A220" s="447" t="s">
        <v>262</v>
      </c>
      <c r="B220" s="448">
        <v>44713</v>
      </c>
      <c r="C220" s="449">
        <v>2022</v>
      </c>
      <c r="D220" s="421">
        <f t="shared" si="114"/>
        <v>3928253.0000000009</v>
      </c>
      <c r="E220" s="421">
        <f t="shared" si="114"/>
        <v>81568</v>
      </c>
      <c r="F220" s="422">
        <f t="shared" si="114"/>
        <v>54884.000000000015</v>
      </c>
      <c r="G220" s="423">
        <f t="shared" si="114"/>
        <v>32659</v>
      </c>
      <c r="H220" s="423">
        <f t="shared" si="114"/>
        <v>59</v>
      </c>
      <c r="I220" s="423">
        <f t="shared" si="114"/>
        <v>22118.000000000004</v>
      </c>
      <c r="J220" s="424">
        <f t="shared" si="114"/>
        <v>47.999999999999993</v>
      </c>
      <c r="K220" s="422">
        <f t="shared" si="114"/>
        <v>26683.999999999993</v>
      </c>
      <c r="L220" s="423">
        <f t="shared" si="114"/>
        <v>13498.000000000004</v>
      </c>
      <c r="M220" s="423">
        <f t="shared" si="114"/>
        <v>0</v>
      </c>
      <c r="N220" s="423">
        <f t="shared" si="114"/>
        <v>10923</v>
      </c>
      <c r="O220" s="425">
        <f t="shared" si="114"/>
        <v>2262.9999999999995</v>
      </c>
      <c r="P220" s="526">
        <f t="shared" si="112"/>
        <v>7010.0000000000018</v>
      </c>
      <c r="Q220" s="423">
        <f t="shared" si="114"/>
        <v>62.999999999999972</v>
      </c>
      <c r="R220" s="422">
        <f t="shared" si="114"/>
        <v>32</v>
      </c>
      <c r="S220" s="423">
        <f t="shared" si="114"/>
        <v>19</v>
      </c>
      <c r="T220" s="423">
        <f t="shared" si="114"/>
        <v>0</v>
      </c>
      <c r="U220" s="423">
        <f t="shared" si="105"/>
        <v>13.000000000000002</v>
      </c>
      <c r="V220" s="424">
        <f t="shared" si="105"/>
        <v>0</v>
      </c>
      <c r="W220" s="422">
        <f t="shared" si="105"/>
        <v>30.999999999999996</v>
      </c>
      <c r="X220" s="423">
        <f t="shared" si="105"/>
        <v>12.999999999999995</v>
      </c>
      <c r="Y220" s="423">
        <f t="shared" si="105"/>
        <v>0</v>
      </c>
      <c r="Z220" s="423">
        <f t="shared" si="105"/>
        <v>14</v>
      </c>
      <c r="AA220" s="425">
        <f t="shared" si="105"/>
        <v>4</v>
      </c>
      <c r="AB220" s="526">
        <f t="shared" si="105"/>
        <v>742.00000000000011</v>
      </c>
      <c r="AC220" s="423">
        <f t="shared" si="105"/>
        <v>1.9999999999999998</v>
      </c>
      <c r="AD220" s="422">
        <f t="shared" si="105"/>
        <v>1</v>
      </c>
      <c r="AE220" s="423">
        <f t="shared" si="105"/>
        <v>0</v>
      </c>
      <c r="AF220" s="423">
        <f t="shared" si="105"/>
        <v>0</v>
      </c>
      <c r="AG220" s="423">
        <f t="shared" ref="AG220:AM220" si="130">AG109/3+AG219</f>
        <v>1</v>
      </c>
      <c r="AH220" s="424">
        <f t="shared" si="130"/>
        <v>0</v>
      </c>
      <c r="AI220" s="422">
        <f t="shared" si="130"/>
        <v>1</v>
      </c>
      <c r="AJ220" s="423">
        <f t="shared" si="130"/>
        <v>1</v>
      </c>
      <c r="AK220" s="423">
        <f t="shared" si="130"/>
        <v>0</v>
      </c>
      <c r="AL220" s="423">
        <f t="shared" si="130"/>
        <v>0</v>
      </c>
      <c r="AM220" s="425">
        <f t="shared" si="130"/>
        <v>0</v>
      </c>
      <c r="AO220" s="421">
        <f t="shared" si="119"/>
        <v>64.999999999999972</v>
      </c>
      <c r="AP220" s="422">
        <f t="shared" si="120"/>
        <v>33</v>
      </c>
      <c r="AQ220" s="423">
        <f t="shared" si="121"/>
        <v>19</v>
      </c>
      <c r="AR220" s="423">
        <f t="shared" si="122"/>
        <v>0</v>
      </c>
      <c r="AS220" s="423">
        <f t="shared" si="123"/>
        <v>14.000000000000002</v>
      </c>
      <c r="AT220" s="424">
        <f t="shared" si="124"/>
        <v>0</v>
      </c>
      <c r="AU220" s="422">
        <f t="shared" si="125"/>
        <v>31.999999999999996</v>
      </c>
      <c r="AV220" s="423">
        <f t="shared" si="126"/>
        <v>13.999999999999995</v>
      </c>
      <c r="AW220" s="423">
        <f t="shared" si="127"/>
        <v>0</v>
      </c>
      <c r="AX220" s="423">
        <f t="shared" si="128"/>
        <v>14</v>
      </c>
      <c r="AY220" s="425">
        <f t="shared" si="129"/>
        <v>4</v>
      </c>
    </row>
    <row r="221" spans="1:51" ht="13.9">
      <c r="A221" s="447" t="s">
        <v>263</v>
      </c>
      <c r="B221" s="448">
        <v>44743</v>
      </c>
      <c r="C221" s="449">
        <v>2022</v>
      </c>
      <c r="D221" s="421">
        <f t="shared" si="114"/>
        <v>3979512.6666666674</v>
      </c>
      <c r="E221" s="421">
        <f t="shared" si="114"/>
        <v>85239</v>
      </c>
      <c r="F221" s="422">
        <f t="shared" si="114"/>
        <v>58122.666666666679</v>
      </c>
      <c r="G221" s="423">
        <f t="shared" si="114"/>
        <v>33990.666666666664</v>
      </c>
      <c r="H221" s="423">
        <f t="shared" si="114"/>
        <v>215.33333333333334</v>
      </c>
      <c r="I221" s="423">
        <f t="shared" si="114"/>
        <v>23853.333333333336</v>
      </c>
      <c r="J221" s="424">
        <f t="shared" si="114"/>
        <v>63.333333333333329</v>
      </c>
      <c r="K221" s="422">
        <f t="shared" si="114"/>
        <v>27116.333333333325</v>
      </c>
      <c r="L221" s="423">
        <f t="shared" si="114"/>
        <v>13565.000000000004</v>
      </c>
      <c r="M221" s="423">
        <f t="shared" si="114"/>
        <v>0</v>
      </c>
      <c r="N221" s="423">
        <f t="shared" si="114"/>
        <v>11256.666666666666</v>
      </c>
      <c r="O221" s="425">
        <f t="shared" si="114"/>
        <v>2294.6666666666661</v>
      </c>
      <c r="P221" s="526">
        <f t="shared" si="112"/>
        <v>7098.0000000000018</v>
      </c>
      <c r="Q221" s="423">
        <f t="shared" si="114"/>
        <v>68.3333333333333</v>
      </c>
      <c r="R221" s="422">
        <f t="shared" si="114"/>
        <v>36.666666666666664</v>
      </c>
      <c r="S221" s="423">
        <f t="shared" si="114"/>
        <v>21.333333333333332</v>
      </c>
      <c r="T221" s="423">
        <f t="shared" si="114"/>
        <v>0</v>
      </c>
      <c r="U221" s="423">
        <f t="shared" si="105"/>
        <v>15.333333333333336</v>
      </c>
      <c r="V221" s="424">
        <f t="shared" si="105"/>
        <v>0</v>
      </c>
      <c r="W221" s="422">
        <f t="shared" si="105"/>
        <v>31.666666666666664</v>
      </c>
      <c r="X221" s="423">
        <f t="shared" si="105"/>
        <v>13.333333333333329</v>
      </c>
      <c r="Y221" s="423">
        <f t="shared" si="105"/>
        <v>0</v>
      </c>
      <c r="Z221" s="423">
        <f t="shared" si="105"/>
        <v>14.333333333333334</v>
      </c>
      <c r="AA221" s="425">
        <f t="shared" si="105"/>
        <v>4</v>
      </c>
      <c r="AB221" s="526">
        <f t="shared" si="105"/>
        <v>751.00000000000011</v>
      </c>
      <c r="AC221" s="423">
        <f t="shared" si="105"/>
        <v>2.6666666666666665</v>
      </c>
      <c r="AD221" s="422">
        <f t="shared" si="105"/>
        <v>1.6666666666666665</v>
      </c>
      <c r="AE221" s="423">
        <f t="shared" si="105"/>
        <v>0.33333333333333331</v>
      </c>
      <c r="AF221" s="423">
        <f t="shared" si="105"/>
        <v>0</v>
      </c>
      <c r="AG221" s="423">
        <f t="shared" ref="AG221:AM221" si="131">AG110/3+AG220</f>
        <v>1.3333333333333333</v>
      </c>
      <c r="AH221" s="424">
        <f t="shared" si="131"/>
        <v>0</v>
      </c>
      <c r="AI221" s="422">
        <f t="shared" si="131"/>
        <v>1</v>
      </c>
      <c r="AJ221" s="423">
        <f t="shared" si="131"/>
        <v>1</v>
      </c>
      <c r="AK221" s="423">
        <f t="shared" si="131"/>
        <v>0</v>
      </c>
      <c r="AL221" s="423">
        <f t="shared" si="131"/>
        <v>0</v>
      </c>
      <c r="AM221" s="425">
        <f t="shared" si="131"/>
        <v>0</v>
      </c>
      <c r="AO221" s="421">
        <f t="shared" si="119"/>
        <v>70.999999999999972</v>
      </c>
      <c r="AP221" s="422">
        <f t="shared" si="120"/>
        <v>38.333333333333329</v>
      </c>
      <c r="AQ221" s="423">
        <f t="shared" si="121"/>
        <v>21.666666666666664</v>
      </c>
      <c r="AR221" s="423">
        <f t="shared" si="122"/>
        <v>0</v>
      </c>
      <c r="AS221" s="423">
        <f t="shared" si="123"/>
        <v>16.666666666666668</v>
      </c>
      <c r="AT221" s="424">
        <f t="shared" si="124"/>
        <v>0</v>
      </c>
      <c r="AU221" s="422">
        <f t="shared" si="125"/>
        <v>32.666666666666664</v>
      </c>
      <c r="AV221" s="423">
        <f t="shared" si="126"/>
        <v>14.333333333333329</v>
      </c>
      <c r="AW221" s="423">
        <f t="shared" si="127"/>
        <v>0</v>
      </c>
      <c r="AX221" s="423">
        <f t="shared" si="128"/>
        <v>14.333333333333334</v>
      </c>
      <c r="AY221" s="425">
        <f t="shared" si="129"/>
        <v>4</v>
      </c>
    </row>
    <row r="222" spans="1:51" ht="13.9">
      <c r="A222" s="447" t="s">
        <v>263</v>
      </c>
      <c r="B222" s="448">
        <v>44774</v>
      </c>
      <c r="C222" s="449">
        <v>2022</v>
      </c>
      <c r="D222" s="421">
        <f t="shared" si="114"/>
        <v>4030772.333333334</v>
      </c>
      <c r="E222" s="421">
        <f t="shared" si="114"/>
        <v>88910</v>
      </c>
      <c r="F222" s="422">
        <f t="shared" si="114"/>
        <v>61361.333333333343</v>
      </c>
      <c r="G222" s="423">
        <f t="shared" si="114"/>
        <v>35322.333333333328</v>
      </c>
      <c r="H222" s="423">
        <f t="shared" si="114"/>
        <v>371.66666666666669</v>
      </c>
      <c r="I222" s="423">
        <f t="shared" si="114"/>
        <v>25588.666666666668</v>
      </c>
      <c r="J222" s="424">
        <f t="shared" si="114"/>
        <v>78.666666666666657</v>
      </c>
      <c r="K222" s="422">
        <f t="shared" si="114"/>
        <v>27548.666666666657</v>
      </c>
      <c r="L222" s="423">
        <f t="shared" si="114"/>
        <v>13632.000000000004</v>
      </c>
      <c r="M222" s="423">
        <f t="shared" si="114"/>
        <v>0</v>
      </c>
      <c r="N222" s="423">
        <f t="shared" si="114"/>
        <v>11590.333333333332</v>
      </c>
      <c r="O222" s="425">
        <f t="shared" si="114"/>
        <v>2326.3333333333326</v>
      </c>
      <c r="P222" s="526">
        <f t="shared" si="112"/>
        <v>7186.0000000000018</v>
      </c>
      <c r="Q222" s="423">
        <f t="shared" si="114"/>
        <v>73.666666666666629</v>
      </c>
      <c r="R222" s="422">
        <f t="shared" si="114"/>
        <v>41.333333333333329</v>
      </c>
      <c r="S222" s="423">
        <f t="shared" si="114"/>
        <v>23.666666666666664</v>
      </c>
      <c r="T222" s="423">
        <f t="shared" si="114"/>
        <v>0</v>
      </c>
      <c r="U222" s="423">
        <f t="shared" si="105"/>
        <v>17.666666666666668</v>
      </c>
      <c r="V222" s="424">
        <f t="shared" si="105"/>
        <v>0</v>
      </c>
      <c r="W222" s="422">
        <f t="shared" si="105"/>
        <v>32.333333333333329</v>
      </c>
      <c r="X222" s="423">
        <f t="shared" si="105"/>
        <v>13.666666666666663</v>
      </c>
      <c r="Y222" s="423">
        <f t="shared" si="105"/>
        <v>0</v>
      </c>
      <c r="Z222" s="423">
        <f t="shared" si="105"/>
        <v>14.666666666666668</v>
      </c>
      <c r="AA222" s="425">
        <f t="shared" si="105"/>
        <v>4</v>
      </c>
      <c r="AB222" s="526">
        <f t="shared" si="105"/>
        <v>760.00000000000011</v>
      </c>
      <c r="AC222" s="423">
        <f t="shared" si="105"/>
        <v>3.333333333333333</v>
      </c>
      <c r="AD222" s="422">
        <f t="shared" si="105"/>
        <v>2.333333333333333</v>
      </c>
      <c r="AE222" s="423">
        <f t="shared" si="105"/>
        <v>0.66666666666666663</v>
      </c>
      <c r="AF222" s="423">
        <f t="shared" si="105"/>
        <v>0</v>
      </c>
      <c r="AG222" s="423">
        <f t="shared" ref="AG222:AM222" si="132">AG111/3+AG221</f>
        <v>1.6666666666666665</v>
      </c>
      <c r="AH222" s="424">
        <f t="shared" si="132"/>
        <v>0</v>
      </c>
      <c r="AI222" s="422">
        <f t="shared" si="132"/>
        <v>1</v>
      </c>
      <c r="AJ222" s="423">
        <f t="shared" si="132"/>
        <v>1</v>
      </c>
      <c r="AK222" s="423">
        <f t="shared" si="132"/>
        <v>0</v>
      </c>
      <c r="AL222" s="423">
        <f t="shared" si="132"/>
        <v>0</v>
      </c>
      <c r="AM222" s="425">
        <f t="shared" si="132"/>
        <v>0</v>
      </c>
      <c r="AO222" s="421">
        <f t="shared" si="119"/>
        <v>76.999999999999957</v>
      </c>
      <c r="AP222" s="422">
        <f t="shared" si="120"/>
        <v>43.666666666666664</v>
      </c>
      <c r="AQ222" s="423">
        <f t="shared" si="121"/>
        <v>24.333333333333332</v>
      </c>
      <c r="AR222" s="423">
        <f t="shared" si="122"/>
        <v>0</v>
      </c>
      <c r="AS222" s="423">
        <f t="shared" si="123"/>
        <v>19.333333333333336</v>
      </c>
      <c r="AT222" s="424">
        <f t="shared" si="124"/>
        <v>0</v>
      </c>
      <c r="AU222" s="422">
        <f t="shared" si="125"/>
        <v>33.333333333333329</v>
      </c>
      <c r="AV222" s="423">
        <f t="shared" si="126"/>
        <v>14.666666666666663</v>
      </c>
      <c r="AW222" s="423">
        <f t="shared" si="127"/>
        <v>0</v>
      </c>
      <c r="AX222" s="423">
        <f t="shared" si="128"/>
        <v>14.666666666666668</v>
      </c>
      <c r="AY222" s="425">
        <f t="shared" si="129"/>
        <v>4</v>
      </c>
    </row>
    <row r="223" spans="1:51" ht="13.9">
      <c r="A223" s="447" t="s">
        <v>263</v>
      </c>
      <c r="B223" s="448">
        <v>44805</v>
      </c>
      <c r="C223" s="449">
        <v>2022</v>
      </c>
      <c r="D223" s="421">
        <f t="shared" si="114"/>
        <v>4082032.0000000005</v>
      </c>
      <c r="E223" s="421">
        <f t="shared" si="114"/>
        <v>92581</v>
      </c>
      <c r="F223" s="422">
        <f t="shared" si="114"/>
        <v>64600.000000000007</v>
      </c>
      <c r="G223" s="423">
        <f t="shared" si="114"/>
        <v>36653.999999999993</v>
      </c>
      <c r="H223" s="423">
        <f t="shared" si="114"/>
        <v>528</v>
      </c>
      <c r="I223" s="423">
        <f t="shared" si="114"/>
        <v>27324</v>
      </c>
      <c r="J223" s="424">
        <f t="shared" si="114"/>
        <v>93.999999999999986</v>
      </c>
      <c r="K223" s="422">
        <f t="shared" si="114"/>
        <v>27980.999999999989</v>
      </c>
      <c r="L223" s="423">
        <f t="shared" si="114"/>
        <v>13699.000000000004</v>
      </c>
      <c r="M223" s="423">
        <f t="shared" si="114"/>
        <v>0</v>
      </c>
      <c r="N223" s="423">
        <f t="shared" si="114"/>
        <v>11923.999999999998</v>
      </c>
      <c r="O223" s="425">
        <f t="shared" si="114"/>
        <v>2357.9999999999991</v>
      </c>
      <c r="P223" s="526">
        <f t="shared" si="112"/>
        <v>7274.0000000000018</v>
      </c>
      <c r="Q223" s="423">
        <f t="shared" si="114"/>
        <v>78.999999999999957</v>
      </c>
      <c r="R223" s="422">
        <f t="shared" si="114"/>
        <v>45.999999999999993</v>
      </c>
      <c r="S223" s="423">
        <f t="shared" si="114"/>
        <v>25.999999999999996</v>
      </c>
      <c r="T223" s="423">
        <f t="shared" si="114"/>
        <v>0</v>
      </c>
      <c r="U223" s="423">
        <f t="shared" si="105"/>
        <v>20</v>
      </c>
      <c r="V223" s="424">
        <f t="shared" si="105"/>
        <v>0</v>
      </c>
      <c r="W223" s="422">
        <f t="shared" si="105"/>
        <v>32.999999999999993</v>
      </c>
      <c r="X223" s="423">
        <f t="shared" si="105"/>
        <v>13.999999999999996</v>
      </c>
      <c r="Y223" s="423">
        <f t="shared" si="105"/>
        <v>0</v>
      </c>
      <c r="Z223" s="423">
        <f t="shared" si="105"/>
        <v>15.000000000000002</v>
      </c>
      <c r="AA223" s="425">
        <f t="shared" si="105"/>
        <v>4</v>
      </c>
      <c r="AB223" s="526">
        <f t="shared" si="105"/>
        <v>769.00000000000011</v>
      </c>
      <c r="AC223" s="423">
        <f t="shared" si="105"/>
        <v>3.9999999999999996</v>
      </c>
      <c r="AD223" s="422">
        <f t="shared" si="105"/>
        <v>2.9999999999999996</v>
      </c>
      <c r="AE223" s="423">
        <f t="shared" si="105"/>
        <v>1</v>
      </c>
      <c r="AF223" s="423">
        <f t="shared" si="105"/>
        <v>0</v>
      </c>
      <c r="AG223" s="423">
        <f t="shared" ref="AG223:AM223" si="133">AG112/3+AG222</f>
        <v>1.9999999999999998</v>
      </c>
      <c r="AH223" s="424">
        <f t="shared" si="133"/>
        <v>0</v>
      </c>
      <c r="AI223" s="422">
        <f t="shared" si="133"/>
        <v>1</v>
      </c>
      <c r="AJ223" s="423">
        <f t="shared" si="133"/>
        <v>1</v>
      </c>
      <c r="AK223" s="423">
        <f t="shared" si="133"/>
        <v>0</v>
      </c>
      <c r="AL223" s="423">
        <f t="shared" si="133"/>
        <v>0</v>
      </c>
      <c r="AM223" s="425">
        <f t="shared" si="133"/>
        <v>0</v>
      </c>
      <c r="AO223" s="421">
        <f t="shared" si="119"/>
        <v>82.999999999999957</v>
      </c>
      <c r="AP223" s="422">
        <f t="shared" si="120"/>
        <v>48.999999999999993</v>
      </c>
      <c r="AQ223" s="423">
        <f t="shared" si="121"/>
        <v>26.999999999999996</v>
      </c>
      <c r="AR223" s="423">
        <f t="shared" si="122"/>
        <v>0</v>
      </c>
      <c r="AS223" s="423">
        <f t="shared" si="123"/>
        <v>22</v>
      </c>
      <c r="AT223" s="424">
        <f t="shared" si="124"/>
        <v>0</v>
      </c>
      <c r="AU223" s="422">
        <f t="shared" si="125"/>
        <v>33.999999999999993</v>
      </c>
      <c r="AV223" s="423">
        <f t="shared" si="126"/>
        <v>14.999999999999996</v>
      </c>
      <c r="AW223" s="423">
        <f t="shared" si="127"/>
        <v>0</v>
      </c>
      <c r="AX223" s="423">
        <f t="shared" si="128"/>
        <v>15.000000000000002</v>
      </c>
      <c r="AY223" s="425">
        <f t="shared" si="129"/>
        <v>4</v>
      </c>
    </row>
    <row r="224" spans="1:51" ht="13.9">
      <c r="A224" s="447" t="s">
        <v>264</v>
      </c>
      <c r="B224" s="448">
        <v>44835</v>
      </c>
      <c r="C224" s="449">
        <v>2022</v>
      </c>
      <c r="D224" s="421">
        <f t="shared" si="114"/>
        <v>4127478.0000000005</v>
      </c>
      <c r="E224" s="421">
        <f t="shared" si="114"/>
        <v>96244.666666666672</v>
      </c>
      <c r="F224" s="422">
        <f t="shared" si="114"/>
        <v>67768.666666666672</v>
      </c>
      <c r="G224" s="423">
        <f t="shared" si="114"/>
        <v>37518.666666666657</v>
      </c>
      <c r="H224" s="423">
        <f t="shared" si="114"/>
        <v>642.66666666666663</v>
      </c>
      <c r="I224" s="423">
        <f t="shared" si="114"/>
        <v>29486</v>
      </c>
      <c r="J224" s="424">
        <f t="shared" si="114"/>
        <v>121.33333333333331</v>
      </c>
      <c r="K224" s="422">
        <f t="shared" si="114"/>
        <v>28475.999999999989</v>
      </c>
      <c r="L224" s="423">
        <f t="shared" si="114"/>
        <v>13756.000000000004</v>
      </c>
      <c r="M224" s="423">
        <f t="shared" si="114"/>
        <v>0</v>
      </c>
      <c r="N224" s="423">
        <f t="shared" si="114"/>
        <v>12339.999999999998</v>
      </c>
      <c r="O224" s="425">
        <f t="shared" si="114"/>
        <v>2379.9999999999991</v>
      </c>
      <c r="P224" s="526">
        <f t="shared" si="112"/>
        <v>7346.0000000000018</v>
      </c>
      <c r="Q224" s="423">
        <f t="shared" si="114"/>
        <v>79.666666666666629</v>
      </c>
      <c r="R224" s="422">
        <f t="shared" si="114"/>
        <v>46.333333333333329</v>
      </c>
      <c r="S224" s="423">
        <f t="shared" si="114"/>
        <v>25.999999999999996</v>
      </c>
      <c r="T224" s="423">
        <f t="shared" si="114"/>
        <v>0.33333333333333331</v>
      </c>
      <c r="U224" s="423">
        <f t="shared" si="105"/>
        <v>20</v>
      </c>
      <c r="V224" s="424">
        <f t="shared" si="105"/>
        <v>0</v>
      </c>
      <c r="W224" s="422">
        <f t="shared" si="105"/>
        <v>33.333333333333329</v>
      </c>
      <c r="X224" s="423">
        <f t="shared" si="105"/>
        <v>13.999999999999996</v>
      </c>
      <c r="Y224" s="423">
        <f t="shared" si="105"/>
        <v>0</v>
      </c>
      <c r="Z224" s="423">
        <f t="shared" si="105"/>
        <v>15.333333333333336</v>
      </c>
      <c r="AA224" s="425">
        <f t="shared" si="105"/>
        <v>4</v>
      </c>
      <c r="AB224" s="526">
        <f t="shared" si="105"/>
        <v>776.00000000000011</v>
      </c>
      <c r="AC224" s="423">
        <f t="shared" si="105"/>
        <v>5</v>
      </c>
      <c r="AD224" s="422">
        <f t="shared" si="105"/>
        <v>3.6666666666666661</v>
      </c>
      <c r="AE224" s="423">
        <f t="shared" si="105"/>
        <v>1</v>
      </c>
      <c r="AF224" s="423">
        <f t="shared" si="105"/>
        <v>0</v>
      </c>
      <c r="AG224" s="423">
        <f t="shared" ref="AG224:AM224" si="134">AG113/3+AG223</f>
        <v>2.6666666666666665</v>
      </c>
      <c r="AH224" s="424">
        <f t="shared" si="134"/>
        <v>0</v>
      </c>
      <c r="AI224" s="422">
        <f t="shared" si="134"/>
        <v>1.3333333333333333</v>
      </c>
      <c r="AJ224" s="423">
        <f t="shared" si="134"/>
        <v>1</v>
      </c>
      <c r="AK224" s="423">
        <f t="shared" si="134"/>
        <v>0</v>
      </c>
      <c r="AL224" s="423">
        <f t="shared" si="134"/>
        <v>0.33333333333333331</v>
      </c>
      <c r="AM224" s="425">
        <f t="shared" si="134"/>
        <v>0</v>
      </c>
      <c r="AO224" s="421">
        <f t="shared" si="119"/>
        <v>84.666666666666629</v>
      </c>
      <c r="AP224" s="422">
        <f t="shared" si="120"/>
        <v>49.999999999999993</v>
      </c>
      <c r="AQ224" s="423">
        <f t="shared" si="121"/>
        <v>26.999999999999996</v>
      </c>
      <c r="AR224" s="423">
        <f t="shared" si="122"/>
        <v>0.33333333333333331</v>
      </c>
      <c r="AS224" s="423">
        <f t="shared" si="123"/>
        <v>22.666666666666668</v>
      </c>
      <c r="AT224" s="424">
        <f t="shared" si="124"/>
        <v>0</v>
      </c>
      <c r="AU224" s="422">
        <f t="shared" si="125"/>
        <v>34.666666666666664</v>
      </c>
      <c r="AV224" s="423">
        <f t="shared" si="126"/>
        <v>14.999999999999996</v>
      </c>
      <c r="AW224" s="423">
        <f t="shared" si="127"/>
        <v>0</v>
      </c>
      <c r="AX224" s="423">
        <f t="shared" si="128"/>
        <v>15.66666666666667</v>
      </c>
      <c r="AY224" s="425">
        <f t="shared" si="129"/>
        <v>4</v>
      </c>
    </row>
    <row r="225" spans="1:51" ht="13.9">
      <c r="A225" s="447" t="s">
        <v>264</v>
      </c>
      <c r="B225" s="448">
        <v>44866</v>
      </c>
      <c r="C225" s="449">
        <v>2022</v>
      </c>
      <c r="D225" s="421">
        <f t="shared" si="114"/>
        <v>4172924.0000000005</v>
      </c>
      <c r="E225" s="421">
        <f t="shared" si="114"/>
        <v>99908.333333333343</v>
      </c>
      <c r="F225" s="422">
        <f t="shared" si="114"/>
        <v>70937.333333333343</v>
      </c>
      <c r="G225" s="423">
        <f t="shared" si="114"/>
        <v>38383.333333333321</v>
      </c>
      <c r="H225" s="423">
        <f t="shared" si="114"/>
        <v>757.33333333333326</v>
      </c>
      <c r="I225" s="423">
        <f t="shared" si="114"/>
        <v>31648</v>
      </c>
      <c r="J225" s="424">
        <f t="shared" si="114"/>
        <v>148.66666666666666</v>
      </c>
      <c r="K225" s="422">
        <f t="shared" si="114"/>
        <v>28970.999999999989</v>
      </c>
      <c r="L225" s="423">
        <f t="shared" si="114"/>
        <v>13813.000000000004</v>
      </c>
      <c r="M225" s="423">
        <f t="shared" si="114"/>
        <v>0</v>
      </c>
      <c r="N225" s="423">
        <f t="shared" si="114"/>
        <v>12755.999999999998</v>
      </c>
      <c r="O225" s="425">
        <f t="shared" si="114"/>
        <v>2401.9999999999991</v>
      </c>
      <c r="P225" s="526">
        <f t="shared" si="112"/>
        <v>7418.0000000000018</v>
      </c>
      <c r="Q225" s="423">
        <f t="shared" si="114"/>
        <v>80.3333333333333</v>
      </c>
      <c r="R225" s="422">
        <f t="shared" si="114"/>
        <v>46.666666666666664</v>
      </c>
      <c r="S225" s="423">
        <f t="shared" si="114"/>
        <v>25.999999999999996</v>
      </c>
      <c r="T225" s="423">
        <f t="shared" si="114"/>
        <v>0.66666666666666663</v>
      </c>
      <c r="U225" s="423">
        <f t="shared" ref="U225:AF240" si="135">U114/3+U224</f>
        <v>20</v>
      </c>
      <c r="V225" s="424">
        <f t="shared" si="135"/>
        <v>0</v>
      </c>
      <c r="W225" s="422">
        <f t="shared" si="135"/>
        <v>33.666666666666664</v>
      </c>
      <c r="X225" s="423">
        <f t="shared" si="135"/>
        <v>13.999999999999996</v>
      </c>
      <c r="Y225" s="423">
        <f t="shared" si="135"/>
        <v>0</v>
      </c>
      <c r="Z225" s="423">
        <f t="shared" si="135"/>
        <v>15.66666666666667</v>
      </c>
      <c r="AA225" s="425">
        <f t="shared" si="135"/>
        <v>4</v>
      </c>
      <c r="AB225" s="526">
        <f t="shared" si="135"/>
        <v>783.00000000000011</v>
      </c>
      <c r="AC225" s="423">
        <f t="shared" si="135"/>
        <v>6</v>
      </c>
      <c r="AD225" s="422">
        <f t="shared" si="135"/>
        <v>4.333333333333333</v>
      </c>
      <c r="AE225" s="423">
        <f t="shared" si="135"/>
        <v>1</v>
      </c>
      <c r="AF225" s="423">
        <f t="shared" si="135"/>
        <v>0</v>
      </c>
      <c r="AG225" s="423">
        <f t="shared" ref="AG225:AM225" si="136">AG114/3+AG224</f>
        <v>3.333333333333333</v>
      </c>
      <c r="AH225" s="424">
        <f t="shared" si="136"/>
        <v>0</v>
      </c>
      <c r="AI225" s="422">
        <f t="shared" si="136"/>
        <v>1.6666666666666665</v>
      </c>
      <c r="AJ225" s="423">
        <f t="shared" si="136"/>
        <v>1</v>
      </c>
      <c r="AK225" s="423">
        <f t="shared" si="136"/>
        <v>0</v>
      </c>
      <c r="AL225" s="423">
        <f t="shared" si="136"/>
        <v>0.66666666666666663</v>
      </c>
      <c r="AM225" s="425">
        <f t="shared" si="136"/>
        <v>0</v>
      </c>
      <c r="AO225" s="421">
        <f t="shared" si="119"/>
        <v>86.3333333333333</v>
      </c>
      <c r="AP225" s="422">
        <f t="shared" si="120"/>
        <v>51</v>
      </c>
      <c r="AQ225" s="423">
        <f t="shared" si="121"/>
        <v>26.999999999999996</v>
      </c>
      <c r="AR225" s="423">
        <f t="shared" si="122"/>
        <v>0.66666666666666663</v>
      </c>
      <c r="AS225" s="423">
        <f t="shared" si="123"/>
        <v>23.333333333333332</v>
      </c>
      <c r="AT225" s="424">
        <f t="shared" si="124"/>
        <v>0</v>
      </c>
      <c r="AU225" s="422">
        <f t="shared" si="125"/>
        <v>35.333333333333329</v>
      </c>
      <c r="AV225" s="423">
        <f t="shared" si="126"/>
        <v>14.999999999999996</v>
      </c>
      <c r="AW225" s="423">
        <f t="shared" si="127"/>
        <v>0</v>
      </c>
      <c r="AX225" s="423">
        <f t="shared" si="128"/>
        <v>16.333333333333336</v>
      </c>
      <c r="AY225" s="425">
        <f t="shared" si="129"/>
        <v>4</v>
      </c>
    </row>
    <row r="226" spans="1:51" ht="13.9">
      <c r="A226" s="447" t="s">
        <v>264</v>
      </c>
      <c r="B226" s="448">
        <v>44896</v>
      </c>
      <c r="C226" s="449">
        <v>2022</v>
      </c>
      <c r="D226" s="421">
        <f t="shared" si="114"/>
        <v>4218370</v>
      </c>
      <c r="E226" s="421">
        <f t="shared" si="114"/>
        <v>103572.00000000001</v>
      </c>
      <c r="F226" s="422">
        <f t="shared" si="114"/>
        <v>74106.000000000015</v>
      </c>
      <c r="G226" s="423">
        <f t="shared" si="114"/>
        <v>39247.999999999985</v>
      </c>
      <c r="H226" s="423">
        <f t="shared" si="114"/>
        <v>871.99999999999989</v>
      </c>
      <c r="I226" s="423">
        <f t="shared" si="114"/>
        <v>33810</v>
      </c>
      <c r="J226" s="424">
        <f t="shared" si="114"/>
        <v>176</v>
      </c>
      <c r="K226" s="422">
        <f t="shared" si="114"/>
        <v>29465.999999999989</v>
      </c>
      <c r="L226" s="423">
        <f t="shared" si="114"/>
        <v>13870.000000000004</v>
      </c>
      <c r="M226" s="423">
        <f t="shared" si="114"/>
        <v>0</v>
      </c>
      <c r="N226" s="423">
        <f t="shared" si="114"/>
        <v>13171.999999999998</v>
      </c>
      <c r="O226" s="425">
        <f t="shared" si="114"/>
        <v>2423.9999999999991</v>
      </c>
      <c r="P226" s="526">
        <f t="shared" si="112"/>
        <v>7490.0000000000018</v>
      </c>
      <c r="Q226" s="423">
        <f t="shared" si="114"/>
        <v>80.999999999999972</v>
      </c>
      <c r="R226" s="422">
        <f t="shared" si="114"/>
        <v>47</v>
      </c>
      <c r="S226" s="423">
        <f t="shared" si="114"/>
        <v>25.999999999999996</v>
      </c>
      <c r="T226" s="423">
        <f t="shared" si="114"/>
        <v>1</v>
      </c>
      <c r="U226" s="423">
        <f t="shared" si="135"/>
        <v>20</v>
      </c>
      <c r="V226" s="424">
        <f t="shared" si="135"/>
        <v>0</v>
      </c>
      <c r="W226" s="422">
        <f t="shared" si="135"/>
        <v>34</v>
      </c>
      <c r="X226" s="423">
        <f t="shared" si="135"/>
        <v>13.999999999999996</v>
      </c>
      <c r="Y226" s="423">
        <f t="shared" si="135"/>
        <v>0</v>
      </c>
      <c r="Z226" s="423">
        <f t="shared" si="135"/>
        <v>16.000000000000004</v>
      </c>
      <c r="AA226" s="425">
        <f t="shared" si="135"/>
        <v>4</v>
      </c>
      <c r="AB226" s="526">
        <f t="shared" si="135"/>
        <v>790.00000000000011</v>
      </c>
      <c r="AC226" s="423">
        <f t="shared" si="135"/>
        <v>7</v>
      </c>
      <c r="AD226" s="422">
        <f t="shared" si="135"/>
        <v>5</v>
      </c>
      <c r="AE226" s="423">
        <f t="shared" si="135"/>
        <v>1</v>
      </c>
      <c r="AF226" s="423">
        <f t="shared" si="135"/>
        <v>0</v>
      </c>
      <c r="AG226" s="423">
        <f t="shared" ref="AG226:AM226" si="137">AG115/3+AG225</f>
        <v>3.9999999999999996</v>
      </c>
      <c r="AH226" s="424">
        <f t="shared" si="137"/>
        <v>0</v>
      </c>
      <c r="AI226" s="422">
        <f t="shared" si="137"/>
        <v>1.9999999999999998</v>
      </c>
      <c r="AJ226" s="423">
        <f t="shared" si="137"/>
        <v>1</v>
      </c>
      <c r="AK226" s="423">
        <f t="shared" si="137"/>
        <v>0</v>
      </c>
      <c r="AL226" s="423">
        <f t="shared" si="137"/>
        <v>1</v>
      </c>
      <c r="AM226" s="425">
        <f t="shared" si="137"/>
        <v>0</v>
      </c>
      <c r="AO226" s="421">
        <f t="shared" si="119"/>
        <v>87.999999999999972</v>
      </c>
      <c r="AP226" s="422">
        <f t="shared" si="120"/>
        <v>52</v>
      </c>
      <c r="AQ226" s="423">
        <f t="shared" si="121"/>
        <v>26.999999999999996</v>
      </c>
      <c r="AR226" s="423">
        <f t="shared" si="122"/>
        <v>1</v>
      </c>
      <c r="AS226" s="423">
        <f t="shared" si="123"/>
        <v>24</v>
      </c>
      <c r="AT226" s="424">
        <f t="shared" si="124"/>
        <v>0</v>
      </c>
      <c r="AU226" s="422">
        <f t="shared" si="125"/>
        <v>36</v>
      </c>
      <c r="AV226" s="423">
        <f t="shared" si="126"/>
        <v>14.999999999999996</v>
      </c>
      <c r="AW226" s="423">
        <f t="shared" si="127"/>
        <v>0</v>
      </c>
      <c r="AX226" s="423">
        <f t="shared" si="128"/>
        <v>17.000000000000004</v>
      </c>
      <c r="AY226" s="425">
        <f t="shared" si="129"/>
        <v>4</v>
      </c>
    </row>
    <row r="227" spans="1:51" ht="13.9">
      <c r="A227" s="447" t="s">
        <v>265</v>
      </c>
      <c r="B227" s="448">
        <v>44927</v>
      </c>
      <c r="C227" s="449">
        <v>2023</v>
      </c>
      <c r="D227" s="421">
        <f t="shared" si="114"/>
        <v>4266242.666666667</v>
      </c>
      <c r="E227" s="421">
        <f t="shared" si="114"/>
        <v>106412.00000000001</v>
      </c>
      <c r="F227" s="422">
        <f t="shared" si="114"/>
        <v>76359.333333333343</v>
      </c>
      <c r="G227" s="423">
        <f t="shared" si="114"/>
        <v>40036.333333333321</v>
      </c>
      <c r="H227" s="423">
        <f t="shared" si="114"/>
        <v>989.99999999999989</v>
      </c>
      <c r="I227" s="423">
        <f t="shared" si="114"/>
        <v>35122.666666666664</v>
      </c>
      <c r="J227" s="424">
        <f t="shared" si="114"/>
        <v>210.33333333333334</v>
      </c>
      <c r="K227" s="422">
        <f t="shared" si="114"/>
        <v>30052.666666666657</v>
      </c>
      <c r="L227" s="423">
        <f t="shared" si="114"/>
        <v>13898.333333333338</v>
      </c>
      <c r="M227" s="423">
        <f t="shared" si="114"/>
        <v>0</v>
      </c>
      <c r="N227" s="423">
        <f t="shared" si="114"/>
        <v>13665.333333333332</v>
      </c>
      <c r="O227" s="425">
        <f t="shared" si="114"/>
        <v>2488.9999999999991</v>
      </c>
      <c r="P227" s="526">
        <f t="shared" si="112"/>
        <v>7575.6666666666688</v>
      </c>
      <c r="Q227" s="423">
        <f t="shared" si="114"/>
        <v>83.3333333333333</v>
      </c>
      <c r="R227" s="422">
        <f t="shared" si="114"/>
        <v>48.666666666666664</v>
      </c>
      <c r="S227" s="423">
        <f t="shared" si="114"/>
        <v>26.666666666666664</v>
      </c>
      <c r="T227" s="423">
        <f t="shared" si="114"/>
        <v>1</v>
      </c>
      <c r="U227" s="423">
        <f t="shared" si="135"/>
        <v>21</v>
      </c>
      <c r="V227" s="424">
        <f t="shared" si="135"/>
        <v>0</v>
      </c>
      <c r="W227" s="422">
        <f t="shared" si="135"/>
        <v>34.666666666666664</v>
      </c>
      <c r="X227" s="423">
        <f t="shared" si="135"/>
        <v>13.999999999999996</v>
      </c>
      <c r="Y227" s="423">
        <f t="shared" si="135"/>
        <v>0</v>
      </c>
      <c r="Z227" s="423">
        <f t="shared" si="135"/>
        <v>16.666666666666671</v>
      </c>
      <c r="AA227" s="425">
        <f t="shared" si="135"/>
        <v>4</v>
      </c>
      <c r="AB227" s="526">
        <f t="shared" si="135"/>
        <v>796.33333333333348</v>
      </c>
      <c r="AC227" s="423">
        <f t="shared" si="135"/>
        <v>7</v>
      </c>
      <c r="AD227" s="422">
        <f t="shared" si="135"/>
        <v>5</v>
      </c>
      <c r="AE227" s="423">
        <f t="shared" si="135"/>
        <v>1</v>
      </c>
      <c r="AF227" s="423">
        <f t="shared" si="135"/>
        <v>0</v>
      </c>
      <c r="AG227" s="423">
        <f t="shared" ref="AG227:AM227" si="138">AG116/3+AG226</f>
        <v>3.9999999999999996</v>
      </c>
      <c r="AH227" s="424">
        <f t="shared" si="138"/>
        <v>0</v>
      </c>
      <c r="AI227" s="422">
        <f t="shared" si="138"/>
        <v>1.9999999999999998</v>
      </c>
      <c r="AJ227" s="423">
        <f t="shared" si="138"/>
        <v>1</v>
      </c>
      <c r="AK227" s="423">
        <f t="shared" si="138"/>
        <v>0</v>
      </c>
      <c r="AL227" s="423">
        <f t="shared" si="138"/>
        <v>1</v>
      </c>
      <c r="AM227" s="425">
        <f t="shared" si="138"/>
        <v>0</v>
      </c>
      <c r="AO227" s="421">
        <f t="shared" si="119"/>
        <v>90.3333333333333</v>
      </c>
      <c r="AP227" s="422">
        <f t="shared" si="120"/>
        <v>53.666666666666664</v>
      </c>
      <c r="AQ227" s="423">
        <f t="shared" si="121"/>
        <v>27.666666666666664</v>
      </c>
      <c r="AR227" s="423">
        <f t="shared" si="122"/>
        <v>1</v>
      </c>
      <c r="AS227" s="423">
        <f t="shared" si="123"/>
        <v>25</v>
      </c>
      <c r="AT227" s="424">
        <f t="shared" si="124"/>
        <v>0</v>
      </c>
      <c r="AU227" s="422">
        <f t="shared" si="125"/>
        <v>36.666666666666664</v>
      </c>
      <c r="AV227" s="423">
        <f t="shared" si="126"/>
        <v>14.999999999999996</v>
      </c>
      <c r="AW227" s="423">
        <f t="shared" si="127"/>
        <v>0</v>
      </c>
      <c r="AX227" s="423">
        <f t="shared" si="128"/>
        <v>17.666666666666671</v>
      </c>
      <c r="AY227" s="425">
        <f t="shared" si="129"/>
        <v>4</v>
      </c>
    </row>
    <row r="228" spans="1:51" ht="13.9">
      <c r="A228" s="447" t="s">
        <v>265</v>
      </c>
      <c r="B228" s="448">
        <v>44958</v>
      </c>
      <c r="C228" s="449">
        <v>2023</v>
      </c>
      <c r="D228" s="421">
        <f t="shared" si="114"/>
        <v>4314115.333333334</v>
      </c>
      <c r="E228" s="421">
        <f t="shared" si="114"/>
        <v>109252.00000000001</v>
      </c>
      <c r="F228" s="422">
        <f t="shared" si="114"/>
        <v>78612.666666666672</v>
      </c>
      <c r="G228" s="423">
        <f t="shared" si="114"/>
        <v>40824.666666666657</v>
      </c>
      <c r="H228" s="423">
        <f t="shared" si="114"/>
        <v>1108</v>
      </c>
      <c r="I228" s="423">
        <f t="shared" si="114"/>
        <v>36435.333333333328</v>
      </c>
      <c r="J228" s="424">
        <f t="shared" si="114"/>
        <v>244.66666666666669</v>
      </c>
      <c r="K228" s="422">
        <f t="shared" si="114"/>
        <v>30639.333333333325</v>
      </c>
      <c r="L228" s="423">
        <f t="shared" si="114"/>
        <v>13926.666666666672</v>
      </c>
      <c r="M228" s="423">
        <f t="shared" si="114"/>
        <v>0</v>
      </c>
      <c r="N228" s="423">
        <f t="shared" si="114"/>
        <v>14158.666666666666</v>
      </c>
      <c r="O228" s="425">
        <f t="shared" si="114"/>
        <v>2553.9999999999991</v>
      </c>
      <c r="P228" s="526">
        <f t="shared" si="112"/>
        <v>7661.3333333333358</v>
      </c>
      <c r="Q228" s="423">
        <f t="shared" si="114"/>
        <v>85.666666666666629</v>
      </c>
      <c r="R228" s="422">
        <f t="shared" si="114"/>
        <v>50.333333333333329</v>
      </c>
      <c r="S228" s="423">
        <f t="shared" si="114"/>
        <v>27.333333333333332</v>
      </c>
      <c r="T228" s="423">
        <f t="shared" si="114"/>
        <v>1</v>
      </c>
      <c r="U228" s="423">
        <f t="shared" si="135"/>
        <v>22</v>
      </c>
      <c r="V228" s="424">
        <f t="shared" si="135"/>
        <v>0</v>
      </c>
      <c r="W228" s="422">
        <f t="shared" si="135"/>
        <v>35.333333333333329</v>
      </c>
      <c r="X228" s="423">
        <f t="shared" si="135"/>
        <v>13.999999999999996</v>
      </c>
      <c r="Y228" s="423">
        <f t="shared" si="135"/>
        <v>0</v>
      </c>
      <c r="Z228" s="423">
        <f t="shared" si="135"/>
        <v>17.333333333333339</v>
      </c>
      <c r="AA228" s="425">
        <f t="shared" si="135"/>
        <v>4</v>
      </c>
      <c r="AB228" s="526">
        <f t="shared" si="135"/>
        <v>802.66666666666686</v>
      </c>
      <c r="AC228" s="423">
        <f t="shared" si="135"/>
        <v>7</v>
      </c>
      <c r="AD228" s="422">
        <f t="shared" si="135"/>
        <v>5</v>
      </c>
      <c r="AE228" s="423">
        <f t="shared" si="135"/>
        <v>1</v>
      </c>
      <c r="AF228" s="423">
        <f t="shared" si="135"/>
        <v>0</v>
      </c>
      <c r="AG228" s="423">
        <f t="shared" ref="AG228:AM228" si="139">AG117/3+AG227</f>
        <v>3.9999999999999996</v>
      </c>
      <c r="AH228" s="424">
        <f t="shared" si="139"/>
        <v>0</v>
      </c>
      <c r="AI228" s="422">
        <f t="shared" si="139"/>
        <v>1.9999999999999998</v>
      </c>
      <c r="AJ228" s="423">
        <f t="shared" si="139"/>
        <v>1</v>
      </c>
      <c r="AK228" s="423">
        <f t="shared" si="139"/>
        <v>0</v>
      </c>
      <c r="AL228" s="423">
        <f t="shared" si="139"/>
        <v>1</v>
      </c>
      <c r="AM228" s="425">
        <f t="shared" si="139"/>
        <v>0</v>
      </c>
      <c r="AO228" s="421">
        <f t="shared" si="119"/>
        <v>92.666666666666629</v>
      </c>
      <c r="AP228" s="422">
        <f t="shared" si="120"/>
        <v>55.333333333333329</v>
      </c>
      <c r="AQ228" s="423">
        <f t="shared" si="121"/>
        <v>28.333333333333332</v>
      </c>
      <c r="AR228" s="423">
        <f t="shared" si="122"/>
        <v>1</v>
      </c>
      <c r="AS228" s="423">
        <f t="shared" si="123"/>
        <v>26</v>
      </c>
      <c r="AT228" s="424">
        <f t="shared" si="124"/>
        <v>0</v>
      </c>
      <c r="AU228" s="422">
        <f t="shared" si="125"/>
        <v>37.333333333333329</v>
      </c>
      <c r="AV228" s="423">
        <f t="shared" si="126"/>
        <v>14.999999999999996</v>
      </c>
      <c r="AW228" s="423">
        <f t="shared" si="127"/>
        <v>0</v>
      </c>
      <c r="AX228" s="423">
        <f t="shared" si="128"/>
        <v>18.333333333333339</v>
      </c>
      <c r="AY228" s="425">
        <f t="shared" si="129"/>
        <v>4</v>
      </c>
    </row>
    <row r="229" spans="1:51" ht="13.9">
      <c r="A229" s="447" t="s">
        <v>265</v>
      </c>
      <c r="B229" s="448">
        <v>44986</v>
      </c>
      <c r="C229" s="449">
        <v>2023</v>
      </c>
      <c r="D229" s="421">
        <f t="shared" si="114"/>
        <v>4361988.0000000009</v>
      </c>
      <c r="E229" s="421">
        <f t="shared" si="114"/>
        <v>112092.00000000001</v>
      </c>
      <c r="F229" s="422">
        <f t="shared" si="114"/>
        <v>80866</v>
      </c>
      <c r="G229" s="423">
        <f t="shared" si="114"/>
        <v>41612.999999999993</v>
      </c>
      <c r="H229" s="423">
        <f t="shared" si="114"/>
        <v>1226</v>
      </c>
      <c r="I229" s="423">
        <f t="shared" si="114"/>
        <v>37747.999999999993</v>
      </c>
      <c r="J229" s="424">
        <f t="shared" si="114"/>
        <v>279</v>
      </c>
      <c r="K229" s="422">
        <f t="shared" si="114"/>
        <v>31225.999999999993</v>
      </c>
      <c r="L229" s="423">
        <f t="shared" si="114"/>
        <v>13955.000000000005</v>
      </c>
      <c r="M229" s="423">
        <f t="shared" si="114"/>
        <v>0</v>
      </c>
      <c r="N229" s="423">
        <f t="shared" si="114"/>
        <v>14652</v>
      </c>
      <c r="O229" s="425">
        <f t="shared" si="114"/>
        <v>2618.9999999999991</v>
      </c>
      <c r="P229" s="526">
        <f t="shared" si="112"/>
        <v>7747.0000000000027</v>
      </c>
      <c r="Q229" s="423">
        <f t="shared" si="114"/>
        <v>87.999999999999957</v>
      </c>
      <c r="R229" s="422">
        <f t="shared" si="114"/>
        <v>51.999999999999993</v>
      </c>
      <c r="S229" s="423">
        <f t="shared" si="114"/>
        <v>28</v>
      </c>
      <c r="T229" s="423">
        <f t="shared" si="114"/>
        <v>1</v>
      </c>
      <c r="U229" s="423">
        <f t="shared" si="135"/>
        <v>23</v>
      </c>
      <c r="V229" s="424">
        <f t="shared" si="135"/>
        <v>0</v>
      </c>
      <c r="W229" s="422">
        <f t="shared" si="135"/>
        <v>35.999999999999993</v>
      </c>
      <c r="X229" s="423">
        <f t="shared" si="135"/>
        <v>13.999999999999996</v>
      </c>
      <c r="Y229" s="423">
        <f t="shared" si="135"/>
        <v>0</v>
      </c>
      <c r="Z229" s="423">
        <f t="shared" si="135"/>
        <v>18.000000000000007</v>
      </c>
      <c r="AA229" s="425">
        <f t="shared" si="135"/>
        <v>4</v>
      </c>
      <c r="AB229" s="526">
        <f t="shared" si="135"/>
        <v>809.00000000000023</v>
      </c>
      <c r="AC229" s="423">
        <f t="shared" si="135"/>
        <v>7</v>
      </c>
      <c r="AD229" s="422">
        <f t="shared" si="135"/>
        <v>5</v>
      </c>
      <c r="AE229" s="423">
        <f t="shared" si="135"/>
        <v>1</v>
      </c>
      <c r="AF229" s="423">
        <f t="shared" si="135"/>
        <v>0</v>
      </c>
      <c r="AG229" s="423">
        <f t="shared" ref="AG229:AM229" si="140">AG118/3+AG228</f>
        <v>3.9999999999999996</v>
      </c>
      <c r="AH229" s="424">
        <f t="shared" si="140"/>
        <v>0</v>
      </c>
      <c r="AI229" s="422">
        <f t="shared" si="140"/>
        <v>1.9999999999999998</v>
      </c>
      <c r="AJ229" s="423">
        <f t="shared" si="140"/>
        <v>1</v>
      </c>
      <c r="AK229" s="423">
        <f t="shared" si="140"/>
        <v>0</v>
      </c>
      <c r="AL229" s="423">
        <f t="shared" si="140"/>
        <v>1</v>
      </c>
      <c r="AM229" s="425">
        <f t="shared" si="140"/>
        <v>0</v>
      </c>
      <c r="AO229" s="421">
        <f t="shared" si="119"/>
        <v>94.999999999999957</v>
      </c>
      <c r="AP229" s="422">
        <f t="shared" si="120"/>
        <v>56.999999999999993</v>
      </c>
      <c r="AQ229" s="423">
        <f t="shared" si="121"/>
        <v>29</v>
      </c>
      <c r="AR229" s="423">
        <f t="shared" si="122"/>
        <v>1</v>
      </c>
      <c r="AS229" s="423">
        <f t="shared" si="123"/>
        <v>27</v>
      </c>
      <c r="AT229" s="424">
        <f t="shared" si="124"/>
        <v>0</v>
      </c>
      <c r="AU229" s="422">
        <f t="shared" si="125"/>
        <v>37.999999999999993</v>
      </c>
      <c r="AV229" s="423">
        <f t="shared" si="126"/>
        <v>14.999999999999996</v>
      </c>
      <c r="AW229" s="423">
        <f t="shared" si="127"/>
        <v>0</v>
      </c>
      <c r="AX229" s="423">
        <f t="shared" si="128"/>
        <v>19.000000000000007</v>
      </c>
      <c r="AY229" s="425">
        <f t="shared" si="129"/>
        <v>4</v>
      </c>
    </row>
    <row r="230" spans="1:51" ht="13.9">
      <c r="A230" s="447" t="s">
        <v>266</v>
      </c>
      <c r="B230" s="448">
        <v>45017</v>
      </c>
      <c r="C230" s="449">
        <v>2023</v>
      </c>
      <c r="D230" s="421">
        <f t="shared" si="114"/>
        <v>4423205.333333334</v>
      </c>
      <c r="E230" s="421">
        <f t="shared" si="114"/>
        <v>116357.66666666669</v>
      </c>
      <c r="F230" s="422">
        <f t="shared" si="114"/>
        <v>84028</v>
      </c>
      <c r="G230" s="423">
        <f t="shared" si="114"/>
        <v>42343.666666666657</v>
      </c>
      <c r="H230" s="423">
        <f t="shared" si="114"/>
        <v>1353.3333333333333</v>
      </c>
      <c r="I230" s="423">
        <f t="shared" si="114"/>
        <v>39995.666666666657</v>
      </c>
      <c r="J230" s="424">
        <f t="shared" si="114"/>
        <v>335.33333333333331</v>
      </c>
      <c r="K230" s="422">
        <f t="shared" si="114"/>
        <v>32329.666666666661</v>
      </c>
      <c r="L230" s="423">
        <f t="shared" si="114"/>
        <v>14025.000000000005</v>
      </c>
      <c r="M230" s="423">
        <f t="shared" si="114"/>
        <v>0</v>
      </c>
      <c r="N230" s="423">
        <f t="shared" si="114"/>
        <v>15599.666666666666</v>
      </c>
      <c r="O230" s="425">
        <f t="shared" si="114"/>
        <v>2704.9999999999991</v>
      </c>
      <c r="P230" s="526">
        <f t="shared" si="112"/>
        <v>7852.3333333333358</v>
      </c>
      <c r="Q230" s="423">
        <f t="shared" si="114"/>
        <v>90.333333333333286</v>
      </c>
      <c r="R230" s="422">
        <f t="shared" si="114"/>
        <v>53.666666666666657</v>
      </c>
      <c r="S230" s="423">
        <f t="shared" si="114"/>
        <v>28.333333333333332</v>
      </c>
      <c r="T230" s="423">
        <f t="shared" si="114"/>
        <v>1</v>
      </c>
      <c r="U230" s="423">
        <f t="shared" si="135"/>
        <v>24.333333333333332</v>
      </c>
      <c r="V230" s="424">
        <f t="shared" si="135"/>
        <v>0</v>
      </c>
      <c r="W230" s="422">
        <f t="shared" si="135"/>
        <v>36.666666666666657</v>
      </c>
      <c r="X230" s="423">
        <f t="shared" si="135"/>
        <v>13.999999999999996</v>
      </c>
      <c r="Y230" s="423">
        <f t="shared" si="135"/>
        <v>0</v>
      </c>
      <c r="Z230" s="423">
        <f t="shared" si="135"/>
        <v>18.333333333333339</v>
      </c>
      <c r="AA230" s="425">
        <f t="shared" si="135"/>
        <v>4.333333333333333</v>
      </c>
      <c r="AB230" s="526">
        <f t="shared" si="135"/>
        <v>816.00000000000023</v>
      </c>
      <c r="AC230" s="423">
        <f t="shared" si="135"/>
        <v>7</v>
      </c>
      <c r="AD230" s="422">
        <f t="shared" si="135"/>
        <v>5</v>
      </c>
      <c r="AE230" s="423">
        <f t="shared" si="135"/>
        <v>1</v>
      </c>
      <c r="AF230" s="423">
        <f t="shared" si="135"/>
        <v>0</v>
      </c>
      <c r="AG230" s="423">
        <f t="shared" ref="AG230:AM230" si="141">AG119/3+AG229</f>
        <v>3.9999999999999996</v>
      </c>
      <c r="AH230" s="424">
        <f t="shared" si="141"/>
        <v>0</v>
      </c>
      <c r="AI230" s="422">
        <f t="shared" si="141"/>
        <v>1.9999999999999998</v>
      </c>
      <c r="AJ230" s="423">
        <f t="shared" si="141"/>
        <v>1</v>
      </c>
      <c r="AK230" s="423">
        <f t="shared" si="141"/>
        <v>0</v>
      </c>
      <c r="AL230" s="423">
        <f t="shared" si="141"/>
        <v>1</v>
      </c>
      <c r="AM230" s="425">
        <f t="shared" si="141"/>
        <v>0</v>
      </c>
      <c r="AO230" s="421">
        <f t="shared" si="119"/>
        <v>97.333333333333286</v>
      </c>
      <c r="AP230" s="422">
        <f t="shared" si="120"/>
        <v>58.666666666666657</v>
      </c>
      <c r="AQ230" s="423">
        <f t="shared" si="121"/>
        <v>29.333333333333332</v>
      </c>
      <c r="AR230" s="423">
        <f t="shared" si="122"/>
        <v>1</v>
      </c>
      <c r="AS230" s="423">
        <f t="shared" si="123"/>
        <v>28.333333333333332</v>
      </c>
      <c r="AT230" s="424">
        <f t="shared" si="124"/>
        <v>0</v>
      </c>
      <c r="AU230" s="422">
        <f t="shared" si="125"/>
        <v>38.666666666666657</v>
      </c>
      <c r="AV230" s="423">
        <f t="shared" si="126"/>
        <v>14.999999999999996</v>
      </c>
      <c r="AW230" s="423">
        <f t="shared" si="127"/>
        <v>0</v>
      </c>
      <c r="AX230" s="423">
        <f t="shared" si="128"/>
        <v>19.333333333333339</v>
      </c>
      <c r="AY230" s="425">
        <f t="shared" si="129"/>
        <v>4.333333333333333</v>
      </c>
    </row>
    <row r="231" spans="1:51" ht="13.9">
      <c r="A231" s="447" t="s">
        <v>266</v>
      </c>
      <c r="B231" s="448">
        <v>45047</v>
      </c>
      <c r="C231" s="449">
        <v>2023</v>
      </c>
      <c r="D231" s="421">
        <f t="shared" si="114"/>
        <v>4484422.666666667</v>
      </c>
      <c r="E231" s="421">
        <f t="shared" si="114"/>
        <v>120623.33333333336</v>
      </c>
      <c r="F231" s="422">
        <f t="shared" si="114"/>
        <v>87190</v>
      </c>
      <c r="G231" s="423">
        <f t="shared" si="114"/>
        <v>43074.333333333321</v>
      </c>
      <c r="H231" s="423">
        <f t="shared" si="114"/>
        <v>1480.6666666666665</v>
      </c>
      <c r="I231" s="423">
        <f t="shared" si="114"/>
        <v>42243.333333333321</v>
      </c>
      <c r="J231" s="424">
        <f t="shared" si="114"/>
        <v>391.66666666666663</v>
      </c>
      <c r="K231" s="422">
        <f t="shared" si="114"/>
        <v>33433.333333333328</v>
      </c>
      <c r="L231" s="423">
        <f t="shared" si="114"/>
        <v>14095.000000000005</v>
      </c>
      <c r="M231" s="423">
        <f t="shared" si="114"/>
        <v>0</v>
      </c>
      <c r="N231" s="423">
        <f t="shared" si="114"/>
        <v>16547.333333333332</v>
      </c>
      <c r="O231" s="425">
        <f t="shared" si="114"/>
        <v>2790.9999999999991</v>
      </c>
      <c r="P231" s="526">
        <f t="shared" si="112"/>
        <v>7957.6666666666688</v>
      </c>
      <c r="Q231" s="423">
        <f t="shared" si="114"/>
        <v>92.666666666666615</v>
      </c>
      <c r="R231" s="422">
        <f t="shared" si="114"/>
        <v>55.333333333333321</v>
      </c>
      <c r="S231" s="423">
        <f t="shared" si="114"/>
        <v>28.666666666666664</v>
      </c>
      <c r="T231" s="423">
        <f t="shared" ref="T231:T246" si="142">T120/3+T230</f>
        <v>1</v>
      </c>
      <c r="U231" s="423">
        <f t="shared" si="135"/>
        <v>25.666666666666664</v>
      </c>
      <c r="V231" s="424">
        <f t="shared" si="135"/>
        <v>0</v>
      </c>
      <c r="W231" s="422">
        <f t="shared" si="135"/>
        <v>37.333333333333321</v>
      </c>
      <c r="X231" s="423">
        <f t="shared" si="135"/>
        <v>13.999999999999996</v>
      </c>
      <c r="Y231" s="423">
        <f t="shared" si="135"/>
        <v>0</v>
      </c>
      <c r="Z231" s="423">
        <f t="shared" si="135"/>
        <v>18.666666666666671</v>
      </c>
      <c r="AA231" s="425">
        <f t="shared" si="135"/>
        <v>4.6666666666666661</v>
      </c>
      <c r="AB231" s="526">
        <f t="shared" si="135"/>
        <v>823.00000000000023</v>
      </c>
      <c r="AC231" s="423">
        <f t="shared" si="135"/>
        <v>7</v>
      </c>
      <c r="AD231" s="422">
        <f t="shared" si="135"/>
        <v>5</v>
      </c>
      <c r="AE231" s="423">
        <f t="shared" si="135"/>
        <v>1</v>
      </c>
      <c r="AF231" s="423">
        <f t="shared" si="135"/>
        <v>0</v>
      </c>
      <c r="AG231" s="423">
        <f t="shared" ref="AG231:AM231" si="143">AG120/3+AG230</f>
        <v>3.9999999999999996</v>
      </c>
      <c r="AH231" s="424">
        <f t="shared" si="143"/>
        <v>0</v>
      </c>
      <c r="AI231" s="422">
        <f t="shared" si="143"/>
        <v>1.9999999999999998</v>
      </c>
      <c r="AJ231" s="423">
        <f t="shared" si="143"/>
        <v>1</v>
      </c>
      <c r="AK231" s="423">
        <f t="shared" si="143"/>
        <v>0</v>
      </c>
      <c r="AL231" s="423">
        <f t="shared" si="143"/>
        <v>1</v>
      </c>
      <c r="AM231" s="425">
        <f t="shared" si="143"/>
        <v>0</v>
      </c>
      <c r="AO231" s="421">
        <f t="shared" si="119"/>
        <v>99.666666666666615</v>
      </c>
      <c r="AP231" s="422">
        <f t="shared" si="120"/>
        <v>60.333333333333321</v>
      </c>
      <c r="AQ231" s="423">
        <f t="shared" si="121"/>
        <v>29.666666666666664</v>
      </c>
      <c r="AR231" s="423">
        <f t="shared" si="122"/>
        <v>1</v>
      </c>
      <c r="AS231" s="423">
        <f t="shared" si="123"/>
        <v>29.666666666666664</v>
      </c>
      <c r="AT231" s="424">
        <f t="shared" si="124"/>
        <v>0</v>
      </c>
      <c r="AU231" s="422">
        <f t="shared" si="125"/>
        <v>39.333333333333321</v>
      </c>
      <c r="AV231" s="423">
        <f t="shared" si="126"/>
        <v>14.999999999999996</v>
      </c>
      <c r="AW231" s="423">
        <f t="shared" si="127"/>
        <v>0</v>
      </c>
      <c r="AX231" s="423">
        <f t="shared" si="128"/>
        <v>19.666666666666671</v>
      </c>
      <c r="AY231" s="425">
        <f t="shared" si="129"/>
        <v>4.6666666666666661</v>
      </c>
    </row>
    <row r="232" spans="1:51" ht="13.9">
      <c r="A232" s="447" t="s">
        <v>266</v>
      </c>
      <c r="B232" s="448">
        <v>45078</v>
      </c>
      <c r="C232" s="449">
        <v>2023</v>
      </c>
      <c r="D232" s="421">
        <f t="shared" ref="D232:T247" si="144">D121/3+D231</f>
        <v>4545640</v>
      </c>
      <c r="E232" s="421">
        <f t="shared" si="144"/>
        <v>124889.00000000003</v>
      </c>
      <c r="F232" s="422">
        <f t="shared" si="144"/>
        <v>90352</v>
      </c>
      <c r="G232" s="423">
        <f t="shared" si="144"/>
        <v>43804.999999999985</v>
      </c>
      <c r="H232" s="423">
        <f t="shared" si="144"/>
        <v>1607.9999999999998</v>
      </c>
      <c r="I232" s="423">
        <f t="shared" si="144"/>
        <v>44490.999999999985</v>
      </c>
      <c r="J232" s="424">
        <f t="shared" si="144"/>
        <v>447.99999999999994</v>
      </c>
      <c r="K232" s="422">
        <f t="shared" si="144"/>
        <v>34536.999999999993</v>
      </c>
      <c r="L232" s="423">
        <f t="shared" si="144"/>
        <v>14165.000000000005</v>
      </c>
      <c r="M232" s="423">
        <f t="shared" si="144"/>
        <v>0</v>
      </c>
      <c r="N232" s="423">
        <f t="shared" si="144"/>
        <v>17495</v>
      </c>
      <c r="O232" s="425">
        <f t="shared" si="144"/>
        <v>2876.9999999999991</v>
      </c>
      <c r="P232" s="526">
        <f t="shared" ref="P232:P262" si="145">P121/3+P231</f>
        <v>8063.0000000000018</v>
      </c>
      <c r="Q232" s="423">
        <f t="shared" si="144"/>
        <v>94.999999999999943</v>
      </c>
      <c r="R232" s="422">
        <f t="shared" si="144"/>
        <v>56.999999999999986</v>
      </c>
      <c r="S232" s="423">
        <f t="shared" si="144"/>
        <v>28.999999999999996</v>
      </c>
      <c r="T232" s="423">
        <f t="shared" si="142"/>
        <v>1</v>
      </c>
      <c r="U232" s="423">
        <f t="shared" si="135"/>
        <v>26.999999999999996</v>
      </c>
      <c r="V232" s="424">
        <f t="shared" si="135"/>
        <v>0</v>
      </c>
      <c r="W232" s="422">
        <f t="shared" si="135"/>
        <v>37.999999999999986</v>
      </c>
      <c r="X232" s="423">
        <f t="shared" si="135"/>
        <v>13.999999999999996</v>
      </c>
      <c r="Y232" s="423">
        <f t="shared" si="135"/>
        <v>0</v>
      </c>
      <c r="Z232" s="423">
        <f t="shared" si="135"/>
        <v>19.000000000000004</v>
      </c>
      <c r="AA232" s="425">
        <f t="shared" si="135"/>
        <v>4.9999999999999991</v>
      </c>
      <c r="AB232" s="526">
        <f t="shared" si="135"/>
        <v>830.00000000000023</v>
      </c>
      <c r="AC232" s="423">
        <f t="shared" si="135"/>
        <v>7</v>
      </c>
      <c r="AD232" s="422">
        <f t="shared" si="135"/>
        <v>5</v>
      </c>
      <c r="AE232" s="423">
        <f t="shared" si="135"/>
        <v>1</v>
      </c>
      <c r="AF232" s="423">
        <f t="shared" si="135"/>
        <v>0</v>
      </c>
      <c r="AG232" s="423">
        <f t="shared" ref="AG232:AM232" si="146">AG121/3+AG231</f>
        <v>3.9999999999999996</v>
      </c>
      <c r="AH232" s="424">
        <f t="shared" si="146"/>
        <v>0</v>
      </c>
      <c r="AI232" s="422">
        <f t="shared" si="146"/>
        <v>1.9999999999999998</v>
      </c>
      <c r="AJ232" s="423">
        <f t="shared" si="146"/>
        <v>1</v>
      </c>
      <c r="AK232" s="423">
        <f t="shared" si="146"/>
        <v>0</v>
      </c>
      <c r="AL232" s="423">
        <f t="shared" si="146"/>
        <v>1</v>
      </c>
      <c r="AM232" s="425">
        <f t="shared" si="146"/>
        <v>0</v>
      </c>
      <c r="AO232" s="421">
        <f t="shared" si="119"/>
        <v>101.99999999999994</v>
      </c>
      <c r="AP232" s="422">
        <f t="shared" si="120"/>
        <v>61.999999999999986</v>
      </c>
      <c r="AQ232" s="423">
        <f t="shared" si="121"/>
        <v>29.999999999999996</v>
      </c>
      <c r="AR232" s="423">
        <f t="shared" si="122"/>
        <v>1</v>
      </c>
      <c r="AS232" s="423">
        <f t="shared" si="123"/>
        <v>30.999999999999996</v>
      </c>
      <c r="AT232" s="424">
        <f t="shared" si="124"/>
        <v>0</v>
      </c>
      <c r="AU232" s="422">
        <f t="shared" si="125"/>
        <v>39.999999999999986</v>
      </c>
      <c r="AV232" s="423">
        <f t="shared" si="126"/>
        <v>14.999999999999996</v>
      </c>
      <c r="AW232" s="423">
        <f t="shared" si="127"/>
        <v>0</v>
      </c>
      <c r="AX232" s="423">
        <f t="shared" si="128"/>
        <v>20.000000000000004</v>
      </c>
      <c r="AY232" s="425">
        <f t="shared" si="129"/>
        <v>4.9999999999999991</v>
      </c>
    </row>
    <row r="233" spans="1:51" ht="13.9">
      <c r="A233" s="447" t="s">
        <v>267</v>
      </c>
      <c r="B233" s="448">
        <v>45108</v>
      </c>
      <c r="C233" s="449">
        <v>2023</v>
      </c>
      <c r="D233" s="421">
        <f t="shared" si="144"/>
        <v>4605172</v>
      </c>
      <c r="E233" s="421">
        <f t="shared" si="144"/>
        <v>129792.33333333336</v>
      </c>
      <c r="F233" s="422">
        <f t="shared" si="144"/>
        <v>94171.333333333328</v>
      </c>
      <c r="G233" s="423">
        <f t="shared" si="144"/>
        <v>44847.999999999985</v>
      </c>
      <c r="H233" s="423">
        <f t="shared" si="144"/>
        <v>1782.333333333333</v>
      </c>
      <c r="I233" s="423">
        <f t="shared" si="144"/>
        <v>47067.66666666665</v>
      </c>
      <c r="J233" s="424">
        <f t="shared" si="144"/>
        <v>473.33333333333326</v>
      </c>
      <c r="K233" s="422">
        <f t="shared" si="144"/>
        <v>35620.999999999993</v>
      </c>
      <c r="L233" s="423">
        <f t="shared" si="144"/>
        <v>14272.333333333339</v>
      </c>
      <c r="M233" s="423">
        <f t="shared" si="144"/>
        <v>0</v>
      </c>
      <c r="N233" s="423">
        <f t="shared" si="144"/>
        <v>18436.666666666668</v>
      </c>
      <c r="O233" s="425">
        <f t="shared" si="144"/>
        <v>2911.9999999999991</v>
      </c>
      <c r="P233" s="526">
        <f t="shared" si="145"/>
        <v>8157.6666666666688</v>
      </c>
      <c r="Q233" s="423">
        <f t="shared" si="144"/>
        <v>100.66666666666661</v>
      </c>
      <c r="R233" s="422">
        <f t="shared" si="144"/>
        <v>60.333333333333321</v>
      </c>
      <c r="S233" s="423">
        <f t="shared" si="144"/>
        <v>29.666666666666664</v>
      </c>
      <c r="T233" s="423">
        <f t="shared" si="142"/>
        <v>1</v>
      </c>
      <c r="U233" s="423">
        <f t="shared" si="135"/>
        <v>29.666666666666664</v>
      </c>
      <c r="V233" s="424">
        <f t="shared" si="135"/>
        <v>0</v>
      </c>
      <c r="W233" s="422">
        <f t="shared" si="135"/>
        <v>40.333333333333321</v>
      </c>
      <c r="X233" s="423">
        <f t="shared" si="135"/>
        <v>14.33333333333333</v>
      </c>
      <c r="Y233" s="423">
        <f t="shared" si="135"/>
        <v>0</v>
      </c>
      <c r="Z233" s="423">
        <f t="shared" si="135"/>
        <v>21.000000000000004</v>
      </c>
      <c r="AA233" s="425">
        <f t="shared" si="135"/>
        <v>4.9999999999999991</v>
      </c>
      <c r="AB233" s="526">
        <f t="shared" si="135"/>
        <v>841.66666666666686</v>
      </c>
      <c r="AC233" s="423">
        <f t="shared" si="135"/>
        <v>7.333333333333333</v>
      </c>
      <c r="AD233" s="422">
        <f t="shared" si="135"/>
        <v>5.333333333333333</v>
      </c>
      <c r="AE233" s="423">
        <f t="shared" si="135"/>
        <v>1</v>
      </c>
      <c r="AF233" s="423">
        <f t="shared" si="135"/>
        <v>0</v>
      </c>
      <c r="AG233" s="423">
        <f t="shared" ref="AG233:AM233" si="147">AG122/3+AG232</f>
        <v>4.333333333333333</v>
      </c>
      <c r="AH233" s="424">
        <f t="shared" si="147"/>
        <v>0</v>
      </c>
      <c r="AI233" s="422">
        <f t="shared" si="147"/>
        <v>1.9999999999999998</v>
      </c>
      <c r="AJ233" s="423">
        <f t="shared" si="147"/>
        <v>1</v>
      </c>
      <c r="AK233" s="423">
        <f t="shared" si="147"/>
        <v>0</v>
      </c>
      <c r="AL233" s="423">
        <f t="shared" si="147"/>
        <v>1</v>
      </c>
      <c r="AM233" s="425">
        <f t="shared" si="147"/>
        <v>0</v>
      </c>
      <c r="AO233" s="421">
        <f t="shared" si="119"/>
        <v>107.99999999999994</v>
      </c>
      <c r="AP233" s="422">
        <f t="shared" si="120"/>
        <v>65.666666666666657</v>
      </c>
      <c r="AQ233" s="423">
        <f t="shared" si="121"/>
        <v>30.666666666666664</v>
      </c>
      <c r="AR233" s="423">
        <f t="shared" si="122"/>
        <v>1</v>
      </c>
      <c r="AS233" s="423">
        <f t="shared" si="123"/>
        <v>34</v>
      </c>
      <c r="AT233" s="424">
        <f t="shared" si="124"/>
        <v>0</v>
      </c>
      <c r="AU233" s="422">
        <f t="shared" si="125"/>
        <v>42.333333333333321</v>
      </c>
      <c r="AV233" s="423">
        <f t="shared" si="126"/>
        <v>15.33333333333333</v>
      </c>
      <c r="AW233" s="423">
        <f t="shared" si="127"/>
        <v>0</v>
      </c>
      <c r="AX233" s="423">
        <f t="shared" si="128"/>
        <v>22.000000000000004</v>
      </c>
      <c r="AY233" s="425">
        <f t="shared" si="129"/>
        <v>4.9999999999999991</v>
      </c>
    </row>
    <row r="234" spans="1:51" ht="13.9">
      <c r="A234" s="447" t="s">
        <v>267</v>
      </c>
      <c r="B234" s="448">
        <v>45139</v>
      </c>
      <c r="C234" s="449">
        <v>2023</v>
      </c>
      <c r="D234" s="421">
        <f t="shared" si="144"/>
        <v>4664704</v>
      </c>
      <c r="E234" s="421">
        <f t="shared" si="144"/>
        <v>134695.66666666669</v>
      </c>
      <c r="F234" s="422">
        <f t="shared" si="144"/>
        <v>97990.666666666657</v>
      </c>
      <c r="G234" s="423">
        <f t="shared" si="144"/>
        <v>45890.999999999985</v>
      </c>
      <c r="H234" s="423">
        <f t="shared" si="144"/>
        <v>1956.6666666666663</v>
      </c>
      <c r="I234" s="423">
        <f t="shared" si="144"/>
        <v>49644.333333333314</v>
      </c>
      <c r="J234" s="424">
        <f t="shared" si="144"/>
        <v>498.66666666666657</v>
      </c>
      <c r="K234" s="422">
        <f t="shared" si="144"/>
        <v>36704.999999999993</v>
      </c>
      <c r="L234" s="423">
        <f t="shared" si="144"/>
        <v>14379.666666666673</v>
      </c>
      <c r="M234" s="423">
        <f t="shared" si="144"/>
        <v>0</v>
      </c>
      <c r="N234" s="423">
        <f t="shared" si="144"/>
        <v>19378.333333333336</v>
      </c>
      <c r="O234" s="425">
        <f t="shared" si="144"/>
        <v>2946.9999999999991</v>
      </c>
      <c r="P234" s="526">
        <f t="shared" si="145"/>
        <v>8252.3333333333358</v>
      </c>
      <c r="Q234" s="423">
        <f t="shared" si="144"/>
        <v>106.33333333333329</v>
      </c>
      <c r="R234" s="422">
        <f t="shared" si="144"/>
        <v>63.666666666666657</v>
      </c>
      <c r="S234" s="423">
        <f t="shared" si="144"/>
        <v>30.333333333333332</v>
      </c>
      <c r="T234" s="423">
        <f t="shared" si="142"/>
        <v>1</v>
      </c>
      <c r="U234" s="423">
        <f t="shared" si="135"/>
        <v>32.333333333333329</v>
      </c>
      <c r="V234" s="424">
        <f t="shared" si="135"/>
        <v>0</v>
      </c>
      <c r="W234" s="422">
        <f t="shared" si="135"/>
        <v>42.666666666666657</v>
      </c>
      <c r="X234" s="423">
        <f t="shared" si="135"/>
        <v>14.666666666666664</v>
      </c>
      <c r="Y234" s="423">
        <f t="shared" si="135"/>
        <v>0</v>
      </c>
      <c r="Z234" s="423">
        <f t="shared" si="135"/>
        <v>23.000000000000004</v>
      </c>
      <c r="AA234" s="425">
        <f t="shared" si="135"/>
        <v>4.9999999999999991</v>
      </c>
      <c r="AB234" s="526">
        <f t="shared" si="135"/>
        <v>853.33333333333348</v>
      </c>
      <c r="AC234" s="423">
        <f t="shared" si="135"/>
        <v>7.6666666666666661</v>
      </c>
      <c r="AD234" s="422">
        <f t="shared" si="135"/>
        <v>5.6666666666666661</v>
      </c>
      <c r="AE234" s="423">
        <f t="shared" si="135"/>
        <v>1</v>
      </c>
      <c r="AF234" s="423">
        <f t="shared" si="135"/>
        <v>0</v>
      </c>
      <c r="AG234" s="423">
        <f t="shared" ref="AG234:AM234" si="148">AG123/3+AG233</f>
        <v>4.6666666666666661</v>
      </c>
      <c r="AH234" s="424">
        <f t="shared" si="148"/>
        <v>0</v>
      </c>
      <c r="AI234" s="422">
        <f t="shared" si="148"/>
        <v>1.9999999999999998</v>
      </c>
      <c r="AJ234" s="423">
        <f t="shared" si="148"/>
        <v>1</v>
      </c>
      <c r="AK234" s="423">
        <f t="shared" si="148"/>
        <v>0</v>
      </c>
      <c r="AL234" s="423">
        <f t="shared" si="148"/>
        <v>1</v>
      </c>
      <c r="AM234" s="425">
        <f t="shared" si="148"/>
        <v>0</v>
      </c>
      <c r="AO234" s="421">
        <f t="shared" si="119"/>
        <v>113.99999999999996</v>
      </c>
      <c r="AP234" s="422">
        <f t="shared" si="120"/>
        <v>69.333333333333329</v>
      </c>
      <c r="AQ234" s="423">
        <f t="shared" si="121"/>
        <v>31.333333333333332</v>
      </c>
      <c r="AR234" s="423">
        <f t="shared" si="122"/>
        <v>1</v>
      </c>
      <c r="AS234" s="423">
        <f t="shared" si="123"/>
        <v>36.999999999999993</v>
      </c>
      <c r="AT234" s="424">
        <f t="shared" si="124"/>
        <v>0</v>
      </c>
      <c r="AU234" s="422">
        <f t="shared" si="125"/>
        <v>44.666666666666657</v>
      </c>
      <c r="AV234" s="423">
        <f t="shared" si="126"/>
        <v>15.666666666666664</v>
      </c>
      <c r="AW234" s="423">
        <f t="shared" si="127"/>
        <v>0</v>
      </c>
      <c r="AX234" s="423">
        <f t="shared" si="128"/>
        <v>24.000000000000004</v>
      </c>
      <c r="AY234" s="425">
        <f t="shared" si="129"/>
        <v>4.9999999999999991</v>
      </c>
    </row>
    <row r="235" spans="1:51" ht="13.9">
      <c r="A235" s="447" t="s">
        <v>267</v>
      </c>
      <c r="B235" s="448">
        <v>45170</v>
      </c>
      <c r="C235" s="449">
        <v>2023</v>
      </c>
      <c r="D235" s="421">
        <f t="shared" si="144"/>
        <v>4724236</v>
      </c>
      <c r="E235" s="421">
        <f t="shared" si="144"/>
        <v>139599.00000000003</v>
      </c>
      <c r="F235" s="422">
        <f t="shared" si="144"/>
        <v>101809.99999999999</v>
      </c>
      <c r="G235" s="423">
        <f t="shared" si="144"/>
        <v>46933.999999999985</v>
      </c>
      <c r="H235" s="423">
        <f t="shared" si="144"/>
        <v>2130.9999999999995</v>
      </c>
      <c r="I235" s="423">
        <f t="shared" si="144"/>
        <v>52220.999999999978</v>
      </c>
      <c r="J235" s="424">
        <f t="shared" si="144"/>
        <v>523.99999999999989</v>
      </c>
      <c r="K235" s="422">
        <f t="shared" si="144"/>
        <v>37788.999999999993</v>
      </c>
      <c r="L235" s="423">
        <f t="shared" si="144"/>
        <v>14487.000000000007</v>
      </c>
      <c r="M235" s="423">
        <f t="shared" si="144"/>
        <v>0</v>
      </c>
      <c r="N235" s="423">
        <f t="shared" si="144"/>
        <v>20320.000000000004</v>
      </c>
      <c r="O235" s="425">
        <f t="shared" si="144"/>
        <v>2981.9999999999991</v>
      </c>
      <c r="P235" s="526">
        <f t="shared" si="145"/>
        <v>8347.0000000000018</v>
      </c>
      <c r="Q235" s="423">
        <f t="shared" si="144"/>
        <v>111.99999999999996</v>
      </c>
      <c r="R235" s="422">
        <f t="shared" si="144"/>
        <v>66.999999999999986</v>
      </c>
      <c r="S235" s="423">
        <f t="shared" si="144"/>
        <v>31</v>
      </c>
      <c r="T235" s="423">
        <f t="shared" si="142"/>
        <v>1</v>
      </c>
      <c r="U235" s="423">
        <f t="shared" si="135"/>
        <v>34.999999999999993</v>
      </c>
      <c r="V235" s="424">
        <f t="shared" si="135"/>
        <v>0</v>
      </c>
      <c r="W235" s="422">
        <f t="shared" si="135"/>
        <v>44.999999999999993</v>
      </c>
      <c r="X235" s="423">
        <f t="shared" si="135"/>
        <v>14.999999999999998</v>
      </c>
      <c r="Y235" s="423">
        <f t="shared" si="135"/>
        <v>0</v>
      </c>
      <c r="Z235" s="423">
        <f t="shared" si="135"/>
        <v>25.000000000000004</v>
      </c>
      <c r="AA235" s="425">
        <f t="shared" si="135"/>
        <v>4.9999999999999991</v>
      </c>
      <c r="AB235" s="526">
        <f t="shared" si="135"/>
        <v>865.00000000000011</v>
      </c>
      <c r="AC235" s="423">
        <f t="shared" si="135"/>
        <v>7.9999999999999991</v>
      </c>
      <c r="AD235" s="422">
        <f t="shared" si="135"/>
        <v>5.9999999999999991</v>
      </c>
      <c r="AE235" s="423">
        <f t="shared" si="135"/>
        <v>1</v>
      </c>
      <c r="AF235" s="423">
        <f t="shared" si="135"/>
        <v>0</v>
      </c>
      <c r="AG235" s="423">
        <f t="shared" ref="AG235:AM235" si="149">AG124/3+AG234</f>
        <v>4.9999999999999991</v>
      </c>
      <c r="AH235" s="424">
        <f t="shared" si="149"/>
        <v>0</v>
      </c>
      <c r="AI235" s="422">
        <f t="shared" si="149"/>
        <v>1.9999999999999998</v>
      </c>
      <c r="AJ235" s="423">
        <f t="shared" si="149"/>
        <v>1</v>
      </c>
      <c r="AK235" s="423">
        <f t="shared" si="149"/>
        <v>0</v>
      </c>
      <c r="AL235" s="423">
        <f t="shared" si="149"/>
        <v>1</v>
      </c>
      <c r="AM235" s="425">
        <f t="shared" si="149"/>
        <v>0</v>
      </c>
      <c r="AO235" s="421">
        <f t="shared" si="119"/>
        <v>119.99999999999996</v>
      </c>
      <c r="AP235" s="422">
        <f t="shared" si="120"/>
        <v>72.999999999999986</v>
      </c>
      <c r="AQ235" s="423">
        <f t="shared" si="121"/>
        <v>32</v>
      </c>
      <c r="AR235" s="423">
        <f t="shared" si="122"/>
        <v>1</v>
      </c>
      <c r="AS235" s="423">
        <f t="shared" si="123"/>
        <v>39.999999999999993</v>
      </c>
      <c r="AT235" s="424">
        <f t="shared" si="124"/>
        <v>0</v>
      </c>
      <c r="AU235" s="422">
        <f t="shared" si="125"/>
        <v>46.999999999999993</v>
      </c>
      <c r="AV235" s="423">
        <f t="shared" si="126"/>
        <v>15.999999999999998</v>
      </c>
      <c r="AW235" s="423">
        <f t="shared" si="127"/>
        <v>0</v>
      </c>
      <c r="AX235" s="423">
        <f t="shared" si="128"/>
        <v>26.000000000000004</v>
      </c>
      <c r="AY235" s="425">
        <f t="shared" si="129"/>
        <v>4.9999999999999991</v>
      </c>
    </row>
    <row r="236" spans="1:51" ht="13.9">
      <c r="A236" s="447" t="s">
        <v>268</v>
      </c>
      <c r="B236" s="448">
        <v>45200</v>
      </c>
      <c r="C236" s="449">
        <v>2023</v>
      </c>
      <c r="D236" s="421">
        <f t="shared" si="144"/>
        <v>4781281</v>
      </c>
      <c r="E236" s="421">
        <f t="shared" si="144"/>
        <v>144300.66666666669</v>
      </c>
      <c r="F236" s="422">
        <f t="shared" si="144"/>
        <v>105453.66666666666</v>
      </c>
      <c r="G236" s="423">
        <f t="shared" si="144"/>
        <v>47763.333333333321</v>
      </c>
      <c r="H236" s="423">
        <f t="shared" si="144"/>
        <v>2314.333333333333</v>
      </c>
      <c r="I236" s="423">
        <f t="shared" si="144"/>
        <v>54798.999999999978</v>
      </c>
      <c r="J236" s="424">
        <f t="shared" si="144"/>
        <v>576.99999999999989</v>
      </c>
      <c r="K236" s="422">
        <f t="shared" si="144"/>
        <v>38846.999999999993</v>
      </c>
      <c r="L236" s="423">
        <f t="shared" si="144"/>
        <v>14557.000000000007</v>
      </c>
      <c r="M236" s="423">
        <f t="shared" si="144"/>
        <v>0</v>
      </c>
      <c r="N236" s="423">
        <f t="shared" si="144"/>
        <v>21287.333333333336</v>
      </c>
      <c r="O236" s="425">
        <f t="shared" si="144"/>
        <v>3002.6666666666656</v>
      </c>
      <c r="P236" s="526">
        <f t="shared" si="145"/>
        <v>8442.3333333333358</v>
      </c>
      <c r="Q236" s="423">
        <f t="shared" si="144"/>
        <v>114.33333333333329</v>
      </c>
      <c r="R236" s="422">
        <f t="shared" si="144"/>
        <v>68.333333333333314</v>
      </c>
      <c r="S236" s="423">
        <f t="shared" si="144"/>
        <v>31</v>
      </c>
      <c r="T236" s="423">
        <f t="shared" si="142"/>
        <v>1</v>
      </c>
      <c r="U236" s="423">
        <f t="shared" si="135"/>
        <v>36.333333333333329</v>
      </c>
      <c r="V236" s="424">
        <f t="shared" si="135"/>
        <v>0</v>
      </c>
      <c r="W236" s="422">
        <f t="shared" si="135"/>
        <v>45.999999999999993</v>
      </c>
      <c r="X236" s="423">
        <f t="shared" si="135"/>
        <v>14.999999999999998</v>
      </c>
      <c r="Y236" s="423">
        <f t="shared" si="135"/>
        <v>0</v>
      </c>
      <c r="Z236" s="423">
        <f t="shared" si="135"/>
        <v>26.000000000000004</v>
      </c>
      <c r="AA236" s="425">
        <f t="shared" si="135"/>
        <v>4.9999999999999991</v>
      </c>
      <c r="AB236" s="526">
        <f t="shared" si="135"/>
        <v>873.66666666666674</v>
      </c>
      <c r="AC236" s="423">
        <f t="shared" si="135"/>
        <v>8.3333333333333321</v>
      </c>
      <c r="AD236" s="422">
        <f t="shared" si="135"/>
        <v>5.9999999999999991</v>
      </c>
      <c r="AE236" s="423">
        <f t="shared" si="135"/>
        <v>1</v>
      </c>
      <c r="AF236" s="423">
        <f t="shared" si="135"/>
        <v>0</v>
      </c>
      <c r="AG236" s="423">
        <f t="shared" ref="AG236:AM236" si="150">AG125/3+AG235</f>
        <v>4.9999999999999991</v>
      </c>
      <c r="AH236" s="424">
        <f t="shared" si="150"/>
        <v>0</v>
      </c>
      <c r="AI236" s="422">
        <f t="shared" si="150"/>
        <v>2.333333333333333</v>
      </c>
      <c r="AJ236" s="423">
        <f t="shared" si="150"/>
        <v>1</v>
      </c>
      <c r="AK236" s="423">
        <f t="shared" si="150"/>
        <v>0</v>
      </c>
      <c r="AL236" s="423">
        <f t="shared" si="150"/>
        <v>1.3333333333333333</v>
      </c>
      <c r="AM236" s="425">
        <f t="shared" si="150"/>
        <v>0</v>
      </c>
      <c r="AO236" s="421">
        <f t="shared" si="119"/>
        <v>122.66666666666661</v>
      </c>
      <c r="AP236" s="422">
        <f t="shared" si="120"/>
        <v>74.333333333333314</v>
      </c>
      <c r="AQ236" s="423">
        <f t="shared" si="121"/>
        <v>32</v>
      </c>
      <c r="AR236" s="423">
        <f t="shared" si="122"/>
        <v>1</v>
      </c>
      <c r="AS236" s="423">
        <f t="shared" si="123"/>
        <v>41.333333333333329</v>
      </c>
      <c r="AT236" s="424">
        <f t="shared" si="124"/>
        <v>0</v>
      </c>
      <c r="AU236" s="422">
        <f t="shared" si="125"/>
        <v>48.333333333333329</v>
      </c>
      <c r="AV236" s="423">
        <f t="shared" si="126"/>
        <v>15.999999999999998</v>
      </c>
      <c r="AW236" s="423">
        <f t="shared" si="127"/>
        <v>0</v>
      </c>
      <c r="AX236" s="423">
        <f t="shared" si="128"/>
        <v>27.333333333333336</v>
      </c>
      <c r="AY236" s="425">
        <f t="shared" si="129"/>
        <v>4.9999999999999991</v>
      </c>
    </row>
    <row r="237" spans="1:51" ht="13.9">
      <c r="A237" s="447" t="s">
        <v>268</v>
      </c>
      <c r="B237" s="448">
        <v>45231</v>
      </c>
      <c r="C237" s="449">
        <v>2023</v>
      </c>
      <c r="D237" s="421">
        <f t="shared" si="144"/>
        <v>4838326</v>
      </c>
      <c r="E237" s="421">
        <f t="shared" si="144"/>
        <v>149002.33333333334</v>
      </c>
      <c r="F237" s="422">
        <f t="shared" si="144"/>
        <v>109097.33333333333</v>
      </c>
      <c r="G237" s="423">
        <f t="shared" si="144"/>
        <v>48592.666666666657</v>
      </c>
      <c r="H237" s="423">
        <f t="shared" si="144"/>
        <v>2497.6666666666665</v>
      </c>
      <c r="I237" s="423">
        <f t="shared" si="144"/>
        <v>57376.999999999978</v>
      </c>
      <c r="J237" s="424">
        <f t="shared" si="144"/>
        <v>629.99999999999989</v>
      </c>
      <c r="K237" s="422">
        <f t="shared" si="144"/>
        <v>39904.999999999993</v>
      </c>
      <c r="L237" s="423">
        <f t="shared" si="144"/>
        <v>14627.000000000007</v>
      </c>
      <c r="M237" s="423">
        <f t="shared" si="144"/>
        <v>0</v>
      </c>
      <c r="N237" s="423">
        <f t="shared" si="144"/>
        <v>22254.666666666668</v>
      </c>
      <c r="O237" s="425">
        <f t="shared" si="144"/>
        <v>3023.3333333333321</v>
      </c>
      <c r="P237" s="526">
        <f t="shared" si="145"/>
        <v>8537.6666666666697</v>
      </c>
      <c r="Q237" s="423">
        <f t="shared" si="144"/>
        <v>116.66666666666661</v>
      </c>
      <c r="R237" s="422">
        <f t="shared" si="144"/>
        <v>69.666666666666643</v>
      </c>
      <c r="S237" s="423">
        <f t="shared" si="144"/>
        <v>31</v>
      </c>
      <c r="T237" s="423">
        <f t="shared" si="142"/>
        <v>1</v>
      </c>
      <c r="U237" s="423">
        <f t="shared" si="135"/>
        <v>37.666666666666664</v>
      </c>
      <c r="V237" s="424">
        <f t="shared" si="135"/>
        <v>0</v>
      </c>
      <c r="W237" s="422">
        <f t="shared" si="135"/>
        <v>46.999999999999993</v>
      </c>
      <c r="X237" s="423">
        <f t="shared" si="135"/>
        <v>14.999999999999998</v>
      </c>
      <c r="Y237" s="423">
        <f t="shared" si="135"/>
        <v>0</v>
      </c>
      <c r="Z237" s="423">
        <f t="shared" si="135"/>
        <v>27.000000000000004</v>
      </c>
      <c r="AA237" s="425">
        <f t="shared" si="135"/>
        <v>4.9999999999999991</v>
      </c>
      <c r="AB237" s="526">
        <f t="shared" si="135"/>
        <v>882.33333333333337</v>
      </c>
      <c r="AC237" s="423">
        <f t="shared" si="135"/>
        <v>8.6666666666666661</v>
      </c>
      <c r="AD237" s="422">
        <f t="shared" si="135"/>
        <v>5.9999999999999991</v>
      </c>
      <c r="AE237" s="423">
        <f t="shared" si="135"/>
        <v>1</v>
      </c>
      <c r="AF237" s="423">
        <f t="shared" si="135"/>
        <v>0</v>
      </c>
      <c r="AG237" s="423">
        <f t="shared" ref="AG237:AM237" si="151">AG126/3+AG236</f>
        <v>4.9999999999999991</v>
      </c>
      <c r="AH237" s="424">
        <f t="shared" si="151"/>
        <v>0</v>
      </c>
      <c r="AI237" s="422">
        <f t="shared" si="151"/>
        <v>2.6666666666666665</v>
      </c>
      <c r="AJ237" s="423">
        <f t="shared" si="151"/>
        <v>1</v>
      </c>
      <c r="AK237" s="423">
        <f t="shared" si="151"/>
        <v>0</v>
      </c>
      <c r="AL237" s="423">
        <f t="shared" si="151"/>
        <v>1.6666666666666665</v>
      </c>
      <c r="AM237" s="425">
        <f t="shared" si="151"/>
        <v>0</v>
      </c>
      <c r="AO237" s="421">
        <f t="shared" si="119"/>
        <v>125.33333333333329</v>
      </c>
      <c r="AP237" s="422">
        <f t="shared" si="120"/>
        <v>75.666666666666643</v>
      </c>
      <c r="AQ237" s="423">
        <f t="shared" si="121"/>
        <v>32</v>
      </c>
      <c r="AR237" s="423">
        <f t="shared" si="122"/>
        <v>1</v>
      </c>
      <c r="AS237" s="423">
        <f t="shared" si="123"/>
        <v>42.666666666666664</v>
      </c>
      <c r="AT237" s="424">
        <f t="shared" si="124"/>
        <v>0</v>
      </c>
      <c r="AU237" s="422">
        <f t="shared" si="125"/>
        <v>49.666666666666657</v>
      </c>
      <c r="AV237" s="423">
        <f t="shared" si="126"/>
        <v>15.999999999999998</v>
      </c>
      <c r="AW237" s="423">
        <f t="shared" si="127"/>
        <v>0</v>
      </c>
      <c r="AX237" s="423">
        <f t="shared" si="128"/>
        <v>28.666666666666671</v>
      </c>
      <c r="AY237" s="425">
        <f t="shared" si="129"/>
        <v>4.9999999999999991</v>
      </c>
    </row>
    <row r="238" spans="1:51" ht="13.9">
      <c r="A238" s="447" t="s">
        <v>268</v>
      </c>
      <c r="B238" s="448">
        <v>45261</v>
      </c>
      <c r="C238" s="449">
        <v>2023</v>
      </c>
      <c r="D238" s="421">
        <f t="shared" si="144"/>
        <v>4895371</v>
      </c>
      <c r="E238" s="421">
        <f t="shared" si="144"/>
        <v>153704</v>
      </c>
      <c r="F238" s="422">
        <f t="shared" si="144"/>
        <v>112741</v>
      </c>
      <c r="G238" s="423">
        <f t="shared" si="144"/>
        <v>49421.999999999993</v>
      </c>
      <c r="H238" s="423">
        <f t="shared" si="144"/>
        <v>2681</v>
      </c>
      <c r="I238" s="423">
        <f t="shared" si="144"/>
        <v>59954.999999999978</v>
      </c>
      <c r="J238" s="424">
        <f t="shared" si="144"/>
        <v>682.99999999999989</v>
      </c>
      <c r="K238" s="422">
        <f t="shared" si="144"/>
        <v>40962.999999999993</v>
      </c>
      <c r="L238" s="423">
        <f t="shared" si="144"/>
        <v>14697.000000000007</v>
      </c>
      <c r="M238" s="423">
        <f t="shared" si="144"/>
        <v>0</v>
      </c>
      <c r="N238" s="423">
        <f t="shared" si="144"/>
        <v>23222</v>
      </c>
      <c r="O238" s="425">
        <f t="shared" si="144"/>
        <v>3043.9999999999986</v>
      </c>
      <c r="P238" s="526">
        <f t="shared" si="145"/>
        <v>8633.0000000000036</v>
      </c>
      <c r="Q238" s="423">
        <f t="shared" si="144"/>
        <v>118.99999999999994</v>
      </c>
      <c r="R238" s="422">
        <f t="shared" si="144"/>
        <v>70.999999999999972</v>
      </c>
      <c r="S238" s="423">
        <f t="shared" si="144"/>
        <v>31</v>
      </c>
      <c r="T238" s="423">
        <f t="shared" si="142"/>
        <v>1</v>
      </c>
      <c r="U238" s="423">
        <f t="shared" si="135"/>
        <v>39</v>
      </c>
      <c r="V238" s="424">
        <f t="shared" si="135"/>
        <v>0</v>
      </c>
      <c r="W238" s="422">
        <f t="shared" si="135"/>
        <v>47.999999999999993</v>
      </c>
      <c r="X238" s="423">
        <f t="shared" si="135"/>
        <v>14.999999999999998</v>
      </c>
      <c r="Y238" s="423">
        <f t="shared" si="135"/>
        <v>0</v>
      </c>
      <c r="Z238" s="423">
        <f t="shared" si="135"/>
        <v>28.000000000000004</v>
      </c>
      <c r="AA238" s="425">
        <f t="shared" si="135"/>
        <v>4.9999999999999991</v>
      </c>
      <c r="AB238" s="526">
        <f t="shared" si="135"/>
        <v>891</v>
      </c>
      <c r="AC238" s="423">
        <f t="shared" si="135"/>
        <v>9</v>
      </c>
      <c r="AD238" s="422">
        <f t="shared" si="135"/>
        <v>5.9999999999999991</v>
      </c>
      <c r="AE238" s="423">
        <f t="shared" si="135"/>
        <v>1</v>
      </c>
      <c r="AF238" s="423">
        <f t="shared" si="135"/>
        <v>0</v>
      </c>
      <c r="AG238" s="423">
        <f t="shared" ref="AG238:AM238" si="152">AG127/3+AG237</f>
        <v>4.9999999999999991</v>
      </c>
      <c r="AH238" s="424">
        <f t="shared" si="152"/>
        <v>0</v>
      </c>
      <c r="AI238" s="422">
        <f t="shared" si="152"/>
        <v>3</v>
      </c>
      <c r="AJ238" s="423">
        <f t="shared" si="152"/>
        <v>1</v>
      </c>
      <c r="AK238" s="423">
        <f t="shared" si="152"/>
        <v>0</v>
      </c>
      <c r="AL238" s="423">
        <f t="shared" si="152"/>
        <v>1.9999999999999998</v>
      </c>
      <c r="AM238" s="425">
        <f t="shared" si="152"/>
        <v>0</v>
      </c>
      <c r="AO238" s="421">
        <f t="shared" si="119"/>
        <v>127.99999999999994</v>
      </c>
      <c r="AP238" s="422">
        <f t="shared" si="120"/>
        <v>76.999999999999972</v>
      </c>
      <c r="AQ238" s="423">
        <f t="shared" si="121"/>
        <v>32</v>
      </c>
      <c r="AR238" s="423">
        <f t="shared" si="122"/>
        <v>1</v>
      </c>
      <c r="AS238" s="423">
        <f t="shared" si="123"/>
        <v>44</v>
      </c>
      <c r="AT238" s="424">
        <f t="shared" si="124"/>
        <v>0</v>
      </c>
      <c r="AU238" s="422">
        <f t="shared" si="125"/>
        <v>50.999999999999993</v>
      </c>
      <c r="AV238" s="423">
        <f t="shared" si="126"/>
        <v>15.999999999999998</v>
      </c>
      <c r="AW238" s="423">
        <f t="shared" si="127"/>
        <v>0</v>
      </c>
      <c r="AX238" s="423">
        <f t="shared" si="128"/>
        <v>30.000000000000004</v>
      </c>
      <c r="AY238" s="425">
        <f t="shared" si="129"/>
        <v>4.9999999999999991</v>
      </c>
    </row>
    <row r="239" spans="1:51" ht="13.9">
      <c r="A239" s="447" t="s">
        <v>269</v>
      </c>
      <c r="B239" s="448">
        <v>45292</v>
      </c>
      <c r="C239" s="449">
        <v>2024</v>
      </c>
      <c r="D239" s="421">
        <f t="shared" si="144"/>
        <v>4949713.333333333</v>
      </c>
      <c r="E239" s="421">
        <f t="shared" si="144"/>
        <v>157379.33333333334</v>
      </c>
      <c r="F239" s="422">
        <f t="shared" si="144"/>
        <v>115455.66666666667</v>
      </c>
      <c r="G239" s="423">
        <f t="shared" si="144"/>
        <v>49953.999999999993</v>
      </c>
      <c r="H239" s="423">
        <f t="shared" si="144"/>
        <v>2837.3333333333335</v>
      </c>
      <c r="I239" s="423">
        <f t="shared" si="144"/>
        <v>61964.999999999978</v>
      </c>
      <c r="J239" s="424">
        <f t="shared" si="144"/>
        <v>699.33333333333326</v>
      </c>
      <c r="K239" s="422">
        <f t="shared" si="144"/>
        <v>41923.666666666657</v>
      </c>
      <c r="L239" s="423">
        <f t="shared" si="144"/>
        <v>14826.333333333341</v>
      </c>
      <c r="M239" s="423">
        <f t="shared" si="144"/>
        <v>0</v>
      </c>
      <c r="N239" s="423">
        <f t="shared" si="144"/>
        <v>24029.666666666668</v>
      </c>
      <c r="O239" s="425">
        <f t="shared" si="144"/>
        <v>3067.6666666666652</v>
      </c>
      <c r="P239" s="526">
        <f t="shared" si="145"/>
        <v>8725.6666666666697</v>
      </c>
      <c r="Q239" s="423">
        <f t="shared" si="144"/>
        <v>122.99999999999994</v>
      </c>
      <c r="R239" s="422">
        <f t="shared" si="144"/>
        <v>73.999999999999972</v>
      </c>
      <c r="S239" s="423">
        <f t="shared" si="144"/>
        <v>31.333333333333332</v>
      </c>
      <c r="T239" s="423">
        <f t="shared" si="142"/>
        <v>1.6666666666666665</v>
      </c>
      <c r="U239" s="423">
        <f t="shared" si="135"/>
        <v>41</v>
      </c>
      <c r="V239" s="424">
        <f t="shared" si="135"/>
        <v>0</v>
      </c>
      <c r="W239" s="422">
        <f t="shared" si="135"/>
        <v>48.999999999999993</v>
      </c>
      <c r="X239" s="423">
        <f t="shared" si="135"/>
        <v>15.333333333333332</v>
      </c>
      <c r="Y239" s="423">
        <f t="shared" si="135"/>
        <v>0</v>
      </c>
      <c r="Z239" s="423">
        <f t="shared" si="135"/>
        <v>28.666666666666671</v>
      </c>
      <c r="AA239" s="425">
        <f t="shared" si="135"/>
        <v>4.9999999999999991</v>
      </c>
      <c r="AB239" s="526">
        <f t="shared" si="135"/>
        <v>897</v>
      </c>
      <c r="AC239" s="423">
        <f t="shared" si="135"/>
        <v>9</v>
      </c>
      <c r="AD239" s="422">
        <f t="shared" si="135"/>
        <v>5.9999999999999991</v>
      </c>
      <c r="AE239" s="423">
        <f t="shared" si="135"/>
        <v>1</v>
      </c>
      <c r="AF239" s="423">
        <f t="shared" si="135"/>
        <v>0</v>
      </c>
      <c r="AG239" s="423">
        <f t="shared" ref="AG239:AM239" si="153">AG128/3+AG238</f>
        <v>4.9999999999999991</v>
      </c>
      <c r="AH239" s="424">
        <f t="shared" si="153"/>
        <v>0</v>
      </c>
      <c r="AI239" s="422">
        <f t="shared" si="153"/>
        <v>3</v>
      </c>
      <c r="AJ239" s="423">
        <f t="shared" si="153"/>
        <v>1</v>
      </c>
      <c r="AK239" s="423">
        <f t="shared" si="153"/>
        <v>0</v>
      </c>
      <c r="AL239" s="423">
        <f t="shared" si="153"/>
        <v>1.9999999999999998</v>
      </c>
      <c r="AM239" s="425">
        <f t="shared" si="153"/>
        <v>0</v>
      </c>
      <c r="AO239" s="421">
        <f t="shared" si="119"/>
        <v>131.99999999999994</v>
      </c>
      <c r="AP239" s="422">
        <f t="shared" si="120"/>
        <v>79.999999999999972</v>
      </c>
      <c r="AQ239" s="423">
        <f t="shared" si="121"/>
        <v>32.333333333333329</v>
      </c>
      <c r="AR239" s="423">
        <f t="shared" si="122"/>
        <v>1.6666666666666665</v>
      </c>
      <c r="AS239" s="423">
        <f t="shared" si="123"/>
        <v>46</v>
      </c>
      <c r="AT239" s="424">
        <f t="shared" si="124"/>
        <v>0</v>
      </c>
      <c r="AU239" s="422">
        <f t="shared" si="125"/>
        <v>51.999999999999993</v>
      </c>
      <c r="AV239" s="423">
        <f t="shared" si="126"/>
        <v>16.333333333333332</v>
      </c>
      <c r="AW239" s="423">
        <f t="shared" si="127"/>
        <v>0</v>
      </c>
      <c r="AX239" s="423">
        <f t="shared" si="128"/>
        <v>30.666666666666671</v>
      </c>
      <c r="AY239" s="425">
        <f t="shared" si="129"/>
        <v>4.9999999999999991</v>
      </c>
    </row>
    <row r="240" spans="1:51" ht="13.9">
      <c r="A240" s="447" t="s">
        <v>269</v>
      </c>
      <c r="B240" s="448">
        <v>45323</v>
      </c>
      <c r="C240" s="449">
        <v>2024</v>
      </c>
      <c r="D240" s="421">
        <f t="shared" si="144"/>
        <v>5004055.666666666</v>
      </c>
      <c r="E240" s="421">
        <f t="shared" si="144"/>
        <v>161054.66666666669</v>
      </c>
      <c r="F240" s="422">
        <f t="shared" si="144"/>
        <v>118170.33333333334</v>
      </c>
      <c r="G240" s="423">
        <f t="shared" si="144"/>
        <v>50485.999999999993</v>
      </c>
      <c r="H240" s="423">
        <f t="shared" si="144"/>
        <v>2993.666666666667</v>
      </c>
      <c r="I240" s="423">
        <f t="shared" si="144"/>
        <v>63974.999999999978</v>
      </c>
      <c r="J240" s="424">
        <f t="shared" si="144"/>
        <v>715.66666666666663</v>
      </c>
      <c r="K240" s="422">
        <f t="shared" si="144"/>
        <v>42884.333333333321</v>
      </c>
      <c r="L240" s="423">
        <f t="shared" si="144"/>
        <v>14955.666666666675</v>
      </c>
      <c r="M240" s="423">
        <f t="shared" si="144"/>
        <v>0</v>
      </c>
      <c r="N240" s="423">
        <f t="shared" si="144"/>
        <v>24837.333333333336</v>
      </c>
      <c r="O240" s="425">
        <f t="shared" si="144"/>
        <v>3091.3333333333317</v>
      </c>
      <c r="P240" s="526">
        <f t="shared" si="145"/>
        <v>8818.3333333333358</v>
      </c>
      <c r="Q240" s="423">
        <f t="shared" si="144"/>
        <v>126.99999999999994</v>
      </c>
      <c r="R240" s="422">
        <f t="shared" si="144"/>
        <v>76.999999999999972</v>
      </c>
      <c r="S240" s="423">
        <f t="shared" si="144"/>
        <v>31.666666666666664</v>
      </c>
      <c r="T240" s="423">
        <f t="shared" si="142"/>
        <v>2.333333333333333</v>
      </c>
      <c r="U240" s="423">
        <f t="shared" si="135"/>
        <v>43</v>
      </c>
      <c r="V240" s="424">
        <f t="shared" si="135"/>
        <v>0</v>
      </c>
      <c r="W240" s="422">
        <f t="shared" si="135"/>
        <v>49.999999999999993</v>
      </c>
      <c r="X240" s="423">
        <f t="shared" si="135"/>
        <v>15.666666666666666</v>
      </c>
      <c r="Y240" s="423">
        <f t="shared" si="135"/>
        <v>0</v>
      </c>
      <c r="Z240" s="423">
        <f t="shared" si="135"/>
        <v>29.333333333333339</v>
      </c>
      <c r="AA240" s="425">
        <f t="shared" si="135"/>
        <v>4.9999999999999991</v>
      </c>
      <c r="AB240" s="526">
        <f t="shared" si="135"/>
        <v>903</v>
      </c>
      <c r="AC240" s="423">
        <f t="shared" si="135"/>
        <v>9</v>
      </c>
      <c r="AD240" s="422">
        <f t="shared" si="135"/>
        <v>5.9999999999999991</v>
      </c>
      <c r="AE240" s="423">
        <f t="shared" si="135"/>
        <v>1</v>
      </c>
      <c r="AF240" s="423">
        <f t="shared" si="135"/>
        <v>0</v>
      </c>
      <c r="AG240" s="423">
        <f t="shared" ref="AG240:AM240" si="154">AG129/3+AG239</f>
        <v>4.9999999999999991</v>
      </c>
      <c r="AH240" s="424">
        <f t="shared" si="154"/>
        <v>0</v>
      </c>
      <c r="AI240" s="422">
        <f t="shared" si="154"/>
        <v>3</v>
      </c>
      <c r="AJ240" s="423">
        <f t="shared" si="154"/>
        <v>1</v>
      </c>
      <c r="AK240" s="423">
        <f t="shared" si="154"/>
        <v>0</v>
      </c>
      <c r="AL240" s="423">
        <f t="shared" si="154"/>
        <v>1.9999999999999998</v>
      </c>
      <c r="AM240" s="425">
        <f t="shared" si="154"/>
        <v>0</v>
      </c>
      <c r="AO240" s="421">
        <f t="shared" si="119"/>
        <v>135.99999999999994</v>
      </c>
      <c r="AP240" s="422">
        <f t="shared" si="120"/>
        <v>82.999999999999972</v>
      </c>
      <c r="AQ240" s="423">
        <f t="shared" si="121"/>
        <v>32.666666666666664</v>
      </c>
      <c r="AR240" s="423">
        <f t="shared" si="122"/>
        <v>2.333333333333333</v>
      </c>
      <c r="AS240" s="423">
        <f t="shared" si="123"/>
        <v>48</v>
      </c>
      <c r="AT240" s="424">
        <f t="shared" si="124"/>
        <v>0</v>
      </c>
      <c r="AU240" s="422">
        <f t="shared" si="125"/>
        <v>52.999999999999993</v>
      </c>
      <c r="AV240" s="423">
        <f t="shared" si="126"/>
        <v>16.666666666666664</v>
      </c>
      <c r="AW240" s="423">
        <f t="shared" si="127"/>
        <v>0</v>
      </c>
      <c r="AX240" s="423">
        <f t="shared" si="128"/>
        <v>31.333333333333339</v>
      </c>
      <c r="AY240" s="425">
        <f t="shared" si="129"/>
        <v>4.9999999999999991</v>
      </c>
    </row>
    <row r="241" spans="1:51" ht="13.9">
      <c r="A241" s="447" t="s">
        <v>269</v>
      </c>
      <c r="B241" s="448">
        <v>45352</v>
      </c>
      <c r="C241" s="449">
        <v>2024</v>
      </c>
      <c r="D241" s="421">
        <f t="shared" si="144"/>
        <v>5058397.9999999991</v>
      </c>
      <c r="E241" s="421">
        <f t="shared" si="144"/>
        <v>164730.00000000003</v>
      </c>
      <c r="F241" s="422">
        <f t="shared" si="144"/>
        <v>120885.00000000001</v>
      </c>
      <c r="G241" s="423">
        <f t="shared" si="144"/>
        <v>51017.999999999993</v>
      </c>
      <c r="H241" s="423">
        <f t="shared" si="144"/>
        <v>3150.0000000000005</v>
      </c>
      <c r="I241" s="423">
        <f t="shared" si="144"/>
        <v>65984.999999999971</v>
      </c>
      <c r="J241" s="424">
        <f t="shared" si="144"/>
        <v>732</v>
      </c>
      <c r="K241" s="422">
        <f t="shared" si="144"/>
        <v>43844.999999999985</v>
      </c>
      <c r="L241" s="423">
        <f t="shared" si="144"/>
        <v>15085.000000000009</v>
      </c>
      <c r="M241" s="423">
        <f t="shared" si="144"/>
        <v>0</v>
      </c>
      <c r="N241" s="423">
        <f t="shared" si="144"/>
        <v>25645.000000000004</v>
      </c>
      <c r="O241" s="425">
        <f t="shared" si="144"/>
        <v>3114.9999999999982</v>
      </c>
      <c r="P241" s="526">
        <f t="shared" si="145"/>
        <v>8911.0000000000018</v>
      </c>
      <c r="Q241" s="423">
        <f t="shared" si="144"/>
        <v>130.99999999999994</v>
      </c>
      <c r="R241" s="422">
        <f t="shared" si="144"/>
        <v>79.999999999999972</v>
      </c>
      <c r="S241" s="423">
        <f t="shared" si="144"/>
        <v>31.999999999999996</v>
      </c>
      <c r="T241" s="423">
        <f t="shared" si="142"/>
        <v>2.9999999999999996</v>
      </c>
      <c r="U241" s="423">
        <f t="shared" ref="U241:AE246" si="155">U130/3+U240</f>
        <v>45</v>
      </c>
      <c r="V241" s="424">
        <f t="shared" si="155"/>
        <v>0</v>
      </c>
      <c r="W241" s="422">
        <f t="shared" si="155"/>
        <v>50.999999999999993</v>
      </c>
      <c r="X241" s="423">
        <f t="shared" si="155"/>
        <v>16</v>
      </c>
      <c r="Y241" s="423">
        <f t="shared" si="155"/>
        <v>0</v>
      </c>
      <c r="Z241" s="423">
        <f t="shared" si="155"/>
        <v>30.000000000000007</v>
      </c>
      <c r="AA241" s="425">
        <f t="shared" si="155"/>
        <v>4.9999999999999991</v>
      </c>
      <c r="AB241" s="526">
        <f t="shared" si="155"/>
        <v>909</v>
      </c>
      <c r="AC241" s="423">
        <f t="shared" si="155"/>
        <v>9</v>
      </c>
      <c r="AD241" s="422">
        <f t="shared" si="155"/>
        <v>5.9999999999999991</v>
      </c>
      <c r="AE241" s="423">
        <f t="shared" si="155"/>
        <v>1</v>
      </c>
      <c r="AF241" s="423">
        <f t="shared" ref="AF241:AM241" si="156">AF130/3+AF240</f>
        <v>0</v>
      </c>
      <c r="AG241" s="423">
        <f t="shared" si="156"/>
        <v>4.9999999999999991</v>
      </c>
      <c r="AH241" s="424">
        <f t="shared" si="156"/>
        <v>0</v>
      </c>
      <c r="AI241" s="422">
        <f t="shared" si="156"/>
        <v>3</v>
      </c>
      <c r="AJ241" s="423">
        <f t="shared" si="156"/>
        <v>1</v>
      </c>
      <c r="AK241" s="423">
        <f t="shared" si="156"/>
        <v>0</v>
      </c>
      <c r="AL241" s="423">
        <f t="shared" si="156"/>
        <v>1.9999999999999998</v>
      </c>
      <c r="AM241" s="425">
        <f t="shared" si="156"/>
        <v>0</v>
      </c>
      <c r="AO241" s="421">
        <f t="shared" si="119"/>
        <v>139.99999999999994</v>
      </c>
      <c r="AP241" s="422">
        <f t="shared" si="120"/>
        <v>85.999999999999972</v>
      </c>
      <c r="AQ241" s="423">
        <f t="shared" si="121"/>
        <v>33</v>
      </c>
      <c r="AR241" s="423">
        <f t="shared" si="122"/>
        <v>2.9999999999999996</v>
      </c>
      <c r="AS241" s="423">
        <f t="shared" si="123"/>
        <v>50</v>
      </c>
      <c r="AT241" s="424">
        <f t="shared" si="124"/>
        <v>0</v>
      </c>
      <c r="AU241" s="422">
        <f t="shared" si="125"/>
        <v>53.999999999999993</v>
      </c>
      <c r="AV241" s="423">
        <f t="shared" si="126"/>
        <v>17</v>
      </c>
      <c r="AW241" s="423">
        <f t="shared" si="127"/>
        <v>0</v>
      </c>
      <c r="AX241" s="423">
        <f t="shared" si="128"/>
        <v>32.000000000000007</v>
      </c>
      <c r="AY241" s="425">
        <f t="shared" si="129"/>
        <v>4.9999999999999991</v>
      </c>
    </row>
    <row r="242" spans="1:51" ht="13.9">
      <c r="A242" s="447" t="s">
        <v>270</v>
      </c>
      <c r="B242" s="448">
        <v>45383</v>
      </c>
      <c r="C242" s="449">
        <v>2024</v>
      </c>
      <c r="D242" s="421">
        <f t="shared" si="144"/>
        <v>5121907.9999999991</v>
      </c>
      <c r="E242" s="421">
        <f t="shared" si="144"/>
        <v>169520.00000000003</v>
      </c>
      <c r="F242" s="422">
        <f t="shared" si="144"/>
        <v>124372.33333333334</v>
      </c>
      <c r="G242" s="423">
        <f t="shared" si="144"/>
        <v>51842.666666666657</v>
      </c>
      <c r="H242" s="423">
        <f t="shared" si="144"/>
        <v>3393.3333333333339</v>
      </c>
      <c r="I242" s="423">
        <f t="shared" si="144"/>
        <v>68387.999999999971</v>
      </c>
      <c r="J242" s="424">
        <f t="shared" si="144"/>
        <v>748.33333333333337</v>
      </c>
      <c r="K242" s="422">
        <f t="shared" si="144"/>
        <v>45147.66666666665</v>
      </c>
      <c r="L242" s="423">
        <f t="shared" si="144"/>
        <v>15150.333333333343</v>
      </c>
      <c r="M242" s="423">
        <f t="shared" si="144"/>
        <v>0</v>
      </c>
      <c r="N242" s="423">
        <f t="shared" si="144"/>
        <v>26837.666666666672</v>
      </c>
      <c r="O242" s="425">
        <f t="shared" si="144"/>
        <v>3159.6666666666647</v>
      </c>
      <c r="P242" s="526">
        <f t="shared" si="145"/>
        <v>9019.3333333333358</v>
      </c>
      <c r="Q242" s="423">
        <f t="shared" si="144"/>
        <v>134.6666666666666</v>
      </c>
      <c r="R242" s="422">
        <f t="shared" si="144"/>
        <v>81.999999999999972</v>
      </c>
      <c r="S242" s="423">
        <f t="shared" si="144"/>
        <v>32.333333333333329</v>
      </c>
      <c r="T242" s="423">
        <f t="shared" si="142"/>
        <v>3.333333333333333</v>
      </c>
      <c r="U242" s="423">
        <f t="shared" si="155"/>
        <v>46.333333333333336</v>
      </c>
      <c r="V242" s="424">
        <f t="shared" si="155"/>
        <v>0</v>
      </c>
      <c r="W242" s="422">
        <f t="shared" si="155"/>
        <v>52.666666666666657</v>
      </c>
      <c r="X242" s="423">
        <f t="shared" si="155"/>
        <v>16</v>
      </c>
      <c r="Y242" s="423">
        <f t="shared" si="155"/>
        <v>0</v>
      </c>
      <c r="Z242" s="423">
        <f t="shared" si="155"/>
        <v>31.666666666666675</v>
      </c>
      <c r="AA242" s="425">
        <f t="shared" si="155"/>
        <v>4.9999999999999991</v>
      </c>
      <c r="AB242" s="526">
        <f t="shared" si="155"/>
        <v>922.33333333333337</v>
      </c>
      <c r="AC242" s="423">
        <f t="shared" si="155"/>
        <v>9.3333333333333339</v>
      </c>
      <c r="AD242" s="422">
        <f t="shared" si="155"/>
        <v>5.9999999999999991</v>
      </c>
      <c r="AE242" s="423">
        <f t="shared" si="155"/>
        <v>1</v>
      </c>
      <c r="AF242" s="423">
        <f t="shared" ref="AF242:AM242" si="157">AF131/3+AF241</f>
        <v>0</v>
      </c>
      <c r="AG242" s="423">
        <f t="shared" si="157"/>
        <v>4.9999999999999991</v>
      </c>
      <c r="AH242" s="424">
        <f t="shared" si="157"/>
        <v>0</v>
      </c>
      <c r="AI242" s="422">
        <f t="shared" si="157"/>
        <v>3.3333333333333335</v>
      </c>
      <c r="AJ242" s="423">
        <f t="shared" si="157"/>
        <v>1</v>
      </c>
      <c r="AK242" s="423">
        <f t="shared" si="157"/>
        <v>0</v>
      </c>
      <c r="AL242" s="423">
        <f t="shared" si="157"/>
        <v>2.333333333333333</v>
      </c>
      <c r="AM242" s="425">
        <f t="shared" si="157"/>
        <v>0</v>
      </c>
      <c r="AO242" s="421">
        <f t="shared" si="119"/>
        <v>143.99999999999994</v>
      </c>
      <c r="AP242" s="422">
        <f t="shared" si="120"/>
        <v>87.999999999999972</v>
      </c>
      <c r="AQ242" s="423">
        <f t="shared" si="121"/>
        <v>33.333333333333329</v>
      </c>
      <c r="AR242" s="423">
        <f t="shared" si="122"/>
        <v>3.333333333333333</v>
      </c>
      <c r="AS242" s="423">
        <f t="shared" si="123"/>
        <v>51.333333333333336</v>
      </c>
      <c r="AT242" s="424">
        <f t="shared" si="124"/>
        <v>0</v>
      </c>
      <c r="AU242" s="422">
        <f t="shared" si="125"/>
        <v>55.999999999999993</v>
      </c>
      <c r="AV242" s="423">
        <f t="shared" si="126"/>
        <v>17</v>
      </c>
      <c r="AW242" s="423">
        <f t="shared" si="127"/>
        <v>0</v>
      </c>
      <c r="AX242" s="423">
        <f t="shared" si="128"/>
        <v>34.000000000000007</v>
      </c>
      <c r="AY242" s="425">
        <f t="shared" si="129"/>
        <v>4.9999999999999991</v>
      </c>
    </row>
    <row r="243" spans="1:51" ht="13.9">
      <c r="A243" s="447" t="s">
        <v>270</v>
      </c>
      <c r="B243" s="448">
        <v>45413</v>
      </c>
      <c r="C243" s="449">
        <v>2024</v>
      </c>
      <c r="D243" s="421">
        <f t="shared" si="144"/>
        <v>5185417.9999999991</v>
      </c>
      <c r="E243" s="421">
        <f t="shared" si="144"/>
        <v>174310.00000000003</v>
      </c>
      <c r="F243" s="422">
        <f t="shared" si="144"/>
        <v>127859.66666666667</v>
      </c>
      <c r="G243" s="423">
        <f t="shared" si="144"/>
        <v>52667.333333333321</v>
      </c>
      <c r="H243" s="423">
        <f t="shared" si="144"/>
        <v>3636.6666666666674</v>
      </c>
      <c r="I243" s="423">
        <f t="shared" si="144"/>
        <v>70790.999999999971</v>
      </c>
      <c r="J243" s="424">
        <f t="shared" si="144"/>
        <v>764.66666666666674</v>
      </c>
      <c r="K243" s="422">
        <f t="shared" si="144"/>
        <v>46450.333333333314</v>
      </c>
      <c r="L243" s="423">
        <f t="shared" si="144"/>
        <v>15215.666666666677</v>
      </c>
      <c r="M243" s="423">
        <f t="shared" si="144"/>
        <v>0</v>
      </c>
      <c r="N243" s="423">
        <f t="shared" si="144"/>
        <v>28030.333333333339</v>
      </c>
      <c r="O243" s="425">
        <f t="shared" si="144"/>
        <v>3204.3333333333312</v>
      </c>
      <c r="P243" s="526">
        <f t="shared" si="145"/>
        <v>9127.6666666666697</v>
      </c>
      <c r="Q243" s="423">
        <f t="shared" si="144"/>
        <v>138.33333333333326</v>
      </c>
      <c r="R243" s="422">
        <f t="shared" si="144"/>
        <v>83.999999999999972</v>
      </c>
      <c r="S243" s="423">
        <f t="shared" si="144"/>
        <v>32.666666666666664</v>
      </c>
      <c r="T243" s="423">
        <f t="shared" si="142"/>
        <v>3.6666666666666665</v>
      </c>
      <c r="U243" s="423">
        <f t="shared" si="155"/>
        <v>47.666666666666671</v>
      </c>
      <c r="V243" s="424">
        <f t="shared" si="155"/>
        <v>0</v>
      </c>
      <c r="W243" s="422">
        <f t="shared" si="155"/>
        <v>54.333333333333321</v>
      </c>
      <c r="X243" s="423">
        <f t="shared" si="155"/>
        <v>16</v>
      </c>
      <c r="Y243" s="423">
        <f t="shared" si="155"/>
        <v>0</v>
      </c>
      <c r="Z243" s="423">
        <f t="shared" si="155"/>
        <v>33.333333333333343</v>
      </c>
      <c r="AA243" s="425">
        <f t="shared" si="155"/>
        <v>4.9999999999999991</v>
      </c>
      <c r="AB243" s="526">
        <f t="shared" si="155"/>
        <v>935.66666666666674</v>
      </c>
      <c r="AC243" s="423">
        <f t="shared" si="155"/>
        <v>9.6666666666666679</v>
      </c>
      <c r="AD243" s="422">
        <f t="shared" si="155"/>
        <v>5.9999999999999991</v>
      </c>
      <c r="AE243" s="423">
        <f t="shared" si="155"/>
        <v>1</v>
      </c>
      <c r="AF243" s="423">
        <f t="shared" ref="AF243:AM243" si="158">AF132/3+AF242</f>
        <v>0</v>
      </c>
      <c r="AG243" s="423">
        <f t="shared" si="158"/>
        <v>4.9999999999999991</v>
      </c>
      <c r="AH243" s="424">
        <f t="shared" si="158"/>
        <v>0</v>
      </c>
      <c r="AI243" s="422">
        <f t="shared" si="158"/>
        <v>3.666666666666667</v>
      </c>
      <c r="AJ243" s="423">
        <f t="shared" si="158"/>
        <v>1</v>
      </c>
      <c r="AK243" s="423">
        <f t="shared" si="158"/>
        <v>0</v>
      </c>
      <c r="AL243" s="423">
        <f t="shared" si="158"/>
        <v>2.6666666666666665</v>
      </c>
      <c r="AM243" s="425">
        <f t="shared" si="158"/>
        <v>0</v>
      </c>
      <c r="AO243" s="421">
        <f t="shared" si="119"/>
        <v>147.99999999999991</v>
      </c>
      <c r="AP243" s="422">
        <f t="shared" si="120"/>
        <v>89.999999999999972</v>
      </c>
      <c r="AQ243" s="423">
        <f t="shared" si="121"/>
        <v>33.666666666666664</v>
      </c>
      <c r="AR243" s="423">
        <f t="shared" si="122"/>
        <v>3.6666666666666665</v>
      </c>
      <c r="AS243" s="423">
        <f t="shared" si="123"/>
        <v>52.666666666666671</v>
      </c>
      <c r="AT243" s="424">
        <f t="shared" si="124"/>
        <v>0</v>
      </c>
      <c r="AU243" s="422">
        <f t="shared" si="125"/>
        <v>57.999999999999986</v>
      </c>
      <c r="AV243" s="423">
        <f t="shared" si="126"/>
        <v>17</v>
      </c>
      <c r="AW243" s="423">
        <f t="shared" si="127"/>
        <v>0</v>
      </c>
      <c r="AX243" s="423">
        <f t="shared" si="128"/>
        <v>36.000000000000007</v>
      </c>
      <c r="AY243" s="425">
        <f t="shared" si="129"/>
        <v>4.9999999999999991</v>
      </c>
    </row>
    <row r="244" spans="1:51" ht="13.9">
      <c r="A244" s="447" t="s">
        <v>270</v>
      </c>
      <c r="B244" s="448">
        <v>45444</v>
      </c>
      <c r="C244" s="449">
        <v>2024</v>
      </c>
      <c r="D244" s="421">
        <f t="shared" si="144"/>
        <v>5248927.9999999991</v>
      </c>
      <c r="E244" s="421">
        <f t="shared" si="144"/>
        <v>179100.00000000003</v>
      </c>
      <c r="F244" s="422">
        <f t="shared" si="144"/>
        <v>131347</v>
      </c>
      <c r="G244" s="423">
        <f t="shared" si="144"/>
        <v>53491.999999999985</v>
      </c>
      <c r="H244" s="423">
        <f t="shared" si="144"/>
        <v>3880.0000000000009</v>
      </c>
      <c r="I244" s="423">
        <f t="shared" si="144"/>
        <v>73193.999999999971</v>
      </c>
      <c r="J244" s="424">
        <f t="shared" si="144"/>
        <v>781.00000000000011</v>
      </c>
      <c r="K244" s="422">
        <f t="shared" si="144"/>
        <v>47752.999999999978</v>
      </c>
      <c r="L244" s="423">
        <f t="shared" si="144"/>
        <v>15281.000000000011</v>
      </c>
      <c r="M244" s="423">
        <f t="shared" si="144"/>
        <v>0</v>
      </c>
      <c r="N244" s="423">
        <f t="shared" si="144"/>
        <v>29223.000000000007</v>
      </c>
      <c r="O244" s="425">
        <f t="shared" si="144"/>
        <v>3248.9999999999977</v>
      </c>
      <c r="P244" s="526">
        <f t="shared" si="145"/>
        <v>9236.0000000000036</v>
      </c>
      <c r="Q244" s="423">
        <f t="shared" si="144"/>
        <v>141.99999999999991</v>
      </c>
      <c r="R244" s="422">
        <f t="shared" si="144"/>
        <v>85.999999999999972</v>
      </c>
      <c r="S244" s="423">
        <f t="shared" si="144"/>
        <v>33</v>
      </c>
      <c r="T244" s="423">
        <f t="shared" si="142"/>
        <v>4</v>
      </c>
      <c r="U244" s="423">
        <f t="shared" si="155"/>
        <v>49.000000000000007</v>
      </c>
      <c r="V244" s="424">
        <f t="shared" si="155"/>
        <v>0</v>
      </c>
      <c r="W244" s="422">
        <f t="shared" si="155"/>
        <v>55.999999999999986</v>
      </c>
      <c r="X244" s="423">
        <f t="shared" si="155"/>
        <v>16</v>
      </c>
      <c r="Y244" s="423">
        <f t="shared" si="155"/>
        <v>0</v>
      </c>
      <c r="Z244" s="423">
        <f t="shared" si="155"/>
        <v>35.000000000000007</v>
      </c>
      <c r="AA244" s="425">
        <f t="shared" si="155"/>
        <v>4.9999999999999991</v>
      </c>
      <c r="AB244" s="526">
        <f t="shared" si="155"/>
        <v>949.00000000000011</v>
      </c>
      <c r="AC244" s="423">
        <f t="shared" si="155"/>
        <v>10.000000000000002</v>
      </c>
      <c r="AD244" s="422">
        <f t="shared" si="155"/>
        <v>5.9999999999999991</v>
      </c>
      <c r="AE244" s="423">
        <f t="shared" si="155"/>
        <v>1</v>
      </c>
      <c r="AF244" s="423">
        <f t="shared" ref="AF244:AM244" si="159">AF133/3+AF243</f>
        <v>0</v>
      </c>
      <c r="AG244" s="423">
        <f t="shared" si="159"/>
        <v>4.9999999999999991</v>
      </c>
      <c r="AH244" s="424">
        <f t="shared" si="159"/>
        <v>0</v>
      </c>
      <c r="AI244" s="422">
        <f t="shared" si="159"/>
        <v>4</v>
      </c>
      <c r="AJ244" s="423">
        <f t="shared" si="159"/>
        <v>1</v>
      </c>
      <c r="AK244" s="423">
        <f t="shared" si="159"/>
        <v>0</v>
      </c>
      <c r="AL244" s="423">
        <f t="shared" si="159"/>
        <v>3</v>
      </c>
      <c r="AM244" s="425">
        <f t="shared" si="159"/>
        <v>0</v>
      </c>
      <c r="AO244" s="421">
        <f t="shared" si="119"/>
        <v>151.99999999999991</v>
      </c>
      <c r="AP244" s="422">
        <f t="shared" si="120"/>
        <v>91.999999999999972</v>
      </c>
      <c r="AQ244" s="423">
        <f t="shared" si="121"/>
        <v>34</v>
      </c>
      <c r="AR244" s="423">
        <f t="shared" si="122"/>
        <v>4</v>
      </c>
      <c r="AS244" s="423">
        <f t="shared" si="123"/>
        <v>54.000000000000007</v>
      </c>
      <c r="AT244" s="424">
        <f t="shared" si="124"/>
        <v>0</v>
      </c>
      <c r="AU244" s="422">
        <f t="shared" si="125"/>
        <v>59.999999999999986</v>
      </c>
      <c r="AV244" s="423">
        <f t="shared" si="126"/>
        <v>17</v>
      </c>
      <c r="AW244" s="423">
        <f t="shared" si="127"/>
        <v>0</v>
      </c>
      <c r="AX244" s="423">
        <f t="shared" si="128"/>
        <v>38.000000000000007</v>
      </c>
      <c r="AY244" s="425">
        <f t="shared" si="129"/>
        <v>4.9999999999999991</v>
      </c>
    </row>
    <row r="245" spans="1:51" ht="13.9">
      <c r="A245" s="447" t="s">
        <v>271</v>
      </c>
      <c r="B245" s="448">
        <v>45474</v>
      </c>
      <c r="C245" s="449">
        <v>2024</v>
      </c>
      <c r="D245" s="421">
        <f t="shared" si="144"/>
        <v>5309714.9999999991</v>
      </c>
      <c r="E245" s="421">
        <f t="shared" si="144"/>
        <v>184415.33333333337</v>
      </c>
      <c r="F245" s="422">
        <f t="shared" si="144"/>
        <v>135270.66666666666</v>
      </c>
      <c r="G245" s="423">
        <f t="shared" si="144"/>
        <v>54339.333333333321</v>
      </c>
      <c r="H245" s="423">
        <f t="shared" si="144"/>
        <v>4202.3333333333339</v>
      </c>
      <c r="I245" s="423">
        <f t="shared" si="144"/>
        <v>75924.666666666642</v>
      </c>
      <c r="J245" s="424">
        <f t="shared" si="144"/>
        <v>804.33333333333348</v>
      </c>
      <c r="K245" s="422">
        <f t="shared" si="144"/>
        <v>49144.666666666642</v>
      </c>
      <c r="L245" s="423">
        <f t="shared" si="144"/>
        <v>15426.000000000011</v>
      </c>
      <c r="M245" s="423">
        <f t="shared" si="144"/>
        <v>0</v>
      </c>
      <c r="N245" s="423">
        <f t="shared" si="144"/>
        <v>30438.000000000007</v>
      </c>
      <c r="O245" s="425">
        <f t="shared" si="144"/>
        <v>3280.6666666666642</v>
      </c>
      <c r="P245" s="526">
        <f t="shared" si="145"/>
        <v>9353.0000000000036</v>
      </c>
      <c r="Q245" s="423">
        <f t="shared" si="144"/>
        <v>146.99999999999991</v>
      </c>
      <c r="R245" s="422">
        <f t="shared" si="144"/>
        <v>88.999999999999972</v>
      </c>
      <c r="S245" s="423">
        <f t="shared" si="144"/>
        <v>33.333333333333336</v>
      </c>
      <c r="T245" s="423">
        <f t="shared" si="142"/>
        <v>4</v>
      </c>
      <c r="U245" s="423">
        <f t="shared" si="155"/>
        <v>51.666666666666671</v>
      </c>
      <c r="V245" s="424">
        <f t="shared" si="155"/>
        <v>0</v>
      </c>
      <c r="W245" s="422">
        <f t="shared" si="155"/>
        <v>57.999999999999986</v>
      </c>
      <c r="X245" s="423">
        <f t="shared" si="155"/>
        <v>16.333333333333332</v>
      </c>
      <c r="Y245" s="423">
        <f t="shared" si="155"/>
        <v>0</v>
      </c>
      <c r="Z245" s="423">
        <f t="shared" si="155"/>
        <v>36.666666666666671</v>
      </c>
      <c r="AA245" s="425">
        <f t="shared" si="155"/>
        <v>4.9999999999999991</v>
      </c>
      <c r="AB245" s="526">
        <f t="shared" si="155"/>
        <v>959.66666666666674</v>
      </c>
      <c r="AC245" s="423">
        <f t="shared" si="155"/>
        <v>10.000000000000002</v>
      </c>
      <c r="AD245" s="422">
        <f t="shared" si="155"/>
        <v>5.9999999999999991</v>
      </c>
      <c r="AE245" s="423">
        <f t="shared" si="155"/>
        <v>1</v>
      </c>
      <c r="AF245" s="423">
        <f t="shared" ref="AF245:AM245" si="160">AF134/3+AF244</f>
        <v>0</v>
      </c>
      <c r="AG245" s="423">
        <f t="shared" si="160"/>
        <v>4.9999999999999991</v>
      </c>
      <c r="AH245" s="424">
        <f t="shared" si="160"/>
        <v>0</v>
      </c>
      <c r="AI245" s="422">
        <f t="shared" si="160"/>
        <v>4</v>
      </c>
      <c r="AJ245" s="423">
        <f t="shared" si="160"/>
        <v>1</v>
      </c>
      <c r="AK245" s="423">
        <f t="shared" si="160"/>
        <v>0</v>
      </c>
      <c r="AL245" s="423">
        <f t="shared" si="160"/>
        <v>3</v>
      </c>
      <c r="AM245" s="425">
        <f t="shared" si="160"/>
        <v>0</v>
      </c>
      <c r="AO245" s="421">
        <f t="shared" si="119"/>
        <v>156.99999999999991</v>
      </c>
      <c r="AP245" s="422">
        <f t="shared" si="120"/>
        <v>94.999999999999972</v>
      </c>
      <c r="AQ245" s="423">
        <f t="shared" si="121"/>
        <v>34.333333333333336</v>
      </c>
      <c r="AR245" s="423">
        <f t="shared" si="122"/>
        <v>4</v>
      </c>
      <c r="AS245" s="423">
        <f t="shared" si="123"/>
        <v>56.666666666666671</v>
      </c>
      <c r="AT245" s="424">
        <f t="shared" si="124"/>
        <v>0</v>
      </c>
      <c r="AU245" s="422">
        <f t="shared" si="125"/>
        <v>61.999999999999986</v>
      </c>
      <c r="AV245" s="423">
        <f t="shared" si="126"/>
        <v>17.333333333333332</v>
      </c>
      <c r="AW245" s="423">
        <f t="shared" si="127"/>
        <v>0</v>
      </c>
      <c r="AX245" s="423">
        <f t="shared" si="128"/>
        <v>39.666666666666671</v>
      </c>
      <c r="AY245" s="425">
        <f t="shared" si="129"/>
        <v>4.9999999999999991</v>
      </c>
    </row>
    <row r="246" spans="1:51" ht="13.9">
      <c r="A246" s="447" t="s">
        <v>271</v>
      </c>
      <c r="B246" s="448">
        <v>45505</v>
      </c>
      <c r="C246" s="449">
        <v>2024</v>
      </c>
      <c r="D246" s="421">
        <f t="shared" si="144"/>
        <v>5370501.9999999991</v>
      </c>
      <c r="E246" s="421">
        <f t="shared" si="144"/>
        <v>189730.66666666672</v>
      </c>
      <c r="F246" s="422">
        <f t="shared" si="144"/>
        <v>139194.33333333331</v>
      </c>
      <c r="G246" s="423">
        <f t="shared" si="144"/>
        <v>55186.666666666657</v>
      </c>
      <c r="H246" s="423">
        <f t="shared" si="144"/>
        <v>4524.666666666667</v>
      </c>
      <c r="I246" s="423">
        <f t="shared" si="144"/>
        <v>78655.333333333314</v>
      </c>
      <c r="J246" s="424">
        <f t="shared" si="144"/>
        <v>827.66666666666686</v>
      </c>
      <c r="K246" s="422">
        <f t="shared" si="144"/>
        <v>50536.333333333307</v>
      </c>
      <c r="L246" s="423">
        <f t="shared" si="144"/>
        <v>15571.000000000011</v>
      </c>
      <c r="M246" s="423">
        <f t="shared" si="144"/>
        <v>0</v>
      </c>
      <c r="N246" s="423">
        <f t="shared" si="144"/>
        <v>31653.000000000007</v>
      </c>
      <c r="O246" s="425">
        <f t="shared" si="144"/>
        <v>3312.3333333333308</v>
      </c>
      <c r="P246" s="526">
        <f t="shared" si="145"/>
        <v>9470.0000000000036</v>
      </c>
      <c r="Q246" s="423">
        <f t="shared" si="144"/>
        <v>151.99999999999991</v>
      </c>
      <c r="R246" s="422">
        <f t="shared" si="144"/>
        <v>91.999999999999972</v>
      </c>
      <c r="S246" s="423">
        <f t="shared" si="144"/>
        <v>33.666666666666671</v>
      </c>
      <c r="T246" s="423">
        <f t="shared" si="142"/>
        <v>4</v>
      </c>
      <c r="U246" s="423">
        <f t="shared" si="155"/>
        <v>54.333333333333336</v>
      </c>
      <c r="V246" s="424">
        <f t="shared" si="155"/>
        <v>0</v>
      </c>
      <c r="W246" s="422">
        <f t="shared" si="155"/>
        <v>59.999999999999986</v>
      </c>
      <c r="X246" s="423">
        <f t="shared" si="155"/>
        <v>16.666666666666664</v>
      </c>
      <c r="Y246" s="423">
        <f t="shared" si="155"/>
        <v>0</v>
      </c>
      <c r="Z246" s="423">
        <f t="shared" si="155"/>
        <v>38.333333333333336</v>
      </c>
      <c r="AA246" s="425">
        <f t="shared" si="155"/>
        <v>4.9999999999999991</v>
      </c>
      <c r="AB246" s="526">
        <f t="shared" si="155"/>
        <v>970.33333333333337</v>
      </c>
      <c r="AC246" s="423">
        <f t="shared" si="155"/>
        <v>10.000000000000002</v>
      </c>
      <c r="AD246" s="422">
        <f t="shared" si="155"/>
        <v>5.9999999999999991</v>
      </c>
      <c r="AE246" s="423">
        <f t="shared" si="155"/>
        <v>1</v>
      </c>
      <c r="AF246" s="423">
        <f t="shared" ref="AF246:AM246" si="161">AF135/3+AF245</f>
        <v>0</v>
      </c>
      <c r="AG246" s="423">
        <f t="shared" si="161"/>
        <v>4.9999999999999991</v>
      </c>
      <c r="AH246" s="424">
        <f t="shared" si="161"/>
        <v>0</v>
      </c>
      <c r="AI246" s="422">
        <f t="shared" si="161"/>
        <v>4</v>
      </c>
      <c r="AJ246" s="423">
        <f t="shared" si="161"/>
        <v>1</v>
      </c>
      <c r="AK246" s="423">
        <f t="shared" si="161"/>
        <v>0</v>
      </c>
      <c r="AL246" s="423">
        <f t="shared" si="161"/>
        <v>3</v>
      </c>
      <c r="AM246" s="425">
        <f t="shared" si="161"/>
        <v>0</v>
      </c>
      <c r="AO246" s="421">
        <f t="shared" si="119"/>
        <v>161.99999999999991</v>
      </c>
      <c r="AP246" s="422">
        <f t="shared" si="120"/>
        <v>97.999999999999972</v>
      </c>
      <c r="AQ246" s="423">
        <f t="shared" si="121"/>
        <v>34.666666666666671</v>
      </c>
      <c r="AR246" s="423">
        <f t="shared" si="122"/>
        <v>4</v>
      </c>
      <c r="AS246" s="423">
        <f t="shared" si="123"/>
        <v>59.333333333333336</v>
      </c>
      <c r="AT246" s="424">
        <f t="shared" si="124"/>
        <v>0</v>
      </c>
      <c r="AU246" s="422">
        <f t="shared" si="125"/>
        <v>63.999999999999986</v>
      </c>
      <c r="AV246" s="423">
        <f t="shared" si="126"/>
        <v>17.666666666666664</v>
      </c>
      <c r="AW246" s="423">
        <f t="shared" si="127"/>
        <v>0</v>
      </c>
      <c r="AX246" s="423">
        <f t="shared" si="128"/>
        <v>41.333333333333336</v>
      </c>
      <c r="AY246" s="425">
        <f t="shared" si="129"/>
        <v>4.9999999999999991</v>
      </c>
    </row>
    <row r="247" spans="1:51" ht="13.9">
      <c r="A247" s="447" t="s">
        <v>271</v>
      </c>
      <c r="B247" s="448">
        <v>45536</v>
      </c>
      <c r="C247" s="449">
        <v>2024</v>
      </c>
      <c r="D247" s="421">
        <f t="shared" si="144"/>
        <v>5431288.9999999991</v>
      </c>
      <c r="E247" s="421">
        <f t="shared" si="144"/>
        <v>195046.00000000006</v>
      </c>
      <c r="F247" s="422">
        <f t="shared" si="144"/>
        <v>143117.99999999997</v>
      </c>
      <c r="G247" s="423">
        <f t="shared" si="144"/>
        <v>56033.999999999993</v>
      </c>
      <c r="H247" s="423">
        <f t="shared" si="144"/>
        <v>4847</v>
      </c>
      <c r="I247" s="423">
        <f t="shared" si="144"/>
        <v>81385.999999999985</v>
      </c>
      <c r="J247" s="424">
        <f t="shared" si="144"/>
        <v>851.00000000000023</v>
      </c>
      <c r="K247" s="422">
        <f t="shared" si="144"/>
        <v>51927.999999999971</v>
      </c>
      <c r="L247" s="423">
        <f t="shared" si="144"/>
        <v>15716.000000000011</v>
      </c>
      <c r="M247" s="423">
        <f t="shared" si="144"/>
        <v>0</v>
      </c>
      <c r="N247" s="423">
        <f t="shared" si="144"/>
        <v>32868.000000000007</v>
      </c>
      <c r="O247" s="425">
        <f t="shared" si="144"/>
        <v>3343.9999999999973</v>
      </c>
      <c r="P247" s="526">
        <f t="shared" si="145"/>
        <v>9587.0000000000036</v>
      </c>
      <c r="Q247" s="423">
        <f t="shared" si="144"/>
        <v>156.99999999999991</v>
      </c>
      <c r="R247" s="422">
        <f t="shared" si="144"/>
        <v>94.999999999999972</v>
      </c>
      <c r="S247" s="423">
        <f t="shared" si="144"/>
        <v>34.000000000000007</v>
      </c>
      <c r="T247" s="423">
        <f t="shared" si="144"/>
        <v>4</v>
      </c>
      <c r="U247" s="423">
        <f t="shared" ref="U247:AF262" si="162">U136/3+U246</f>
        <v>57</v>
      </c>
      <c r="V247" s="424">
        <f t="shared" si="162"/>
        <v>0</v>
      </c>
      <c r="W247" s="422">
        <f t="shared" si="162"/>
        <v>61.999999999999986</v>
      </c>
      <c r="X247" s="423">
        <f t="shared" si="162"/>
        <v>16.999999999999996</v>
      </c>
      <c r="Y247" s="423">
        <f t="shared" si="162"/>
        <v>0</v>
      </c>
      <c r="Z247" s="423">
        <f t="shared" si="162"/>
        <v>40</v>
      </c>
      <c r="AA247" s="425">
        <f t="shared" si="162"/>
        <v>4.9999999999999991</v>
      </c>
      <c r="AB247" s="526">
        <f t="shared" si="162"/>
        <v>981</v>
      </c>
      <c r="AC247" s="423">
        <f t="shared" si="162"/>
        <v>10.000000000000002</v>
      </c>
      <c r="AD247" s="422">
        <f t="shared" si="162"/>
        <v>5.9999999999999991</v>
      </c>
      <c r="AE247" s="423">
        <f t="shared" si="162"/>
        <v>1</v>
      </c>
      <c r="AF247" s="423">
        <f t="shared" si="162"/>
        <v>0</v>
      </c>
      <c r="AG247" s="423">
        <f t="shared" ref="AG247:AM247" si="163">AG136/3+AG246</f>
        <v>4.9999999999999991</v>
      </c>
      <c r="AH247" s="424">
        <f t="shared" si="163"/>
        <v>0</v>
      </c>
      <c r="AI247" s="422">
        <f t="shared" si="163"/>
        <v>4</v>
      </c>
      <c r="AJ247" s="423">
        <f t="shared" si="163"/>
        <v>1</v>
      </c>
      <c r="AK247" s="423">
        <f t="shared" si="163"/>
        <v>0</v>
      </c>
      <c r="AL247" s="423">
        <f t="shared" si="163"/>
        <v>3</v>
      </c>
      <c r="AM247" s="425">
        <f t="shared" si="163"/>
        <v>0</v>
      </c>
      <c r="AO247" s="421">
        <f t="shared" si="119"/>
        <v>166.99999999999991</v>
      </c>
      <c r="AP247" s="422">
        <f t="shared" si="120"/>
        <v>100.99999999999997</v>
      </c>
      <c r="AQ247" s="423">
        <f t="shared" si="121"/>
        <v>35.000000000000007</v>
      </c>
      <c r="AR247" s="423">
        <f t="shared" si="122"/>
        <v>4</v>
      </c>
      <c r="AS247" s="423">
        <f t="shared" si="123"/>
        <v>62</v>
      </c>
      <c r="AT247" s="424">
        <f t="shared" si="124"/>
        <v>0</v>
      </c>
      <c r="AU247" s="422">
        <f t="shared" si="125"/>
        <v>65.999999999999986</v>
      </c>
      <c r="AV247" s="423">
        <f t="shared" si="126"/>
        <v>17.999999999999996</v>
      </c>
      <c r="AW247" s="423">
        <f t="shared" si="127"/>
        <v>0</v>
      </c>
      <c r="AX247" s="423">
        <f t="shared" si="128"/>
        <v>43</v>
      </c>
      <c r="AY247" s="425">
        <f t="shared" si="129"/>
        <v>4.9999999999999991</v>
      </c>
    </row>
    <row r="248" spans="1:51" ht="13.9">
      <c r="A248" s="447" t="s">
        <v>272</v>
      </c>
      <c r="B248" s="448">
        <v>45566</v>
      </c>
      <c r="C248" s="449">
        <v>2024</v>
      </c>
      <c r="D248" s="421">
        <f t="shared" ref="D248:T262" si="164">D137/3+D247</f>
        <v>5485737.3333333321</v>
      </c>
      <c r="E248" s="421">
        <f t="shared" si="164"/>
        <v>200129.66666666672</v>
      </c>
      <c r="F248" s="422">
        <f t="shared" si="164"/>
        <v>146878.66666666663</v>
      </c>
      <c r="G248" s="423">
        <f t="shared" si="164"/>
        <v>56639.333333333328</v>
      </c>
      <c r="H248" s="423">
        <f t="shared" si="164"/>
        <v>5485</v>
      </c>
      <c r="I248" s="423">
        <f t="shared" si="164"/>
        <v>83866.666666666657</v>
      </c>
      <c r="J248" s="424">
        <f t="shared" si="164"/>
        <v>887.66666666666686</v>
      </c>
      <c r="K248" s="422">
        <f t="shared" si="164"/>
        <v>53250.999999999971</v>
      </c>
      <c r="L248" s="423">
        <f t="shared" si="164"/>
        <v>15829.666666666677</v>
      </c>
      <c r="M248" s="423">
        <f t="shared" si="164"/>
        <v>0</v>
      </c>
      <c r="N248" s="423">
        <f t="shared" si="164"/>
        <v>34059.333333333343</v>
      </c>
      <c r="O248" s="425">
        <f t="shared" si="164"/>
        <v>3361.9999999999973</v>
      </c>
      <c r="P248" s="526">
        <f t="shared" si="145"/>
        <v>9677.6666666666697</v>
      </c>
      <c r="Q248" s="423">
        <f t="shared" si="164"/>
        <v>159.99999999999991</v>
      </c>
      <c r="R248" s="422">
        <f t="shared" si="164"/>
        <v>96.666666666666643</v>
      </c>
      <c r="S248" s="423">
        <f t="shared" si="164"/>
        <v>34.666666666666671</v>
      </c>
      <c r="T248" s="423">
        <f t="shared" si="164"/>
        <v>4.333333333333333</v>
      </c>
      <c r="U248" s="423">
        <f t="shared" si="162"/>
        <v>57.666666666666664</v>
      </c>
      <c r="V248" s="424">
        <f t="shared" si="162"/>
        <v>0</v>
      </c>
      <c r="W248" s="422">
        <f t="shared" si="162"/>
        <v>63.333333333333321</v>
      </c>
      <c r="X248" s="423">
        <f t="shared" si="162"/>
        <v>17.333333333333329</v>
      </c>
      <c r="Y248" s="423">
        <f t="shared" si="162"/>
        <v>0</v>
      </c>
      <c r="Z248" s="423">
        <f t="shared" si="162"/>
        <v>41</v>
      </c>
      <c r="AA248" s="425">
        <f t="shared" si="162"/>
        <v>4.9999999999999991</v>
      </c>
      <c r="AB248" s="526">
        <f t="shared" si="162"/>
        <v>990.33333333333337</v>
      </c>
      <c r="AC248" s="423">
        <f t="shared" si="162"/>
        <v>10.000000000000002</v>
      </c>
      <c r="AD248" s="422">
        <f t="shared" si="162"/>
        <v>5.9999999999999991</v>
      </c>
      <c r="AE248" s="423">
        <f t="shared" si="162"/>
        <v>1</v>
      </c>
      <c r="AF248" s="423">
        <f t="shared" si="162"/>
        <v>0</v>
      </c>
      <c r="AG248" s="423">
        <f t="shared" ref="AG248:AM248" si="165">AG137/3+AG247</f>
        <v>4.9999999999999991</v>
      </c>
      <c r="AH248" s="424">
        <f t="shared" si="165"/>
        <v>0</v>
      </c>
      <c r="AI248" s="422">
        <f t="shared" si="165"/>
        <v>4</v>
      </c>
      <c r="AJ248" s="423">
        <f t="shared" si="165"/>
        <v>1</v>
      </c>
      <c r="AK248" s="423">
        <f t="shared" si="165"/>
        <v>0</v>
      </c>
      <c r="AL248" s="423">
        <f t="shared" si="165"/>
        <v>3</v>
      </c>
      <c r="AM248" s="425">
        <f t="shared" si="165"/>
        <v>0</v>
      </c>
      <c r="AO248" s="421">
        <f t="shared" si="119"/>
        <v>169.99999999999991</v>
      </c>
      <c r="AP248" s="422">
        <f t="shared" si="120"/>
        <v>102.66666666666664</v>
      </c>
      <c r="AQ248" s="423">
        <f t="shared" si="121"/>
        <v>35.666666666666671</v>
      </c>
      <c r="AR248" s="423">
        <f t="shared" si="122"/>
        <v>4.333333333333333</v>
      </c>
      <c r="AS248" s="423">
        <f t="shared" si="123"/>
        <v>62.666666666666664</v>
      </c>
      <c r="AT248" s="424">
        <f t="shared" si="124"/>
        <v>0</v>
      </c>
      <c r="AU248" s="422">
        <f t="shared" si="125"/>
        <v>67.333333333333314</v>
      </c>
      <c r="AV248" s="423">
        <f t="shared" si="126"/>
        <v>18.333333333333329</v>
      </c>
      <c r="AW248" s="423">
        <f t="shared" si="127"/>
        <v>0</v>
      </c>
      <c r="AX248" s="423">
        <f t="shared" si="128"/>
        <v>44</v>
      </c>
      <c r="AY248" s="425">
        <f t="shared" si="129"/>
        <v>4.9999999999999991</v>
      </c>
    </row>
    <row r="249" spans="1:51" ht="13.9">
      <c r="A249" s="447" t="s">
        <v>272</v>
      </c>
      <c r="B249" s="448">
        <v>45597</v>
      </c>
      <c r="C249" s="449">
        <v>2024</v>
      </c>
      <c r="D249" s="421">
        <f t="shared" si="164"/>
        <v>5540185.6666666651</v>
      </c>
      <c r="E249" s="421">
        <f t="shared" si="164"/>
        <v>205213.33333333337</v>
      </c>
      <c r="F249" s="422">
        <f t="shared" si="164"/>
        <v>150639.33333333328</v>
      </c>
      <c r="G249" s="423">
        <f t="shared" si="164"/>
        <v>57244.666666666664</v>
      </c>
      <c r="H249" s="423">
        <f t="shared" si="164"/>
        <v>6123</v>
      </c>
      <c r="I249" s="423">
        <f t="shared" si="164"/>
        <v>86347.333333333328</v>
      </c>
      <c r="J249" s="424">
        <f t="shared" si="164"/>
        <v>924.33333333333348</v>
      </c>
      <c r="K249" s="422">
        <f t="shared" si="164"/>
        <v>54573.999999999971</v>
      </c>
      <c r="L249" s="423">
        <f t="shared" si="164"/>
        <v>15943.333333333343</v>
      </c>
      <c r="M249" s="423">
        <f t="shared" si="164"/>
        <v>0</v>
      </c>
      <c r="N249" s="423">
        <f t="shared" si="164"/>
        <v>35250.666666666679</v>
      </c>
      <c r="O249" s="425">
        <f t="shared" si="164"/>
        <v>3379.9999999999973</v>
      </c>
      <c r="P249" s="526">
        <f t="shared" si="145"/>
        <v>9768.3333333333358</v>
      </c>
      <c r="Q249" s="423">
        <f t="shared" si="164"/>
        <v>162.99999999999991</v>
      </c>
      <c r="R249" s="422">
        <f t="shared" si="164"/>
        <v>98.333333333333314</v>
      </c>
      <c r="S249" s="423">
        <f t="shared" si="164"/>
        <v>35.333333333333336</v>
      </c>
      <c r="T249" s="423">
        <f t="shared" si="164"/>
        <v>4.6666666666666661</v>
      </c>
      <c r="U249" s="423">
        <f t="shared" si="162"/>
        <v>58.333333333333329</v>
      </c>
      <c r="V249" s="424">
        <f t="shared" si="162"/>
        <v>0</v>
      </c>
      <c r="W249" s="422">
        <f t="shared" si="162"/>
        <v>64.666666666666657</v>
      </c>
      <c r="X249" s="423">
        <f t="shared" si="162"/>
        <v>17.666666666666661</v>
      </c>
      <c r="Y249" s="423">
        <f t="shared" si="162"/>
        <v>0</v>
      </c>
      <c r="Z249" s="423">
        <f t="shared" si="162"/>
        <v>42</v>
      </c>
      <c r="AA249" s="425">
        <f t="shared" si="162"/>
        <v>4.9999999999999991</v>
      </c>
      <c r="AB249" s="526">
        <f t="shared" si="162"/>
        <v>999.66666666666674</v>
      </c>
      <c r="AC249" s="423">
        <f t="shared" si="162"/>
        <v>10.000000000000002</v>
      </c>
      <c r="AD249" s="422">
        <f t="shared" si="162"/>
        <v>5.9999999999999991</v>
      </c>
      <c r="AE249" s="423">
        <f t="shared" si="162"/>
        <v>1</v>
      </c>
      <c r="AF249" s="423">
        <f t="shared" si="162"/>
        <v>0</v>
      </c>
      <c r="AG249" s="423">
        <f t="shared" ref="AG249:AM249" si="166">AG138/3+AG248</f>
        <v>4.9999999999999991</v>
      </c>
      <c r="AH249" s="424">
        <f t="shared" si="166"/>
        <v>0</v>
      </c>
      <c r="AI249" s="422">
        <f t="shared" si="166"/>
        <v>4</v>
      </c>
      <c r="AJ249" s="423">
        <f t="shared" si="166"/>
        <v>1</v>
      </c>
      <c r="AK249" s="423">
        <f t="shared" si="166"/>
        <v>0</v>
      </c>
      <c r="AL249" s="423">
        <f t="shared" si="166"/>
        <v>3</v>
      </c>
      <c r="AM249" s="425">
        <f t="shared" si="166"/>
        <v>0</v>
      </c>
      <c r="AO249" s="421">
        <f t="shared" si="119"/>
        <v>172.99999999999991</v>
      </c>
      <c r="AP249" s="422">
        <f t="shared" si="120"/>
        <v>104.33333333333331</v>
      </c>
      <c r="AQ249" s="423">
        <f t="shared" si="121"/>
        <v>36.333333333333336</v>
      </c>
      <c r="AR249" s="423">
        <f t="shared" si="122"/>
        <v>4.6666666666666661</v>
      </c>
      <c r="AS249" s="423">
        <f t="shared" si="123"/>
        <v>63.333333333333329</v>
      </c>
      <c r="AT249" s="424">
        <f t="shared" si="124"/>
        <v>0</v>
      </c>
      <c r="AU249" s="422">
        <f t="shared" si="125"/>
        <v>68.666666666666657</v>
      </c>
      <c r="AV249" s="423">
        <f t="shared" si="126"/>
        <v>18.666666666666661</v>
      </c>
      <c r="AW249" s="423">
        <f t="shared" si="127"/>
        <v>0</v>
      </c>
      <c r="AX249" s="423">
        <f t="shared" si="128"/>
        <v>45</v>
      </c>
      <c r="AY249" s="425">
        <f t="shared" si="129"/>
        <v>4.9999999999999991</v>
      </c>
    </row>
    <row r="250" spans="1:51" ht="13.9">
      <c r="A250" s="447" t="s">
        <v>272</v>
      </c>
      <c r="B250" s="448">
        <v>45627</v>
      </c>
      <c r="C250" s="449">
        <v>2024</v>
      </c>
      <c r="D250" s="421">
        <f t="shared" si="164"/>
        <v>5594633.9999999981</v>
      </c>
      <c r="E250" s="421">
        <f t="shared" si="164"/>
        <v>210297.00000000003</v>
      </c>
      <c r="F250" s="422">
        <f t="shared" si="164"/>
        <v>154399.99999999994</v>
      </c>
      <c r="G250" s="423">
        <f t="shared" si="164"/>
        <v>57850</v>
      </c>
      <c r="H250" s="423">
        <f t="shared" si="164"/>
        <v>6761</v>
      </c>
      <c r="I250" s="423">
        <f t="shared" si="164"/>
        <v>88828</v>
      </c>
      <c r="J250" s="424">
        <f t="shared" si="164"/>
        <v>961.00000000000011</v>
      </c>
      <c r="K250" s="422">
        <f t="shared" si="164"/>
        <v>55896.999999999971</v>
      </c>
      <c r="L250" s="423">
        <f t="shared" si="164"/>
        <v>16057.000000000009</v>
      </c>
      <c r="M250" s="423">
        <f t="shared" si="164"/>
        <v>0</v>
      </c>
      <c r="N250" s="423">
        <f t="shared" si="164"/>
        <v>36442.000000000015</v>
      </c>
      <c r="O250" s="425">
        <f t="shared" si="164"/>
        <v>3397.9999999999973</v>
      </c>
      <c r="P250" s="526">
        <f t="shared" si="145"/>
        <v>9859.0000000000018</v>
      </c>
      <c r="Q250" s="423">
        <f t="shared" si="164"/>
        <v>165.99999999999991</v>
      </c>
      <c r="R250" s="422">
        <f t="shared" si="164"/>
        <v>99.999999999999986</v>
      </c>
      <c r="S250" s="423">
        <f t="shared" si="164"/>
        <v>36</v>
      </c>
      <c r="T250" s="423">
        <f t="shared" si="164"/>
        <v>4.9999999999999991</v>
      </c>
      <c r="U250" s="423">
        <f t="shared" si="162"/>
        <v>58.999999999999993</v>
      </c>
      <c r="V250" s="424">
        <f t="shared" si="162"/>
        <v>0</v>
      </c>
      <c r="W250" s="422">
        <f t="shared" si="162"/>
        <v>65.999999999999986</v>
      </c>
      <c r="X250" s="423">
        <f t="shared" si="162"/>
        <v>17.999999999999993</v>
      </c>
      <c r="Y250" s="423">
        <f t="shared" si="162"/>
        <v>0</v>
      </c>
      <c r="Z250" s="423">
        <f t="shared" si="162"/>
        <v>43</v>
      </c>
      <c r="AA250" s="425">
        <f t="shared" si="162"/>
        <v>4.9999999999999991</v>
      </c>
      <c r="AB250" s="526">
        <f t="shared" si="162"/>
        <v>1009.0000000000001</v>
      </c>
      <c r="AC250" s="423">
        <f t="shared" si="162"/>
        <v>10.000000000000002</v>
      </c>
      <c r="AD250" s="422">
        <f t="shared" si="162"/>
        <v>5.9999999999999991</v>
      </c>
      <c r="AE250" s="423">
        <f t="shared" si="162"/>
        <v>1</v>
      </c>
      <c r="AF250" s="423">
        <f t="shared" si="162"/>
        <v>0</v>
      </c>
      <c r="AG250" s="423">
        <f t="shared" ref="AG250:AM250" si="167">AG139/3+AG249</f>
        <v>4.9999999999999991</v>
      </c>
      <c r="AH250" s="424">
        <f t="shared" si="167"/>
        <v>0</v>
      </c>
      <c r="AI250" s="422">
        <f t="shared" si="167"/>
        <v>4</v>
      </c>
      <c r="AJ250" s="423">
        <f t="shared" si="167"/>
        <v>1</v>
      </c>
      <c r="AK250" s="423">
        <f t="shared" si="167"/>
        <v>0</v>
      </c>
      <c r="AL250" s="423">
        <f t="shared" si="167"/>
        <v>3</v>
      </c>
      <c r="AM250" s="425">
        <f t="shared" si="167"/>
        <v>0</v>
      </c>
      <c r="AO250" s="421">
        <f t="shared" si="119"/>
        <v>175.99999999999991</v>
      </c>
      <c r="AP250" s="422">
        <f t="shared" si="120"/>
        <v>105.99999999999999</v>
      </c>
      <c r="AQ250" s="423">
        <f t="shared" si="121"/>
        <v>37</v>
      </c>
      <c r="AR250" s="423">
        <f t="shared" si="122"/>
        <v>4.9999999999999991</v>
      </c>
      <c r="AS250" s="423">
        <f t="shared" si="123"/>
        <v>63.999999999999993</v>
      </c>
      <c r="AT250" s="424">
        <f t="shared" si="124"/>
        <v>0</v>
      </c>
      <c r="AU250" s="422">
        <f t="shared" si="125"/>
        <v>69.999999999999986</v>
      </c>
      <c r="AV250" s="423">
        <f t="shared" si="126"/>
        <v>18.999999999999993</v>
      </c>
      <c r="AW250" s="423">
        <f t="shared" si="127"/>
        <v>0</v>
      </c>
      <c r="AX250" s="423">
        <f t="shared" si="128"/>
        <v>46</v>
      </c>
      <c r="AY250" s="425">
        <f t="shared" si="129"/>
        <v>4.9999999999999991</v>
      </c>
    </row>
    <row r="251" spans="1:51" ht="13.9">
      <c r="A251" s="447" t="s">
        <v>273</v>
      </c>
      <c r="B251" s="448">
        <v>45658</v>
      </c>
      <c r="C251" s="449">
        <v>2025</v>
      </c>
      <c r="D251" s="421">
        <f t="shared" si="164"/>
        <v>5652522.9999999981</v>
      </c>
      <c r="E251" s="421">
        <f t="shared" si="164"/>
        <v>214299.00000000003</v>
      </c>
      <c r="F251" s="422">
        <f t="shared" si="164"/>
        <v>157216.6666666666</v>
      </c>
      <c r="G251" s="423">
        <f t="shared" si="164"/>
        <v>58223.666666666664</v>
      </c>
      <c r="H251" s="423">
        <f t="shared" si="164"/>
        <v>7157</v>
      </c>
      <c r="I251" s="423">
        <f t="shared" si="164"/>
        <v>90825</v>
      </c>
      <c r="J251" s="424">
        <f t="shared" si="164"/>
        <v>1011.0000000000001</v>
      </c>
      <c r="K251" s="422">
        <f t="shared" si="164"/>
        <v>57082.333333333307</v>
      </c>
      <c r="L251" s="423">
        <f t="shared" si="164"/>
        <v>16191.666666666675</v>
      </c>
      <c r="M251" s="423">
        <f t="shared" si="164"/>
        <v>0</v>
      </c>
      <c r="N251" s="423">
        <f t="shared" si="164"/>
        <v>37462.33333333335</v>
      </c>
      <c r="O251" s="425">
        <f t="shared" si="164"/>
        <v>3428.3333333333308</v>
      </c>
      <c r="P251" s="526">
        <f t="shared" si="145"/>
        <v>9952.3333333333358</v>
      </c>
      <c r="Q251" s="423">
        <f t="shared" si="164"/>
        <v>167.66666666666657</v>
      </c>
      <c r="R251" s="422">
        <f t="shared" si="164"/>
        <v>101.33333333333331</v>
      </c>
      <c r="S251" s="423">
        <f t="shared" si="164"/>
        <v>36</v>
      </c>
      <c r="T251" s="423">
        <f t="shared" si="164"/>
        <v>4.9999999999999991</v>
      </c>
      <c r="U251" s="423">
        <f t="shared" si="162"/>
        <v>60.333333333333329</v>
      </c>
      <c r="V251" s="424">
        <f t="shared" si="162"/>
        <v>0</v>
      </c>
      <c r="W251" s="422">
        <f t="shared" si="162"/>
        <v>66.333333333333314</v>
      </c>
      <c r="X251" s="423">
        <f t="shared" si="162"/>
        <v>17.999999999999993</v>
      </c>
      <c r="Y251" s="423">
        <f t="shared" si="162"/>
        <v>0</v>
      </c>
      <c r="Z251" s="423">
        <f t="shared" si="162"/>
        <v>43.333333333333336</v>
      </c>
      <c r="AA251" s="425">
        <f t="shared" si="162"/>
        <v>4.9999999999999991</v>
      </c>
      <c r="AB251" s="526">
        <f t="shared" si="162"/>
        <v>1018.6666666666667</v>
      </c>
      <c r="AC251" s="423">
        <f t="shared" si="162"/>
        <v>10.333333333333336</v>
      </c>
      <c r="AD251" s="422">
        <f t="shared" si="162"/>
        <v>6.3333333333333321</v>
      </c>
      <c r="AE251" s="423">
        <f t="shared" si="162"/>
        <v>1</v>
      </c>
      <c r="AF251" s="423">
        <f t="shared" si="162"/>
        <v>0.33333333333333331</v>
      </c>
      <c r="AG251" s="423">
        <f t="shared" ref="AG251:AM251" si="168">AG140/3+AG250</f>
        <v>4.9999999999999991</v>
      </c>
      <c r="AH251" s="424">
        <f t="shared" si="168"/>
        <v>0</v>
      </c>
      <c r="AI251" s="422">
        <f t="shared" si="168"/>
        <v>4</v>
      </c>
      <c r="AJ251" s="423">
        <f t="shared" si="168"/>
        <v>1</v>
      </c>
      <c r="AK251" s="423">
        <f t="shared" si="168"/>
        <v>0</v>
      </c>
      <c r="AL251" s="423">
        <f t="shared" si="168"/>
        <v>3</v>
      </c>
      <c r="AM251" s="425">
        <f t="shared" si="168"/>
        <v>0</v>
      </c>
      <c r="AO251" s="421">
        <f t="shared" si="119"/>
        <v>177.99999999999991</v>
      </c>
      <c r="AP251" s="422">
        <f t="shared" si="120"/>
        <v>107.66666666666664</v>
      </c>
      <c r="AQ251" s="423">
        <f t="shared" si="121"/>
        <v>37</v>
      </c>
      <c r="AR251" s="423">
        <f t="shared" si="122"/>
        <v>5.3333333333333321</v>
      </c>
      <c r="AS251" s="423">
        <f t="shared" si="123"/>
        <v>65.333333333333329</v>
      </c>
      <c r="AT251" s="424">
        <f t="shared" si="124"/>
        <v>0</v>
      </c>
      <c r="AU251" s="422">
        <f t="shared" si="125"/>
        <v>70.333333333333314</v>
      </c>
      <c r="AV251" s="423">
        <f t="shared" si="126"/>
        <v>18.999999999999993</v>
      </c>
      <c r="AW251" s="423">
        <f t="shared" si="127"/>
        <v>0</v>
      </c>
      <c r="AX251" s="423">
        <f t="shared" si="128"/>
        <v>46.333333333333336</v>
      </c>
      <c r="AY251" s="425">
        <f t="shared" si="129"/>
        <v>4.9999999999999991</v>
      </c>
    </row>
    <row r="252" spans="1:51" ht="13.9">
      <c r="A252" s="447" t="s">
        <v>273</v>
      </c>
      <c r="B252" s="448">
        <v>45689</v>
      </c>
      <c r="C252" s="449">
        <v>2025</v>
      </c>
      <c r="D252" s="421">
        <f t="shared" si="164"/>
        <v>5710411.9999999981</v>
      </c>
      <c r="E252" s="421">
        <f t="shared" si="164"/>
        <v>218301.00000000003</v>
      </c>
      <c r="F252" s="422">
        <f t="shared" si="164"/>
        <v>160033.33333333326</v>
      </c>
      <c r="G252" s="423">
        <f t="shared" si="164"/>
        <v>58597.333333333328</v>
      </c>
      <c r="H252" s="423">
        <f t="shared" si="164"/>
        <v>7553</v>
      </c>
      <c r="I252" s="423">
        <f t="shared" si="164"/>
        <v>92822</v>
      </c>
      <c r="J252" s="424">
        <f t="shared" si="164"/>
        <v>1061</v>
      </c>
      <c r="K252" s="422">
        <f t="shared" si="164"/>
        <v>58267.666666666642</v>
      </c>
      <c r="L252" s="423">
        <f t="shared" si="164"/>
        <v>16326.333333333341</v>
      </c>
      <c r="M252" s="423">
        <f t="shared" si="164"/>
        <v>0</v>
      </c>
      <c r="N252" s="423">
        <f t="shared" si="164"/>
        <v>38482.666666666686</v>
      </c>
      <c r="O252" s="425">
        <f t="shared" si="164"/>
        <v>3458.6666666666642</v>
      </c>
      <c r="P252" s="526">
        <f t="shared" si="145"/>
        <v>10045.66666666667</v>
      </c>
      <c r="Q252" s="423">
        <f t="shared" si="164"/>
        <v>169.33333333333323</v>
      </c>
      <c r="R252" s="422">
        <f t="shared" si="164"/>
        <v>102.66666666666664</v>
      </c>
      <c r="S252" s="423">
        <f t="shared" si="164"/>
        <v>36</v>
      </c>
      <c r="T252" s="423">
        <f t="shared" si="164"/>
        <v>4.9999999999999991</v>
      </c>
      <c r="U252" s="423">
        <f t="shared" si="162"/>
        <v>61.666666666666664</v>
      </c>
      <c r="V252" s="424">
        <f t="shared" si="162"/>
        <v>0</v>
      </c>
      <c r="W252" s="422">
        <f t="shared" si="162"/>
        <v>66.666666666666643</v>
      </c>
      <c r="X252" s="423">
        <f t="shared" si="162"/>
        <v>17.999999999999993</v>
      </c>
      <c r="Y252" s="423">
        <f t="shared" si="162"/>
        <v>0</v>
      </c>
      <c r="Z252" s="423">
        <f t="shared" si="162"/>
        <v>43.666666666666671</v>
      </c>
      <c r="AA252" s="425">
        <f t="shared" si="162"/>
        <v>4.9999999999999991</v>
      </c>
      <c r="AB252" s="526">
        <f t="shared" si="162"/>
        <v>1028.3333333333335</v>
      </c>
      <c r="AC252" s="423">
        <f t="shared" si="162"/>
        <v>10.66666666666667</v>
      </c>
      <c r="AD252" s="422">
        <f t="shared" si="162"/>
        <v>6.6666666666666652</v>
      </c>
      <c r="AE252" s="423">
        <f t="shared" si="162"/>
        <v>1</v>
      </c>
      <c r="AF252" s="423">
        <f t="shared" si="162"/>
        <v>0.66666666666666663</v>
      </c>
      <c r="AG252" s="423">
        <f t="shared" ref="AG252:AM252" si="169">AG141/3+AG251</f>
        <v>4.9999999999999991</v>
      </c>
      <c r="AH252" s="424">
        <f t="shared" si="169"/>
        <v>0</v>
      </c>
      <c r="AI252" s="422">
        <f t="shared" si="169"/>
        <v>4</v>
      </c>
      <c r="AJ252" s="423">
        <f t="shared" si="169"/>
        <v>1</v>
      </c>
      <c r="AK252" s="423">
        <f t="shared" si="169"/>
        <v>0</v>
      </c>
      <c r="AL252" s="423">
        <f t="shared" si="169"/>
        <v>3</v>
      </c>
      <c r="AM252" s="425">
        <f t="shared" si="169"/>
        <v>0</v>
      </c>
      <c r="AO252" s="421">
        <f t="shared" si="119"/>
        <v>179.99999999999989</v>
      </c>
      <c r="AP252" s="422">
        <f t="shared" si="120"/>
        <v>109.33333333333331</v>
      </c>
      <c r="AQ252" s="423">
        <f t="shared" si="121"/>
        <v>37</v>
      </c>
      <c r="AR252" s="423">
        <f t="shared" si="122"/>
        <v>5.6666666666666661</v>
      </c>
      <c r="AS252" s="423">
        <f t="shared" si="123"/>
        <v>66.666666666666657</v>
      </c>
      <c r="AT252" s="424">
        <f t="shared" si="124"/>
        <v>0</v>
      </c>
      <c r="AU252" s="422">
        <f t="shared" si="125"/>
        <v>70.666666666666643</v>
      </c>
      <c r="AV252" s="423">
        <f t="shared" si="126"/>
        <v>18.999999999999993</v>
      </c>
      <c r="AW252" s="423">
        <f t="shared" si="127"/>
        <v>0</v>
      </c>
      <c r="AX252" s="423">
        <f t="shared" si="128"/>
        <v>46.666666666666671</v>
      </c>
      <c r="AY252" s="425">
        <f t="shared" si="129"/>
        <v>4.9999999999999991</v>
      </c>
    </row>
    <row r="253" spans="1:51" ht="13.9">
      <c r="A253" s="447" t="s">
        <v>273</v>
      </c>
      <c r="B253" s="448">
        <v>45717</v>
      </c>
      <c r="C253" s="449">
        <v>2025</v>
      </c>
      <c r="D253" s="421">
        <f t="shared" si="164"/>
        <v>5768300.9999999981</v>
      </c>
      <c r="E253" s="421">
        <f t="shared" si="164"/>
        <v>222303.00000000003</v>
      </c>
      <c r="F253" s="422">
        <f t="shared" si="164"/>
        <v>162849.99999999991</v>
      </c>
      <c r="G253" s="423">
        <f t="shared" si="164"/>
        <v>58970.999999999993</v>
      </c>
      <c r="H253" s="423">
        <f t="shared" si="164"/>
        <v>7949</v>
      </c>
      <c r="I253" s="423">
        <f t="shared" si="164"/>
        <v>94819</v>
      </c>
      <c r="J253" s="424">
        <f t="shared" si="164"/>
        <v>1111</v>
      </c>
      <c r="K253" s="422">
        <f t="shared" si="164"/>
        <v>59452.999999999978</v>
      </c>
      <c r="L253" s="423">
        <f t="shared" si="164"/>
        <v>16461.000000000007</v>
      </c>
      <c r="M253" s="423">
        <f t="shared" si="164"/>
        <v>0</v>
      </c>
      <c r="N253" s="423">
        <f t="shared" si="164"/>
        <v>39503.000000000022</v>
      </c>
      <c r="O253" s="425">
        <f t="shared" si="164"/>
        <v>3488.9999999999977</v>
      </c>
      <c r="P253" s="526">
        <f t="shared" si="145"/>
        <v>10139.000000000004</v>
      </c>
      <c r="Q253" s="423">
        <f t="shared" si="164"/>
        <v>170.99999999999989</v>
      </c>
      <c r="R253" s="422">
        <f t="shared" si="164"/>
        <v>103.99999999999997</v>
      </c>
      <c r="S253" s="423">
        <f t="shared" si="164"/>
        <v>36</v>
      </c>
      <c r="T253" s="423">
        <f t="shared" si="164"/>
        <v>4.9999999999999991</v>
      </c>
      <c r="U253" s="423">
        <f t="shared" si="162"/>
        <v>63</v>
      </c>
      <c r="V253" s="424">
        <f t="shared" si="162"/>
        <v>0</v>
      </c>
      <c r="W253" s="422">
        <f t="shared" si="162"/>
        <v>66.999999999999972</v>
      </c>
      <c r="X253" s="423">
        <f t="shared" si="162"/>
        <v>17.999999999999993</v>
      </c>
      <c r="Y253" s="423">
        <f t="shared" si="162"/>
        <v>0</v>
      </c>
      <c r="Z253" s="423">
        <f t="shared" si="162"/>
        <v>44.000000000000007</v>
      </c>
      <c r="AA253" s="425">
        <f t="shared" si="162"/>
        <v>4.9999999999999991</v>
      </c>
      <c r="AB253" s="526">
        <f t="shared" si="162"/>
        <v>1038.0000000000002</v>
      </c>
      <c r="AC253" s="423">
        <f t="shared" si="162"/>
        <v>11.000000000000004</v>
      </c>
      <c r="AD253" s="422">
        <f t="shared" si="162"/>
        <v>6.9999999999999982</v>
      </c>
      <c r="AE253" s="423">
        <f t="shared" si="162"/>
        <v>1</v>
      </c>
      <c r="AF253" s="423">
        <f t="shared" si="162"/>
        <v>1</v>
      </c>
      <c r="AG253" s="423">
        <f t="shared" ref="AG253:AM253" si="170">AG142/3+AG252</f>
        <v>4.9999999999999991</v>
      </c>
      <c r="AH253" s="424">
        <f t="shared" si="170"/>
        <v>0</v>
      </c>
      <c r="AI253" s="422">
        <f t="shared" si="170"/>
        <v>4</v>
      </c>
      <c r="AJ253" s="423">
        <f t="shared" si="170"/>
        <v>1</v>
      </c>
      <c r="AK253" s="423">
        <f t="shared" si="170"/>
        <v>0</v>
      </c>
      <c r="AL253" s="423">
        <f t="shared" si="170"/>
        <v>3</v>
      </c>
      <c r="AM253" s="425">
        <f t="shared" si="170"/>
        <v>0</v>
      </c>
      <c r="AO253" s="421">
        <f t="shared" si="119"/>
        <v>181.99999999999989</v>
      </c>
      <c r="AP253" s="422">
        <f t="shared" si="120"/>
        <v>110.99999999999997</v>
      </c>
      <c r="AQ253" s="423">
        <f t="shared" si="121"/>
        <v>37</v>
      </c>
      <c r="AR253" s="423">
        <f t="shared" si="122"/>
        <v>5.9999999999999991</v>
      </c>
      <c r="AS253" s="423">
        <f t="shared" si="123"/>
        <v>68</v>
      </c>
      <c r="AT253" s="424">
        <f t="shared" si="124"/>
        <v>0</v>
      </c>
      <c r="AU253" s="422">
        <f t="shared" si="125"/>
        <v>70.999999999999972</v>
      </c>
      <c r="AV253" s="423">
        <f t="shared" si="126"/>
        <v>18.999999999999993</v>
      </c>
      <c r="AW253" s="423">
        <f t="shared" si="127"/>
        <v>0</v>
      </c>
      <c r="AX253" s="423">
        <f t="shared" si="128"/>
        <v>47.000000000000007</v>
      </c>
      <c r="AY253" s="425">
        <f t="shared" si="129"/>
        <v>4.9999999999999991</v>
      </c>
    </row>
    <row r="254" spans="1:51" ht="13.9">
      <c r="A254" s="447" t="s">
        <v>274</v>
      </c>
      <c r="B254" s="448">
        <v>45748</v>
      </c>
      <c r="C254" s="449">
        <v>2025</v>
      </c>
      <c r="D254" s="421">
        <f t="shared" si="164"/>
        <v>5835702.3333333312</v>
      </c>
      <c r="E254" s="421">
        <f t="shared" si="164"/>
        <v>226201.00000000003</v>
      </c>
      <c r="F254" s="422">
        <f t="shared" si="164"/>
        <v>165359.99999999991</v>
      </c>
      <c r="G254" s="423">
        <f>G143/3+G253</f>
        <v>59335.333333333328</v>
      </c>
      <c r="H254" s="423">
        <f t="shared" si="164"/>
        <v>8309.6666666666661</v>
      </c>
      <c r="I254" s="423">
        <f t="shared" si="164"/>
        <v>96544.333333333328</v>
      </c>
      <c r="J254" s="424">
        <f t="shared" si="164"/>
        <v>1170.6666666666667</v>
      </c>
      <c r="K254" s="422">
        <f t="shared" si="164"/>
        <v>60840.999999999978</v>
      </c>
      <c r="L254" s="423">
        <f t="shared" si="164"/>
        <v>16697.000000000007</v>
      </c>
      <c r="M254" s="423">
        <f t="shared" si="164"/>
        <v>0</v>
      </c>
      <c r="N254" s="423">
        <f t="shared" si="164"/>
        <v>40632.666666666686</v>
      </c>
      <c r="O254" s="425">
        <f t="shared" si="164"/>
        <v>3511.3333333333312</v>
      </c>
      <c r="P254" s="526">
        <f t="shared" si="145"/>
        <v>10268.66666666667</v>
      </c>
      <c r="Q254" s="423">
        <f t="shared" si="164"/>
        <v>173.33333333333323</v>
      </c>
      <c r="R254" s="422">
        <f t="shared" si="164"/>
        <v>104.99999999999997</v>
      </c>
      <c r="S254" s="423">
        <f t="shared" si="164"/>
        <v>36</v>
      </c>
      <c r="T254" s="423">
        <f t="shared" si="164"/>
        <v>4.9999999999999991</v>
      </c>
      <c r="U254" s="423">
        <f t="shared" si="162"/>
        <v>64</v>
      </c>
      <c r="V254" s="424">
        <f t="shared" si="162"/>
        <v>0</v>
      </c>
      <c r="W254" s="422">
        <f t="shared" si="162"/>
        <v>68.3333333333333</v>
      </c>
      <c r="X254" s="423">
        <f t="shared" si="162"/>
        <v>17.999999999999993</v>
      </c>
      <c r="Y254" s="423">
        <f t="shared" si="162"/>
        <v>0</v>
      </c>
      <c r="Z254" s="423">
        <f t="shared" si="162"/>
        <v>45.333333333333343</v>
      </c>
      <c r="AA254" s="425">
        <f t="shared" si="162"/>
        <v>4.9999999999999991</v>
      </c>
      <c r="AB254" s="526">
        <f t="shared" si="162"/>
        <v>1050.666666666667</v>
      </c>
      <c r="AC254" s="423">
        <f t="shared" si="162"/>
        <v>11.66666666666667</v>
      </c>
      <c r="AD254" s="422">
        <f t="shared" si="162"/>
        <v>6.9999999999999982</v>
      </c>
      <c r="AE254" s="423">
        <f t="shared" si="162"/>
        <v>1</v>
      </c>
      <c r="AF254" s="423">
        <f t="shared" si="162"/>
        <v>1</v>
      </c>
      <c r="AG254" s="423">
        <f t="shared" ref="AG254:AM254" si="171">AG143/3+AG253</f>
        <v>4.9999999999999991</v>
      </c>
      <c r="AH254" s="424">
        <f t="shared" si="171"/>
        <v>0</v>
      </c>
      <c r="AI254" s="422">
        <f t="shared" si="171"/>
        <v>4.666666666666667</v>
      </c>
      <c r="AJ254" s="423">
        <f t="shared" si="171"/>
        <v>1</v>
      </c>
      <c r="AK254" s="423">
        <f t="shared" si="171"/>
        <v>0</v>
      </c>
      <c r="AL254" s="423">
        <f t="shared" si="171"/>
        <v>3.6666666666666665</v>
      </c>
      <c r="AM254" s="425">
        <f t="shared" si="171"/>
        <v>0</v>
      </c>
      <c r="AO254" s="421">
        <f t="shared" si="119"/>
        <v>184.99999999999989</v>
      </c>
      <c r="AP254" s="422">
        <f t="shared" si="120"/>
        <v>111.99999999999997</v>
      </c>
      <c r="AQ254" s="423">
        <f t="shared" si="121"/>
        <v>37</v>
      </c>
      <c r="AR254" s="423">
        <f t="shared" si="122"/>
        <v>5.9999999999999991</v>
      </c>
      <c r="AS254" s="423">
        <f t="shared" si="123"/>
        <v>69</v>
      </c>
      <c r="AT254" s="424">
        <f t="shared" si="124"/>
        <v>0</v>
      </c>
      <c r="AU254" s="422">
        <f t="shared" si="125"/>
        <v>72.999999999999972</v>
      </c>
      <c r="AV254" s="423">
        <f t="shared" si="126"/>
        <v>18.999999999999993</v>
      </c>
      <c r="AW254" s="423">
        <f t="shared" si="127"/>
        <v>0</v>
      </c>
      <c r="AX254" s="423">
        <f t="shared" si="128"/>
        <v>49.000000000000007</v>
      </c>
      <c r="AY254" s="425">
        <f t="shared" si="129"/>
        <v>4.9999999999999991</v>
      </c>
    </row>
    <row r="255" spans="1:51" ht="13.9">
      <c r="A255" s="447" t="s">
        <v>274</v>
      </c>
      <c r="B255" s="448">
        <v>45778</v>
      </c>
      <c r="C255" s="449">
        <v>2025</v>
      </c>
      <c r="D255" s="421">
        <f t="shared" si="164"/>
        <v>5903103.6666666642</v>
      </c>
      <c r="E255" s="421">
        <f t="shared" si="164"/>
        <v>230099.00000000003</v>
      </c>
      <c r="F255" s="422">
        <f t="shared" si="164"/>
        <v>167869.99999999991</v>
      </c>
      <c r="G255" s="423">
        <f t="shared" si="164"/>
        <v>59699.666666666664</v>
      </c>
      <c r="H255" s="423">
        <f t="shared" si="164"/>
        <v>8670.3333333333321</v>
      </c>
      <c r="I255" s="423">
        <f t="shared" si="164"/>
        <v>98269.666666666657</v>
      </c>
      <c r="J255" s="424">
        <f t="shared" si="164"/>
        <v>1230.3333333333335</v>
      </c>
      <c r="K255" s="422">
        <f t="shared" si="164"/>
        <v>62228.999999999978</v>
      </c>
      <c r="L255" s="423">
        <f t="shared" si="164"/>
        <v>16933.000000000007</v>
      </c>
      <c r="M255" s="423">
        <f t="shared" si="164"/>
        <v>0</v>
      </c>
      <c r="N255" s="423">
        <f t="shared" si="164"/>
        <v>41762.33333333335</v>
      </c>
      <c r="O255" s="425">
        <f t="shared" si="164"/>
        <v>3533.6666666666647</v>
      </c>
      <c r="P255" s="526">
        <f t="shared" si="145"/>
        <v>10398.333333333336</v>
      </c>
      <c r="Q255" s="423">
        <f t="shared" si="164"/>
        <v>175.66666666666657</v>
      </c>
      <c r="R255" s="422">
        <f t="shared" si="164"/>
        <v>105.99999999999997</v>
      </c>
      <c r="S255" s="423">
        <f t="shared" si="164"/>
        <v>36</v>
      </c>
      <c r="T255" s="423">
        <f t="shared" si="164"/>
        <v>4.9999999999999991</v>
      </c>
      <c r="U255" s="423">
        <f t="shared" si="162"/>
        <v>65</v>
      </c>
      <c r="V255" s="424">
        <f t="shared" si="162"/>
        <v>0</v>
      </c>
      <c r="W255" s="422">
        <f t="shared" si="162"/>
        <v>69.666666666666629</v>
      </c>
      <c r="X255" s="423">
        <f t="shared" si="162"/>
        <v>17.999999999999993</v>
      </c>
      <c r="Y255" s="423">
        <f t="shared" si="162"/>
        <v>0</v>
      </c>
      <c r="Z255" s="423">
        <f t="shared" si="162"/>
        <v>46.666666666666679</v>
      </c>
      <c r="AA255" s="425">
        <f t="shared" si="162"/>
        <v>4.9999999999999991</v>
      </c>
      <c r="AB255" s="526">
        <f t="shared" si="162"/>
        <v>1063.3333333333337</v>
      </c>
      <c r="AC255" s="423">
        <f t="shared" si="162"/>
        <v>12.333333333333336</v>
      </c>
      <c r="AD255" s="422">
        <f t="shared" si="162"/>
        <v>6.9999999999999982</v>
      </c>
      <c r="AE255" s="423">
        <f t="shared" si="162"/>
        <v>1</v>
      </c>
      <c r="AF255" s="423">
        <f t="shared" si="162"/>
        <v>1</v>
      </c>
      <c r="AG255" s="423">
        <f t="shared" ref="AG255:AM255" si="172">AG144/3+AG254</f>
        <v>4.9999999999999991</v>
      </c>
      <c r="AH255" s="424">
        <f t="shared" si="172"/>
        <v>0</v>
      </c>
      <c r="AI255" s="422">
        <f t="shared" si="172"/>
        <v>5.3333333333333339</v>
      </c>
      <c r="AJ255" s="423">
        <f t="shared" si="172"/>
        <v>1</v>
      </c>
      <c r="AK255" s="423">
        <f t="shared" si="172"/>
        <v>0</v>
      </c>
      <c r="AL255" s="423">
        <f t="shared" si="172"/>
        <v>4.333333333333333</v>
      </c>
      <c r="AM255" s="425">
        <f t="shared" si="172"/>
        <v>0</v>
      </c>
      <c r="AO255" s="421">
        <f t="shared" si="119"/>
        <v>187.99999999999991</v>
      </c>
      <c r="AP255" s="422">
        <f t="shared" si="120"/>
        <v>112.99999999999997</v>
      </c>
      <c r="AQ255" s="423">
        <f t="shared" si="121"/>
        <v>37</v>
      </c>
      <c r="AR255" s="423">
        <f t="shared" si="122"/>
        <v>5.9999999999999991</v>
      </c>
      <c r="AS255" s="423">
        <f t="shared" si="123"/>
        <v>70</v>
      </c>
      <c r="AT255" s="424">
        <f t="shared" si="124"/>
        <v>0</v>
      </c>
      <c r="AU255" s="422">
        <f t="shared" si="125"/>
        <v>74.999999999999957</v>
      </c>
      <c r="AV255" s="423">
        <f t="shared" si="126"/>
        <v>18.999999999999993</v>
      </c>
      <c r="AW255" s="423">
        <f t="shared" si="127"/>
        <v>0</v>
      </c>
      <c r="AX255" s="423">
        <f t="shared" si="128"/>
        <v>51.000000000000014</v>
      </c>
      <c r="AY255" s="425">
        <f t="shared" si="129"/>
        <v>4.9999999999999991</v>
      </c>
    </row>
    <row r="256" spans="1:51" ht="13.9">
      <c r="A256" s="447" t="s">
        <v>274</v>
      </c>
      <c r="B256" s="448">
        <v>45809</v>
      </c>
      <c r="C256" s="449">
        <v>2025</v>
      </c>
      <c r="D256" s="421">
        <f t="shared" si="164"/>
        <v>5970504.9999999972</v>
      </c>
      <c r="E256" s="421">
        <f t="shared" si="164"/>
        <v>233997.00000000003</v>
      </c>
      <c r="F256" s="422">
        <f t="shared" si="164"/>
        <v>170379.99999999991</v>
      </c>
      <c r="G256" s="423">
        <f t="shared" si="164"/>
        <v>60064</v>
      </c>
      <c r="H256" s="423">
        <f t="shared" si="164"/>
        <v>9030.9999999999982</v>
      </c>
      <c r="I256" s="423">
        <f t="shared" si="164"/>
        <v>99994.999999999985</v>
      </c>
      <c r="J256" s="424">
        <f t="shared" si="164"/>
        <v>1290.0000000000002</v>
      </c>
      <c r="K256" s="422">
        <f t="shared" si="164"/>
        <v>63616.999999999978</v>
      </c>
      <c r="L256" s="423">
        <f t="shared" si="164"/>
        <v>17169.000000000007</v>
      </c>
      <c r="M256" s="423">
        <f t="shared" si="164"/>
        <v>0</v>
      </c>
      <c r="N256" s="423">
        <f t="shared" si="164"/>
        <v>42892.000000000015</v>
      </c>
      <c r="O256" s="425">
        <f t="shared" si="164"/>
        <v>3555.9999999999982</v>
      </c>
      <c r="P256" s="526">
        <f t="shared" si="145"/>
        <v>10528.000000000002</v>
      </c>
      <c r="Q256" s="423">
        <f t="shared" si="164"/>
        <v>177.99999999999991</v>
      </c>
      <c r="R256" s="422">
        <f t="shared" si="164"/>
        <v>106.99999999999997</v>
      </c>
      <c r="S256" s="423">
        <f t="shared" si="164"/>
        <v>36</v>
      </c>
      <c r="T256" s="423">
        <f t="shared" si="164"/>
        <v>4.9999999999999991</v>
      </c>
      <c r="U256" s="423">
        <f t="shared" si="162"/>
        <v>66</v>
      </c>
      <c r="V256" s="424">
        <f t="shared" si="162"/>
        <v>0</v>
      </c>
      <c r="W256" s="422">
        <f t="shared" si="162"/>
        <v>70.999999999999957</v>
      </c>
      <c r="X256" s="423">
        <f t="shared" si="162"/>
        <v>17.999999999999993</v>
      </c>
      <c r="Y256" s="423">
        <f t="shared" si="162"/>
        <v>0</v>
      </c>
      <c r="Z256" s="423">
        <f t="shared" si="162"/>
        <v>48.000000000000014</v>
      </c>
      <c r="AA256" s="425">
        <f t="shared" si="162"/>
        <v>4.9999999999999991</v>
      </c>
      <c r="AB256" s="526">
        <f t="shared" si="162"/>
        <v>1076.0000000000005</v>
      </c>
      <c r="AC256" s="423">
        <f t="shared" si="162"/>
        <v>13.000000000000002</v>
      </c>
      <c r="AD256" s="422">
        <f t="shared" si="162"/>
        <v>6.9999999999999982</v>
      </c>
      <c r="AE256" s="423">
        <f t="shared" si="162"/>
        <v>1</v>
      </c>
      <c r="AF256" s="423">
        <f t="shared" si="162"/>
        <v>1</v>
      </c>
      <c r="AG256" s="423">
        <f t="shared" ref="AG256:AM256" si="173">AG145/3+AG255</f>
        <v>4.9999999999999991</v>
      </c>
      <c r="AH256" s="424">
        <f t="shared" si="173"/>
        <v>0</v>
      </c>
      <c r="AI256" s="422">
        <f t="shared" si="173"/>
        <v>6.0000000000000009</v>
      </c>
      <c r="AJ256" s="423">
        <f t="shared" si="173"/>
        <v>1</v>
      </c>
      <c r="AK256" s="423">
        <f t="shared" si="173"/>
        <v>0</v>
      </c>
      <c r="AL256" s="423">
        <f t="shared" si="173"/>
        <v>5</v>
      </c>
      <c r="AM256" s="425">
        <f t="shared" si="173"/>
        <v>0</v>
      </c>
      <c r="AO256" s="421">
        <f t="shared" si="119"/>
        <v>190.99999999999991</v>
      </c>
      <c r="AP256" s="422">
        <f t="shared" si="120"/>
        <v>113.99999999999997</v>
      </c>
      <c r="AQ256" s="423">
        <f t="shared" si="121"/>
        <v>37</v>
      </c>
      <c r="AR256" s="423">
        <f t="shared" si="122"/>
        <v>5.9999999999999991</v>
      </c>
      <c r="AS256" s="423">
        <f t="shared" si="123"/>
        <v>71</v>
      </c>
      <c r="AT256" s="424">
        <f t="shared" si="124"/>
        <v>0</v>
      </c>
      <c r="AU256" s="422">
        <f t="shared" si="125"/>
        <v>76.999999999999957</v>
      </c>
      <c r="AV256" s="423">
        <f t="shared" si="126"/>
        <v>18.999999999999993</v>
      </c>
      <c r="AW256" s="423">
        <f t="shared" si="127"/>
        <v>0</v>
      </c>
      <c r="AX256" s="423">
        <f t="shared" si="128"/>
        <v>53.000000000000014</v>
      </c>
      <c r="AY256" s="425">
        <f t="shared" si="129"/>
        <v>4.9999999999999991</v>
      </c>
    </row>
    <row r="257" spans="1:51" ht="13.9">
      <c r="A257" s="447" t="s">
        <v>275</v>
      </c>
      <c r="B257" s="448">
        <v>45839</v>
      </c>
      <c r="C257" s="449">
        <v>2025</v>
      </c>
      <c r="D257" s="421">
        <f t="shared" si="164"/>
        <v>6032104.6666666642</v>
      </c>
      <c r="E257" s="421">
        <f t="shared" si="164"/>
        <v>237960.33333333337</v>
      </c>
      <c r="F257" s="422">
        <f t="shared" si="164"/>
        <v>172855.33333333326</v>
      </c>
      <c r="G257" s="423">
        <f t="shared" si="164"/>
        <v>60450</v>
      </c>
      <c r="H257" s="423">
        <f t="shared" si="164"/>
        <v>9300.3333333333321</v>
      </c>
      <c r="I257" s="423">
        <f t="shared" si="164"/>
        <v>101697.66666666666</v>
      </c>
      <c r="J257" s="424">
        <f t="shared" si="164"/>
        <v>1407.3333333333335</v>
      </c>
      <c r="K257" s="422">
        <f t="shared" si="164"/>
        <v>65104.999999999978</v>
      </c>
      <c r="L257" s="423">
        <f t="shared" si="164"/>
        <v>17456.000000000007</v>
      </c>
      <c r="M257" s="423">
        <f t="shared" si="164"/>
        <v>0</v>
      </c>
      <c r="N257" s="423">
        <f t="shared" si="164"/>
        <v>44071.666666666679</v>
      </c>
      <c r="O257" s="425">
        <f t="shared" si="164"/>
        <v>3577.3333333333317</v>
      </c>
      <c r="P257" s="526">
        <f t="shared" si="145"/>
        <v>10643.000000000002</v>
      </c>
      <c r="Q257" s="423">
        <f t="shared" si="164"/>
        <v>181.66666666666657</v>
      </c>
      <c r="R257" s="422">
        <f t="shared" si="164"/>
        <v>108.99999999999997</v>
      </c>
      <c r="S257" s="423">
        <f t="shared" si="164"/>
        <v>36</v>
      </c>
      <c r="T257" s="423">
        <f t="shared" si="164"/>
        <v>5.9999999999999991</v>
      </c>
      <c r="U257" s="423">
        <f t="shared" si="162"/>
        <v>67</v>
      </c>
      <c r="V257" s="424">
        <f t="shared" si="162"/>
        <v>0</v>
      </c>
      <c r="W257" s="422">
        <f t="shared" si="162"/>
        <v>72.666666666666629</v>
      </c>
      <c r="X257" s="423">
        <f t="shared" si="162"/>
        <v>17.999999999999993</v>
      </c>
      <c r="Y257" s="423">
        <f t="shared" si="162"/>
        <v>0</v>
      </c>
      <c r="Z257" s="423">
        <f t="shared" si="162"/>
        <v>49.666666666666679</v>
      </c>
      <c r="AA257" s="425">
        <f t="shared" si="162"/>
        <v>4.9999999999999991</v>
      </c>
      <c r="AB257" s="526">
        <f t="shared" si="162"/>
        <v>1088.3333333333337</v>
      </c>
      <c r="AC257" s="423">
        <f t="shared" si="162"/>
        <v>13.000000000000002</v>
      </c>
      <c r="AD257" s="422">
        <f t="shared" si="162"/>
        <v>6.9999999999999982</v>
      </c>
      <c r="AE257" s="423">
        <f t="shared" si="162"/>
        <v>1</v>
      </c>
      <c r="AF257" s="423">
        <f t="shared" si="162"/>
        <v>1</v>
      </c>
      <c r="AG257" s="423">
        <f t="shared" ref="AG257:AM257" si="174">AG146/3+AG256</f>
        <v>4.9999999999999991</v>
      </c>
      <c r="AH257" s="424">
        <f t="shared" si="174"/>
        <v>0</v>
      </c>
      <c r="AI257" s="422">
        <f t="shared" si="174"/>
        <v>6.0000000000000009</v>
      </c>
      <c r="AJ257" s="423">
        <f t="shared" si="174"/>
        <v>1</v>
      </c>
      <c r="AK257" s="423">
        <f t="shared" si="174"/>
        <v>0</v>
      </c>
      <c r="AL257" s="423">
        <f t="shared" si="174"/>
        <v>5</v>
      </c>
      <c r="AM257" s="425">
        <f t="shared" si="174"/>
        <v>0</v>
      </c>
      <c r="AO257" s="421">
        <f t="shared" si="119"/>
        <v>194.66666666666657</v>
      </c>
      <c r="AP257" s="422">
        <f t="shared" si="120"/>
        <v>115.99999999999997</v>
      </c>
      <c r="AQ257" s="423">
        <f t="shared" si="121"/>
        <v>37</v>
      </c>
      <c r="AR257" s="423">
        <f t="shared" si="122"/>
        <v>6.9999999999999991</v>
      </c>
      <c r="AS257" s="423">
        <f t="shared" si="123"/>
        <v>72</v>
      </c>
      <c r="AT257" s="424">
        <f t="shared" si="124"/>
        <v>0</v>
      </c>
      <c r="AU257" s="422">
        <f t="shared" si="125"/>
        <v>78.666666666666629</v>
      </c>
      <c r="AV257" s="423">
        <f t="shared" si="126"/>
        <v>18.999999999999993</v>
      </c>
      <c r="AW257" s="423">
        <f t="shared" si="127"/>
        <v>0</v>
      </c>
      <c r="AX257" s="423">
        <f t="shared" si="128"/>
        <v>54.666666666666679</v>
      </c>
      <c r="AY257" s="425">
        <f t="shared" si="129"/>
        <v>4.9999999999999991</v>
      </c>
    </row>
    <row r="258" spans="1:51" ht="13.9">
      <c r="A258" s="447" t="s">
        <v>275</v>
      </c>
      <c r="B258" s="448">
        <v>45870</v>
      </c>
      <c r="C258" s="449">
        <v>2025</v>
      </c>
      <c r="D258" s="421">
        <f t="shared" si="164"/>
        <v>6093704.3333333312</v>
      </c>
      <c r="E258" s="421">
        <f t="shared" si="164"/>
        <v>241923.66666666672</v>
      </c>
      <c r="F258" s="422">
        <f t="shared" si="164"/>
        <v>175330.6666666666</v>
      </c>
      <c r="G258" s="423">
        <f t="shared" si="164"/>
        <v>60836</v>
      </c>
      <c r="H258" s="423">
        <f t="shared" si="164"/>
        <v>9569.6666666666661</v>
      </c>
      <c r="I258" s="423">
        <f t="shared" si="164"/>
        <v>103400.33333333333</v>
      </c>
      <c r="J258" s="424">
        <f t="shared" si="164"/>
        <v>1524.6666666666667</v>
      </c>
      <c r="K258" s="422">
        <f t="shared" si="164"/>
        <v>66592.999999999971</v>
      </c>
      <c r="L258" s="423">
        <f t="shared" si="164"/>
        <v>17743.000000000007</v>
      </c>
      <c r="M258" s="423">
        <f t="shared" si="164"/>
        <v>0</v>
      </c>
      <c r="N258" s="423">
        <f t="shared" si="164"/>
        <v>45251.333333333343</v>
      </c>
      <c r="O258" s="425">
        <f t="shared" si="164"/>
        <v>3598.6666666666652</v>
      </c>
      <c r="P258" s="526">
        <f t="shared" si="145"/>
        <v>10758.000000000002</v>
      </c>
      <c r="Q258" s="423">
        <f t="shared" si="164"/>
        <v>185.33333333333323</v>
      </c>
      <c r="R258" s="422">
        <f t="shared" si="164"/>
        <v>110.99999999999997</v>
      </c>
      <c r="S258" s="423">
        <f t="shared" si="164"/>
        <v>36</v>
      </c>
      <c r="T258" s="423">
        <f t="shared" si="164"/>
        <v>6.9999999999999991</v>
      </c>
      <c r="U258" s="423">
        <f t="shared" si="162"/>
        <v>68</v>
      </c>
      <c r="V258" s="424">
        <f t="shared" si="162"/>
        <v>0</v>
      </c>
      <c r="W258" s="422">
        <f t="shared" si="162"/>
        <v>74.3333333333333</v>
      </c>
      <c r="X258" s="423">
        <f t="shared" si="162"/>
        <v>17.999999999999993</v>
      </c>
      <c r="Y258" s="423">
        <f t="shared" si="162"/>
        <v>0</v>
      </c>
      <c r="Z258" s="423">
        <f t="shared" si="162"/>
        <v>51.333333333333343</v>
      </c>
      <c r="AA258" s="425">
        <f t="shared" si="162"/>
        <v>4.9999999999999991</v>
      </c>
      <c r="AB258" s="526">
        <f t="shared" si="162"/>
        <v>1100.666666666667</v>
      </c>
      <c r="AC258" s="423">
        <f t="shared" si="162"/>
        <v>13.000000000000002</v>
      </c>
      <c r="AD258" s="422">
        <f t="shared" si="162"/>
        <v>6.9999999999999982</v>
      </c>
      <c r="AE258" s="423">
        <f t="shared" si="162"/>
        <v>1</v>
      </c>
      <c r="AF258" s="423">
        <f t="shared" si="162"/>
        <v>1</v>
      </c>
      <c r="AG258" s="423">
        <f t="shared" ref="AG258:AM258" si="175">AG147/3+AG257</f>
        <v>4.9999999999999991</v>
      </c>
      <c r="AH258" s="424">
        <f t="shared" si="175"/>
        <v>0</v>
      </c>
      <c r="AI258" s="422">
        <f t="shared" si="175"/>
        <v>6.0000000000000009</v>
      </c>
      <c r="AJ258" s="423">
        <f t="shared" si="175"/>
        <v>1</v>
      </c>
      <c r="AK258" s="423">
        <f t="shared" si="175"/>
        <v>0</v>
      </c>
      <c r="AL258" s="423">
        <f t="shared" si="175"/>
        <v>5</v>
      </c>
      <c r="AM258" s="425">
        <f t="shared" si="175"/>
        <v>0</v>
      </c>
      <c r="AO258" s="421">
        <f t="shared" si="119"/>
        <v>198.33333333333323</v>
      </c>
      <c r="AP258" s="422">
        <f t="shared" si="120"/>
        <v>117.99999999999997</v>
      </c>
      <c r="AQ258" s="423">
        <f t="shared" si="121"/>
        <v>37</v>
      </c>
      <c r="AR258" s="423">
        <f t="shared" si="122"/>
        <v>7.9999999999999991</v>
      </c>
      <c r="AS258" s="423">
        <f t="shared" si="123"/>
        <v>73</v>
      </c>
      <c r="AT258" s="424">
        <f t="shared" si="124"/>
        <v>0</v>
      </c>
      <c r="AU258" s="422">
        <f t="shared" si="125"/>
        <v>80.3333333333333</v>
      </c>
      <c r="AV258" s="423">
        <f t="shared" si="126"/>
        <v>18.999999999999993</v>
      </c>
      <c r="AW258" s="423">
        <f t="shared" si="127"/>
        <v>0</v>
      </c>
      <c r="AX258" s="423">
        <f t="shared" si="128"/>
        <v>56.333333333333343</v>
      </c>
      <c r="AY258" s="425">
        <f t="shared" si="129"/>
        <v>4.9999999999999991</v>
      </c>
    </row>
    <row r="259" spans="1:51" ht="13.9">
      <c r="A259" s="447" t="s">
        <v>275</v>
      </c>
      <c r="B259" s="448">
        <v>45901</v>
      </c>
      <c r="C259" s="449">
        <v>2025</v>
      </c>
      <c r="D259" s="421">
        <f t="shared" si="164"/>
        <v>6155303.9999999981</v>
      </c>
      <c r="E259" s="421">
        <f t="shared" si="164"/>
        <v>245887.00000000006</v>
      </c>
      <c r="F259" s="422">
        <f t="shared" si="164"/>
        <v>177805.99999999994</v>
      </c>
      <c r="G259" s="423">
        <f t="shared" si="164"/>
        <v>61222</v>
      </c>
      <c r="H259" s="423">
        <f t="shared" si="164"/>
        <v>9839</v>
      </c>
      <c r="I259" s="423">
        <f t="shared" si="164"/>
        <v>105103</v>
      </c>
      <c r="J259" s="424">
        <f t="shared" si="164"/>
        <v>1642</v>
      </c>
      <c r="K259" s="422">
        <f t="shared" si="164"/>
        <v>68080.999999999971</v>
      </c>
      <c r="L259" s="423">
        <f t="shared" si="164"/>
        <v>18030.000000000007</v>
      </c>
      <c r="M259" s="423">
        <f t="shared" si="164"/>
        <v>0</v>
      </c>
      <c r="N259" s="423">
        <f t="shared" si="164"/>
        <v>46431.000000000007</v>
      </c>
      <c r="O259" s="425">
        <f t="shared" si="164"/>
        <v>3619.9999999999986</v>
      </c>
      <c r="P259" s="526">
        <f t="shared" si="145"/>
        <v>10873.000000000002</v>
      </c>
      <c r="Q259" s="423">
        <f t="shared" si="164"/>
        <v>188.99999999999989</v>
      </c>
      <c r="R259" s="422">
        <f t="shared" si="164"/>
        <v>112.99999999999997</v>
      </c>
      <c r="S259" s="423">
        <f t="shared" si="164"/>
        <v>36</v>
      </c>
      <c r="T259" s="423">
        <f t="shared" si="164"/>
        <v>7.9999999999999991</v>
      </c>
      <c r="U259" s="423">
        <f t="shared" si="162"/>
        <v>69</v>
      </c>
      <c r="V259" s="424">
        <f t="shared" si="162"/>
        <v>0</v>
      </c>
      <c r="W259" s="422">
        <f t="shared" si="162"/>
        <v>75.999999999999972</v>
      </c>
      <c r="X259" s="423">
        <f t="shared" si="162"/>
        <v>17.999999999999993</v>
      </c>
      <c r="Y259" s="423">
        <f t="shared" si="162"/>
        <v>0</v>
      </c>
      <c r="Z259" s="423">
        <f t="shared" si="162"/>
        <v>53.000000000000007</v>
      </c>
      <c r="AA259" s="425">
        <f t="shared" si="162"/>
        <v>4.9999999999999991</v>
      </c>
      <c r="AB259" s="526">
        <f t="shared" si="162"/>
        <v>1113.0000000000002</v>
      </c>
      <c r="AC259" s="423">
        <f t="shared" si="162"/>
        <v>13.000000000000002</v>
      </c>
      <c r="AD259" s="422">
        <f t="shared" si="162"/>
        <v>6.9999999999999982</v>
      </c>
      <c r="AE259" s="423">
        <f t="shared" si="162"/>
        <v>1</v>
      </c>
      <c r="AF259" s="423">
        <f t="shared" si="162"/>
        <v>1</v>
      </c>
      <c r="AG259" s="423">
        <f t="shared" ref="AG259:AM259" si="176">AG148/3+AG258</f>
        <v>4.9999999999999991</v>
      </c>
      <c r="AH259" s="424">
        <f t="shared" si="176"/>
        <v>0</v>
      </c>
      <c r="AI259" s="422">
        <f t="shared" si="176"/>
        <v>6.0000000000000009</v>
      </c>
      <c r="AJ259" s="423">
        <f t="shared" si="176"/>
        <v>1</v>
      </c>
      <c r="AK259" s="423">
        <f t="shared" si="176"/>
        <v>0</v>
      </c>
      <c r="AL259" s="423">
        <f t="shared" si="176"/>
        <v>5</v>
      </c>
      <c r="AM259" s="425">
        <f t="shared" si="176"/>
        <v>0</v>
      </c>
      <c r="AO259" s="421">
        <f t="shared" si="119"/>
        <v>201.99999999999989</v>
      </c>
      <c r="AP259" s="422">
        <f t="shared" si="120"/>
        <v>119.99999999999997</v>
      </c>
      <c r="AQ259" s="423">
        <f t="shared" si="121"/>
        <v>37</v>
      </c>
      <c r="AR259" s="423">
        <f t="shared" si="122"/>
        <v>9</v>
      </c>
      <c r="AS259" s="423">
        <f t="shared" si="123"/>
        <v>74</v>
      </c>
      <c r="AT259" s="424">
        <f t="shared" si="124"/>
        <v>0</v>
      </c>
      <c r="AU259" s="422">
        <f t="shared" si="125"/>
        <v>81.999999999999972</v>
      </c>
      <c r="AV259" s="423">
        <f t="shared" si="126"/>
        <v>18.999999999999993</v>
      </c>
      <c r="AW259" s="423">
        <f t="shared" si="127"/>
        <v>0</v>
      </c>
      <c r="AX259" s="423">
        <f t="shared" si="128"/>
        <v>58.000000000000007</v>
      </c>
      <c r="AY259" s="425">
        <f t="shared" si="129"/>
        <v>4.9999999999999991</v>
      </c>
    </row>
    <row r="260" spans="1:51" ht="13.9">
      <c r="A260" s="447" t="s">
        <v>276</v>
      </c>
      <c r="B260" s="448">
        <v>45931</v>
      </c>
      <c r="C260" s="449">
        <v>2025</v>
      </c>
      <c r="D260" s="421">
        <f t="shared" si="164"/>
        <v>6206700.6666666651</v>
      </c>
      <c r="E260" s="421">
        <f t="shared" si="164"/>
        <v>249640.66666666672</v>
      </c>
      <c r="F260" s="422">
        <f t="shared" si="164"/>
        <v>180301.99999999994</v>
      </c>
      <c r="G260" s="423">
        <f t="shared" si="164"/>
        <v>61468.666666666664</v>
      </c>
      <c r="H260" s="423">
        <f t="shared" si="164"/>
        <v>10048</v>
      </c>
      <c r="I260" s="423">
        <f t="shared" si="164"/>
        <v>107031</v>
      </c>
      <c r="J260" s="424">
        <f t="shared" si="164"/>
        <v>1754.3333333333333</v>
      </c>
      <c r="K260" s="422">
        <f t="shared" si="164"/>
        <v>69338.666666666642</v>
      </c>
      <c r="L260" s="423">
        <f t="shared" si="164"/>
        <v>18272.666666666675</v>
      </c>
      <c r="M260" s="423">
        <f t="shared" si="164"/>
        <v>0</v>
      </c>
      <c r="N260" s="423">
        <f t="shared" si="164"/>
        <v>47424.333333333343</v>
      </c>
      <c r="O260" s="425">
        <f t="shared" si="164"/>
        <v>3641.6666666666652</v>
      </c>
      <c r="P260" s="526">
        <f t="shared" si="145"/>
        <v>10961.333333333336</v>
      </c>
      <c r="Q260" s="423">
        <f t="shared" si="164"/>
        <v>194.33333333333323</v>
      </c>
      <c r="R260" s="422">
        <f t="shared" si="164"/>
        <v>115.66666666666664</v>
      </c>
      <c r="S260" s="423">
        <f t="shared" si="164"/>
        <v>36</v>
      </c>
      <c r="T260" s="423">
        <f t="shared" si="164"/>
        <v>8.3333333333333321</v>
      </c>
      <c r="U260" s="423">
        <f t="shared" si="162"/>
        <v>71.333333333333329</v>
      </c>
      <c r="V260" s="424">
        <f t="shared" si="162"/>
        <v>0</v>
      </c>
      <c r="W260" s="422">
        <f t="shared" si="162"/>
        <v>78.666666666666643</v>
      </c>
      <c r="X260" s="423">
        <f t="shared" si="162"/>
        <v>17.999999999999993</v>
      </c>
      <c r="Y260" s="423">
        <f t="shared" si="162"/>
        <v>0</v>
      </c>
      <c r="Z260" s="423">
        <f t="shared" si="162"/>
        <v>55.666666666666671</v>
      </c>
      <c r="AA260" s="425">
        <f t="shared" si="162"/>
        <v>4.9999999999999991</v>
      </c>
      <c r="AB260" s="526">
        <f t="shared" si="162"/>
        <v>1117.666666666667</v>
      </c>
      <c r="AC260" s="423">
        <f t="shared" si="162"/>
        <v>13.000000000000002</v>
      </c>
      <c r="AD260" s="422">
        <f t="shared" si="162"/>
        <v>6.9999999999999982</v>
      </c>
      <c r="AE260" s="423">
        <f t="shared" si="162"/>
        <v>1</v>
      </c>
      <c r="AF260" s="423">
        <f t="shared" si="162"/>
        <v>1</v>
      </c>
      <c r="AG260" s="423">
        <f t="shared" ref="AG260:AM260" si="177">AG149/3+AG259</f>
        <v>4.9999999999999991</v>
      </c>
      <c r="AH260" s="424">
        <f t="shared" si="177"/>
        <v>0</v>
      </c>
      <c r="AI260" s="422">
        <f t="shared" si="177"/>
        <v>6.0000000000000009</v>
      </c>
      <c r="AJ260" s="423">
        <f t="shared" si="177"/>
        <v>1</v>
      </c>
      <c r="AK260" s="423">
        <f t="shared" si="177"/>
        <v>0</v>
      </c>
      <c r="AL260" s="423">
        <f t="shared" si="177"/>
        <v>5</v>
      </c>
      <c r="AM260" s="425">
        <f t="shared" si="177"/>
        <v>0</v>
      </c>
      <c r="AO260" s="421">
        <f t="shared" si="119"/>
        <v>207.33333333333323</v>
      </c>
      <c r="AP260" s="422">
        <f t="shared" si="120"/>
        <v>122.66666666666664</v>
      </c>
      <c r="AQ260" s="423">
        <f t="shared" si="121"/>
        <v>37</v>
      </c>
      <c r="AR260" s="423">
        <f t="shared" si="122"/>
        <v>9.3333333333333321</v>
      </c>
      <c r="AS260" s="423">
        <f t="shared" si="123"/>
        <v>76.333333333333329</v>
      </c>
      <c r="AT260" s="424">
        <f t="shared" si="124"/>
        <v>0</v>
      </c>
      <c r="AU260" s="422">
        <f t="shared" si="125"/>
        <v>84.666666666666643</v>
      </c>
      <c r="AV260" s="423">
        <f t="shared" si="126"/>
        <v>18.999999999999993</v>
      </c>
      <c r="AW260" s="423">
        <f t="shared" si="127"/>
        <v>0</v>
      </c>
      <c r="AX260" s="423">
        <f t="shared" si="128"/>
        <v>60.666666666666671</v>
      </c>
      <c r="AY260" s="425">
        <f t="shared" si="129"/>
        <v>4.9999999999999991</v>
      </c>
    </row>
    <row r="261" spans="1:51" ht="13.9">
      <c r="A261" s="447" t="s">
        <v>276</v>
      </c>
      <c r="B261" s="448">
        <v>45962</v>
      </c>
      <c r="C261" s="449">
        <v>2025</v>
      </c>
      <c r="D261" s="421">
        <f t="shared" si="164"/>
        <v>6258097.3333333321</v>
      </c>
      <c r="E261" s="421">
        <f t="shared" si="164"/>
        <v>253394.33333333337</v>
      </c>
      <c r="F261" s="422">
        <f t="shared" si="164"/>
        <v>182797.99999999994</v>
      </c>
      <c r="G261" s="423">
        <f t="shared" si="164"/>
        <v>61715.333333333328</v>
      </c>
      <c r="H261" s="423">
        <f t="shared" si="164"/>
        <v>10257</v>
      </c>
      <c r="I261" s="423">
        <f t="shared" si="164"/>
        <v>108959</v>
      </c>
      <c r="J261" s="424">
        <f t="shared" si="164"/>
        <v>1866.6666666666665</v>
      </c>
      <c r="K261" s="422">
        <f t="shared" si="164"/>
        <v>70596.333333333314</v>
      </c>
      <c r="L261" s="423">
        <f t="shared" si="164"/>
        <v>18515.333333333343</v>
      </c>
      <c r="M261" s="423">
        <f t="shared" si="164"/>
        <v>0</v>
      </c>
      <c r="N261" s="423">
        <f t="shared" si="164"/>
        <v>48417.666666666679</v>
      </c>
      <c r="O261" s="425">
        <f t="shared" si="164"/>
        <v>3663.3333333333317</v>
      </c>
      <c r="P261" s="526">
        <f t="shared" si="145"/>
        <v>11049.66666666667</v>
      </c>
      <c r="Q261" s="423">
        <f t="shared" si="164"/>
        <v>199.66666666666657</v>
      </c>
      <c r="R261" s="422">
        <f t="shared" si="164"/>
        <v>118.33333333333331</v>
      </c>
      <c r="S261" s="423">
        <f t="shared" si="164"/>
        <v>36</v>
      </c>
      <c r="T261" s="423">
        <f t="shared" si="164"/>
        <v>8.6666666666666661</v>
      </c>
      <c r="U261" s="423">
        <f t="shared" si="162"/>
        <v>73.666666666666657</v>
      </c>
      <c r="V261" s="424">
        <f t="shared" si="162"/>
        <v>0</v>
      </c>
      <c r="W261" s="422">
        <f t="shared" si="162"/>
        <v>81.333333333333314</v>
      </c>
      <c r="X261" s="423">
        <f t="shared" si="162"/>
        <v>17.999999999999993</v>
      </c>
      <c r="Y261" s="423">
        <f t="shared" si="162"/>
        <v>0</v>
      </c>
      <c r="Z261" s="423">
        <f t="shared" si="162"/>
        <v>58.333333333333336</v>
      </c>
      <c r="AA261" s="425">
        <f t="shared" si="162"/>
        <v>4.9999999999999991</v>
      </c>
      <c r="AB261" s="526">
        <f t="shared" si="162"/>
        <v>1122.3333333333337</v>
      </c>
      <c r="AC261" s="423">
        <f t="shared" si="162"/>
        <v>13.000000000000002</v>
      </c>
      <c r="AD261" s="422">
        <f t="shared" si="162"/>
        <v>6.9999999999999982</v>
      </c>
      <c r="AE261" s="423">
        <f t="shared" si="162"/>
        <v>1</v>
      </c>
      <c r="AF261" s="423">
        <f t="shared" si="162"/>
        <v>1</v>
      </c>
      <c r="AG261" s="423">
        <f t="shared" ref="AG261:AM261" si="178">AG150/3+AG260</f>
        <v>4.9999999999999991</v>
      </c>
      <c r="AH261" s="424">
        <f t="shared" si="178"/>
        <v>0</v>
      </c>
      <c r="AI261" s="422">
        <f t="shared" si="178"/>
        <v>6.0000000000000009</v>
      </c>
      <c r="AJ261" s="423">
        <f t="shared" si="178"/>
        <v>1</v>
      </c>
      <c r="AK261" s="423">
        <f t="shared" si="178"/>
        <v>0</v>
      </c>
      <c r="AL261" s="423">
        <f t="shared" si="178"/>
        <v>5</v>
      </c>
      <c r="AM261" s="425">
        <f t="shared" si="178"/>
        <v>0</v>
      </c>
      <c r="AO261" s="421">
        <f t="shared" si="119"/>
        <v>212.66666666666657</v>
      </c>
      <c r="AP261" s="422">
        <f t="shared" si="120"/>
        <v>125.33333333333331</v>
      </c>
      <c r="AQ261" s="423">
        <f t="shared" si="121"/>
        <v>37</v>
      </c>
      <c r="AR261" s="423">
        <f t="shared" si="122"/>
        <v>9.6666666666666661</v>
      </c>
      <c r="AS261" s="423">
        <f t="shared" si="123"/>
        <v>78.666666666666657</v>
      </c>
      <c r="AT261" s="424">
        <f t="shared" si="124"/>
        <v>0</v>
      </c>
      <c r="AU261" s="422">
        <f t="shared" si="125"/>
        <v>87.333333333333314</v>
      </c>
      <c r="AV261" s="423">
        <f t="shared" si="126"/>
        <v>18.999999999999993</v>
      </c>
      <c r="AW261" s="423">
        <f t="shared" si="127"/>
        <v>0</v>
      </c>
      <c r="AX261" s="423">
        <f t="shared" si="128"/>
        <v>63.333333333333336</v>
      </c>
      <c r="AY261" s="425">
        <f t="shared" si="129"/>
        <v>4.9999999999999991</v>
      </c>
    </row>
    <row r="262" spans="1:51" ht="14.45" thickBot="1">
      <c r="A262" s="450" t="s">
        <v>276</v>
      </c>
      <c r="B262" s="451">
        <v>45992</v>
      </c>
      <c r="C262" s="452">
        <v>2025</v>
      </c>
      <c r="D262" s="441">
        <f t="shared" si="164"/>
        <v>6309493.9999999991</v>
      </c>
      <c r="E262" s="441">
        <f t="shared" si="164"/>
        <v>257148.00000000003</v>
      </c>
      <c r="F262" s="442">
        <f t="shared" si="164"/>
        <v>185293.99999999994</v>
      </c>
      <c r="G262" s="443">
        <f t="shared" si="164"/>
        <v>61961.999999999993</v>
      </c>
      <c r="H262" s="443">
        <f t="shared" si="164"/>
        <v>10466</v>
      </c>
      <c r="I262" s="443">
        <f t="shared" si="164"/>
        <v>110887</v>
      </c>
      <c r="J262" s="444">
        <f t="shared" si="164"/>
        <v>1978.9999999999998</v>
      </c>
      <c r="K262" s="442">
        <f t="shared" si="164"/>
        <v>71853.999999999985</v>
      </c>
      <c r="L262" s="443">
        <f t="shared" si="164"/>
        <v>18758.000000000011</v>
      </c>
      <c r="M262" s="443">
        <f t="shared" si="164"/>
        <v>0</v>
      </c>
      <c r="N262" s="443">
        <f t="shared" si="164"/>
        <v>49411.000000000015</v>
      </c>
      <c r="O262" s="445">
        <f t="shared" si="164"/>
        <v>3684.9999999999982</v>
      </c>
      <c r="P262" s="529">
        <f t="shared" si="145"/>
        <v>11138.000000000004</v>
      </c>
      <c r="Q262" s="443">
        <f t="shared" si="164"/>
        <v>204.99999999999991</v>
      </c>
      <c r="R262" s="442">
        <f t="shared" si="164"/>
        <v>120.99999999999999</v>
      </c>
      <c r="S262" s="443">
        <f t="shared" si="164"/>
        <v>36</v>
      </c>
      <c r="T262" s="443">
        <f t="shared" si="164"/>
        <v>9</v>
      </c>
      <c r="U262" s="443">
        <f t="shared" si="162"/>
        <v>75.999999999999986</v>
      </c>
      <c r="V262" s="444">
        <f t="shared" si="162"/>
        <v>0</v>
      </c>
      <c r="W262" s="442">
        <f t="shared" si="162"/>
        <v>83.999999999999986</v>
      </c>
      <c r="X262" s="443">
        <f t="shared" si="162"/>
        <v>17.999999999999993</v>
      </c>
      <c r="Y262" s="443">
        <f t="shared" si="162"/>
        <v>0</v>
      </c>
      <c r="Z262" s="443">
        <f t="shared" si="162"/>
        <v>61</v>
      </c>
      <c r="AA262" s="445">
        <f t="shared" si="162"/>
        <v>4.9999999999999991</v>
      </c>
      <c r="AB262" s="529">
        <f t="shared" si="162"/>
        <v>1127.0000000000005</v>
      </c>
      <c r="AC262" s="443">
        <f t="shared" si="162"/>
        <v>13.000000000000002</v>
      </c>
      <c r="AD262" s="442">
        <f t="shared" si="162"/>
        <v>6.9999999999999982</v>
      </c>
      <c r="AE262" s="443">
        <f t="shared" si="162"/>
        <v>1</v>
      </c>
      <c r="AF262" s="443">
        <f t="shared" si="162"/>
        <v>1</v>
      </c>
      <c r="AG262" s="443">
        <f t="shared" ref="AG262:AM262" si="179">AG151/3+AG261</f>
        <v>4.9999999999999991</v>
      </c>
      <c r="AH262" s="444">
        <f t="shared" si="179"/>
        <v>0</v>
      </c>
      <c r="AI262" s="442">
        <f t="shared" si="179"/>
        <v>6.0000000000000009</v>
      </c>
      <c r="AJ262" s="443">
        <f t="shared" si="179"/>
        <v>1</v>
      </c>
      <c r="AK262" s="443">
        <f t="shared" si="179"/>
        <v>0</v>
      </c>
      <c r="AL262" s="443">
        <f t="shared" si="179"/>
        <v>5</v>
      </c>
      <c r="AM262" s="445">
        <f t="shared" si="179"/>
        <v>0</v>
      </c>
      <c r="AO262" s="441">
        <f t="shared" si="119"/>
        <v>217.99999999999991</v>
      </c>
      <c r="AP262" s="442">
        <f t="shared" si="120"/>
        <v>127.99999999999999</v>
      </c>
      <c r="AQ262" s="443">
        <f t="shared" si="121"/>
        <v>37</v>
      </c>
      <c r="AR262" s="443">
        <f t="shared" si="122"/>
        <v>10</v>
      </c>
      <c r="AS262" s="443">
        <f t="shared" si="123"/>
        <v>80.999999999999986</v>
      </c>
      <c r="AT262" s="444">
        <f t="shared" si="124"/>
        <v>0</v>
      </c>
      <c r="AU262" s="442">
        <f t="shared" si="125"/>
        <v>89.999999999999986</v>
      </c>
      <c r="AV262" s="443">
        <f t="shared" si="126"/>
        <v>18.999999999999993</v>
      </c>
      <c r="AW262" s="443">
        <f t="shared" si="127"/>
        <v>0</v>
      </c>
      <c r="AX262" s="443">
        <f t="shared" si="128"/>
        <v>66</v>
      </c>
      <c r="AY262" s="445">
        <f t="shared" si="129"/>
        <v>4.9999999999999991</v>
      </c>
    </row>
    <row r="263" spans="1:51" ht="13.9">
      <c r="A263" s="408"/>
      <c r="B263" s="408"/>
      <c r="C263" s="408"/>
      <c r="D263" s="408"/>
      <c r="E263" s="408"/>
      <c r="F263" s="408"/>
      <c r="G263" s="408"/>
      <c r="H263" s="408"/>
      <c r="I263" s="408"/>
      <c r="J263" s="408"/>
      <c r="K263" s="408"/>
      <c r="L263" s="408"/>
      <c r="M263" s="408"/>
      <c r="N263" s="408"/>
      <c r="O263" s="408"/>
      <c r="P263" s="408"/>
      <c r="Q263" s="408"/>
      <c r="R263" s="408"/>
      <c r="S263" s="408"/>
      <c r="T263" s="408"/>
      <c r="U263" s="408"/>
      <c r="V263" s="408"/>
      <c r="W263" s="408"/>
      <c r="X263" s="408"/>
      <c r="Y263" s="408"/>
      <c r="Z263" s="408"/>
      <c r="AA263" s="408"/>
      <c r="AB263" s="408"/>
    </row>
    <row r="264" spans="1:51" ht="13.9">
      <c r="A264" s="408"/>
      <c r="B264" s="408"/>
      <c r="C264" s="408"/>
      <c r="D264" s="408"/>
      <c r="E264" s="408"/>
      <c r="F264" s="408"/>
      <c r="G264" s="408"/>
      <c r="H264" s="408"/>
      <c r="I264" s="408"/>
      <c r="J264" s="408"/>
      <c r="K264" s="408"/>
      <c r="L264" s="408"/>
      <c r="M264" s="408"/>
      <c r="N264" s="408"/>
      <c r="O264" s="408"/>
      <c r="P264" s="408"/>
      <c r="Q264" s="408"/>
      <c r="R264" s="408"/>
      <c r="S264" s="408"/>
      <c r="T264" s="408"/>
      <c r="U264" s="408"/>
      <c r="V264" s="408"/>
      <c r="W264" s="408"/>
      <c r="X264" s="408"/>
      <c r="Y264" s="408"/>
      <c r="Z264" s="408"/>
      <c r="AA264" s="408"/>
      <c r="AB264" s="408"/>
    </row>
    <row r="265" spans="1:51" ht="13.9">
      <c r="A265" s="408"/>
      <c r="B265" s="408"/>
      <c r="C265" s="408"/>
      <c r="D265" s="408"/>
      <c r="E265" s="408"/>
      <c r="F265" s="408"/>
      <c r="G265" s="408"/>
      <c r="H265" s="408"/>
      <c r="I265" s="408"/>
      <c r="J265" s="408"/>
      <c r="K265" s="408"/>
      <c r="L265" s="408"/>
      <c r="M265" s="408"/>
      <c r="N265" s="408"/>
      <c r="O265" s="408"/>
      <c r="P265" s="408"/>
      <c r="Q265" s="408"/>
      <c r="R265" s="408"/>
      <c r="S265" s="408"/>
      <c r="T265" s="408"/>
      <c r="U265" s="408"/>
      <c r="V265" s="408"/>
      <c r="W265" s="408"/>
      <c r="X265" s="408"/>
      <c r="Y265" s="408"/>
      <c r="Z265" s="408"/>
      <c r="AA265" s="408"/>
      <c r="AB265" s="408"/>
    </row>
    <row r="266" spans="1:51" ht="13.9">
      <c r="A266" s="408"/>
      <c r="B266" s="408"/>
      <c r="C266" s="408"/>
      <c r="D266" s="408"/>
      <c r="E266" s="408"/>
      <c r="F266" s="408"/>
      <c r="G266" s="408"/>
      <c r="H266" s="408"/>
      <c r="I266" s="408"/>
      <c r="J266" s="408"/>
      <c r="K266" s="408"/>
      <c r="L266" s="408"/>
      <c r="M266" s="408"/>
      <c r="N266" s="408"/>
      <c r="O266" s="408"/>
      <c r="P266" s="408"/>
      <c r="Q266" s="408"/>
      <c r="R266" s="408"/>
      <c r="S266" s="408"/>
      <c r="T266" s="408"/>
      <c r="U266" s="408"/>
      <c r="V266" s="408"/>
      <c r="W266" s="408"/>
      <c r="X266" s="408"/>
      <c r="Y266" s="408"/>
      <c r="Z266" s="408"/>
      <c r="AA266" s="408"/>
      <c r="AB266" s="408"/>
    </row>
    <row r="267" spans="1:51" ht="13.9">
      <c r="A267" s="408"/>
      <c r="B267" s="408"/>
      <c r="C267" s="408"/>
      <c r="D267" s="408"/>
      <c r="E267" s="408"/>
      <c r="F267" s="408"/>
      <c r="G267" s="408"/>
      <c r="H267" s="408"/>
      <c r="I267" s="408"/>
      <c r="J267" s="408"/>
      <c r="K267" s="408"/>
      <c r="L267" s="408"/>
      <c r="M267" s="408"/>
      <c r="N267" s="408"/>
      <c r="O267" s="408"/>
      <c r="P267" s="408"/>
      <c r="Q267" s="408"/>
      <c r="R267" s="408"/>
      <c r="S267" s="408"/>
      <c r="T267" s="408"/>
      <c r="U267" s="408"/>
      <c r="V267" s="408"/>
      <c r="W267" s="408"/>
      <c r="X267" s="408"/>
      <c r="Y267" s="408"/>
      <c r="Z267" s="408"/>
      <c r="AA267" s="408"/>
      <c r="AB267" s="408"/>
    </row>
  </sheetData>
  <mergeCells count="19">
    <mergeCell ref="A153:AM153"/>
    <mergeCell ref="D2:O2"/>
    <mergeCell ref="D3:D4"/>
    <mergeCell ref="E3:E4"/>
    <mergeCell ref="F3:J3"/>
    <mergeCell ref="K3:O3"/>
    <mergeCell ref="Q3:Q4"/>
    <mergeCell ref="R3:V3"/>
    <mergeCell ref="W3:AA3"/>
    <mergeCell ref="P2:AA2"/>
    <mergeCell ref="AB2:AM2"/>
    <mergeCell ref="AO2:AY2"/>
    <mergeCell ref="AO3:AO4"/>
    <mergeCell ref="AP3:AT3"/>
    <mergeCell ref="AU3:AY3"/>
    <mergeCell ref="A42:AA42"/>
    <mergeCell ref="AC3:AC4"/>
    <mergeCell ref="AD3:AH3"/>
    <mergeCell ref="AI3:AM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FAFF6-2393-431D-9716-5E8939B07081}">
  <sheetPr codeName="Sheet15">
    <tabColor theme="3" tint="0.499984740745262"/>
  </sheetPr>
  <dimension ref="B1:AC179"/>
  <sheetViews>
    <sheetView topLeftCell="J1" zoomScaleNormal="100" workbookViewId="0">
      <selection activeCell="O83" sqref="O83"/>
    </sheetView>
  </sheetViews>
  <sheetFormatPr defaultColWidth="8.83203125" defaultRowHeight="14.45"/>
  <cols>
    <col min="1" max="1" width="2.83203125" style="453" customWidth="1"/>
    <col min="2" max="2" width="37.6640625" style="453" customWidth="1"/>
    <col min="3" max="3" width="13.6640625" style="453" customWidth="1"/>
    <col min="4" max="4" width="17.1640625" style="453" customWidth="1"/>
    <col min="5" max="5" width="33.83203125" style="453" customWidth="1"/>
    <col min="6" max="7" width="18.6640625" style="453" bestFit="1" customWidth="1"/>
    <col min="8" max="8" width="18.83203125" style="453" bestFit="1" customWidth="1"/>
    <col min="9" max="9" width="18.1640625" style="453" customWidth="1"/>
    <col min="10" max="10" width="23.6640625" style="453" customWidth="1"/>
    <col min="11" max="11" width="13.83203125" style="453" bestFit="1" customWidth="1"/>
    <col min="12" max="12" width="16.1640625" style="453" bestFit="1" customWidth="1"/>
    <col min="13" max="17" width="13.1640625" style="453" customWidth="1"/>
    <col min="18" max="21" width="12.6640625" style="453" bestFit="1" customWidth="1"/>
    <col min="22" max="23" width="13.1640625" style="453" bestFit="1" customWidth="1"/>
    <col min="24" max="24" width="14.33203125" style="453" customWidth="1"/>
    <col min="25" max="25" width="11.1640625" style="453" customWidth="1"/>
    <col min="26" max="26" width="13.1640625" style="453" customWidth="1"/>
    <col min="27" max="27" width="10" style="453" customWidth="1"/>
    <col min="28" max="16384" width="8.83203125" style="453"/>
  </cols>
  <sheetData>
    <row r="1" spans="2:24">
      <c r="C1" s="453" t="s">
        <v>279</v>
      </c>
      <c r="D1" s="453" t="s">
        <v>280</v>
      </c>
    </row>
    <row r="2" spans="2:24">
      <c r="C2" s="453" t="s">
        <v>281</v>
      </c>
      <c r="D2" s="453" t="s">
        <v>282</v>
      </c>
    </row>
    <row r="3" spans="2:24">
      <c r="B3" s="453" t="s">
        <v>283</v>
      </c>
      <c r="C3" s="454">
        <f>40*365</f>
        <v>14600</v>
      </c>
      <c r="D3" s="453">
        <v>20</v>
      </c>
      <c r="E3" s="455">
        <f>C3*D3/100</f>
        <v>2920</v>
      </c>
      <c r="F3" s="94" t="s">
        <v>284</v>
      </c>
      <c r="Q3" s="456"/>
      <c r="R3" s="456"/>
      <c r="S3" s="456"/>
    </row>
    <row r="4" spans="2:24">
      <c r="B4" s="453" t="s">
        <v>285</v>
      </c>
      <c r="C4" s="454">
        <f>C3</f>
        <v>14600</v>
      </c>
      <c r="D4" s="453">
        <v>20</v>
      </c>
      <c r="E4" s="455">
        <f>C4*D4/100</f>
        <v>2920</v>
      </c>
      <c r="K4" s="457"/>
      <c r="O4" s="458"/>
      <c r="P4" s="456"/>
      <c r="Q4" s="456"/>
      <c r="R4" s="456"/>
      <c r="S4" s="456"/>
      <c r="T4" s="459"/>
      <c r="U4" s="459"/>
      <c r="V4" s="459"/>
      <c r="W4" s="459"/>
      <c r="X4" s="456"/>
    </row>
    <row r="5" spans="2:24">
      <c r="B5" s="453" t="s">
        <v>286</v>
      </c>
      <c r="C5" s="454">
        <v>20000</v>
      </c>
      <c r="D5" s="453">
        <v>25</v>
      </c>
      <c r="E5" s="455">
        <f>C5*D5/100</f>
        <v>5000</v>
      </c>
      <c r="F5" s="454"/>
      <c r="G5" s="454"/>
      <c r="H5" s="454"/>
      <c r="I5" s="454"/>
      <c r="L5" s="458"/>
      <c r="M5" s="458"/>
      <c r="N5" s="458"/>
      <c r="O5" s="458"/>
    </row>
    <row r="6" spans="2:24">
      <c r="B6" s="453" t="s">
        <v>287</v>
      </c>
      <c r="C6" s="454">
        <v>20000</v>
      </c>
      <c r="D6" s="453">
        <v>30</v>
      </c>
      <c r="E6" s="455">
        <f>C6*D6/100</f>
        <v>6000</v>
      </c>
    </row>
    <row r="7" spans="2:24">
      <c r="C7" s="454"/>
      <c r="E7" s="455"/>
    </row>
    <row r="8" spans="2:24">
      <c r="C8" s="454"/>
      <c r="E8" s="455"/>
    </row>
    <row r="9" spans="2:24">
      <c r="B9" s="593" t="s">
        <v>288</v>
      </c>
      <c r="C9" s="460"/>
      <c r="D9" s="461"/>
      <c r="E9" s="462"/>
      <c r="F9" s="463">
        <v>2017</v>
      </c>
      <c r="G9" s="463">
        <v>2018</v>
      </c>
      <c r="H9" s="463">
        <v>2019</v>
      </c>
      <c r="I9" s="463">
        <v>2020</v>
      </c>
      <c r="J9" s="463">
        <v>2021</v>
      </c>
      <c r="K9" s="463">
        <v>2022</v>
      </c>
      <c r="L9" s="463">
        <v>2023</v>
      </c>
      <c r="M9" s="463">
        <v>2024</v>
      </c>
      <c r="N9" s="463">
        <v>2025</v>
      </c>
      <c r="O9" s="463">
        <v>2026</v>
      </c>
      <c r="P9" s="463">
        <v>2027</v>
      </c>
      <c r="Q9" s="463">
        <v>2028</v>
      </c>
      <c r="R9" s="463">
        <v>2029</v>
      </c>
      <c r="S9" s="463">
        <v>2030</v>
      </c>
      <c r="T9" s="463">
        <v>2031</v>
      </c>
      <c r="U9" s="463">
        <v>2032</v>
      </c>
      <c r="V9" s="463">
        <v>2033</v>
      </c>
      <c r="W9" s="463">
        <v>2034</v>
      </c>
      <c r="X9" s="463">
        <v>2035</v>
      </c>
    </row>
    <row r="10" spans="2:24">
      <c r="B10" s="594"/>
      <c r="C10" s="464"/>
    </row>
    <row r="11" spans="2:24">
      <c r="B11" s="594"/>
      <c r="C11" s="596" t="s">
        <v>289</v>
      </c>
      <c r="D11" s="465" t="s">
        <v>290</v>
      </c>
      <c r="E11" s="453" t="s">
        <v>291</v>
      </c>
      <c r="F11" s="466">
        <f>SUMIFS('EV Data'!$AP$44:$AP$151,'EV Data'!$C$44:$C$151,'EV Forecast'!F9)/3</f>
        <v>3</v>
      </c>
      <c r="G11" s="466">
        <f>SUMIFS('EV Data'!$AP$44:$AP$151,'EV Data'!$C$44:$C$151,'EV Forecast'!G9)/3</f>
        <v>3</v>
      </c>
      <c r="H11" s="466">
        <f>SUMIFS('EV Data'!$AP$44:$AP$151,'EV Data'!$C$44:$C$151,'EV Forecast'!H9)/3</f>
        <v>2</v>
      </c>
      <c r="I11" s="466">
        <f>SUMIFS('EV Data'!$AP$44:$AP$151,'EV Data'!$C$44:$C$151,'EV Forecast'!I9)/3</f>
        <v>4</v>
      </c>
      <c r="J11" s="466">
        <f>SUMIFS('EV Data'!$AP$44:$AP$151,'EV Data'!$C$44:$C$151,'EV Forecast'!J9)/3</f>
        <v>10</v>
      </c>
      <c r="K11" s="466">
        <f>SUMIFS('EV Data'!$AP$44:$AP$151,'EV Data'!$C$44:$C$151,'EV Forecast'!K9)/3</f>
        <v>30</v>
      </c>
      <c r="L11" s="466">
        <f>SUMIFS('EV Data'!$AP$44:$AP$151,'EV Data'!$C$44:$C$151,'EV Forecast'!L9)/3</f>
        <v>25</v>
      </c>
      <c r="M11" s="466">
        <f>SUMIFS('EV Data'!$AP$44:$AP$151,'EV Data'!$C$44:$C$151,'EV Forecast'!M9)/3</f>
        <v>29</v>
      </c>
      <c r="N11" s="466">
        <f>SUMIFS('EV Data'!$AP$44:$AP$151,'EV Data'!$C$44:$C$151,'EV Forecast'!N9)/3</f>
        <v>22</v>
      </c>
      <c r="O11" s="467">
        <f t="shared" ref="O11:W11" si="0">O14+O19+O24</f>
        <v>31.196449325199513</v>
      </c>
      <c r="P11" s="467">
        <f t="shared" si="0"/>
        <v>36.922184456802832</v>
      </c>
      <c r="Q11" s="467">
        <f t="shared" si="0"/>
        <v>47.855569882178898</v>
      </c>
      <c r="R11" s="467">
        <f t="shared" si="0"/>
        <v>62.026545894852994</v>
      </c>
      <c r="S11" s="467">
        <f t="shared" si="0"/>
        <v>80.393826781676481</v>
      </c>
      <c r="T11" s="467">
        <f t="shared" si="0"/>
        <v>104.20002099679257</v>
      </c>
      <c r="U11" s="467">
        <f t="shared" si="0"/>
        <v>135.05569781144831</v>
      </c>
      <c r="V11" s="467">
        <f t="shared" si="0"/>
        <v>175.04834775319955</v>
      </c>
      <c r="W11" s="467">
        <f t="shared" si="0"/>
        <v>226.88360837544496</v>
      </c>
      <c r="X11" s="467">
        <f>X14+X19+X24</f>
        <v>294.0683097565622</v>
      </c>
    </row>
    <row r="12" spans="2:24">
      <c r="B12" s="594"/>
      <c r="C12" s="596"/>
      <c r="D12" s="465" t="s">
        <v>290</v>
      </c>
      <c r="E12" s="453" t="s">
        <v>278</v>
      </c>
      <c r="F12" s="466">
        <f>F11</f>
        <v>3</v>
      </c>
      <c r="G12" s="466">
        <f>G11+F12</f>
        <v>6</v>
      </c>
      <c r="H12" s="466">
        <f t="shared" ref="H12:N12" si="1">H11+G12</f>
        <v>8</v>
      </c>
      <c r="I12" s="466">
        <f t="shared" si="1"/>
        <v>12</v>
      </c>
      <c r="J12" s="466">
        <f t="shared" si="1"/>
        <v>22</v>
      </c>
      <c r="K12" s="466">
        <f t="shared" si="1"/>
        <v>52</v>
      </c>
      <c r="L12" s="466">
        <f t="shared" si="1"/>
        <v>77</v>
      </c>
      <c r="M12" s="466">
        <f t="shared" si="1"/>
        <v>106</v>
      </c>
      <c r="N12" s="466">
        <f t="shared" si="1"/>
        <v>128</v>
      </c>
      <c r="O12" s="467">
        <f t="shared" ref="O12:T12" si="2">N12+O11</f>
        <v>159.19644932519952</v>
      </c>
      <c r="P12" s="467">
        <f t="shared" si="2"/>
        <v>196.11863378200235</v>
      </c>
      <c r="Q12" s="467">
        <f t="shared" si="2"/>
        <v>243.97420366418123</v>
      </c>
      <c r="R12" s="467">
        <f t="shared" si="2"/>
        <v>306.0007495590342</v>
      </c>
      <c r="S12" s="467">
        <f t="shared" si="2"/>
        <v>386.39457634071067</v>
      </c>
      <c r="T12" s="467">
        <f t="shared" si="2"/>
        <v>490.59459733750327</v>
      </c>
      <c r="U12" s="467">
        <f>T12+U11-F11</f>
        <v>622.65029514895161</v>
      </c>
      <c r="V12" s="467">
        <f>U12+V11-G11</f>
        <v>794.69864290215116</v>
      </c>
      <c r="W12" s="467">
        <f>V12+W11-H11</f>
        <v>1019.5822512775961</v>
      </c>
      <c r="X12" s="467">
        <f>W12+X11-I11</f>
        <v>1309.6505610341583</v>
      </c>
    </row>
    <row r="13" spans="2:24">
      <c r="B13" s="594"/>
      <c r="C13" s="464"/>
      <c r="D13" s="465"/>
      <c r="G13" s="468"/>
    </row>
    <row r="14" spans="2:24">
      <c r="B14" s="594"/>
      <c r="C14" s="597" t="s">
        <v>292</v>
      </c>
      <c r="D14" s="469" t="s">
        <v>290</v>
      </c>
      <c r="E14" s="461" t="s">
        <v>291</v>
      </c>
      <c r="F14" s="470">
        <f>SUMIFS('EV Data'!$AQ$44:$AQ$151,'EV Data'!$C$44:$C$151,'EV Forecast'!F9)/3+SUMIFS('EV Data'!$AS$44:$AS$151,'EV Data'!$C$44:$C$151,'EV Forecast'!F9)/3</f>
        <v>3</v>
      </c>
      <c r="G14" s="470">
        <f>SUMIFS('EV Data'!$AQ$44:$AQ$151,'EV Data'!$C$44:$C$151,'EV Forecast'!G9)/3+SUMIFS('EV Data'!$AS$44:$AS$151,'EV Data'!$C$44:$C$151,'EV Forecast'!G9)/3</f>
        <v>3</v>
      </c>
      <c r="H14" s="470">
        <f>SUMIFS('EV Data'!$AQ$44:$AQ$151,'EV Data'!$C$44:$C$151,'EV Forecast'!H9)/3+SUMIFS('EV Data'!$AS$44:$AS$151,'EV Data'!$C$44:$C$151,'EV Forecast'!H9)/3</f>
        <v>2</v>
      </c>
      <c r="I14" s="470">
        <f>SUMIFS('EV Data'!$AQ$44:$AQ$151,'EV Data'!$C$44:$C$151,'EV Forecast'!I9)/3+SUMIFS('EV Data'!$AS$44:$AS$151,'EV Data'!$C$44:$C$151,'EV Forecast'!I9)/3</f>
        <v>4</v>
      </c>
      <c r="J14" s="470">
        <f>SUMIFS('EV Data'!$AQ$44:$AQ$151,'EV Data'!$C$44:$C$151,'EV Forecast'!J9)/3+SUMIFS('EV Data'!$AS$44:$AS$151,'EV Data'!$C$44:$C$151,'EV Forecast'!J9)/3</f>
        <v>10</v>
      </c>
      <c r="K14" s="470">
        <f>SUMIFS('EV Data'!$AQ$44:$AQ$151,'EV Data'!$C$44:$C$151,'EV Forecast'!K9)/3+SUMIFS('EV Data'!$AS$44:$AS$151,'EV Data'!$C$44:$C$151,'EV Forecast'!K9)/3</f>
        <v>29</v>
      </c>
      <c r="L14" s="470">
        <f>SUMIFS('EV Data'!$AQ$44:$AQ$151,'EV Data'!$C$44:$C$151,'EV Forecast'!L9)/3+SUMIFS('EV Data'!$AS$44:$AS$151,'EV Data'!$C$44:$C$151,'EV Forecast'!L9)/3</f>
        <v>25</v>
      </c>
      <c r="M14" s="470">
        <f>SUMIFS('EV Data'!$AQ$44:$AQ$151,'EV Data'!$C$44:$C$151,'EV Forecast'!M9)/3+SUMIFS('EV Data'!$AS$44:$AS$151,'EV Data'!$C$44:$C$151,'EV Forecast'!M9)/3</f>
        <v>25</v>
      </c>
      <c r="N14" s="470">
        <f>SUMIFS('EV Data'!$AQ$44:$AQ$151,'EV Data'!$C$44:$C$151,'EV Forecast'!N9)/3+SUMIFS('EV Data'!$AS$44:$AS$151,'EV Data'!$C$44:$C$151,'EV Forecast'!N9)/3</f>
        <v>17</v>
      </c>
      <c r="O14" s="471">
        <f t="shared" ref="O14:X14" si="3">O35*O75*O37*O30</f>
        <v>29.758482016995039</v>
      </c>
      <c r="P14" s="471">
        <f t="shared" si="3"/>
        <v>35.220295448764631</v>
      </c>
      <c r="Q14" s="471">
        <f t="shared" si="3"/>
        <v>45.649718046647045</v>
      </c>
      <c r="R14" s="471">
        <f t="shared" si="3"/>
        <v>59.167497920903074</v>
      </c>
      <c r="S14" s="471">
        <f t="shared" si="3"/>
        <v>76.688158438192175</v>
      </c>
      <c r="T14" s="471">
        <f t="shared" si="3"/>
        <v>99.397031331344522</v>
      </c>
      <c r="U14" s="471">
        <f t="shared" si="3"/>
        <v>128.83044838593975</v>
      </c>
      <c r="V14" s="471">
        <f t="shared" si="3"/>
        <v>166.97967946340856</v>
      </c>
      <c r="W14" s="471">
        <f t="shared" si="3"/>
        <v>216.4256486182164</v>
      </c>
      <c r="X14" s="471">
        <f t="shared" si="3"/>
        <v>280.5135423084825</v>
      </c>
    </row>
    <row r="15" spans="2:24">
      <c r="B15" s="594"/>
      <c r="C15" s="598"/>
      <c r="D15" s="465" t="s">
        <v>290</v>
      </c>
      <c r="E15" s="453" t="s">
        <v>278</v>
      </c>
      <c r="F15" s="466">
        <f>F14</f>
        <v>3</v>
      </c>
      <c r="G15" s="466">
        <f>F15+G14</f>
        <v>6</v>
      </c>
      <c r="H15" s="466">
        <f t="shared" ref="H15:W15" si="4">G15+H14</f>
        <v>8</v>
      </c>
      <c r="I15" s="466">
        <f>H15+I14</f>
        <v>12</v>
      </c>
      <c r="J15" s="466">
        <f t="shared" si="4"/>
        <v>22</v>
      </c>
      <c r="K15" s="466">
        <f t="shared" si="4"/>
        <v>51</v>
      </c>
      <c r="L15" s="466">
        <f t="shared" si="4"/>
        <v>76</v>
      </c>
      <c r="M15" s="473">
        <f t="shared" si="4"/>
        <v>101</v>
      </c>
      <c r="N15" s="473">
        <f t="shared" si="4"/>
        <v>118</v>
      </c>
      <c r="O15" s="473">
        <f t="shared" si="4"/>
        <v>147.75848201699503</v>
      </c>
      <c r="P15" s="473">
        <f t="shared" si="4"/>
        <v>182.97877746575966</v>
      </c>
      <c r="Q15" s="473">
        <f t="shared" si="4"/>
        <v>228.62849551240672</v>
      </c>
      <c r="R15" s="473">
        <f t="shared" si="4"/>
        <v>287.79599343330977</v>
      </c>
      <c r="S15" s="473">
        <f t="shared" si="4"/>
        <v>364.48415187150192</v>
      </c>
      <c r="T15" s="473">
        <f t="shared" si="4"/>
        <v>463.88118320284644</v>
      </c>
      <c r="U15" s="473">
        <f t="shared" si="4"/>
        <v>592.71163158878619</v>
      </c>
      <c r="V15" s="473">
        <f t="shared" si="4"/>
        <v>759.69131105219481</v>
      </c>
      <c r="W15" s="473">
        <f t="shared" si="4"/>
        <v>976.11695967041123</v>
      </c>
      <c r="X15" s="473">
        <f>W15+X14</f>
        <v>1256.6305019788938</v>
      </c>
    </row>
    <row r="16" spans="2:24">
      <c r="B16" s="594"/>
      <c r="C16" s="598"/>
      <c r="D16" s="465" t="s">
        <v>290</v>
      </c>
      <c r="E16" s="453" t="s">
        <v>293</v>
      </c>
      <c r="F16" s="466">
        <f>E3</f>
        <v>2920</v>
      </c>
      <c r="G16" s="466">
        <f>F16</f>
        <v>2920</v>
      </c>
      <c r="H16" s="466">
        <f t="shared" ref="H16:W16" si="5">G16</f>
        <v>2920</v>
      </c>
      <c r="I16" s="466">
        <f t="shared" si="5"/>
        <v>2920</v>
      </c>
      <c r="J16" s="466">
        <f t="shared" si="5"/>
        <v>2920</v>
      </c>
      <c r="K16" s="466">
        <f t="shared" si="5"/>
        <v>2920</v>
      </c>
      <c r="L16" s="466">
        <f t="shared" si="5"/>
        <v>2920</v>
      </c>
      <c r="M16" s="466">
        <f t="shared" si="5"/>
        <v>2920</v>
      </c>
      <c r="N16" s="466">
        <f t="shared" si="5"/>
        <v>2920</v>
      </c>
      <c r="O16" s="466">
        <f t="shared" si="5"/>
        <v>2920</v>
      </c>
      <c r="P16" s="466">
        <f t="shared" si="5"/>
        <v>2920</v>
      </c>
      <c r="Q16" s="466">
        <f t="shared" si="5"/>
        <v>2920</v>
      </c>
      <c r="R16" s="466">
        <f t="shared" si="5"/>
        <v>2920</v>
      </c>
      <c r="S16" s="466">
        <f t="shared" si="5"/>
        <v>2920</v>
      </c>
      <c r="T16" s="466">
        <f t="shared" si="5"/>
        <v>2920</v>
      </c>
      <c r="U16" s="466">
        <f t="shared" si="5"/>
        <v>2920</v>
      </c>
      <c r="V16" s="466">
        <f t="shared" si="5"/>
        <v>2920</v>
      </c>
      <c r="W16" s="466">
        <f t="shared" si="5"/>
        <v>2920</v>
      </c>
      <c r="X16" s="466">
        <f>W16</f>
        <v>2920</v>
      </c>
    </row>
    <row r="17" spans="2:24">
      <c r="B17" s="594"/>
      <c r="C17" s="598"/>
      <c r="D17" s="465" t="s">
        <v>290</v>
      </c>
      <c r="E17" s="453" t="s">
        <v>294</v>
      </c>
      <c r="F17" s="466">
        <f>F14*F16</f>
        <v>8760</v>
      </c>
      <c r="G17" s="466">
        <f>G14*G16</f>
        <v>8760</v>
      </c>
      <c r="H17" s="466">
        <f>H14*H16</f>
        <v>5840</v>
      </c>
      <c r="I17" s="466">
        <f t="shared" ref="G17:W17" si="6">I14*I16</f>
        <v>11680</v>
      </c>
      <c r="J17" s="466">
        <f t="shared" si="6"/>
        <v>29200</v>
      </c>
      <c r="K17" s="466">
        <f t="shared" si="6"/>
        <v>84680</v>
      </c>
      <c r="L17" s="466">
        <f t="shared" si="6"/>
        <v>73000</v>
      </c>
      <c r="M17" s="466">
        <f t="shared" si="6"/>
        <v>73000</v>
      </c>
      <c r="N17" s="466">
        <f t="shared" si="6"/>
        <v>49640</v>
      </c>
      <c r="O17" s="466">
        <f t="shared" si="6"/>
        <v>86894.767489625519</v>
      </c>
      <c r="P17" s="466">
        <f t="shared" si="6"/>
        <v>102843.26271039272</v>
      </c>
      <c r="Q17" s="466">
        <f t="shared" si="6"/>
        <v>133297.17669620938</v>
      </c>
      <c r="R17" s="466">
        <f t="shared" si="6"/>
        <v>172769.09392903699</v>
      </c>
      <c r="S17" s="466">
        <f t="shared" si="6"/>
        <v>223929.42263952116</v>
      </c>
      <c r="T17" s="466">
        <f t="shared" si="6"/>
        <v>290239.33148752601</v>
      </c>
      <c r="U17" s="466">
        <f t="shared" si="6"/>
        <v>376184.90928694408</v>
      </c>
      <c r="V17" s="466">
        <f t="shared" si="6"/>
        <v>487580.66403315298</v>
      </c>
      <c r="W17" s="466">
        <f t="shared" si="6"/>
        <v>631962.89396519191</v>
      </c>
      <c r="X17" s="466">
        <f>X14*X16</f>
        <v>819099.54354076891</v>
      </c>
    </row>
    <row r="18" spans="2:24">
      <c r="B18" s="594"/>
      <c r="C18" s="599"/>
      <c r="D18" s="474" t="s">
        <v>290</v>
      </c>
      <c r="E18" s="475" t="s">
        <v>295</v>
      </c>
      <c r="F18" s="476">
        <f>F15*F16-F14*F16/2</f>
        <v>4380</v>
      </c>
      <c r="G18" s="476">
        <f>G15*G16-G14*G16/2</f>
        <v>13140</v>
      </c>
      <c r="H18" s="476">
        <f>H15*H16-H14*H16/2</f>
        <v>20440</v>
      </c>
      <c r="I18" s="476">
        <f>I15*I16-I14*I16/2</f>
        <v>29200</v>
      </c>
      <c r="J18" s="476">
        <f>J15*J16-J14*J16/2</f>
        <v>49640</v>
      </c>
      <c r="K18" s="476">
        <f t="shared" ref="K18:W18" si="7">K15*K16-K14*K16/2</f>
        <v>106580</v>
      </c>
      <c r="L18" s="476">
        <f t="shared" si="7"/>
        <v>185420</v>
      </c>
      <c r="M18" s="476">
        <f t="shared" si="7"/>
        <v>258420</v>
      </c>
      <c r="N18" s="476">
        <f t="shared" si="7"/>
        <v>319740</v>
      </c>
      <c r="O18" s="476">
        <f t="shared" si="7"/>
        <v>388007.38374481275</v>
      </c>
      <c r="P18" s="476">
        <f t="shared" si="7"/>
        <v>482876.39884482184</v>
      </c>
      <c r="Q18" s="476">
        <f t="shared" si="7"/>
        <v>600946.61854812282</v>
      </c>
      <c r="R18" s="476">
        <f t="shared" si="7"/>
        <v>753979.75386074604</v>
      </c>
      <c r="S18" s="476">
        <f t="shared" si="7"/>
        <v>952329.01214502507</v>
      </c>
      <c r="T18" s="476">
        <f t="shared" si="7"/>
        <v>1209413.3892085485</v>
      </c>
      <c r="U18" s="476">
        <f t="shared" si="7"/>
        <v>1542625.5095957837</v>
      </c>
      <c r="V18" s="476">
        <f t="shared" si="7"/>
        <v>1974508.2962558321</v>
      </c>
      <c r="W18" s="476">
        <f t="shared" si="7"/>
        <v>2534280.0752550047</v>
      </c>
      <c r="X18" s="476">
        <f>X15*X16-X14*X16/2</f>
        <v>3259811.2940079854</v>
      </c>
    </row>
    <row r="19" spans="2:24">
      <c r="B19" s="594"/>
      <c r="C19" s="598" t="s">
        <v>296</v>
      </c>
      <c r="D19" s="469" t="s">
        <v>290</v>
      </c>
      <c r="E19" s="453" t="s">
        <v>291</v>
      </c>
      <c r="F19" s="477">
        <f>SUMIFS('EV Data'!$AT$44:$AT$151,'EV Data'!$C$44:$C$151,'EV Forecast'!F9)/3</f>
        <v>0</v>
      </c>
      <c r="G19" s="477">
        <f>SUMIFS('EV Data'!$AT$44:$AT$151,'EV Data'!$C$44:$C$151,'EV Forecast'!G9)/3</f>
        <v>0</v>
      </c>
      <c r="H19" s="477">
        <f>SUMIFS('EV Data'!$AT$44:$AT$151,'EV Data'!$C$44:$C$151,'EV Forecast'!H9)/3</f>
        <v>0</v>
      </c>
      <c r="I19" s="477">
        <f>SUMIFS('EV Data'!$AT$44:$AT$151,'EV Data'!$C$44:$C$151,'EV Forecast'!I9)/3</f>
        <v>0</v>
      </c>
      <c r="J19" s="477">
        <f>SUMIFS('EV Data'!$AT$44:$AT$151,'EV Data'!$C$44:$C$151,'EV Forecast'!J9)/3</f>
        <v>0</v>
      </c>
      <c r="K19" s="477">
        <f>SUMIFS('EV Data'!$AT$44:$AT$151,'EV Data'!$C$44:$C$151,'EV Forecast'!K9)/3</f>
        <v>0</v>
      </c>
      <c r="L19" s="477">
        <f>SUMIFS('EV Data'!$AT$44:$AT$151,'EV Data'!$C$44:$C$151,'EV Forecast'!L9)/3</f>
        <v>0</v>
      </c>
      <c r="M19" s="477">
        <f>SUMIFS('EV Data'!$AT$44:$AT$151,'EV Data'!$C$44:$C$151,'EV Forecast'!M9)/3</f>
        <v>0</v>
      </c>
      <c r="N19" s="477">
        <f>SUMIFS('EV Data'!$AT$44:$AT$151,'EV Data'!$C$44:$C$151,'EV Forecast'!N9)/3</f>
        <v>0</v>
      </c>
      <c r="O19" s="471">
        <f t="shared" ref="O19:X19" si="8">O35*O75*O38*O30</f>
        <v>0</v>
      </c>
      <c r="P19" s="471">
        <f t="shared" si="8"/>
        <v>0</v>
      </c>
      <c r="Q19" s="471">
        <f t="shared" si="8"/>
        <v>0</v>
      </c>
      <c r="R19" s="471">
        <f t="shared" si="8"/>
        <v>0</v>
      </c>
      <c r="S19" s="471">
        <f t="shared" si="8"/>
        <v>0</v>
      </c>
      <c r="T19" s="471">
        <f t="shared" si="8"/>
        <v>0</v>
      </c>
      <c r="U19" s="471">
        <f t="shared" si="8"/>
        <v>0</v>
      </c>
      <c r="V19" s="471">
        <f t="shared" si="8"/>
        <v>0</v>
      </c>
      <c r="W19" s="471">
        <f t="shared" si="8"/>
        <v>0</v>
      </c>
      <c r="X19" s="471">
        <f t="shared" si="8"/>
        <v>0</v>
      </c>
    </row>
    <row r="20" spans="2:24">
      <c r="B20" s="594"/>
      <c r="C20" s="598"/>
      <c r="D20" s="465" t="s">
        <v>290</v>
      </c>
      <c r="E20" s="453" t="s">
        <v>278</v>
      </c>
      <c r="F20" s="477">
        <f>F19</f>
        <v>0</v>
      </c>
      <c r="G20" s="477">
        <f t="shared" ref="G20:W20" si="9">F20+G19</f>
        <v>0</v>
      </c>
      <c r="H20" s="477">
        <f t="shared" si="9"/>
        <v>0</v>
      </c>
      <c r="I20" s="477">
        <f t="shared" si="9"/>
        <v>0</v>
      </c>
      <c r="J20" s="477">
        <f t="shared" si="9"/>
        <v>0</v>
      </c>
      <c r="K20" s="477">
        <f t="shared" si="9"/>
        <v>0</v>
      </c>
      <c r="L20" s="477">
        <f t="shared" si="9"/>
        <v>0</v>
      </c>
      <c r="M20" s="477">
        <f t="shared" si="9"/>
        <v>0</v>
      </c>
      <c r="N20" s="477">
        <f t="shared" si="9"/>
        <v>0</v>
      </c>
      <c r="O20" s="477">
        <f t="shared" si="9"/>
        <v>0</v>
      </c>
      <c r="P20" s="477">
        <f t="shared" si="9"/>
        <v>0</v>
      </c>
      <c r="Q20" s="477">
        <f t="shared" si="9"/>
        <v>0</v>
      </c>
      <c r="R20" s="477">
        <f t="shared" si="9"/>
        <v>0</v>
      </c>
      <c r="S20" s="477">
        <f t="shared" si="9"/>
        <v>0</v>
      </c>
      <c r="T20" s="477">
        <f t="shared" si="9"/>
        <v>0</v>
      </c>
      <c r="U20" s="477">
        <f t="shared" si="9"/>
        <v>0</v>
      </c>
      <c r="V20" s="477">
        <f t="shared" si="9"/>
        <v>0</v>
      </c>
      <c r="W20" s="477">
        <f t="shared" si="9"/>
        <v>0</v>
      </c>
      <c r="X20" s="477">
        <f>W20+X19</f>
        <v>0</v>
      </c>
    </row>
    <row r="21" spans="2:24">
      <c r="B21" s="594"/>
      <c r="C21" s="598"/>
      <c r="D21" s="465" t="s">
        <v>290</v>
      </c>
      <c r="E21" s="453" t="s">
        <v>293</v>
      </c>
      <c r="F21" s="466"/>
      <c r="G21" s="466"/>
      <c r="H21" s="466"/>
      <c r="I21" s="466"/>
      <c r="J21" s="466"/>
      <c r="K21" s="466">
        <f>E5</f>
        <v>5000</v>
      </c>
      <c r="L21" s="466">
        <f t="shared" ref="L21:W21" si="10">K21</f>
        <v>5000</v>
      </c>
      <c r="M21" s="466">
        <f t="shared" si="10"/>
        <v>5000</v>
      </c>
      <c r="N21" s="466">
        <f t="shared" si="10"/>
        <v>5000</v>
      </c>
      <c r="O21" s="466">
        <f t="shared" si="10"/>
        <v>5000</v>
      </c>
      <c r="P21" s="466">
        <f t="shared" si="10"/>
        <v>5000</v>
      </c>
      <c r="Q21" s="466">
        <f t="shared" si="10"/>
        <v>5000</v>
      </c>
      <c r="R21" s="466">
        <f t="shared" si="10"/>
        <v>5000</v>
      </c>
      <c r="S21" s="466">
        <f t="shared" si="10"/>
        <v>5000</v>
      </c>
      <c r="T21" s="466">
        <f t="shared" si="10"/>
        <v>5000</v>
      </c>
      <c r="U21" s="466">
        <f t="shared" si="10"/>
        <v>5000</v>
      </c>
      <c r="V21" s="466">
        <f t="shared" si="10"/>
        <v>5000</v>
      </c>
      <c r="W21" s="466">
        <f t="shared" si="10"/>
        <v>5000</v>
      </c>
      <c r="X21" s="466">
        <f>W21</f>
        <v>5000</v>
      </c>
    </row>
    <row r="22" spans="2:24">
      <c r="B22" s="594"/>
      <c r="C22" s="598"/>
      <c r="D22" s="465" t="s">
        <v>290</v>
      </c>
      <c r="E22" s="453" t="s">
        <v>294</v>
      </c>
      <c r="F22" s="466">
        <f>F19*F21</f>
        <v>0</v>
      </c>
      <c r="G22" s="466">
        <f t="shared" ref="G22:W22" si="11">G19*G21</f>
        <v>0</v>
      </c>
      <c r="H22" s="466">
        <f t="shared" si="11"/>
        <v>0</v>
      </c>
      <c r="I22" s="466">
        <f t="shared" si="11"/>
        <v>0</v>
      </c>
      <c r="J22" s="466">
        <f t="shared" si="11"/>
        <v>0</v>
      </c>
      <c r="K22" s="466">
        <f t="shared" si="11"/>
        <v>0</v>
      </c>
      <c r="L22" s="466">
        <f t="shared" si="11"/>
        <v>0</v>
      </c>
      <c r="M22" s="466">
        <f t="shared" si="11"/>
        <v>0</v>
      </c>
      <c r="N22" s="466">
        <f t="shared" si="11"/>
        <v>0</v>
      </c>
      <c r="O22" s="466">
        <f t="shared" si="11"/>
        <v>0</v>
      </c>
      <c r="P22" s="466">
        <f t="shared" si="11"/>
        <v>0</v>
      </c>
      <c r="Q22" s="466">
        <f t="shared" si="11"/>
        <v>0</v>
      </c>
      <c r="R22" s="466">
        <f t="shared" si="11"/>
        <v>0</v>
      </c>
      <c r="S22" s="466">
        <f t="shared" si="11"/>
        <v>0</v>
      </c>
      <c r="T22" s="466">
        <f t="shared" si="11"/>
        <v>0</v>
      </c>
      <c r="U22" s="466">
        <f t="shared" si="11"/>
        <v>0</v>
      </c>
      <c r="V22" s="466">
        <f t="shared" si="11"/>
        <v>0</v>
      </c>
      <c r="W22" s="466">
        <f t="shared" si="11"/>
        <v>0</v>
      </c>
      <c r="X22" s="466">
        <f>X19*X21</f>
        <v>0</v>
      </c>
    </row>
    <row r="23" spans="2:24">
      <c r="B23" s="594"/>
      <c r="C23" s="598"/>
      <c r="D23" s="474" t="s">
        <v>290</v>
      </c>
      <c r="E23" s="453" t="s">
        <v>295</v>
      </c>
      <c r="F23" s="476">
        <f>F20*F21-F19*F21/2</f>
        <v>0</v>
      </c>
      <c r="G23" s="476">
        <f>G20*G21-G19*G21/2</f>
        <v>0</v>
      </c>
      <c r="H23" s="476">
        <f>H20*H21-H19*H21/2</f>
        <v>0</v>
      </c>
      <c r="I23" s="476">
        <f>I20*I21-I19*I21/2</f>
        <v>0</v>
      </c>
      <c r="J23" s="476">
        <f>J20*J21-J19*J21/2</f>
        <v>0</v>
      </c>
      <c r="K23" s="476">
        <f t="shared" ref="K23:W23" si="12">K20*K21-K19*K21/2</f>
        <v>0</v>
      </c>
      <c r="L23" s="476">
        <f t="shared" si="12"/>
        <v>0</v>
      </c>
      <c r="M23" s="476">
        <f t="shared" si="12"/>
        <v>0</v>
      </c>
      <c r="N23" s="476">
        <f t="shared" si="12"/>
        <v>0</v>
      </c>
      <c r="O23" s="476">
        <f t="shared" si="12"/>
        <v>0</v>
      </c>
      <c r="P23" s="476">
        <f t="shared" si="12"/>
        <v>0</v>
      </c>
      <c r="Q23" s="476">
        <f t="shared" si="12"/>
        <v>0</v>
      </c>
      <c r="R23" s="476">
        <f t="shared" si="12"/>
        <v>0</v>
      </c>
      <c r="S23" s="476">
        <f t="shared" si="12"/>
        <v>0</v>
      </c>
      <c r="T23" s="476">
        <f t="shared" si="12"/>
        <v>0</v>
      </c>
      <c r="U23" s="476">
        <f t="shared" si="12"/>
        <v>0</v>
      </c>
      <c r="V23" s="476">
        <f t="shared" si="12"/>
        <v>0</v>
      </c>
      <c r="W23" s="476">
        <f t="shared" si="12"/>
        <v>0</v>
      </c>
      <c r="X23" s="476">
        <f>X20*X21-X19*X21/2</f>
        <v>0</v>
      </c>
    </row>
    <row r="24" spans="2:24">
      <c r="B24" s="594"/>
      <c r="C24" s="597" t="s">
        <v>297</v>
      </c>
      <c r="D24" s="469" t="s">
        <v>290</v>
      </c>
      <c r="E24" s="461" t="s">
        <v>291</v>
      </c>
      <c r="F24" s="478">
        <f>SUMIFS('EV Data'!$AR$44:$AR$151,'EV Data'!$C$44:$C$151,'EV Forecast'!F9)/3</f>
        <v>0</v>
      </c>
      <c r="G24" s="478">
        <f>SUMIFS('EV Data'!$AR$44:$AR$151,'EV Data'!$C$44:$C$151,'EV Forecast'!G9)/3</f>
        <v>0</v>
      </c>
      <c r="H24" s="478">
        <f>SUMIFS('EV Data'!$AR$44:$AR$151,'EV Data'!$C$44:$C$151,'EV Forecast'!H9)/3</f>
        <v>0</v>
      </c>
      <c r="I24" s="478">
        <f>SUMIFS('EV Data'!$AR$44:$AR$151,'EV Data'!$C$44:$C$151,'EV Forecast'!I9)/3</f>
        <v>0</v>
      </c>
      <c r="J24" s="478">
        <f>SUMIFS('EV Data'!$AR$44:$AR$151,'EV Data'!$C$44:$C$151,'EV Forecast'!J9)/3</f>
        <v>0</v>
      </c>
      <c r="K24" s="478">
        <f>SUMIFS('EV Data'!$AR$44:$AR$151,'EV Data'!$C$44:$C$151,'EV Forecast'!K9)/3</f>
        <v>1</v>
      </c>
      <c r="L24" s="478">
        <f>SUMIFS('EV Data'!$AR$44:$AR$151,'EV Data'!$C$44:$C$151,'EV Forecast'!L9)/3</f>
        <v>0</v>
      </c>
      <c r="M24" s="478">
        <f>SUMIFS('EV Data'!$AR$44:$AR$151,'EV Data'!$C$44:$C$151,'EV Forecast'!M9)/3</f>
        <v>4</v>
      </c>
      <c r="N24" s="478">
        <f>SUMIFS('EV Data'!$AR$44:$AR$151,'EV Data'!$C$44:$C$151,'EV Forecast'!N9)/3</f>
        <v>5</v>
      </c>
      <c r="O24" s="471">
        <f t="shared" ref="O24:X24" si="13">O35*O75*O39*O30</f>
        <v>1.4379673082044724</v>
      </c>
      <c r="P24" s="471">
        <f t="shared" si="13"/>
        <v>1.7018890080382001</v>
      </c>
      <c r="Q24" s="471">
        <f t="shared" si="13"/>
        <v>2.2058518355318539</v>
      </c>
      <c r="R24" s="471">
        <f t="shared" si="13"/>
        <v>2.8590479739499171</v>
      </c>
      <c r="S24" s="471">
        <f t="shared" si="13"/>
        <v>3.705668343484299</v>
      </c>
      <c r="T24" s="471">
        <f t="shared" si="13"/>
        <v>4.8029896654480595</v>
      </c>
      <c r="U24" s="471">
        <f t="shared" si="13"/>
        <v>6.2252494255085544</v>
      </c>
      <c r="V24" s="471">
        <f t="shared" si="13"/>
        <v>8.0686682897909883</v>
      </c>
      <c r="W24" s="471">
        <f t="shared" si="13"/>
        <v>10.457959757228551</v>
      </c>
      <c r="X24" s="471">
        <f t="shared" si="13"/>
        <v>13.554767448079716</v>
      </c>
    </row>
    <row r="25" spans="2:24">
      <c r="B25" s="594"/>
      <c r="C25" s="598"/>
      <c r="D25" s="465" t="s">
        <v>290</v>
      </c>
      <c r="E25" s="453" t="s">
        <v>278</v>
      </c>
      <c r="F25" s="477">
        <f>F24</f>
        <v>0</v>
      </c>
      <c r="G25" s="477">
        <f t="shared" ref="G25:W25" si="14">F25+G24</f>
        <v>0</v>
      </c>
      <c r="H25" s="477">
        <f t="shared" si="14"/>
        <v>0</v>
      </c>
      <c r="I25" s="477">
        <f t="shared" si="14"/>
        <v>0</v>
      </c>
      <c r="J25" s="477">
        <f t="shared" si="14"/>
        <v>0</v>
      </c>
      <c r="K25" s="477">
        <f t="shared" si="14"/>
        <v>1</v>
      </c>
      <c r="L25" s="477">
        <f t="shared" si="14"/>
        <v>1</v>
      </c>
      <c r="M25" s="477">
        <f t="shared" si="14"/>
        <v>5</v>
      </c>
      <c r="N25" s="477">
        <f t="shared" si="14"/>
        <v>10</v>
      </c>
      <c r="O25" s="477">
        <f t="shared" si="14"/>
        <v>11.437967308204472</v>
      </c>
      <c r="P25" s="477">
        <f>O25+P24</f>
        <v>13.139856316242673</v>
      </c>
      <c r="Q25" s="477">
        <f t="shared" si="14"/>
        <v>15.345708151774527</v>
      </c>
      <c r="R25" s="477">
        <f t="shared" si="14"/>
        <v>18.204756125724444</v>
      </c>
      <c r="S25" s="477">
        <f t="shared" si="14"/>
        <v>21.910424469208742</v>
      </c>
      <c r="T25" s="477">
        <f t="shared" si="14"/>
        <v>26.713414134656801</v>
      </c>
      <c r="U25" s="477">
        <f t="shared" si="14"/>
        <v>32.938663560165352</v>
      </c>
      <c r="V25" s="477">
        <f t="shared" si="14"/>
        <v>41.007331849956344</v>
      </c>
      <c r="W25" s="477">
        <f t="shared" si="14"/>
        <v>51.465291607184895</v>
      </c>
      <c r="X25" s="477">
        <f>W25+X24</f>
        <v>65.02005905526461</v>
      </c>
    </row>
    <row r="26" spans="2:24">
      <c r="B26" s="594"/>
      <c r="C26" s="598"/>
      <c r="D26" s="465" t="s">
        <v>290</v>
      </c>
      <c r="E26" s="453" t="s">
        <v>293</v>
      </c>
      <c r="F26" s="466"/>
      <c r="G26" s="466"/>
      <c r="H26" s="466"/>
      <c r="I26" s="466"/>
      <c r="J26" s="466"/>
      <c r="K26" s="466">
        <f>E6</f>
        <v>6000</v>
      </c>
      <c r="L26" s="466">
        <f t="shared" ref="L26:W26" si="15">K26</f>
        <v>6000</v>
      </c>
      <c r="M26" s="466">
        <f t="shared" si="15"/>
        <v>6000</v>
      </c>
      <c r="N26" s="466">
        <f t="shared" si="15"/>
        <v>6000</v>
      </c>
      <c r="O26" s="466">
        <f t="shared" si="15"/>
        <v>6000</v>
      </c>
      <c r="P26" s="466">
        <f t="shared" si="15"/>
        <v>6000</v>
      </c>
      <c r="Q26" s="466">
        <f t="shared" si="15"/>
        <v>6000</v>
      </c>
      <c r="R26" s="466">
        <f t="shared" si="15"/>
        <v>6000</v>
      </c>
      <c r="S26" s="466">
        <f t="shared" si="15"/>
        <v>6000</v>
      </c>
      <c r="T26" s="466">
        <f t="shared" si="15"/>
        <v>6000</v>
      </c>
      <c r="U26" s="466">
        <f t="shared" si="15"/>
        <v>6000</v>
      </c>
      <c r="V26" s="466">
        <f t="shared" si="15"/>
        <v>6000</v>
      </c>
      <c r="W26" s="466">
        <f t="shared" si="15"/>
        <v>6000</v>
      </c>
      <c r="X26" s="466">
        <f>W26</f>
        <v>6000</v>
      </c>
    </row>
    <row r="27" spans="2:24">
      <c r="B27" s="594"/>
      <c r="C27" s="598"/>
      <c r="D27" s="465" t="s">
        <v>290</v>
      </c>
      <c r="E27" s="453" t="s">
        <v>294</v>
      </c>
      <c r="F27" s="466">
        <f>F24*F26</f>
        <v>0</v>
      </c>
      <c r="G27" s="466">
        <f t="shared" ref="G27:W27" si="16">G24*G26</f>
        <v>0</v>
      </c>
      <c r="H27" s="466">
        <f t="shared" si="16"/>
        <v>0</v>
      </c>
      <c r="I27" s="466">
        <f t="shared" si="16"/>
        <v>0</v>
      </c>
      <c r="J27" s="466">
        <f t="shared" si="16"/>
        <v>0</v>
      </c>
      <c r="K27" s="466">
        <f t="shared" si="16"/>
        <v>6000</v>
      </c>
      <c r="L27" s="466">
        <f t="shared" si="16"/>
        <v>0</v>
      </c>
      <c r="M27" s="466">
        <f t="shared" si="16"/>
        <v>24000</v>
      </c>
      <c r="N27" s="466">
        <f t="shared" si="16"/>
        <v>30000</v>
      </c>
      <c r="O27" s="466">
        <f t="shared" si="16"/>
        <v>8627.8038492268352</v>
      </c>
      <c r="P27" s="466">
        <f t="shared" si="16"/>
        <v>10211.334048229201</v>
      </c>
      <c r="Q27" s="466">
        <f t="shared" si="16"/>
        <v>13235.111013191123</v>
      </c>
      <c r="R27" s="466">
        <f t="shared" si="16"/>
        <v>17154.287843699502</v>
      </c>
      <c r="S27" s="466">
        <f t="shared" si="16"/>
        <v>22234.010060905795</v>
      </c>
      <c r="T27" s="466">
        <f t="shared" si="16"/>
        <v>28817.937992688356</v>
      </c>
      <c r="U27" s="466">
        <f t="shared" si="16"/>
        <v>37351.496553051329</v>
      </c>
      <c r="V27" s="466">
        <f t="shared" si="16"/>
        <v>48412.009738745932</v>
      </c>
      <c r="W27" s="466">
        <f t="shared" si="16"/>
        <v>62747.758543371303</v>
      </c>
      <c r="X27" s="466">
        <f>X24*X26</f>
        <v>81328.604688478299</v>
      </c>
    </row>
    <row r="28" spans="2:24">
      <c r="B28" s="594"/>
      <c r="C28" s="599"/>
      <c r="D28" s="474" t="s">
        <v>290</v>
      </c>
      <c r="E28" s="475" t="s">
        <v>295</v>
      </c>
      <c r="F28" s="476">
        <f>F25*F26-F24*F26/2</f>
        <v>0</v>
      </c>
      <c r="G28" s="476">
        <f>G25*G26-G24*G26/2</f>
        <v>0</v>
      </c>
      <c r="H28" s="476">
        <f>H25*H26-H24*H26/2</f>
        <v>0</v>
      </c>
      <c r="I28" s="476">
        <f>I25*I26-I24*I26/2</f>
        <v>0</v>
      </c>
      <c r="J28" s="476">
        <f>J25*J26-J24*J26/2</f>
        <v>0</v>
      </c>
      <c r="K28" s="476">
        <f t="shared" ref="K28:W28" si="17">K25*K26-K24*K26/2</f>
        <v>3000</v>
      </c>
      <c r="L28" s="476">
        <f t="shared" si="17"/>
        <v>6000</v>
      </c>
      <c r="M28" s="476">
        <f t="shared" si="17"/>
        <v>18000</v>
      </c>
      <c r="N28" s="476">
        <f t="shared" si="17"/>
        <v>45000</v>
      </c>
      <c r="O28" s="476">
        <f t="shared" si="17"/>
        <v>64313.901924613419</v>
      </c>
      <c r="P28" s="476">
        <f t="shared" si="17"/>
        <v>73733.47087334143</v>
      </c>
      <c r="Q28" s="476">
        <f t="shared" si="17"/>
        <v>85456.693404051606</v>
      </c>
      <c r="R28" s="476">
        <f t="shared" si="17"/>
        <v>100651.3928324969</v>
      </c>
      <c r="S28" s="476">
        <f t="shared" si="17"/>
        <v>120345.54178479956</v>
      </c>
      <c r="T28" s="476">
        <f t="shared" si="17"/>
        <v>145871.51581159665</v>
      </c>
      <c r="U28" s="476">
        <f t="shared" si="17"/>
        <v>178956.23308446645</v>
      </c>
      <c r="V28" s="476">
        <f t="shared" si="17"/>
        <v>221837.98623036512</v>
      </c>
      <c r="W28" s="476">
        <f t="shared" si="17"/>
        <v>277417.87037142372</v>
      </c>
      <c r="X28" s="476">
        <f>X25*X26-X24*X26/2</f>
        <v>349456.05198734853</v>
      </c>
    </row>
    <row r="29" spans="2:24">
      <c r="B29" s="594"/>
      <c r="C29" s="472"/>
      <c r="D29" s="465"/>
      <c r="F29" s="466"/>
      <c r="G29" s="466"/>
      <c r="H29" s="466"/>
      <c r="I29" s="466"/>
      <c r="J29" s="466"/>
      <c r="K29" s="466"/>
      <c r="L29" s="466"/>
      <c r="M29" s="466"/>
      <c r="N29" s="466"/>
      <c r="O29" s="466"/>
      <c r="P29" s="466"/>
      <c r="Q29" s="466"/>
      <c r="R29" s="466"/>
      <c r="S29" s="466"/>
      <c r="T29" s="466"/>
      <c r="U29" s="466"/>
      <c r="V29" s="466"/>
      <c r="W29" s="466"/>
      <c r="X29" s="466"/>
    </row>
    <row r="30" spans="2:24">
      <c r="B30" s="594"/>
      <c r="C30" s="464"/>
      <c r="D30" s="453" t="s">
        <v>298</v>
      </c>
      <c r="F30" s="479">
        <f t="shared" ref="F30:M30" si="18">F32/F33</f>
        <v>8.4198708953129382E-4</v>
      </c>
      <c r="G30" s="479">
        <f t="shared" si="18"/>
        <v>3.6514118792599804E-4</v>
      </c>
      <c r="H30" s="479">
        <f t="shared" si="18"/>
        <v>3.0478512648582747E-4</v>
      </c>
      <c r="I30" s="479">
        <f t="shared" si="18"/>
        <v>4.9013601274353633E-4</v>
      </c>
      <c r="J30" s="479">
        <f t="shared" si="18"/>
        <v>6.747183051076176E-4</v>
      </c>
      <c r="K30" s="479">
        <f t="shared" si="18"/>
        <v>9.1510844035018154E-4</v>
      </c>
      <c r="L30" s="479">
        <f t="shared" si="18"/>
        <v>6.4708166170570724E-4</v>
      </c>
      <c r="M30" s="479">
        <f t="shared" si="18"/>
        <v>6.9612808756811255E-4</v>
      </c>
      <c r="N30" s="479">
        <f>N32/N33</f>
        <v>5.1774232341103706E-4</v>
      </c>
      <c r="O30" s="479">
        <f>AVERAGE(L30:N30)</f>
        <v>6.2031735756161888E-4</v>
      </c>
      <c r="P30" s="479">
        <f>O30</f>
        <v>6.2031735756161888E-4</v>
      </c>
      <c r="Q30" s="479">
        <f t="shared" ref="Q30:W30" si="19">P30</f>
        <v>6.2031735756161888E-4</v>
      </c>
      <c r="R30" s="479">
        <f t="shared" si="19"/>
        <v>6.2031735756161888E-4</v>
      </c>
      <c r="S30" s="479">
        <f t="shared" si="19"/>
        <v>6.2031735756161888E-4</v>
      </c>
      <c r="T30" s="479">
        <f t="shared" si="19"/>
        <v>6.2031735756161888E-4</v>
      </c>
      <c r="U30" s="479">
        <f t="shared" si="19"/>
        <v>6.2031735756161888E-4</v>
      </c>
      <c r="V30" s="479">
        <f t="shared" si="19"/>
        <v>6.2031735756161888E-4</v>
      </c>
      <c r="W30" s="479">
        <f t="shared" si="19"/>
        <v>6.2031735756161888E-4</v>
      </c>
      <c r="X30" s="479">
        <f>W30</f>
        <v>6.2031735756161888E-4</v>
      </c>
    </row>
    <row r="31" spans="2:24">
      <c r="B31" s="594"/>
      <c r="C31" s="464"/>
    </row>
    <row r="32" spans="2:24">
      <c r="B32" s="594"/>
      <c r="C32" s="464"/>
      <c r="D32" s="465" t="s">
        <v>290</v>
      </c>
      <c r="E32" s="453" t="s">
        <v>299</v>
      </c>
      <c r="F32" s="458">
        <f t="shared" ref="F32:X32" si="20">F11</f>
        <v>3</v>
      </c>
      <c r="G32" s="458">
        <f t="shared" si="20"/>
        <v>3</v>
      </c>
      <c r="H32" s="458">
        <f t="shared" si="20"/>
        <v>2</v>
      </c>
      <c r="I32" s="458">
        <f>I11</f>
        <v>4</v>
      </c>
      <c r="J32" s="458">
        <f t="shared" si="20"/>
        <v>10</v>
      </c>
      <c r="K32" s="458">
        <f t="shared" si="20"/>
        <v>30</v>
      </c>
      <c r="L32" s="458">
        <f t="shared" si="20"/>
        <v>25</v>
      </c>
      <c r="M32" s="458">
        <f t="shared" si="20"/>
        <v>29</v>
      </c>
      <c r="N32" s="458">
        <f t="shared" si="20"/>
        <v>22</v>
      </c>
      <c r="O32" s="458">
        <f t="shared" si="20"/>
        <v>31.196449325199513</v>
      </c>
      <c r="P32" s="458">
        <f t="shared" si="20"/>
        <v>36.922184456802832</v>
      </c>
      <c r="Q32" s="458">
        <f t="shared" si="20"/>
        <v>47.855569882178898</v>
      </c>
      <c r="R32" s="458">
        <f t="shared" si="20"/>
        <v>62.026545894852994</v>
      </c>
      <c r="S32" s="458">
        <f t="shared" si="20"/>
        <v>80.393826781676481</v>
      </c>
      <c r="T32" s="458">
        <f t="shared" si="20"/>
        <v>104.20002099679257</v>
      </c>
      <c r="U32" s="458">
        <f t="shared" si="20"/>
        <v>135.05569781144831</v>
      </c>
      <c r="V32" s="458">
        <f t="shared" si="20"/>
        <v>175.04834775319955</v>
      </c>
      <c r="W32" s="458">
        <f t="shared" si="20"/>
        <v>226.88360837544496</v>
      </c>
      <c r="X32" s="458">
        <f t="shared" si="20"/>
        <v>294.0683097565622</v>
      </c>
    </row>
    <row r="33" spans="2:24">
      <c r="B33" s="594"/>
      <c r="C33" s="464"/>
      <c r="D33" s="480" t="s">
        <v>228</v>
      </c>
      <c r="E33" s="453" t="s">
        <v>299</v>
      </c>
      <c r="F33" s="466">
        <f>SUMIFS('EV Data'!$F$44:$F$151,'EV Data'!$C$44:$C$151,'EV Forecast'!F9)/3</f>
        <v>3563</v>
      </c>
      <c r="G33" s="466">
        <f>SUMIFS('EV Data'!$F$44:$F$151,'EV Data'!$C$44:$C$151,'EV Forecast'!G9)/3</f>
        <v>8216</v>
      </c>
      <c r="H33" s="466">
        <f>SUMIFS('EV Data'!$F$44:$F$151,'EV Data'!$C$44:$C$151,'EV Forecast'!H9)/3</f>
        <v>6562</v>
      </c>
      <c r="I33" s="466">
        <f>SUMIFS('EV Data'!$F$44:$F$151,'EV Data'!$C$44:$C$151,'EV Forecast'!I9)/3</f>
        <v>8161</v>
      </c>
      <c r="J33" s="466">
        <f>SUMIFS('EV Data'!$F$44:$F$151,'EV Data'!$C$44:$C$151,'EV Forecast'!J9)/3</f>
        <v>14821</v>
      </c>
      <c r="K33" s="466">
        <f>SUMIFS('EV Data'!$F$44:$F$151,'EV Data'!$C$44:$C$151,'EV Forecast'!K9)/3</f>
        <v>32783</v>
      </c>
      <c r="L33" s="466">
        <f>SUMIFS('EV Data'!$F$44:$F$151,'EV Data'!$C$44:$C$151,'EV Forecast'!L9)/3</f>
        <v>38635</v>
      </c>
      <c r="M33" s="466">
        <f>SUMIFS('EV Data'!$F$44:$F$151,'EV Data'!$C$44:$C$151,'EV Forecast'!M9)/3</f>
        <v>41659</v>
      </c>
      <c r="N33" s="458">
        <f t="shared" ref="N33:X33" si="21">N35*N75</f>
        <v>42492.18</v>
      </c>
      <c r="O33" s="458">
        <f t="shared" si="21"/>
        <v>50291.111388255216</v>
      </c>
      <c r="P33" s="458">
        <f t="shared" si="21"/>
        <v>59521.443349479683</v>
      </c>
      <c r="Q33" s="458">
        <f t="shared" si="21"/>
        <v>77146.914073616252</v>
      </c>
      <c r="R33" s="458">
        <f t="shared" si="21"/>
        <v>99991.63353846925</v>
      </c>
      <c r="S33" s="458">
        <f t="shared" si="21"/>
        <v>129601.12400802939</v>
      </c>
      <c r="T33" s="458">
        <f t="shared" si="21"/>
        <v>167978.56730365945</v>
      </c>
      <c r="U33" s="458">
        <f t="shared" si="21"/>
        <v>217720.32680551361</v>
      </c>
      <c r="V33" s="458">
        <f t="shared" si="21"/>
        <v>282191.6001855731</v>
      </c>
      <c r="W33" s="458">
        <f t="shared" si="21"/>
        <v>365754.08637168049</v>
      </c>
      <c r="X33" s="458">
        <f t="shared" si="21"/>
        <v>474061.06917998195</v>
      </c>
    </row>
    <row r="34" spans="2:24">
      <c r="B34" s="594"/>
      <c r="C34" s="464"/>
    </row>
    <row r="35" spans="2:24">
      <c r="B35" s="594"/>
      <c r="C35" s="464"/>
      <c r="D35" s="480" t="s">
        <v>300</v>
      </c>
      <c r="F35" s="481">
        <f>F33/F75</f>
        <v>4.4459972922216888E-3</v>
      </c>
      <c r="G35" s="481">
        <f>G33/G75</f>
        <v>1.0288351847608171E-2</v>
      </c>
      <c r="H35" s="481">
        <f t="shared" ref="H35:M35" si="22">H33/H75</f>
        <v>8.2429108705428366E-3</v>
      </c>
      <c r="I35" s="481">
        <f t="shared" si="22"/>
        <v>1.3589051497193439E-2</v>
      </c>
      <c r="J35" s="481">
        <f t="shared" si="22"/>
        <v>2.3627859224446331E-2</v>
      </c>
      <c r="K35" s="481">
        <f t="shared" si="22"/>
        <v>5.5143911091524125E-2</v>
      </c>
      <c r="L35" s="481">
        <f t="shared" si="22"/>
        <v>5.7067862529006606E-2</v>
      </c>
      <c r="M35" s="481">
        <f t="shared" si="22"/>
        <v>5.9575581719610506E-2</v>
      </c>
      <c r="N35" s="481">
        <f>M33/M75</f>
        <v>5.9575581719610506E-2</v>
      </c>
      <c r="O35" s="482">
        <f>O74*($N$35/($N$35+$N$67))</f>
        <v>6.9127418782565411E-2</v>
      </c>
      <c r="P35" s="482">
        <f>P74*($N$35/($N$35+$N$67))</f>
        <v>8.0210715357013532E-2</v>
      </c>
      <c r="Q35" s="482">
        <f t="shared" ref="Q35:X35" si="23">Q74*($N$35/($N$35+$N$67))</f>
        <v>0.1019242026232918</v>
      </c>
      <c r="R35" s="482">
        <f t="shared" si="23"/>
        <v>0.12951565179483818</v>
      </c>
      <c r="S35" s="482">
        <f t="shared" si="23"/>
        <v>0.16457625988833091</v>
      </c>
      <c r="T35" s="482">
        <f t="shared" si="23"/>
        <v>0.20912796981276446</v>
      </c>
      <c r="U35" s="482">
        <f t="shared" si="23"/>
        <v>0.26574007568092434</v>
      </c>
      <c r="V35" s="482">
        <f t="shared" si="23"/>
        <v>0.33767739382794476</v>
      </c>
      <c r="W35" s="482">
        <f t="shared" si="23"/>
        <v>0.42908854454961692</v>
      </c>
      <c r="X35" s="482">
        <f t="shared" si="23"/>
        <v>0.54524520275562471</v>
      </c>
    </row>
    <row r="36" spans="2:24">
      <c r="B36" s="594"/>
      <c r="C36" s="464"/>
      <c r="D36" s="480"/>
      <c r="F36" s="481"/>
      <c r="G36" s="481"/>
      <c r="H36" s="481"/>
      <c r="I36" s="481"/>
      <c r="J36" s="481"/>
      <c r="K36" s="481"/>
      <c r="L36" s="481"/>
      <c r="M36" s="481"/>
      <c r="N36" s="481"/>
      <c r="O36" s="482"/>
      <c r="P36" s="482"/>
      <c r="Q36" s="482"/>
      <c r="R36" s="482"/>
      <c r="S36" s="482"/>
      <c r="T36" s="482"/>
      <c r="U36" s="482"/>
      <c r="V36" s="482"/>
      <c r="W36" s="482"/>
      <c r="X36" s="482"/>
    </row>
    <row r="37" spans="2:24">
      <c r="B37" s="594"/>
      <c r="C37" s="464"/>
      <c r="D37" s="465" t="s">
        <v>290</v>
      </c>
      <c r="E37" s="453" t="s">
        <v>301</v>
      </c>
      <c r="F37" s="481">
        <f>F15/F$12</f>
        <v>1</v>
      </c>
      <c r="G37" s="481">
        <f t="shared" ref="G37:N37" si="24">G15/G$12</f>
        <v>1</v>
      </c>
      <c r="H37" s="481">
        <f t="shared" si="24"/>
        <v>1</v>
      </c>
      <c r="I37" s="481">
        <f t="shared" si="24"/>
        <v>1</v>
      </c>
      <c r="J37" s="481">
        <f t="shared" si="24"/>
        <v>1</v>
      </c>
      <c r="K37" s="481">
        <f t="shared" si="24"/>
        <v>0.98076923076923073</v>
      </c>
      <c r="L37" s="481">
        <f t="shared" si="24"/>
        <v>0.98701298701298701</v>
      </c>
      <c r="M37" s="481">
        <f t="shared" si="24"/>
        <v>0.95283018867924529</v>
      </c>
      <c r="N37" s="481">
        <f t="shared" si="24"/>
        <v>0.921875</v>
      </c>
      <c r="O37" s="483">
        <f>AVERAGE(L37:N37)</f>
        <v>0.9539060585640774</v>
      </c>
      <c r="P37" s="483">
        <f t="shared" ref="P37:X39" si="25">O37</f>
        <v>0.9539060585640774</v>
      </c>
      <c r="Q37" s="483">
        <f t="shared" si="25"/>
        <v>0.9539060585640774</v>
      </c>
      <c r="R37" s="483">
        <f t="shared" si="25"/>
        <v>0.9539060585640774</v>
      </c>
      <c r="S37" s="483">
        <f t="shared" si="25"/>
        <v>0.9539060585640774</v>
      </c>
      <c r="T37" s="483">
        <f t="shared" si="25"/>
        <v>0.9539060585640774</v>
      </c>
      <c r="U37" s="483">
        <f t="shared" si="25"/>
        <v>0.9539060585640774</v>
      </c>
      <c r="V37" s="483">
        <f t="shared" si="25"/>
        <v>0.9539060585640774</v>
      </c>
      <c r="W37" s="483">
        <f t="shared" si="25"/>
        <v>0.9539060585640774</v>
      </c>
      <c r="X37" s="483">
        <f t="shared" si="25"/>
        <v>0.9539060585640774</v>
      </c>
    </row>
    <row r="38" spans="2:24">
      <c r="B38" s="594"/>
      <c r="C38" s="464"/>
      <c r="D38" s="465" t="s">
        <v>290</v>
      </c>
      <c r="E38" s="453" t="s">
        <v>302</v>
      </c>
      <c r="F38" s="481">
        <f t="shared" ref="F38:N38" si="26">F20/F$12</f>
        <v>0</v>
      </c>
      <c r="G38" s="481">
        <f t="shared" si="26"/>
        <v>0</v>
      </c>
      <c r="H38" s="481">
        <f t="shared" si="26"/>
        <v>0</v>
      </c>
      <c r="I38" s="481">
        <f t="shared" si="26"/>
        <v>0</v>
      </c>
      <c r="J38" s="481">
        <f t="shared" si="26"/>
        <v>0</v>
      </c>
      <c r="K38" s="481">
        <f t="shared" si="26"/>
        <v>0</v>
      </c>
      <c r="L38" s="481">
        <f t="shared" si="26"/>
        <v>0</v>
      </c>
      <c r="M38" s="481">
        <f t="shared" si="26"/>
        <v>0</v>
      </c>
      <c r="N38" s="481">
        <f t="shared" si="26"/>
        <v>0</v>
      </c>
      <c r="O38" s="483">
        <f>AVERAGE(L38:N38)</f>
        <v>0</v>
      </c>
      <c r="P38" s="483">
        <f t="shared" si="25"/>
        <v>0</v>
      </c>
      <c r="Q38" s="483">
        <f t="shared" si="25"/>
        <v>0</v>
      </c>
      <c r="R38" s="483">
        <f t="shared" si="25"/>
        <v>0</v>
      </c>
      <c r="S38" s="483">
        <f t="shared" si="25"/>
        <v>0</v>
      </c>
      <c r="T38" s="483">
        <f t="shared" si="25"/>
        <v>0</v>
      </c>
      <c r="U38" s="483">
        <f t="shared" si="25"/>
        <v>0</v>
      </c>
      <c r="V38" s="483">
        <f t="shared" si="25"/>
        <v>0</v>
      </c>
      <c r="W38" s="483">
        <f t="shared" si="25"/>
        <v>0</v>
      </c>
      <c r="X38" s="483">
        <f t="shared" si="25"/>
        <v>0</v>
      </c>
    </row>
    <row r="39" spans="2:24">
      <c r="B39" s="594"/>
      <c r="C39" s="464"/>
      <c r="D39" s="465" t="s">
        <v>290</v>
      </c>
      <c r="E39" s="453" t="s">
        <v>303</v>
      </c>
      <c r="F39" s="481">
        <f t="shared" ref="F39:N39" si="27">F25/F$12</f>
        <v>0</v>
      </c>
      <c r="G39" s="481">
        <f t="shared" si="27"/>
        <v>0</v>
      </c>
      <c r="H39" s="481">
        <f t="shared" si="27"/>
        <v>0</v>
      </c>
      <c r="I39" s="481">
        <f t="shared" si="27"/>
        <v>0</v>
      </c>
      <c r="J39" s="481">
        <f t="shared" si="27"/>
        <v>0</v>
      </c>
      <c r="K39" s="481">
        <f t="shared" si="27"/>
        <v>1.9230769230769232E-2</v>
      </c>
      <c r="L39" s="481">
        <f t="shared" si="27"/>
        <v>1.2987012987012988E-2</v>
      </c>
      <c r="M39" s="481">
        <f t="shared" si="27"/>
        <v>4.716981132075472E-2</v>
      </c>
      <c r="N39" s="481">
        <f t="shared" si="27"/>
        <v>7.8125E-2</v>
      </c>
      <c r="O39" s="483">
        <f>AVERAGE(L39:N39)</f>
        <v>4.6093941435922568E-2</v>
      </c>
      <c r="P39" s="483">
        <f t="shared" si="25"/>
        <v>4.6093941435922568E-2</v>
      </c>
      <c r="Q39" s="483">
        <f t="shared" si="25"/>
        <v>4.6093941435922568E-2</v>
      </c>
      <c r="R39" s="483">
        <f t="shared" si="25"/>
        <v>4.6093941435922568E-2</v>
      </c>
      <c r="S39" s="483">
        <f t="shared" si="25"/>
        <v>4.6093941435922568E-2</v>
      </c>
      <c r="T39" s="483">
        <f t="shared" si="25"/>
        <v>4.6093941435922568E-2</v>
      </c>
      <c r="U39" s="483">
        <f t="shared" si="25"/>
        <v>4.6093941435922568E-2</v>
      </c>
      <c r="V39" s="483">
        <f t="shared" si="25"/>
        <v>4.6093941435922568E-2</v>
      </c>
      <c r="W39" s="483">
        <f t="shared" si="25"/>
        <v>4.6093941435922568E-2</v>
      </c>
      <c r="X39" s="483">
        <f t="shared" si="25"/>
        <v>4.6093941435922568E-2</v>
      </c>
    </row>
    <row r="40" spans="2:24">
      <c r="B40" s="595"/>
      <c r="C40" s="484"/>
      <c r="D40" s="475"/>
      <c r="E40" s="475"/>
      <c r="F40" s="485"/>
      <c r="G40" s="485"/>
      <c r="H40" s="485"/>
      <c r="I40" s="485"/>
      <c r="J40" s="485"/>
      <c r="K40" s="485"/>
      <c r="L40" s="485"/>
      <c r="M40" s="475"/>
      <c r="N40" s="475"/>
      <c r="O40" s="475"/>
      <c r="P40" s="475"/>
      <c r="Q40" s="475"/>
      <c r="R40" s="475"/>
      <c r="S40" s="475"/>
      <c r="T40" s="475"/>
      <c r="U40" s="475"/>
      <c r="V40" s="475"/>
      <c r="W40" s="475"/>
      <c r="X40" s="475"/>
    </row>
    <row r="41" spans="2:24">
      <c r="B41" s="593" t="s">
        <v>304</v>
      </c>
      <c r="C41" s="460"/>
      <c r="D41" s="461"/>
      <c r="E41" s="462"/>
      <c r="F41" s="463">
        <v>2017</v>
      </c>
      <c r="G41" s="463">
        <v>2018</v>
      </c>
      <c r="H41" s="463">
        <v>2019</v>
      </c>
      <c r="I41" s="463">
        <v>2020</v>
      </c>
      <c r="J41" s="463">
        <v>2021</v>
      </c>
      <c r="K41" s="463">
        <v>2022</v>
      </c>
      <c r="L41" s="463">
        <v>2023</v>
      </c>
      <c r="M41" s="463">
        <v>2024</v>
      </c>
      <c r="N41" s="463">
        <v>2025</v>
      </c>
      <c r="O41" s="463">
        <v>2026</v>
      </c>
      <c r="P41" s="463">
        <v>2027</v>
      </c>
      <c r="Q41" s="463">
        <v>2028</v>
      </c>
      <c r="R41" s="463">
        <v>2029</v>
      </c>
      <c r="S41" s="463">
        <v>2030</v>
      </c>
      <c r="T41" s="463">
        <v>2031</v>
      </c>
      <c r="U41" s="463">
        <v>2032</v>
      </c>
      <c r="V41" s="463">
        <v>2033</v>
      </c>
      <c r="W41" s="463">
        <v>2034</v>
      </c>
      <c r="X41" s="463">
        <v>2035</v>
      </c>
    </row>
    <row r="42" spans="2:24">
      <c r="B42" s="594"/>
      <c r="C42" s="464"/>
    </row>
    <row r="43" spans="2:24">
      <c r="B43" s="594"/>
      <c r="C43" s="596" t="s">
        <v>289</v>
      </c>
      <c r="D43" s="465" t="s">
        <v>290</v>
      </c>
      <c r="E43" s="453" t="s">
        <v>291</v>
      </c>
      <c r="F43" s="466">
        <f>SUMIFS('EV Data'!$AU$44:$AU$151,'EV Data'!$C$44:$C$151,'EV Forecast'!F9)/3</f>
        <v>7</v>
      </c>
      <c r="G43" s="466">
        <f>SUMIFS('EV Data'!$AU$44:$AU$151,'EV Data'!$C$44:$C$151,'EV Forecast'!G9)/3</f>
        <v>7</v>
      </c>
      <c r="H43" s="466">
        <f>SUMIFS('EV Data'!$AU$44:$AU$151,'EV Data'!$C$44:$C$151,'EV Forecast'!H9)/3</f>
        <v>7</v>
      </c>
      <c r="I43" s="466">
        <f>SUMIFS('EV Data'!$AU$44:$AU$151,'EV Data'!$C$44:$C$151,'EV Forecast'!I9)/3</f>
        <v>4</v>
      </c>
      <c r="J43" s="466">
        <f>SUMIFS('EV Data'!$AU$44:$AU$151,'EV Data'!$C$44:$C$151,'EV Forecast'!J9)/3</f>
        <v>3</v>
      </c>
      <c r="K43" s="466">
        <f>SUMIFS('EV Data'!$AU$44:$AU$151,'EV Data'!$C$44:$C$151,'EV Forecast'!K9)/3</f>
        <v>8</v>
      </c>
      <c r="L43" s="466">
        <f>SUMIFS('EV Data'!$AU$44:$AU$151,'EV Data'!$C$44:$C$151,'EV Forecast'!L9)/3</f>
        <v>15</v>
      </c>
      <c r="M43" s="466">
        <f>SUMIFS('EV Data'!$AU$44:$AU$151,'EV Data'!$C$44:$C$151,'EV Forecast'!M9)/3</f>
        <v>19</v>
      </c>
      <c r="N43" s="466">
        <f>SUMIFS('EV Data'!$AU$44:$AU$151,'EV Data'!$C$44:$C$151,'EV Forecast'!N9)/3</f>
        <v>20</v>
      </c>
      <c r="O43" s="467">
        <f t="shared" ref="O43:W43" si="28">O46+O51+O56</f>
        <v>24.112786987206981</v>
      </c>
      <c r="P43" s="467">
        <f t="shared" si="28"/>
        <v>28.538400624653701</v>
      </c>
      <c r="Q43" s="467">
        <f t="shared" si="28"/>
        <v>36.989182669204233</v>
      </c>
      <c r="R43" s="467">
        <f t="shared" si="28"/>
        <v>47.942407583759298</v>
      </c>
      <c r="S43" s="467">
        <f t="shared" si="28"/>
        <v>62.139097948788219</v>
      </c>
      <c r="T43" s="467">
        <f t="shared" si="28"/>
        <v>80.5397077137427</v>
      </c>
      <c r="U43" s="467">
        <f t="shared" si="28"/>
        <v>104.3891001436979</v>
      </c>
      <c r="V43" s="467">
        <f t="shared" si="28"/>
        <v>135.30076701472305</v>
      </c>
      <c r="W43" s="467">
        <f t="shared" si="28"/>
        <v>175.36598677038728</v>
      </c>
      <c r="X43" s="467">
        <f>X46+X51+X56</f>
        <v>227.29530655657831</v>
      </c>
    </row>
    <row r="44" spans="2:24">
      <c r="B44" s="594"/>
      <c r="C44" s="596"/>
      <c r="D44" s="465" t="s">
        <v>290</v>
      </c>
      <c r="E44" s="453" t="s">
        <v>278</v>
      </c>
      <c r="F44" s="466">
        <f>F43</f>
        <v>7</v>
      </c>
      <c r="G44" s="466">
        <f t="shared" ref="G44:T44" si="29">F44+G43</f>
        <v>14</v>
      </c>
      <c r="H44" s="466">
        <f t="shared" si="29"/>
        <v>21</v>
      </c>
      <c r="I44" s="466">
        <f t="shared" si="29"/>
        <v>25</v>
      </c>
      <c r="J44" s="466">
        <f t="shared" si="29"/>
        <v>28</v>
      </c>
      <c r="K44" s="466">
        <f t="shared" si="29"/>
        <v>36</v>
      </c>
      <c r="L44" s="466">
        <f t="shared" si="29"/>
        <v>51</v>
      </c>
      <c r="M44" s="466">
        <f t="shared" si="29"/>
        <v>70</v>
      </c>
      <c r="N44" s="466">
        <f t="shared" si="29"/>
        <v>90</v>
      </c>
      <c r="O44" s="467">
        <f t="shared" si="29"/>
        <v>114.11278698720699</v>
      </c>
      <c r="P44" s="467">
        <f t="shared" si="29"/>
        <v>142.65118761186068</v>
      </c>
      <c r="Q44" s="467">
        <f t="shared" si="29"/>
        <v>179.64037028106492</v>
      </c>
      <c r="R44" s="467">
        <f t="shared" si="29"/>
        <v>227.58277786482421</v>
      </c>
      <c r="S44" s="467">
        <f t="shared" si="29"/>
        <v>289.72187581361243</v>
      </c>
      <c r="T44" s="467">
        <f t="shared" si="29"/>
        <v>370.26158352735513</v>
      </c>
      <c r="U44" s="467">
        <f>T44+U43-F43</f>
        <v>467.650683671053</v>
      </c>
      <c r="V44" s="467">
        <f>U44+V43-G43</f>
        <v>595.95145068577608</v>
      </c>
      <c r="W44" s="467">
        <f>V44+W43-H43</f>
        <v>764.31743745616336</v>
      </c>
      <c r="X44" s="467">
        <f>W44+X43-I43</f>
        <v>987.6127440127417</v>
      </c>
    </row>
    <row r="45" spans="2:24">
      <c r="B45" s="594"/>
      <c r="C45" s="464"/>
      <c r="D45" s="465"/>
      <c r="G45" s="468"/>
    </row>
    <row r="46" spans="2:24">
      <c r="B46" s="594"/>
      <c r="C46" s="597" t="s">
        <v>292</v>
      </c>
      <c r="D46" s="469" t="s">
        <v>290</v>
      </c>
      <c r="E46" s="461" t="s">
        <v>291</v>
      </c>
      <c r="F46" s="470">
        <f>SUMIFS('EV Data'!$AV$44:$AV$151,'EV Data'!$C$44:$C$151,'EV Forecast'!F9)/3+SUMIFS('EV Data'!$AX$44:$AX$151,'EV Data'!$C$44:$C$151,'EV Forecast'!F9)/3</f>
        <v>6</v>
      </c>
      <c r="G46" s="470">
        <f>SUMIFS('EV Data'!$AV$44:$AV$151,'EV Data'!$C$44:$C$151,'EV Forecast'!G9)/3+SUMIFS('EV Data'!$AX$44:$AX$151,'EV Data'!$C$44:$C$151,'EV Forecast'!G9)/3</f>
        <v>6</v>
      </c>
      <c r="H46" s="470">
        <f>SUMIFS('EV Data'!$AV$44:$AV$151,'EV Data'!$C$44:$C$151,'EV Forecast'!H9)/3+SUMIFS('EV Data'!$AX$44:$AX$151,'EV Data'!$C$44:$C$151,'EV Forecast'!H9)/3</f>
        <v>7</v>
      </c>
      <c r="I46" s="470">
        <f>SUMIFS('EV Data'!$AV$44:$AV$151,'EV Data'!$C$44:$C$151,'EV Forecast'!I9)/3+SUMIFS('EV Data'!$AX$44:$AX$151,'EV Data'!$C$44:$C$151,'EV Forecast'!I9)/3</f>
        <v>3</v>
      </c>
      <c r="J46" s="470">
        <f>SUMIFS('EV Data'!$AV$44:$AV$151,'EV Data'!$C$44:$C$151,'EV Forecast'!J9)/3+SUMIFS('EV Data'!$AX$44:$AX$151,'EV Data'!$C$44:$C$151,'EV Forecast'!J9)/3</f>
        <v>3</v>
      </c>
      <c r="K46" s="470">
        <f>SUMIFS('EV Data'!$AV$44:$AV$151,'EV Data'!$C$44:$C$151,'EV Forecast'!K9)/3+SUMIFS('EV Data'!$AX$44:$AX$151,'EV Data'!$C$44:$C$151,'EV Forecast'!K9)/3</f>
        <v>7</v>
      </c>
      <c r="L46" s="470">
        <f>SUMIFS('EV Data'!$AV$44:$AV$151,'EV Data'!$C$44:$C$151,'EV Forecast'!L9)/3+SUMIFS('EV Data'!$AX$44:$AX$151,'EV Data'!$C$44:$C$151,'EV Forecast'!L9)/3</f>
        <v>14</v>
      </c>
      <c r="M46" s="470">
        <f>SUMIFS('EV Data'!$AV$44:$AV$151,'EV Data'!$C$44:$C$151,'EV Forecast'!M9)/3+SUMIFS('EV Data'!$AX$44:$AX$151,'EV Data'!$C$44:$C$151,'EV Forecast'!M9)/3</f>
        <v>19</v>
      </c>
      <c r="N46" s="470">
        <f>SUMIFS('EV Data'!$AV$44:$AV$151,'EV Data'!$C$44:$C$151,'EV Forecast'!N9)/3+SUMIFS('EV Data'!$AX$44:$AX$151,'EV Data'!$C$44:$C$151,'EV Forecast'!N9)/3</f>
        <v>20</v>
      </c>
      <c r="O46" s="471">
        <f t="shared" ref="O46:X46" si="30">O67*O75*O69*O62</f>
        <v>22.304140344220091</v>
      </c>
      <c r="P46" s="471">
        <f t="shared" si="30"/>
        <v>26.397798523644816</v>
      </c>
      <c r="Q46" s="471">
        <f t="shared" si="30"/>
        <v>34.214706160247424</v>
      </c>
      <c r="R46" s="471">
        <f t="shared" si="30"/>
        <v>44.346353980371191</v>
      </c>
      <c r="S46" s="471">
        <f t="shared" si="30"/>
        <v>57.478182105134948</v>
      </c>
      <c r="T46" s="471">
        <f t="shared" si="30"/>
        <v>74.498602964594866</v>
      </c>
      <c r="U46" s="471">
        <f t="shared" si="30"/>
        <v>96.559105392801172</v>
      </c>
      <c r="V46" s="471">
        <f t="shared" si="30"/>
        <v>125.15215672821564</v>
      </c>
      <c r="W46" s="471">
        <f t="shared" si="30"/>
        <v>162.21217325913196</v>
      </c>
      <c r="X46" s="471">
        <f t="shared" si="30"/>
        <v>210.24639000502668</v>
      </c>
    </row>
    <row r="47" spans="2:24">
      <c r="B47" s="594"/>
      <c r="C47" s="598"/>
      <c r="D47" s="465" t="s">
        <v>290</v>
      </c>
      <c r="E47" s="453" t="s">
        <v>278</v>
      </c>
      <c r="F47" s="466">
        <f>F46</f>
        <v>6</v>
      </c>
      <c r="G47" s="466">
        <f t="shared" ref="G47:X47" si="31">F47+G46</f>
        <v>12</v>
      </c>
      <c r="H47" s="466">
        <f t="shared" si="31"/>
        <v>19</v>
      </c>
      <c r="I47" s="466">
        <f t="shared" si="31"/>
        <v>22</v>
      </c>
      <c r="J47" s="466">
        <f t="shared" si="31"/>
        <v>25</v>
      </c>
      <c r="K47" s="466">
        <f t="shared" si="31"/>
        <v>32</v>
      </c>
      <c r="L47" s="466">
        <f t="shared" si="31"/>
        <v>46</v>
      </c>
      <c r="M47" s="473">
        <f t="shared" si="31"/>
        <v>65</v>
      </c>
      <c r="N47" s="473">
        <f t="shared" si="31"/>
        <v>85</v>
      </c>
      <c r="O47" s="473">
        <f t="shared" si="31"/>
        <v>107.30414034422009</v>
      </c>
      <c r="P47" s="473">
        <f t="shared" si="31"/>
        <v>133.7019388678649</v>
      </c>
      <c r="Q47" s="473">
        <f t="shared" si="31"/>
        <v>167.91664502811233</v>
      </c>
      <c r="R47" s="473">
        <f t="shared" si="31"/>
        <v>212.26299900848352</v>
      </c>
      <c r="S47" s="473">
        <f t="shared" si="31"/>
        <v>269.7411811136185</v>
      </c>
      <c r="T47" s="473">
        <f t="shared" si="31"/>
        <v>344.23978407821335</v>
      </c>
      <c r="U47" s="473">
        <f t="shared" si="31"/>
        <v>440.79888947101449</v>
      </c>
      <c r="V47" s="473">
        <f t="shared" si="31"/>
        <v>565.95104619923018</v>
      </c>
      <c r="W47" s="473">
        <f t="shared" si="31"/>
        <v>728.16321945836216</v>
      </c>
      <c r="X47" s="473">
        <f t="shared" si="31"/>
        <v>938.40960946338885</v>
      </c>
    </row>
    <row r="48" spans="2:24">
      <c r="B48" s="594"/>
      <c r="C48" s="598"/>
      <c r="D48" s="465" t="s">
        <v>290</v>
      </c>
      <c r="E48" s="453" t="s">
        <v>293</v>
      </c>
      <c r="F48" s="466">
        <f>E3*0.6</f>
        <v>1752</v>
      </c>
      <c r="G48" s="466">
        <f t="shared" ref="G48:X48" si="32">F48</f>
        <v>1752</v>
      </c>
      <c r="H48" s="466">
        <f t="shared" si="32"/>
        <v>1752</v>
      </c>
      <c r="I48" s="466">
        <f t="shared" si="32"/>
        <v>1752</v>
      </c>
      <c r="J48" s="466">
        <f t="shared" si="32"/>
        <v>1752</v>
      </c>
      <c r="K48" s="466">
        <f t="shared" si="32"/>
        <v>1752</v>
      </c>
      <c r="L48" s="466">
        <f t="shared" si="32"/>
        <v>1752</v>
      </c>
      <c r="M48" s="466">
        <f t="shared" si="32"/>
        <v>1752</v>
      </c>
      <c r="N48" s="466">
        <f t="shared" si="32"/>
        <v>1752</v>
      </c>
      <c r="O48" s="466">
        <f t="shared" si="32"/>
        <v>1752</v>
      </c>
      <c r="P48" s="466">
        <f t="shared" si="32"/>
        <v>1752</v>
      </c>
      <c r="Q48" s="466">
        <f t="shared" si="32"/>
        <v>1752</v>
      </c>
      <c r="R48" s="466">
        <f t="shared" si="32"/>
        <v>1752</v>
      </c>
      <c r="S48" s="466">
        <f t="shared" si="32"/>
        <v>1752</v>
      </c>
      <c r="T48" s="466">
        <f t="shared" si="32"/>
        <v>1752</v>
      </c>
      <c r="U48" s="466">
        <f t="shared" si="32"/>
        <v>1752</v>
      </c>
      <c r="V48" s="466">
        <f t="shared" si="32"/>
        <v>1752</v>
      </c>
      <c r="W48" s="466">
        <f t="shared" si="32"/>
        <v>1752</v>
      </c>
      <c r="X48" s="466">
        <f t="shared" si="32"/>
        <v>1752</v>
      </c>
    </row>
    <row r="49" spans="2:24">
      <c r="B49" s="594"/>
      <c r="C49" s="598"/>
      <c r="D49" s="465" t="s">
        <v>290</v>
      </c>
      <c r="E49" s="453" t="s">
        <v>294</v>
      </c>
      <c r="F49" s="466">
        <f>F46*F48</f>
        <v>10512</v>
      </c>
      <c r="G49" s="466">
        <f t="shared" ref="G49:W49" si="33">G46*G48</f>
        <v>10512</v>
      </c>
      <c r="H49" s="466">
        <f t="shared" si="33"/>
        <v>12264</v>
      </c>
      <c r="I49" s="466">
        <f t="shared" si="33"/>
        <v>5256</v>
      </c>
      <c r="J49" s="466">
        <f t="shared" si="33"/>
        <v>5256</v>
      </c>
      <c r="K49" s="466">
        <f t="shared" si="33"/>
        <v>12264</v>
      </c>
      <c r="L49" s="466">
        <f t="shared" si="33"/>
        <v>24528</v>
      </c>
      <c r="M49" s="466">
        <f t="shared" si="33"/>
        <v>33288</v>
      </c>
      <c r="N49" s="466">
        <f t="shared" si="33"/>
        <v>35040</v>
      </c>
      <c r="O49" s="466">
        <f t="shared" si="33"/>
        <v>39076.8538830736</v>
      </c>
      <c r="P49" s="466">
        <f t="shared" si="33"/>
        <v>46248.94301342572</v>
      </c>
      <c r="Q49" s="466">
        <f t="shared" si="33"/>
        <v>59944.165192753484</v>
      </c>
      <c r="R49" s="466">
        <f t="shared" si="33"/>
        <v>77694.81217361032</v>
      </c>
      <c r="S49" s="466">
        <f t="shared" si="33"/>
        <v>100701.77504819643</v>
      </c>
      <c r="T49" s="466">
        <f t="shared" si="33"/>
        <v>130521.55239397021</v>
      </c>
      <c r="U49" s="466">
        <f t="shared" si="33"/>
        <v>169171.55264818764</v>
      </c>
      <c r="V49" s="466">
        <f t="shared" si="33"/>
        <v>219266.57858783382</v>
      </c>
      <c r="W49" s="466">
        <f t="shared" si="33"/>
        <v>284195.7275499992</v>
      </c>
      <c r="X49" s="466">
        <f>X46*X48</f>
        <v>368351.67528880673</v>
      </c>
    </row>
    <row r="50" spans="2:24">
      <c r="B50" s="594"/>
      <c r="C50" s="599"/>
      <c r="D50" s="474" t="s">
        <v>290</v>
      </c>
      <c r="E50" s="475" t="s">
        <v>295</v>
      </c>
      <c r="F50" s="476">
        <f>F47*F48-F46*F48/2</f>
        <v>5256</v>
      </c>
      <c r="G50" s="476">
        <f>G47*G48-G46*G48/2</f>
        <v>15768</v>
      </c>
      <c r="H50" s="476">
        <f>H47*H48-H46*H48/2</f>
        <v>27156</v>
      </c>
      <c r="I50" s="476">
        <f>I47*I48-I46*I48/2</f>
        <v>35916</v>
      </c>
      <c r="J50" s="476">
        <f>J47*J48-J46*J48/2</f>
        <v>41172</v>
      </c>
      <c r="K50" s="476">
        <f t="shared" ref="K50:W50" si="34">K47*K48-K46*K48/2</f>
        <v>49932</v>
      </c>
      <c r="L50" s="476">
        <f t="shared" si="34"/>
        <v>68328</v>
      </c>
      <c r="M50" s="476">
        <f t="shared" si="34"/>
        <v>97236</v>
      </c>
      <c r="N50" s="476">
        <f t="shared" si="34"/>
        <v>131400</v>
      </c>
      <c r="O50" s="476">
        <f t="shared" si="34"/>
        <v>168458.4269415368</v>
      </c>
      <c r="P50" s="476">
        <f t="shared" si="34"/>
        <v>211121.32538978642</v>
      </c>
      <c r="Q50" s="476">
        <f t="shared" si="34"/>
        <v>264217.879492876</v>
      </c>
      <c r="R50" s="476">
        <f t="shared" si="34"/>
        <v>333037.36817605799</v>
      </c>
      <c r="S50" s="476">
        <f t="shared" si="34"/>
        <v>422235.66178696137</v>
      </c>
      <c r="T50" s="476">
        <f t="shared" si="34"/>
        <v>537847.32550804468</v>
      </c>
      <c r="U50" s="476">
        <f t="shared" si="34"/>
        <v>687693.87802912353</v>
      </c>
      <c r="V50" s="476">
        <f t="shared" si="34"/>
        <v>881912.94364713435</v>
      </c>
      <c r="W50" s="476">
        <f t="shared" si="34"/>
        <v>1133644.096716051</v>
      </c>
      <c r="X50" s="476">
        <f>X47*X48-X46*X48/2</f>
        <v>1459917.7981354538</v>
      </c>
    </row>
    <row r="51" spans="2:24">
      <c r="B51" s="594"/>
      <c r="C51" s="598" t="s">
        <v>296</v>
      </c>
      <c r="D51" s="469" t="s">
        <v>290</v>
      </c>
      <c r="E51" s="453" t="s">
        <v>291</v>
      </c>
      <c r="F51" s="477">
        <f>SUMIFS('EV Data'!$AY$44:$AY$151,'EV Data'!$C$44:$C$151,'EV Forecast'!F9)/3</f>
        <v>1</v>
      </c>
      <c r="G51" s="477">
        <f>SUMIFS('EV Data'!$AY$44:$AY$151,'EV Data'!$C$44:$C$151,'EV Forecast'!G9)/3</f>
        <v>1</v>
      </c>
      <c r="H51" s="477">
        <f>SUMIFS('EV Data'!$AY$44:$AY$151,'EV Data'!$C$44:$C$151,'EV Forecast'!H9)/3</f>
        <v>0</v>
      </c>
      <c r="I51" s="477">
        <f>SUMIFS('EV Data'!$AY$44:$AY$151,'EV Data'!$C$44:$C$151,'EV Forecast'!I9)/3</f>
        <v>1</v>
      </c>
      <c r="J51" s="477">
        <f>SUMIFS('EV Data'!$AY$44:$AY$151,'EV Data'!$C$44:$C$151,'EV Forecast'!J9)/3</f>
        <v>0</v>
      </c>
      <c r="K51" s="477">
        <f>SUMIFS('EV Data'!$AY$44:$AY$151,'EV Data'!$C$44:$C$151,'EV Forecast'!K9)/3</f>
        <v>1</v>
      </c>
      <c r="L51" s="477">
        <f>SUMIFS('EV Data'!$AY$44:$AY$151,'EV Data'!$C$44:$C$151,'EV Forecast'!L9)/3</f>
        <v>1</v>
      </c>
      <c r="M51" s="477">
        <f>SUMIFS('EV Data'!$AY$44:$AY$151,'EV Data'!$C$44:$C$151,'EV Forecast'!M9)/3</f>
        <v>0</v>
      </c>
      <c r="N51" s="477">
        <f>SUMIFS('EV Data'!$AY$44:$AY$151,'EV Data'!$C$44:$C$151,'EV Forecast'!N9)/3</f>
        <v>0</v>
      </c>
      <c r="O51" s="471">
        <f t="shared" ref="O51:X51" si="35">O67*O75*O70*O62</f>
        <v>1.8086466429868917</v>
      </c>
      <c r="P51" s="471">
        <f t="shared" si="35"/>
        <v>2.1406021010088829</v>
      </c>
      <c r="Q51" s="471">
        <f t="shared" si="35"/>
        <v>2.7744765089568069</v>
      </c>
      <c r="R51" s="471">
        <f t="shared" si="35"/>
        <v>3.5960536033881083</v>
      </c>
      <c r="S51" s="471">
        <f t="shared" si="35"/>
        <v>4.6609158436532718</v>
      </c>
      <c r="T51" s="471">
        <f t="shared" si="35"/>
        <v>6.0411047491478351</v>
      </c>
      <c r="U51" s="471">
        <f t="shared" si="35"/>
        <v>7.8299947508967307</v>
      </c>
      <c r="V51" s="471">
        <f t="shared" si="35"/>
        <v>10.148610286507393</v>
      </c>
      <c r="W51" s="471">
        <f t="shared" si="35"/>
        <v>13.153813511255319</v>
      </c>
      <c r="X51" s="471">
        <f t="shared" si="35"/>
        <v>17.048916551551628</v>
      </c>
    </row>
    <row r="52" spans="2:24">
      <c r="B52" s="594"/>
      <c r="C52" s="598"/>
      <c r="D52" s="465" t="s">
        <v>290</v>
      </c>
      <c r="E52" s="453" t="s">
        <v>278</v>
      </c>
      <c r="F52" s="477">
        <f>F51</f>
        <v>1</v>
      </c>
      <c r="G52" s="477">
        <f t="shared" ref="G52:X52" si="36">F52+G51</f>
        <v>2</v>
      </c>
      <c r="H52" s="477">
        <f t="shared" si="36"/>
        <v>2</v>
      </c>
      <c r="I52" s="477">
        <f t="shared" si="36"/>
        <v>3</v>
      </c>
      <c r="J52" s="477">
        <f t="shared" si="36"/>
        <v>3</v>
      </c>
      <c r="K52" s="477">
        <f t="shared" si="36"/>
        <v>4</v>
      </c>
      <c r="L52" s="477">
        <f t="shared" si="36"/>
        <v>5</v>
      </c>
      <c r="M52" s="477">
        <f t="shared" si="36"/>
        <v>5</v>
      </c>
      <c r="N52" s="477">
        <f t="shared" si="36"/>
        <v>5</v>
      </c>
      <c r="O52" s="477">
        <f t="shared" si="36"/>
        <v>6.8086466429868917</v>
      </c>
      <c r="P52" s="477">
        <f t="shared" si="36"/>
        <v>8.9492487439957742</v>
      </c>
      <c r="Q52" s="477">
        <f t="shared" si="36"/>
        <v>11.723725252952581</v>
      </c>
      <c r="R52" s="477">
        <f t="shared" si="36"/>
        <v>15.31977885634069</v>
      </c>
      <c r="S52" s="477">
        <f t="shared" si="36"/>
        <v>19.980694699993961</v>
      </c>
      <c r="T52" s="477">
        <f t="shared" si="36"/>
        <v>26.021799449141795</v>
      </c>
      <c r="U52" s="477">
        <f t="shared" si="36"/>
        <v>33.851794200038526</v>
      </c>
      <c r="V52" s="477">
        <f t="shared" si="36"/>
        <v>44.000404486545918</v>
      </c>
      <c r="W52" s="477">
        <f t="shared" si="36"/>
        <v>57.15421799780124</v>
      </c>
      <c r="X52" s="477">
        <f t="shared" si="36"/>
        <v>74.203134549352868</v>
      </c>
    </row>
    <row r="53" spans="2:24">
      <c r="B53" s="594"/>
      <c r="C53" s="598"/>
      <c r="D53" s="465" t="s">
        <v>290</v>
      </c>
      <c r="E53" s="453" t="s">
        <v>293</v>
      </c>
      <c r="F53" s="466">
        <f>E5*0.6</f>
        <v>3000</v>
      </c>
      <c r="G53" s="466">
        <f t="shared" ref="G53:X53" si="37">F53</f>
        <v>3000</v>
      </c>
      <c r="H53" s="466">
        <f t="shared" si="37"/>
        <v>3000</v>
      </c>
      <c r="I53" s="466">
        <f t="shared" si="37"/>
        <v>3000</v>
      </c>
      <c r="J53" s="466">
        <f t="shared" si="37"/>
        <v>3000</v>
      </c>
      <c r="K53" s="466">
        <f t="shared" si="37"/>
        <v>3000</v>
      </c>
      <c r="L53" s="466">
        <f t="shared" si="37"/>
        <v>3000</v>
      </c>
      <c r="M53" s="466">
        <f t="shared" si="37"/>
        <v>3000</v>
      </c>
      <c r="N53" s="466">
        <f t="shared" si="37"/>
        <v>3000</v>
      </c>
      <c r="O53" s="466">
        <f t="shared" si="37"/>
        <v>3000</v>
      </c>
      <c r="P53" s="466">
        <f t="shared" si="37"/>
        <v>3000</v>
      </c>
      <c r="Q53" s="466">
        <f t="shared" si="37"/>
        <v>3000</v>
      </c>
      <c r="R53" s="466">
        <f t="shared" si="37"/>
        <v>3000</v>
      </c>
      <c r="S53" s="466">
        <f t="shared" si="37"/>
        <v>3000</v>
      </c>
      <c r="T53" s="466">
        <f t="shared" si="37"/>
        <v>3000</v>
      </c>
      <c r="U53" s="466">
        <f t="shared" si="37"/>
        <v>3000</v>
      </c>
      <c r="V53" s="466">
        <f t="shared" si="37"/>
        <v>3000</v>
      </c>
      <c r="W53" s="466">
        <f t="shared" si="37"/>
        <v>3000</v>
      </c>
      <c r="X53" s="466">
        <f t="shared" si="37"/>
        <v>3000</v>
      </c>
    </row>
    <row r="54" spans="2:24">
      <c r="B54" s="594"/>
      <c r="C54" s="598"/>
      <c r="D54" s="465" t="s">
        <v>290</v>
      </c>
      <c r="E54" s="453" t="s">
        <v>294</v>
      </c>
      <c r="F54" s="466">
        <f>F51*F53</f>
        <v>3000</v>
      </c>
      <c r="G54" s="466">
        <f t="shared" ref="G54:W54" si="38">G51*G53</f>
        <v>3000</v>
      </c>
      <c r="H54" s="466">
        <f t="shared" si="38"/>
        <v>0</v>
      </c>
      <c r="I54" s="466">
        <f t="shared" si="38"/>
        <v>3000</v>
      </c>
      <c r="J54" s="466">
        <f t="shared" si="38"/>
        <v>0</v>
      </c>
      <c r="K54" s="466">
        <f t="shared" si="38"/>
        <v>3000</v>
      </c>
      <c r="L54" s="466">
        <f t="shared" si="38"/>
        <v>3000</v>
      </c>
      <c r="M54" s="466">
        <f t="shared" si="38"/>
        <v>0</v>
      </c>
      <c r="N54" s="466">
        <f t="shared" si="38"/>
        <v>0</v>
      </c>
      <c r="O54" s="466">
        <f t="shared" si="38"/>
        <v>5425.9399289606754</v>
      </c>
      <c r="P54" s="466">
        <f t="shared" si="38"/>
        <v>6421.8063030266485</v>
      </c>
      <c r="Q54" s="466">
        <f t="shared" si="38"/>
        <v>8323.4295268704209</v>
      </c>
      <c r="R54" s="466">
        <f t="shared" si="38"/>
        <v>10788.160810164325</v>
      </c>
      <c r="S54" s="466">
        <f t="shared" si="38"/>
        <v>13982.747530959816</v>
      </c>
      <c r="T54" s="466">
        <f t="shared" si="38"/>
        <v>18123.314247443504</v>
      </c>
      <c r="U54" s="466">
        <f t="shared" si="38"/>
        <v>23489.984252690192</v>
      </c>
      <c r="V54" s="466">
        <f t="shared" si="38"/>
        <v>30445.830859522179</v>
      </c>
      <c r="W54" s="466">
        <f t="shared" si="38"/>
        <v>39461.440533765955</v>
      </c>
      <c r="X54" s="466">
        <f>X51*X53</f>
        <v>51146.749654654886</v>
      </c>
    </row>
    <row r="55" spans="2:24">
      <c r="B55" s="594"/>
      <c r="C55" s="598"/>
      <c r="D55" s="474" t="s">
        <v>290</v>
      </c>
      <c r="E55" s="453" t="s">
        <v>295</v>
      </c>
      <c r="F55" s="476">
        <f>F52*F53-F51*F53/2</f>
        <v>1500</v>
      </c>
      <c r="G55" s="476">
        <f>G52*G53-G51*G53/2</f>
        <v>4500</v>
      </c>
      <c r="H55" s="476">
        <f>H52*H53-H51*H53/2</f>
        <v>6000</v>
      </c>
      <c r="I55" s="476">
        <f>I52*I53-I51*I53/2</f>
        <v>7500</v>
      </c>
      <c r="J55" s="476">
        <f>J52*J53-J51*J53/2</f>
        <v>9000</v>
      </c>
      <c r="K55" s="476">
        <f t="shared" ref="K55:W55" si="39">K52*K53-K51*K53/2</f>
        <v>10500</v>
      </c>
      <c r="L55" s="476">
        <f t="shared" si="39"/>
        <v>13500</v>
      </c>
      <c r="M55" s="476">
        <f t="shared" si="39"/>
        <v>15000</v>
      </c>
      <c r="N55" s="476">
        <f t="shared" si="39"/>
        <v>15000</v>
      </c>
      <c r="O55" s="476">
        <f t="shared" si="39"/>
        <v>17712.969964480337</v>
      </c>
      <c r="P55" s="476">
        <f t="shared" si="39"/>
        <v>23636.843080473998</v>
      </c>
      <c r="Q55" s="476">
        <f t="shared" si="39"/>
        <v>31009.460995422534</v>
      </c>
      <c r="R55" s="476">
        <f t="shared" si="39"/>
        <v>40565.256163939906</v>
      </c>
      <c r="S55" s="476">
        <f t="shared" si="39"/>
        <v>52950.710334501971</v>
      </c>
      <c r="T55" s="476">
        <f t="shared" si="39"/>
        <v>69003.741223703633</v>
      </c>
      <c r="U55" s="476">
        <f t="shared" si="39"/>
        <v>89810.390473770487</v>
      </c>
      <c r="V55" s="476">
        <f t="shared" si="39"/>
        <v>116778.29802987665</v>
      </c>
      <c r="W55" s="476">
        <f t="shared" si="39"/>
        <v>151731.93372652074</v>
      </c>
      <c r="X55" s="476">
        <f>X52*X53-X51*X53/2</f>
        <v>197036.02882073115</v>
      </c>
    </row>
    <row r="56" spans="2:24">
      <c r="B56" s="594"/>
      <c r="C56" s="597" t="s">
        <v>297</v>
      </c>
      <c r="D56" s="469" t="s">
        <v>290</v>
      </c>
      <c r="E56" s="461" t="s">
        <v>291</v>
      </c>
      <c r="F56" s="478">
        <f>SUMIFS('EV Data'!$AW$44:$AW$151,'EV Data'!$C$44:$C$151,'EV Forecast'!F9)/3</f>
        <v>0</v>
      </c>
      <c r="G56" s="478">
        <f>SUMIFS('EV Data'!$AW$44:$AW$151,'EV Data'!$C$44:$C$151,'EV Forecast'!G9)/3</f>
        <v>0</v>
      </c>
      <c r="H56" s="478">
        <f>SUMIFS('EV Data'!$AW$44:$AW$151,'EV Data'!$C$44:$C$151,'EV Forecast'!H9)/3</f>
        <v>0</v>
      </c>
      <c r="I56" s="478">
        <f>SUMIFS('EV Data'!$AW$44:$AW$151,'EV Data'!$C$44:$C$151,'EV Forecast'!I9)/3</f>
        <v>0</v>
      </c>
      <c r="J56" s="478">
        <f>SUMIFS('EV Data'!$AW$44:$AW$151,'EV Data'!$C$44:$C$151,'EV Forecast'!J9)/3</f>
        <v>0</v>
      </c>
      <c r="K56" s="478">
        <f>SUMIFS('EV Data'!$AW$44:$AW$151,'EV Data'!$C$44:$C$151,'EV Forecast'!K9)/3</f>
        <v>0</v>
      </c>
      <c r="L56" s="478">
        <f>SUMIFS('EV Data'!$AW$44:$AW$151,'EV Data'!$C$44:$C$151,'EV Forecast'!L9)/3</f>
        <v>0</v>
      </c>
      <c r="M56" s="478">
        <f>SUMIFS('EV Data'!$AW$44:$AW$151,'EV Data'!$C$44:$C$151,'EV Forecast'!M9)/3</f>
        <v>0</v>
      </c>
      <c r="N56" s="478">
        <f>SUMIFS('EV Data'!$AW$44:$AW$151,'EV Data'!$C$44:$C$151,'EV Forecast'!N9)/3</f>
        <v>0</v>
      </c>
      <c r="O56" s="471">
        <f t="shared" ref="O56:X56" si="40">O67*O75*O71*O62</f>
        <v>0</v>
      </c>
      <c r="P56" s="471">
        <f t="shared" si="40"/>
        <v>0</v>
      </c>
      <c r="Q56" s="471">
        <f t="shared" si="40"/>
        <v>0</v>
      </c>
      <c r="R56" s="471">
        <f t="shared" si="40"/>
        <v>0</v>
      </c>
      <c r="S56" s="471">
        <f t="shared" si="40"/>
        <v>0</v>
      </c>
      <c r="T56" s="471">
        <f t="shared" si="40"/>
        <v>0</v>
      </c>
      <c r="U56" s="471">
        <f t="shared" si="40"/>
        <v>0</v>
      </c>
      <c r="V56" s="471">
        <f t="shared" si="40"/>
        <v>0</v>
      </c>
      <c r="W56" s="471">
        <f t="shared" si="40"/>
        <v>0</v>
      </c>
      <c r="X56" s="471">
        <f t="shared" si="40"/>
        <v>0</v>
      </c>
    </row>
    <row r="57" spans="2:24">
      <c r="B57" s="594"/>
      <c r="C57" s="598"/>
      <c r="D57" s="465" t="s">
        <v>290</v>
      </c>
      <c r="E57" s="453" t="s">
        <v>278</v>
      </c>
      <c r="F57" s="477">
        <f>F56</f>
        <v>0</v>
      </c>
      <c r="G57" s="477">
        <f t="shared" ref="G57:X57" si="41">F57+G56</f>
        <v>0</v>
      </c>
      <c r="H57" s="477">
        <f t="shared" si="41"/>
        <v>0</v>
      </c>
      <c r="I57" s="477">
        <f t="shared" si="41"/>
        <v>0</v>
      </c>
      <c r="J57" s="477">
        <f t="shared" si="41"/>
        <v>0</v>
      </c>
      <c r="K57" s="477">
        <f t="shared" si="41"/>
        <v>0</v>
      </c>
      <c r="L57" s="477">
        <f t="shared" si="41"/>
        <v>0</v>
      </c>
      <c r="M57" s="477">
        <f t="shared" si="41"/>
        <v>0</v>
      </c>
      <c r="N57" s="477">
        <f t="shared" si="41"/>
        <v>0</v>
      </c>
      <c r="O57" s="477">
        <f t="shared" si="41"/>
        <v>0</v>
      </c>
      <c r="P57" s="477">
        <f t="shared" si="41"/>
        <v>0</v>
      </c>
      <c r="Q57" s="477">
        <f t="shared" si="41"/>
        <v>0</v>
      </c>
      <c r="R57" s="477">
        <f t="shared" si="41"/>
        <v>0</v>
      </c>
      <c r="S57" s="477">
        <f t="shared" si="41"/>
        <v>0</v>
      </c>
      <c r="T57" s="477">
        <f t="shared" si="41"/>
        <v>0</v>
      </c>
      <c r="U57" s="477">
        <f t="shared" si="41"/>
        <v>0</v>
      </c>
      <c r="V57" s="477">
        <f t="shared" si="41"/>
        <v>0</v>
      </c>
      <c r="W57" s="477">
        <f t="shared" si="41"/>
        <v>0</v>
      </c>
      <c r="X57" s="477">
        <f t="shared" si="41"/>
        <v>0</v>
      </c>
    </row>
    <row r="58" spans="2:24">
      <c r="B58" s="594"/>
      <c r="C58" s="598"/>
      <c r="D58" s="465" t="s">
        <v>290</v>
      </c>
      <c r="E58" s="453" t="s">
        <v>293</v>
      </c>
      <c r="F58" s="466"/>
      <c r="G58" s="466"/>
      <c r="H58" s="466"/>
      <c r="I58" s="466"/>
      <c r="J58" s="466"/>
      <c r="K58" s="466">
        <f>E6*0.6</f>
        <v>3600</v>
      </c>
      <c r="L58" s="466">
        <f t="shared" ref="L58:X58" si="42">K58</f>
        <v>3600</v>
      </c>
      <c r="M58" s="466">
        <f t="shared" si="42"/>
        <v>3600</v>
      </c>
      <c r="N58" s="466">
        <f t="shared" si="42"/>
        <v>3600</v>
      </c>
      <c r="O58" s="466">
        <f t="shared" si="42"/>
        <v>3600</v>
      </c>
      <c r="P58" s="466">
        <f t="shared" si="42"/>
        <v>3600</v>
      </c>
      <c r="Q58" s="466">
        <f t="shared" si="42"/>
        <v>3600</v>
      </c>
      <c r="R58" s="466">
        <f t="shared" si="42"/>
        <v>3600</v>
      </c>
      <c r="S58" s="466">
        <f t="shared" si="42"/>
        <v>3600</v>
      </c>
      <c r="T58" s="466">
        <f t="shared" si="42"/>
        <v>3600</v>
      </c>
      <c r="U58" s="466">
        <f t="shared" si="42"/>
        <v>3600</v>
      </c>
      <c r="V58" s="466">
        <f t="shared" si="42"/>
        <v>3600</v>
      </c>
      <c r="W58" s="466">
        <f t="shared" si="42"/>
        <v>3600</v>
      </c>
      <c r="X58" s="466">
        <f t="shared" si="42"/>
        <v>3600</v>
      </c>
    </row>
    <row r="59" spans="2:24">
      <c r="B59" s="594"/>
      <c r="C59" s="598"/>
      <c r="D59" s="465" t="s">
        <v>290</v>
      </c>
      <c r="E59" s="453" t="s">
        <v>294</v>
      </c>
      <c r="F59" s="466">
        <f>F56*F58</f>
        <v>0</v>
      </c>
      <c r="G59" s="466">
        <f t="shared" ref="G59:W59" si="43">G56*G58</f>
        <v>0</v>
      </c>
      <c r="H59" s="466">
        <f t="shared" si="43"/>
        <v>0</v>
      </c>
      <c r="I59" s="466">
        <f t="shared" si="43"/>
        <v>0</v>
      </c>
      <c r="J59" s="466">
        <f t="shared" si="43"/>
        <v>0</v>
      </c>
      <c r="K59" s="466">
        <f t="shared" si="43"/>
        <v>0</v>
      </c>
      <c r="L59" s="466">
        <f t="shared" si="43"/>
        <v>0</v>
      </c>
      <c r="M59" s="466">
        <f t="shared" si="43"/>
        <v>0</v>
      </c>
      <c r="N59" s="466">
        <f t="shared" si="43"/>
        <v>0</v>
      </c>
      <c r="O59" s="466">
        <f t="shared" si="43"/>
        <v>0</v>
      </c>
      <c r="P59" s="466">
        <f t="shared" si="43"/>
        <v>0</v>
      </c>
      <c r="Q59" s="466">
        <f t="shared" si="43"/>
        <v>0</v>
      </c>
      <c r="R59" s="466">
        <f t="shared" si="43"/>
        <v>0</v>
      </c>
      <c r="S59" s="466">
        <f t="shared" si="43"/>
        <v>0</v>
      </c>
      <c r="T59" s="466">
        <f t="shared" si="43"/>
        <v>0</v>
      </c>
      <c r="U59" s="466">
        <f t="shared" si="43"/>
        <v>0</v>
      </c>
      <c r="V59" s="466">
        <f t="shared" si="43"/>
        <v>0</v>
      </c>
      <c r="W59" s="466">
        <f t="shared" si="43"/>
        <v>0</v>
      </c>
      <c r="X59" s="466">
        <f>X56*X58</f>
        <v>0</v>
      </c>
    </row>
    <row r="60" spans="2:24">
      <c r="B60" s="594"/>
      <c r="C60" s="599"/>
      <c r="D60" s="474" t="s">
        <v>290</v>
      </c>
      <c r="E60" s="475" t="s">
        <v>295</v>
      </c>
      <c r="F60" s="476">
        <f>F57*F58-F56*F58/2</f>
        <v>0</v>
      </c>
      <c r="G60" s="476">
        <f>G57*G58-G56*G58/2</f>
        <v>0</v>
      </c>
      <c r="H60" s="476">
        <f>H57*H58-H56*H58/2</f>
        <v>0</v>
      </c>
      <c r="I60" s="476">
        <f>I57*I58-I56*I58/2</f>
        <v>0</v>
      </c>
      <c r="J60" s="476">
        <f>J57*J58-J56*J58/2</f>
        <v>0</v>
      </c>
      <c r="K60" s="476">
        <f t="shared" ref="K60:W60" si="44">K57*K58-K56*K58/2</f>
        <v>0</v>
      </c>
      <c r="L60" s="476">
        <f t="shared" si="44"/>
        <v>0</v>
      </c>
      <c r="M60" s="476">
        <f t="shared" si="44"/>
        <v>0</v>
      </c>
      <c r="N60" s="476">
        <f t="shared" si="44"/>
        <v>0</v>
      </c>
      <c r="O60" s="476">
        <f t="shared" si="44"/>
        <v>0</v>
      </c>
      <c r="P60" s="476">
        <f t="shared" si="44"/>
        <v>0</v>
      </c>
      <c r="Q60" s="476">
        <f t="shared" si="44"/>
        <v>0</v>
      </c>
      <c r="R60" s="476">
        <f t="shared" si="44"/>
        <v>0</v>
      </c>
      <c r="S60" s="476">
        <f t="shared" si="44"/>
        <v>0</v>
      </c>
      <c r="T60" s="476">
        <f t="shared" si="44"/>
        <v>0</v>
      </c>
      <c r="U60" s="476">
        <f t="shared" si="44"/>
        <v>0</v>
      </c>
      <c r="V60" s="476">
        <f t="shared" si="44"/>
        <v>0</v>
      </c>
      <c r="W60" s="476">
        <f t="shared" si="44"/>
        <v>0</v>
      </c>
      <c r="X60" s="476">
        <f>X57*X58-X56*X58/2</f>
        <v>0</v>
      </c>
    </row>
    <row r="61" spans="2:24">
      <c r="B61" s="594"/>
      <c r="C61" s="472"/>
      <c r="D61" s="465"/>
      <c r="F61" s="466"/>
      <c r="G61" s="466"/>
      <c r="H61" s="466"/>
      <c r="I61" s="466"/>
      <c r="J61" s="466"/>
      <c r="K61" s="466"/>
      <c r="L61" s="466"/>
      <c r="M61" s="466"/>
      <c r="N61" s="466"/>
      <c r="O61" s="466"/>
      <c r="P61" s="466"/>
      <c r="Q61" s="466"/>
      <c r="R61" s="466"/>
      <c r="S61" s="466"/>
      <c r="T61" s="466"/>
      <c r="U61" s="466"/>
      <c r="V61" s="466"/>
      <c r="W61" s="466"/>
      <c r="X61" s="466"/>
    </row>
    <row r="62" spans="2:24">
      <c r="B62" s="594"/>
      <c r="C62" s="464"/>
      <c r="D62" s="453" t="s">
        <v>298</v>
      </c>
      <c r="F62" s="479">
        <f t="shared" ref="F62:N62" si="45">F64/F65</f>
        <v>1.5167930660888408E-3</v>
      </c>
      <c r="G62" s="479">
        <f t="shared" si="45"/>
        <v>8.1928838951310866E-4</v>
      </c>
      <c r="H62" s="479">
        <f t="shared" si="45"/>
        <v>2.2705157314304248E-3</v>
      </c>
      <c r="I62" s="479">
        <f t="shared" si="45"/>
        <v>1.697792869269949E-3</v>
      </c>
      <c r="J62" s="479">
        <f t="shared" si="45"/>
        <v>6.0132291040288638E-4</v>
      </c>
      <c r="K62" s="479">
        <f t="shared" si="45"/>
        <v>1.360775642116006E-3</v>
      </c>
      <c r="L62" s="479">
        <f t="shared" si="45"/>
        <v>1.3046881795250936E-3</v>
      </c>
      <c r="M62" s="479">
        <f t="shared" si="45"/>
        <v>1.2722646310432571E-3</v>
      </c>
      <c r="N62" s="479">
        <f t="shared" si="45"/>
        <v>1.2533684276493076E-3</v>
      </c>
      <c r="O62" s="479">
        <f>AVERAGE(L62:N62)</f>
        <v>1.2767737460725528E-3</v>
      </c>
      <c r="P62" s="479">
        <f t="shared" ref="P62:W62" si="46">O62</f>
        <v>1.2767737460725528E-3</v>
      </c>
      <c r="Q62" s="479">
        <f t="shared" si="46"/>
        <v>1.2767737460725528E-3</v>
      </c>
      <c r="R62" s="479">
        <f t="shared" si="46"/>
        <v>1.2767737460725528E-3</v>
      </c>
      <c r="S62" s="479">
        <f t="shared" si="46"/>
        <v>1.2767737460725528E-3</v>
      </c>
      <c r="T62" s="479">
        <f t="shared" si="46"/>
        <v>1.2767737460725528E-3</v>
      </c>
      <c r="U62" s="479">
        <f t="shared" si="46"/>
        <v>1.2767737460725528E-3</v>
      </c>
      <c r="V62" s="479">
        <f t="shared" si="46"/>
        <v>1.2767737460725528E-3</v>
      </c>
      <c r="W62" s="479">
        <f t="shared" si="46"/>
        <v>1.2767737460725528E-3</v>
      </c>
      <c r="X62" s="479">
        <f>W62</f>
        <v>1.2767737460725528E-3</v>
      </c>
    </row>
    <row r="63" spans="2:24">
      <c r="B63" s="594"/>
      <c r="C63" s="464"/>
      <c r="D63" s="480" t="s">
        <v>290</v>
      </c>
      <c r="E63" s="551" t="s">
        <v>240</v>
      </c>
      <c r="F63" s="523"/>
      <c r="G63" s="523"/>
      <c r="H63" s="523"/>
      <c r="I63" s="523"/>
      <c r="J63" s="523"/>
      <c r="K63" s="523"/>
      <c r="L63" s="523"/>
      <c r="M63" s="523"/>
      <c r="N63" s="523"/>
      <c r="O63" s="483"/>
    </row>
    <row r="64" spans="2:24">
      <c r="B64" s="594"/>
      <c r="C64" s="464"/>
      <c r="D64" s="465" t="s">
        <v>290</v>
      </c>
      <c r="E64" s="453" t="s">
        <v>299</v>
      </c>
      <c r="F64" s="458">
        <f>F43</f>
        <v>7</v>
      </c>
      <c r="G64" s="458">
        <f t="shared" ref="G64:X64" si="47">G43</f>
        <v>7</v>
      </c>
      <c r="H64" s="458">
        <f t="shared" si="47"/>
        <v>7</v>
      </c>
      <c r="I64" s="458">
        <f t="shared" si="47"/>
        <v>4</v>
      </c>
      <c r="J64" s="458">
        <f t="shared" si="47"/>
        <v>3</v>
      </c>
      <c r="K64" s="458">
        <f t="shared" si="47"/>
        <v>8</v>
      </c>
      <c r="L64" s="458">
        <f t="shared" si="47"/>
        <v>15</v>
      </c>
      <c r="M64" s="458">
        <f t="shared" si="47"/>
        <v>19</v>
      </c>
      <c r="N64" s="458">
        <f t="shared" si="47"/>
        <v>20</v>
      </c>
      <c r="O64" s="458">
        <f t="shared" si="47"/>
        <v>24.112786987206981</v>
      </c>
      <c r="P64" s="458">
        <f t="shared" si="47"/>
        <v>28.538400624653701</v>
      </c>
      <c r="Q64" s="458">
        <f t="shared" si="47"/>
        <v>36.989182669204233</v>
      </c>
      <c r="R64" s="458">
        <f t="shared" si="47"/>
        <v>47.942407583759298</v>
      </c>
      <c r="S64" s="458">
        <f t="shared" si="47"/>
        <v>62.139097948788219</v>
      </c>
      <c r="T64" s="458">
        <f t="shared" si="47"/>
        <v>80.5397077137427</v>
      </c>
      <c r="U64" s="458">
        <f t="shared" si="47"/>
        <v>104.3891001436979</v>
      </c>
      <c r="V64" s="458">
        <f t="shared" si="47"/>
        <v>135.30076701472305</v>
      </c>
      <c r="W64" s="458">
        <f t="shared" si="47"/>
        <v>175.36598677038728</v>
      </c>
      <c r="X64" s="458">
        <f t="shared" si="47"/>
        <v>227.29530655657831</v>
      </c>
    </row>
    <row r="65" spans="2:26">
      <c r="B65" s="594"/>
      <c r="C65" s="464"/>
      <c r="D65" s="480" t="s">
        <v>228</v>
      </c>
      <c r="E65" s="453" t="s">
        <v>299</v>
      </c>
      <c r="F65" s="466">
        <f>SUMIFS('EV Data'!$K$44:$K$151,'EV Data'!$C$44:$C$151,'EV Forecast'!F9)/3</f>
        <v>4615</v>
      </c>
      <c r="G65" s="466">
        <f>SUMIFS('EV Data'!$K$44:$K$151,'EV Data'!$C$44:$C$151,'EV Forecast'!G9)/3</f>
        <v>8544</v>
      </c>
      <c r="H65" s="466">
        <f>SUMIFS('EV Data'!$K$44:$K$151,'EV Data'!$C$44:$C$151,'EV Forecast'!H9)/3</f>
        <v>3083</v>
      </c>
      <c r="I65" s="466">
        <f>SUMIFS('EV Data'!$K$44:$K$151,'EV Data'!$C$44:$C$151,'EV Forecast'!I9)/3</f>
        <v>2356</v>
      </c>
      <c r="J65" s="466">
        <f>SUMIFS('EV Data'!$K$44:$K$151,'EV Data'!$C$44:$C$151,'EV Forecast'!J9)/3</f>
        <v>4989</v>
      </c>
      <c r="K65" s="466">
        <f>SUMIFS('EV Data'!$K$44:$K$151,'EV Data'!$C$44:$C$151,'EV Forecast'!K9)/3</f>
        <v>5879</v>
      </c>
      <c r="L65" s="466">
        <f>SUMIFS('EV Data'!$K$44:$K$151,'EV Data'!$C$44:$C$151,'EV Forecast'!L9)/3</f>
        <v>11497</v>
      </c>
      <c r="M65" s="466">
        <f>SUMIFS('EV Data'!$K$44:$K$151,'EV Data'!$C$44:$C$151,'EV Forecast'!M9)/3</f>
        <v>14934</v>
      </c>
      <c r="N65" s="466">
        <f>SUMIFS('EV Data'!$K$44:$K$151,'EV Data'!$C$44:$C$151,'EV Forecast'!N9)/3</f>
        <v>15957</v>
      </c>
      <c r="O65" s="458">
        <f t="shared" ref="O65:X65" si="48">O67*O75</f>
        <v>18885.716487654634</v>
      </c>
      <c r="P65" s="458">
        <f t="shared" si="48"/>
        <v>22351.963856117698</v>
      </c>
      <c r="Q65" s="458">
        <f t="shared" si="48"/>
        <v>28970.820227926517</v>
      </c>
      <c r="R65" s="458">
        <f t="shared" si="48"/>
        <v>37549.650226779464</v>
      </c>
      <c r="S65" s="458">
        <f t="shared" si="48"/>
        <v>48668.840614817243</v>
      </c>
      <c r="T65" s="458">
        <f t="shared" si="48"/>
        <v>63080.642096133786</v>
      </c>
      <c r="U65" s="458">
        <f t="shared" si="48"/>
        <v>81760.061612173828</v>
      </c>
      <c r="V65" s="458">
        <f t="shared" si="48"/>
        <v>105970.82484732934</v>
      </c>
      <c r="W65" s="458">
        <f t="shared" si="48"/>
        <v>137350.87153054765</v>
      </c>
      <c r="X65" s="458">
        <f t="shared" si="48"/>
        <v>178023.16757824548</v>
      </c>
    </row>
    <row r="66" spans="2:26">
      <c r="B66" s="594"/>
      <c r="C66" s="464"/>
      <c r="D66" s="480"/>
      <c r="F66" s="466"/>
      <c r="G66" s="466"/>
      <c r="H66" s="466"/>
      <c r="I66" s="466"/>
      <c r="J66" s="466"/>
      <c r="K66" s="466"/>
      <c r="L66" s="466"/>
      <c r="M66" s="466"/>
      <c r="N66" s="458"/>
      <c r="O66" s="458"/>
      <c r="P66" s="458"/>
      <c r="Q66" s="458"/>
      <c r="R66" s="458"/>
      <c r="S66" s="458"/>
      <c r="T66" s="458"/>
      <c r="U66" s="458"/>
      <c r="V66" s="458"/>
      <c r="W66" s="458"/>
      <c r="X66" s="458"/>
    </row>
    <row r="67" spans="2:26">
      <c r="B67" s="594"/>
      <c r="C67" s="464"/>
      <c r="D67" s="480" t="s">
        <v>300</v>
      </c>
      <c r="F67" s="481">
        <f t="shared" ref="F67:N67" si="49">F65/F75</f>
        <v>5.7587082524847297E-3</v>
      </c>
      <c r="G67" s="481">
        <f t="shared" si="49"/>
        <v>1.0699084491962538E-2</v>
      </c>
      <c r="H67" s="481">
        <f t="shared" si="49"/>
        <v>3.872736088674728E-3</v>
      </c>
      <c r="I67" s="481">
        <f t="shared" si="49"/>
        <v>3.9230247919847744E-3</v>
      </c>
      <c r="J67" s="481">
        <f t="shared" si="49"/>
        <v>7.9535382005777432E-3</v>
      </c>
      <c r="K67" s="481">
        <f t="shared" si="49"/>
        <v>9.8889989722438561E-3</v>
      </c>
      <c r="L67" s="481">
        <f t="shared" si="49"/>
        <v>1.6982249656942901E-2</v>
      </c>
      <c r="M67" s="481">
        <f t="shared" si="49"/>
        <v>2.1356771343543132E-2</v>
      </c>
      <c r="N67" s="481">
        <f t="shared" si="49"/>
        <v>2.2372294325681216E-2</v>
      </c>
      <c r="O67" s="482">
        <f>O74*($N$67/($N$35+$N$67))</f>
        <v>2.5959275836480881E-2</v>
      </c>
      <c r="P67" s="482">
        <f t="shared" ref="P67:X67" si="50">P74*($N$67/($N$35+$N$67))</f>
        <v>3.0121363153217014E-2</v>
      </c>
      <c r="Q67" s="482">
        <f t="shared" si="50"/>
        <v>3.8275383876747844E-2</v>
      </c>
      <c r="R67" s="482">
        <f t="shared" si="50"/>
        <v>4.8636743412322755E-2</v>
      </c>
      <c r="S67" s="482">
        <f t="shared" si="50"/>
        <v>6.1802980666986168E-2</v>
      </c>
      <c r="T67" s="482">
        <f t="shared" si="50"/>
        <v>7.853339165705979E-2</v>
      </c>
      <c r="U67" s="482">
        <f t="shared" si="50"/>
        <v>9.9792818058299426E-2</v>
      </c>
      <c r="V67" s="482">
        <f t="shared" si="50"/>
        <v>0.12680728956039711</v>
      </c>
      <c r="W67" s="482">
        <f t="shared" si="50"/>
        <v>0.16113472891666744</v>
      </c>
      <c r="X67" s="482">
        <f t="shared" si="50"/>
        <v>0.2047547972443754</v>
      </c>
    </row>
    <row r="68" spans="2:26">
      <c r="B68" s="594"/>
      <c r="C68" s="464"/>
      <c r="D68" s="480"/>
      <c r="F68" s="481"/>
      <c r="G68" s="481"/>
      <c r="H68" s="481"/>
      <c r="I68" s="481"/>
      <c r="J68" s="481"/>
      <c r="K68" s="481"/>
      <c r="L68" s="481"/>
      <c r="M68" s="481"/>
      <c r="N68" s="481"/>
      <c r="O68" s="482"/>
      <c r="P68" s="482"/>
      <c r="Q68" s="482"/>
      <c r="R68" s="482"/>
      <c r="S68" s="482"/>
      <c r="T68" s="482"/>
      <c r="U68" s="482"/>
      <c r="V68" s="482"/>
      <c r="W68" s="482"/>
      <c r="X68" s="482"/>
    </row>
    <row r="69" spans="2:26">
      <c r="B69" s="594"/>
      <c r="C69" s="464"/>
      <c r="D69" s="465" t="s">
        <v>290</v>
      </c>
      <c r="E69" s="453" t="s">
        <v>301</v>
      </c>
      <c r="F69" s="481">
        <f t="shared" ref="F69:N69" si="51">F47/F44</f>
        <v>0.8571428571428571</v>
      </c>
      <c r="G69" s="481">
        <f t="shared" si="51"/>
        <v>0.8571428571428571</v>
      </c>
      <c r="H69" s="481">
        <f t="shared" si="51"/>
        <v>0.90476190476190477</v>
      </c>
      <c r="I69" s="481">
        <f t="shared" si="51"/>
        <v>0.88</v>
      </c>
      <c r="J69" s="481">
        <f t="shared" si="51"/>
        <v>0.8928571428571429</v>
      </c>
      <c r="K69" s="481">
        <f t="shared" si="51"/>
        <v>0.88888888888888884</v>
      </c>
      <c r="L69" s="481">
        <f t="shared" si="51"/>
        <v>0.90196078431372551</v>
      </c>
      <c r="M69" s="481">
        <f t="shared" si="51"/>
        <v>0.9285714285714286</v>
      </c>
      <c r="N69" s="481">
        <f t="shared" si="51"/>
        <v>0.94444444444444442</v>
      </c>
      <c r="O69" s="483">
        <f>AVERAGE(L69:N69)</f>
        <v>0.92499221910986618</v>
      </c>
      <c r="P69" s="483">
        <f t="shared" ref="P69:X71" si="52">O69</f>
        <v>0.92499221910986618</v>
      </c>
      <c r="Q69" s="483">
        <f t="shared" si="52"/>
        <v>0.92499221910986618</v>
      </c>
      <c r="R69" s="483">
        <f t="shared" si="52"/>
        <v>0.92499221910986618</v>
      </c>
      <c r="S69" s="483">
        <f t="shared" si="52"/>
        <v>0.92499221910986618</v>
      </c>
      <c r="T69" s="483">
        <f t="shared" si="52"/>
        <v>0.92499221910986618</v>
      </c>
      <c r="U69" s="483">
        <f t="shared" si="52"/>
        <v>0.92499221910986618</v>
      </c>
      <c r="V69" s="483">
        <f t="shared" si="52"/>
        <v>0.92499221910986618</v>
      </c>
      <c r="W69" s="483">
        <f t="shared" si="52"/>
        <v>0.92499221910986618</v>
      </c>
      <c r="X69" s="483">
        <f t="shared" si="52"/>
        <v>0.92499221910986618</v>
      </c>
    </row>
    <row r="70" spans="2:26">
      <c r="B70" s="594"/>
      <c r="C70" s="464"/>
      <c r="D70" s="465" t="s">
        <v>290</v>
      </c>
      <c r="E70" s="453" t="s">
        <v>302</v>
      </c>
      <c r="F70" s="481">
        <f t="shared" ref="F70:N70" si="53">F52/F44</f>
        <v>0.14285714285714285</v>
      </c>
      <c r="G70" s="481">
        <f t="shared" si="53"/>
        <v>0.14285714285714285</v>
      </c>
      <c r="H70" s="481">
        <f t="shared" si="53"/>
        <v>9.5238095238095233E-2</v>
      </c>
      <c r="I70" s="481">
        <f t="shared" si="53"/>
        <v>0.12</v>
      </c>
      <c r="J70" s="481">
        <f t="shared" si="53"/>
        <v>0.10714285714285714</v>
      </c>
      <c r="K70" s="481">
        <f t="shared" si="53"/>
        <v>0.1111111111111111</v>
      </c>
      <c r="L70" s="481">
        <f t="shared" si="53"/>
        <v>9.8039215686274508E-2</v>
      </c>
      <c r="M70" s="481">
        <f t="shared" si="53"/>
        <v>7.1428571428571425E-2</v>
      </c>
      <c r="N70" s="481">
        <f t="shared" si="53"/>
        <v>5.5555555555555552E-2</v>
      </c>
      <c r="O70" s="483">
        <f>AVERAGE(L70:N70)</f>
        <v>7.5007780890133838E-2</v>
      </c>
      <c r="P70" s="483">
        <f t="shared" si="52"/>
        <v>7.5007780890133838E-2</v>
      </c>
      <c r="Q70" s="483">
        <f t="shared" si="52"/>
        <v>7.5007780890133838E-2</v>
      </c>
      <c r="R70" s="483">
        <f t="shared" si="52"/>
        <v>7.5007780890133838E-2</v>
      </c>
      <c r="S70" s="483">
        <f t="shared" si="52"/>
        <v>7.5007780890133838E-2</v>
      </c>
      <c r="T70" s="483">
        <f t="shared" si="52"/>
        <v>7.5007780890133838E-2</v>
      </c>
      <c r="U70" s="483">
        <f t="shared" si="52"/>
        <v>7.5007780890133838E-2</v>
      </c>
      <c r="V70" s="483">
        <f t="shared" si="52"/>
        <v>7.5007780890133838E-2</v>
      </c>
      <c r="W70" s="483">
        <f t="shared" si="52"/>
        <v>7.5007780890133838E-2</v>
      </c>
      <c r="X70" s="483">
        <f t="shared" si="52"/>
        <v>7.5007780890133838E-2</v>
      </c>
    </row>
    <row r="71" spans="2:26">
      <c r="B71" s="594"/>
      <c r="C71" s="464"/>
      <c r="D71" s="465" t="s">
        <v>290</v>
      </c>
      <c r="E71" s="453" t="s">
        <v>303</v>
      </c>
      <c r="F71" s="481">
        <f t="shared" ref="F71:N71" si="54">F57/F44</f>
        <v>0</v>
      </c>
      <c r="G71" s="481">
        <f t="shared" si="54"/>
        <v>0</v>
      </c>
      <c r="H71" s="481">
        <f t="shared" si="54"/>
        <v>0</v>
      </c>
      <c r="I71" s="481">
        <f t="shared" si="54"/>
        <v>0</v>
      </c>
      <c r="J71" s="481">
        <f t="shared" si="54"/>
        <v>0</v>
      </c>
      <c r="K71" s="481">
        <f t="shared" si="54"/>
        <v>0</v>
      </c>
      <c r="L71" s="481">
        <f t="shared" si="54"/>
        <v>0</v>
      </c>
      <c r="M71" s="481">
        <f t="shared" si="54"/>
        <v>0</v>
      </c>
      <c r="N71" s="481">
        <f t="shared" si="54"/>
        <v>0</v>
      </c>
      <c r="O71" s="483">
        <f>AVERAGE(L71:N71)</f>
        <v>0</v>
      </c>
      <c r="P71" s="483">
        <f t="shared" si="52"/>
        <v>0</v>
      </c>
      <c r="Q71" s="483">
        <f t="shared" si="52"/>
        <v>0</v>
      </c>
      <c r="R71" s="483">
        <f t="shared" si="52"/>
        <v>0</v>
      </c>
      <c r="S71" s="483">
        <f t="shared" si="52"/>
        <v>0</v>
      </c>
      <c r="T71" s="483">
        <f t="shared" si="52"/>
        <v>0</v>
      </c>
      <c r="U71" s="483">
        <f t="shared" si="52"/>
        <v>0</v>
      </c>
      <c r="V71" s="483">
        <f t="shared" si="52"/>
        <v>0</v>
      </c>
      <c r="W71" s="483">
        <f t="shared" si="52"/>
        <v>0</v>
      </c>
      <c r="X71" s="483">
        <f t="shared" si="52"/>
        <v>0</v>
      </c>
    </row>
    <row r="72" spans="2:26">
      <c r="B72" s="595"/>
      <c r="C72" s="484"/>
      <c r="D72" s="475"/>
      <c r="E72" s="475"/>
      <c r="F72" s="485"/>
      <c r="G72" s="485"/>
      <c r="H72" s="485"/>
      <c r="I72" s="485"/>
      <c r="J72" s="485"/>
      <c r="K72" s="485"/>
      <c r="L72" s="485"/>
      <c r="M72" s="475"/>
      <c r="N72" s="475"/>
      <c r="O72" s="475"/>
      <c r="P72" s="475"/>
      <c r="Q72" s="475"/>
      <c r="R72" s="475"/>
      <c r="S72" s="475"/>
      <c r="T72" s="475"/>
      <c r="U72" s="475"/>
      <c r="V72" s="475"/>
      <c r="W72" s="475"/>
      <c r="X72" s="475"/>
    </row>
    <row r="73" spans="2:26">
      <c r="B73" s="531"/>
      <c r="C73" s="461"/>
      <c r="D73" s="461"/>
      <c r="E73" s="461" t="s">
        <v>305</v>
      </c>
      <c r="F73" s="486"/>
      <c r="G73" s="486"/>
      <c r="H73" s="486"/>
      <c r="I73" s="486"/>
      <c r="J73" s="486"/>
      <c r="K73" s="486"/>
      <c r="L73" s="486"/>
      <c r="M73" s="487"/>
      <c r="N73" s="487"/>
      <c r="O73" s="487">
        <v>0.2</v>
      </c>
      <c r="P73" s="487">
        <v>0.23</v>
      </c>
      <c r="Q73" s="487">
        <v>0.34</v>
      </c>
      <c r="R73" s="487">
        <v>0.43</v>
      </c>
      <c r="S73" s="487">
        <v>0.6</v>
      </c>
      <c r="T73" s="487">
        <v>0.67999999999999994</v>
      </c>
      <c r="U73" s="487">
        <v>0.7599999999999999</v>
      </c>
      <c r="V73" s="487">
        <v>0.83999999999999986</v>
      </c>
      <c r="W73" s="487">
        <v>0.91999999999999982</v>
      </c>
      <c r="X73" s="487">
        <v>1</v>
      </c>
    </row>
    <row r="74" spans="2:26">
      <c r="B74" s="532"/>
      <c r="E74" s="453" t="s">
        <v>306</v>
      </c>
      <c r="F74" s="488">
        <f t="shared" ref="F74:L74" si="55">(F65+F33)/F75</f>
        <v>1.0204705544706419E-2</v>
      </c>
      <c r="G74" s="488">
        <f t="shared" si="55"/>
        <v>2.098743633957071E-2</v>
      </c>
      <c r="H74" s="488">
        <f t="shared" si="55"/>
        <v>1.2115646959217564E-2</v>
      </c>
      <c r="I74" s="488">
        <f t="shared" si="55"/>
        <v>1.7512076289178214E-2</v>
      </c>
      <c r="J74" s="488">
        <f t="shared" si="55"/>
        <v>3.1581397425024076E-2</v>
      </c>
      <c r="K74" s="488">
        <f t="shared" si="55"/>
        <v>6.5032910063767976E-2</v>
      </c>
      <c r="L74" s="488">
        <f t="shared" si="55"/>
        <v>7.4050112185949507E-2</v>
      </c>
      <c r="M74" s="488">
        <f>(M65+M33)/M75</f>
        <v>8.0932353063153634E-2</v>
      </c>
      <c r="N74" s="488">
        <f>(N65+N33)/N75</f>
        <v>8.1947876045291718E-2</v>
      </c>
      <c r="O74" s="488">
        <f>N74*((0.2/$N$74)^(1/6))</f>
        <v>9.5086694619046286E-2</v>
      </c>
      <c r="P74" s="488">
        <f>O74*((0.2/$N$74)^(1/6))</f>
        <v>0.11033207851023054</v>
      </c>
      <c r="Q74" s="488">
        <f>P74*((($X$74)/($P$74))^(1/8))</f>
        <v>0.14019958650003964</v>
      </c>
      <c r="R74" s="488">
        <f>Q74*((($X$74)/($P$74))^(1/8))</f>
        <v>0.17815239520716092</v>
      </c>
      <c r="S74" s="488">
        <f t="shared" ref="S74:W74" si="56">R74*((($X$74)/($P$74))^(1/8))</f>
        <v>0.22637924055531705</v>
      </c>
      <c r="T74" s="488">
        <f t="shared" si="56"/>
        <v>0.28766136146982424</v>
      </c>
      <c r="U74" s="488">
        <f t="shared" si="56"/>
        <v>0.36553289373922376</v>
      </c>
      <c r="V74" s="488">
        <f t="shared" si="56"/>
        <v>0.46448468338834181</v>
      </c>
      <c r="W74" s="488">
        <f t="shared" si="56"/>
        <v>0.59022327346628434</v>
      </c>
      <c r="X74" s="488">
        <v>0.75</v>
      </c>
      <c r="Y74" s="459"/>
    </row>
    <row r="75" spans="2:26">
      <c r="B75" s="533"/>
      <c r="D75" s="480" t="s">
        <v>228</v>
      </c>
      <c r="E75" s="551" t="s">
        <v>307</v>
      </c>
      <c r="F75" s="466">
        <f>SUMIFS('EV Data'!$D$5:$D$40,'EV Data'!$C$5:$C$40,'EV Forecast'!F41)</f>
        <v>801395</v>
      </c>
      <c r="G75" s="466">
        <f>SUMIFS('EV Data'!$D$5:$D$40,'EV Data'!$C$5:$C$40,'EV Forecast'!G41)</f>
        <v>798573</v>
      </c>
      <c r="H75" s="466">
        <f>SUMIFS('EV Data'!$D$5:$D$40,'EV Data'!$C$5:$C$40,'EV Forecast'!H41)</f>
        <v>796078</v>
      </c>
      <c r="I75" s="466">
        <f>SUMIFS('EV Data'!$D$5:$D$40,'EV Data'!$C$5:$C$40,'EV Forecast'!I41)</f>
        <v>600557</v>
      </c>
      <c r="J75" s="466">
        <f>SUMIFS('EV Data'!$D$5:$D$40,'EV Data'!$C$5:$C$40,'EV Forecast'!J41)</f>
        <v>627268</v>
      </c>
      <c r="K75" s="466">
        <f>SUMIFS('EV Data'!$D$5:$D$40,'EV Data'!$C$5:$C$40,'EV Forecast'!K41)</f>
        <v>594499</v>
      </c>
      <c r="L75" s="466">
        <f>SUMIFS('EV Data'!$D$5:$D$40,'EV Data'!$C$5:$C$40,'EV Forecast'!L41)</f>
        <v>677001</v>
      </c>
      <c r="M75" s="466">
        <f>SUMIFS('EV Data'!$D$5:$D$40,'EV Data'!$C$5:$C$40,'EV Forecast'!M41)</f>
        <v>699263</v>
      </c>
      <c r="N75" s="458">
        <f>M75*1.02</f>
        <v>713248.26</v>
      </c>
      <c r="O75" s="458">
        <f t="shared" ref="O75:W75" si="57">N75*1.02</f>
        <v>727513.22519999999</v>
      </c>
      <c r="P75" s="458">
        <f t="shared" si="57"/>
        <v>742063.48970399995</v>
      </c>
      <c r="Q75" s="458">
        <f t="shared" si="57"/>
        <v>756904.75949808001</v>
      </c>
      <c r="R75" s="458">
        <f t="shared" si="57"/>
        <v>772042.85468804161</v>
      </c>
      <c r="S75" s="458">
        <f t="shared" si="57"/>
        <v>787483.71178180247</v>
      </c>
      <c r="T75" s="458">
        <f t="shared" si="57"/>
        <v>803233.38601743849</v>
      </c>
      <c r="U75" s="458">
        <f>T75*1.02</f>
        <v>819298.0537377873</v>
      </c>
      <c r="V75" s="458">
        <f t="shared" si="57"/>
        <v>835684.01481254306</v>
      </c>
      <c r="W75" s="458">
        <f t="shared" si="57"/>
        <v>852397.69510879391</v>
      </c>
      <c r="X75" s="458">
        <f>W75*1.02</f>
        <v>869445.64901096979</v>
      </c>
    </row>
    <row r="76" spans="2:26">
      <c r="B76" s="533"/>
      <c r="D76" s="480" t="s">
        <v>290</v>
      </c>
      <c r="E76" s="551" t="s">
        <v>240</v>
      </c>
      <c r="F76" s="466">
        <f>SUMIFS('EV Data'!$P$5:$P$40,'EV Data'!$C$5:$C$40,'EV Forecast'!F41)+SUMIFS('EV Data'!$AB$5:$AB$40,'EV Data'!$C$5:$C$40,'EV Forecast'!F41)</f>
        <v>1645</v>
      </c>
      <c r="G76" s="466">
        <f>SUMIFS('EV Data'!$P$5:$P$40,'EV Data'!$C$5:$C$40,'EV Forecast'!G41)+SUMIFS('EV Data'!$AB$5:$AB$40,'EV Data'!$C$5:$C$40,'EV Forecast'!G41)</f>
        <v>1406</v>
      </c>
      <c r="H76" s="466">
        <f>SUMIFS('EV Data'!$P$5:$P$40,'EV Data'!$C$5:$C$40,'EV Forecast'!H41)+SUMIFS('EV Data'!$AB$5:$AB$40,'EV Data'!$C$5:$C$40,'EV Forecast'!H41)</f>
        <v>1462</v>
      </c>
      <c r="I76" s="466">
        <f>SUMIFS('EV Data'!$P$5:$P$40,'EV Data'!$C$5:$C$40,'EV Forecast'!I41)+SUMIFS('EV Data'!$AB$5:$AB$40,'EV Data'!$C$5:$C$40,'EV Forecast'!I41)</f>
        <v>1196</v>
      </c>
      <c r="J76" s="466">
        <f>SUMIFS('EV Data'!$P$5:$P$40,'EV Data'!$C$5:$C$40,'EV Forecast'!J41)+SUMIFS('EV Data'!$AB$5:$AB$40,'EV Data'!$C$5:$C$40,'EV Forecast'!J41)</f>
        <v>1377</v>
      </c>
      <c r="K76" s="466">
        <f>SUMIFS('EV Data'!$P$5:$P$40,'EV Data'!$C$5:$C$40,'EV Forecast'!K41)+SUMIFS('EV Data'!$AB$5:$AB$40,'EV Data'!$C$5:$C$40,'EV Forecast'!K41)</f>
        <v>1194</v>
      </c>
      <c r="L76" s="466">
        <f>SUMIFS('EV Data'!$P$5:$P$40,'EV Data'!$C$5:$C$40,'EV Forecast'!L41)+SUMIFS('EV Data'!$AB$5:$AB$40,'EV Data'!$C$5:$C$40,'EV Forecast'!L41)</f>
        <v>1244</v>
      </c>
      <c r="M76" s="466">
        <f>SUMIFS('EV Data'!$P$5:$P$40,'EV Data'!$C$5:$C$40,'EV Forecast'!M41)+SUMIFS('EV Data'!$AB$5:$AB$40,'EV Data'!$C$5:$C$40,'EV Forecast'!M41)</f>
        <v>1344</v>
      </c>
      <c r="N76" s="458">
        <f>SUMIFS('EV Data'!$P$5:$P$40,'EV Data'!$C$5:$C$40,'EV Forecast'!N41)+SUMIFS('EV Data'!$AB$5:$AB$40,'EV Data'!$C$5:$C$40,'EV Forecast'!N41)</f>
        <v>1397</v>
      </c>
      <c r="O76" s="458"/>
    </row>
    <row r="77" spans="2:26">
      <c r="B77" s="533"/>
      <c r="D77" s="480" t="s">
        <v>290</v>
      </c>
      <c r="E77" s="551" t="s">
        <v>308</v>
      </c>
      <c r="F77" s="466">
        <f>F64+F32</f>
        <v>10</v>
      </c>
      <c r="G77" s="466">
        <f>G64+G32</f>
        <v>10</v>
      </c>
      <c r="H77" s="466">
        <f t="shared" ref="H77:L77" si="58">H64+H32</f>
        <v>9</v>
      </c>
      <c r="I77" s="466">
        <f t="shared" si="58"/>
        <v>8</v>
      </c>
      <c r="J77" s="466">
        <f t="shared" si="58"/>
        <v>13</v>
      </c>
      <c r="K77" s="466">
        <f t="shared" si="58"/>
        <v>38</v>
      </c>
      <c r="L77" s="466">
        <f t="shared" si="58"/>
        <v>40</v>
      </c>
      <c r="M77" s="466">
        <f>M64+M32</f>
        <v>48</v>
      </c>
      <c r="N77" s="466">
        <f>N64+N32</f>
        <v>42</v>
      </c>
      <c r="Q77" s="558"/>
      <c r="R77" s="558"/>
      <c r="S77" s="558"/>
      <c r="T77" s="558"/>
      <c r="U77" s="558"/>
      <c r="V77" s="558"/>
      <c r="W77" s="558"/>
    </row>
    <row r="78" spans="2:26" s="475" customFormat="1">
      <c r="B78" s="534"/>
      <c r="D78" s="489" t="s">
        <v>290</v>
      </c>
      <c r="E78" s="559" t="s">
        <v>309</v>
      </c>
      <c r="F78" s="560">
        <f>F77/F76</f>
        <v>6.0790273556231003E-3</v>
      </c>
      <c r="G78" s="560">
        <f t="shared" ref="G78:L78" si="59">G77/G76</f>
        <v>7.1123755334281651E-3</v>
      </c>
      <c r="H78" s="560">
        <f t="shared" si="59"/>
        <v>6.1559507523939808E-3</v>
      </c>
      <c r="I78" s="560">
        <f t="shared" si="59"/>
        <v>6.688963210702341E-3</v>
      </c>
      <c r="J78" s="560">
        <f t="shared" si="59"/>
        <v>9.44081336238199E-3</v>
      </c>
      <c r="K78" s="560">
        <f t="shared" si="59"/>
        <v>3.1825795644891124E-2</v>
      </c>
      <c r="L78" s="560">
        <f t="shared" si="59"/>
        <v>3.215434083601286E-2</v>
      </c>
      <c r="M78" s="560">
        <f>M77/M76</f>
        <v>3.5714285714285712E-2</v>
      </c>
      <c r="N78" s="560">
        <f>N77/N76</f>
        <v>3.0064423765211165E-2</v>
      </c>
      <c r="O78" s="560"/>
      <c r="P78" s="560"/>
      <c r="Q78" s="560"/>
      <c r="R78" s="560"/>
      <c r="S78" s="560"/>
      <c r="T78" s="560"/>
      <c r="U78" s="560"/>
      <c r="V78" s="560"/>
      <c r="W78" s="560"/>
      <c r="X78" s="560"/>
      <c r="Y78" s="530"/>
      <c r="Z78" s="530"/>
    </row>
    <row r="79" spans="2:26">
      <c r="D79" s="480"/>
      <c r="E79" s="551"/>
      <c r="F79" s="561"/>
      <c r="G79" s="561"/>
      <c r="H79" s="561"/>
      <c r="I79" s="561"/>
      <c r="J79" s="561"/>
      <c r="K79" s="561"/>
      <c r="L79" s="561"/>
      <c r="M79" s="561"/>
      <c r="N79" s="561"/>
      <c r="O79" s="561"/>
      <c r="P79" s="561"/>
      <c r="Q79" s="561"/>
      <c r="R79" s="561"/>
      <c r="S79" s="561"/>
      <c r="T79" s="561"/>
      <c r="U79" s="561"/>
      <c r="V79" s="561"/>
      <c r="W79" s="561"/>
      <c r="X79" s="561"/>
      <c r="Y79" s="491"/>
      <c r="Z79" s="491"/>
    </row>
    <row r="80" spans="2:26">
      <c r="F80" s="562"/>
      <c r="K80" s="453">
        <f>K9</f>
        <v>2022</v>
      </c>
      <c r="L80" s="453">
        <f t="shared" ref="L80:X80" si="60">L9</f>
        <v>2023</v>
      </c>
      <c r="M80" s="453">
        <f t="shared" si="60"/>
        <v>2024</v>
      </c>
      <c r="N80" s="453">
        <f t="shared" si="60"/>
        <v>2025</v>
      </c>
      <c r="O80" s="453">
        <f t="shared" si="60"/>
        <v>2026</v>
      </c>
      <c r="P80" s="453">
        <f t="shared" si="60"/>
        <v>2027</v>
      </c>
      <c r="Q80" s="453">
        <f t="shared" si="60"/>
        <v>2028</v>
      </c>
      <c r="R80" s="453">
        <f t="shared" si="60"/>
        <v>2029</v>
      </c>
      <c r="S80" s="453">
        <f t="shared" si="60"/>
        <v>2030</v>
      </c>
      <c r="T80" s="453">
        <f t="shared" si="60"/>
        <v>2031</v>
      </c>
      <c r="U80" s="453">
        <f t="shared" si="60"/>
        <v>2032</v>
      </c>
      <c r="V80" s="453">
        <f t="shared" si="60"/>
        <v>2033</v>
      </c>
      <c r="W80" s="453">
        <f t="shared" si="60"/>
        <v>2034</v>
      </c>
      <c r="X80" s="453">
        <f t="shared" si="60"/>
        <v>2035</v>
      </c>
      <c r="Y80" s="491"/>
      <c r="Z80" s="491"/>
    </row>
    <row r="81" spans="2:29">
      <c r="D81" s="551" t="s">
        <v>310</v>
      </c>
      <c r="E81" s="453" t="str">
        <f>E82</f>
        <v>Actual/Forecast % EVs</v>
      </c>
      <c r="F81" s="562">
        <f>F82</f>
        <v>1.0204705544706419E-2</v>
      </c>
      <c r="G81" s="562">
        <f t="shared" ref="G81:N81" si="61">G82</f>
        <v>2.098743633957071E-2</v>
      </c>
      <c r="H81" s="562">
        <f t="shared" si="61"/>
        <v>1.2115646959217564E-2</v>
      </c>
      <c r="I81" s="562">
        <f t="shared" si="61"/>
        <v>1.7512076289178214E-2</v>
      </c>
      <c r="J81" s="562">
        <f t="shared" si="61"/>
        <v>3.1581397425024076E-2</v>
      </c>
      <c r="K81" s="562">
        <f t="shared" si="61"/>
        <v>6.5032910063767976E-2</v>
      </c>
      <c r="L81" s="562">
        <f t="shared" si="61"/>
        <v>7.4050112185949507E-2</v>
      </c>
      <c r="M81" s="562">
        <f t="shared" si="61"/>
        <v>8.0932353063153634E-2</v>
      </c>
      <c r="N81" s="562">
        <f>AVERAGE(L81:M81)</f>
        <v>7.749123262455157E-2</v>
      </c>
      <c r="O81" s="562" cm="1">
        <f t="array" ref="O81">TREND($K$81:$N$81,$K$80:$N$80,O80)</f>
        <v>8.5440954124244683E-2</v>
      </c>
      <c r="P81" s="562" cm="1">
        <f t="array" ref="P81">TREND($K$81:$N$81,$K$80:$N$80,P80)</f>
        <v>8.9866674980200401E-2</v>
      </c>
      <c r="Q81" s="562">
        <f>P81*((($X$81)/($P$81))^(1/8))</f>
        <v>0.1113704795510634</v>
      </c>
      <c r="R81" s="562">
        <f t="shared" ref="R81:W81" si="62">Q81*((($X$81)/($P$81))^(1/8))</f>
        <v>0.13801983569734352</v>
      </c>
      <c r="S81" s="562">
        <f t="shared" si="62"/>
        <v>0.17104600000566136</v>
      </c>
      <c r="T81" s="562">
        <f t="shared" si="62"/>
        <v>0.21197485107932074</v>
      </c>
      <c r="U81" s="562">
        <f t="shared" si="62"/>
        <v>0.26269738835525519</v>
      </c>
      <c r="V81" s="562">
        <f t="shared" si="62"/>
        <v>0.32555710027529788</v>
      </c>
      <c r="W81" s="562">
        <f t="shared" si="62"/>
        <v>0.4034582384059705</v>
      </c>
      <c r="X81" s="562">
        <v>0.5</v>
      </c>
      <c r="Y81" s="491"/>
      <c r="Z81" s="491"/>
    </row>
    <row r="82" spans="2:29">
      <c r="D82" s="551" t="s">
        <v>311</v>
      </c>
      <c r="E82" s="453" t="str">
        <f>E74</f>
        <v>Actual/Forecast % EVs</v>
      </c>
      <c r="F82" s="562">
        <f>F74</f>
        <v>1.0204705544706419E-2</v>
      </c>
      <c r="G82" s="562">
        <f t="shared" ref="G82:N82" si="63">G74</f>
        <v>2.098743633957071E-2</v>
      </c>
      <c r="H82" s="562">
        <f t="shared" si="63"/>
        <v>1.2115646959217564E-2</v>
      </c>
      <c r="I82" s="562">
        <f t="shared" si="63"/>
        <v>1.7512076289178214E-2</v>
      </c>
      <c r="J82" s="562">
        <f t="shared" si="63"/>
        <v>3.1581397425024076E-2</v>
      </c>
      <c r="K82" s="562">
        <f t="shared" si="63"/>
        <v>6.5032910063767976E-2</v>
      </c>
      <c r="L82" s="562">
        <f t="shared" si="63"/>
        <v>7.4050112185949507E-2</v>
      </c>
      <c r="M82" s="562">
        <f t="shared" si="63"/>
        <v>8.0932353063153634E-2</v>
      </c>
      <c r="N82" s="562">
        <f t="shared" si="63"/>
        <v>8.1947876045291718E-2</v>
      </c>
      <c r="O82" s="562">
        <f>O74</f>
        <v>9.5086694619046286E-2</v>
      </c>
      <c r="P82" s="562">
        <f>P74</f>
        <v>0.11033207851023054</v>
      </c>
      <c r="Q82" s="562">
        <f>Q74</f>
        <v>0.14019958650003964</v>
      </c>
      <c r="R82" s="562">
        <f>R74</f>
        <v>0.17815239520716092</v>
      </c>
      <c r="S82" s="562">
        <f>S74</f>
        <v>0.22637924055531705</v>
      </c>
      <c r="T82" s="562">
        <f>T74</f>
        <v>0.28766136146982424</v>
      </c>
      <c r="U82" s="562">
        <f>U74</f>
        <v>0.36553289373922376</v>
      </c>
      <c r="V82" s="562">
        <f>V74</f>
        <v>0.46448468338834181</v>
      </c>
      <c r="W82" s="562">
        <f>W74</f>
        <v>0.59022327346628434</v>
      </c>
      <c r="X82" s="562">
        <f>X74</f>
        <v>0.75</v>
      </c>
      <c r="Y82" s="491"/>
      <c r="Z82" s="491"/>
    </row>
    <row r="83" spans="2:29">
      <c r="D83" s="551" t="s">
        <v>312</v>
      </c>
      <c r="E83" s="453" t="str">
        <f>E82</f>
        <v>Actual/Forecast % EVs</v>
      </c>
      <c r="F83" s="562">
        <f>F82</f>
        <v>1.0204705544706419E-2</v>
      </c>
      <c r="G83" s="562">
        <f t="shared" ref="G83:N83" si="64">G82</f>
        <v>2.098743633957071E-2</v>
      </c>
      <c r="H83" s="562">
        <f t="shared" si="64"/>
        <v>1.2115646959217564E-2</v>
      </c>
      <c r="I83" s="562">
        <f t="shared" si="64"/>
        <v>1.7512076289178214E-2</v>
      </c>
      <c r="J83" s="562">
        <f t="shared" si="64"/>
        <v>3.1581397425024076E-2</v>
      </c>
      <c r="K83" s="562">
        <f t="shared" si="64"/>
        <v>6.5032910063767976E-2</v>
      </c>
      <c r="L83" s="562">
        <f t="shared" si="64"/>
        <v>7.4050112185949507E-2</v>
      </c>
      <c r="M83" s="562">
        <f t="shared" si="64"/>
        <v>8.0932353063153634E-2</v>
      </c>
      <c r="N83" s="562">
        <f>M83*((($X$83)/($M$83))^(1/11))</f>
        <v>0.10171471547469503</v>
      </c>
      <c r="O83" s="562">
        <f>N83*((($X$83)/($M$83))^(1/11))</f>
        <v>0.12783371485597361</v>
      </c>
      <c r="P83" s="562">
        <f t="shared" ref="O83:W83" si="65">O83*((($X$83)/($M$83))^(1/11))</f>
        <v>0.16065972929889244</v>
      </c>
      <c r="Q83" s="562">
        <f t="shared" si="65"/>
        <v>0.2019150319418824</v>
      </c>
      <c r="R83" s="562">
        <f t="shared" si="65"/>
        <v>0.25376415298349719</v>
      </c>
      <c r="S83" s="562">
        <f t="shared" si="65"/>
        <v>0.31892744547105867</v>
      </c>
      <c r="T83" s="562">
        <f t="shared" si="65"/>
        <v>0.40082381328819844</v>
      </c>
      <c r="U83" s="562">
        <f t="shared" si="65"/>
        <v>0.50375008980991498</v>
      </c>
      <c r="V83" s="562">
        <f t="shared" si="65"/>
        <v>0.63310647863388569</v>
      </c>
      <c r="W83" s="562">
        <f t="shared" si="65"/>
        <v>0.79567988452259253</v>
      </c>
      <c r="X83" s="562">
        <v>1</v>
      </c>
      <c r="Y83" s="491"/>
      <c r="Z83" s="491"/>
    </row>
    <row r="84" spans="2:29">
      <c r="D84" s="551"/>
      <c r="F84" s="562"/>
      <c r="G84" s="562"/>
      <c r="H84" s="562"/>
      <c r="I84" s="562"/>
      <c r="J84" s="562"/>
      <c r="K84" s="562"/>
      <c r="L84" s="562"/>
      <c r="M84" s="562"/>
      <c r="N84" s="562"/>
      <c r="O84" s="562"/>
      <c r="P84" s="562"/>
      <c r="Q84" s="562"/>
      <c r="R84" s="562"/>
      <c r="S84" s="562"/>
      <c r="T84" s="562"/>
      <c r="U84" s="562"/>
      <c r="V84" s="562"/>
      <c r="W84" s="562"/>
      <c r="X84" s="562"/>
      <c r="Y84" s="491"/>
      <c r="Z84" s="491"/>
    </row>
    <row r="85" spans="2:29">
      <c r="D85" s="551" t="str">
        <f>D81</f>
        <v>Low Scenario</v>
      </c>
      <c r="E85" s="551" t="str">
        <f>E86</f>
        <v>New EVs</v>
      </c>
      <c r="F85" s="563">
        <f>F86</f>
        <v>10</v>
      </c>
      <c r="G85" s="563">
        <f t="shared" ref="G85:N85" si="66">G86</f>
        <v>10</v>
      </c>
      <c r="H85" s="563">
        <f t="shared" si="66"/>
        <v>9</v>
      </c>
      <c r="I85" s="563">
        <f t="shared" si="66"/>
        <v>8</v>
      </c>
      <c r="J85" s="563">
        <f t="shared" si="66"/>
        <v>13</v>
      </c>
      <c r="K85" s="563">
        <f t="shared" si="66"/>
        <v>38</v>
      </c>
      <c r="L85" s="563">
        <f t="shared" si="66"/>
        <v>40</v>
      </c>
      <c r="M85" s="563">
        <f t="shared" si="66"/>
        <v>48</v>
      </c>
      <c r="N85" s="563">
        <f>N86/N82*N81</f>
        <v>39.715877058636217</v>
      </c>
      <c r="O85" s="563">
        <f t="shared" ref="O85:X85" si="67">O86/O82*O81</f>
        <v>49.69858234475592</v>
      </c>
      <c r="P85" s="563">
        <f t="shared" si="67"/>
        <v>53.31835675499881</v>
      </c>
      <c r="Q85" s="563">
        <f t="shared" si="67"/>
        <v>67.398207191118757</v>
      </c>
      <c r="R85" s="563">
        <f t="shared" si="67"/>
        <v>85.196142736546264</v>
      </c>
      <c r="S85" s="563">
        <f t="shared" si="67"/>
        <v>107.6940031446774</v>
      </c>
      <c r="T85" s="563">
        <f t="shared" si="67"/>
        <v>136.13290391785114</v>
      </c>
      <c r="U85" s="563">
        <f t="shared" si="67"/>
        <v>172.08170360433684</v>
      </c>
      <c r="V85" s="563">
        <f t="shared" si="67"/>
        <v>217.52355134685254</v>
      </c>
      <c r="W85" s="563">
        <f t="shared" si="67"/>
        <v>274.96528915904048</v>
      </c>
      <c r="X85" s="563">
        <f t="shared" si="67"/>
        <v>347.57574420876034</v>
      </c>
      <c r="Y85" s="491"/>
      <c r="Z85" s="491"/>
    </row>
    <row r="86" spans="2:29">
      <c r="D86" s="551" t="str">
        <f t="shared" ref="D86:D87" si="68">D82</f>
        <v>Reference Scenario</v>
      </c>
      <c r="E86" s="551" t="s">
        <v>313</v>
      </c>
      <c r="F86" s="563">
        <f>F11+F43</f>
        <v>10</v>
      </c>
      <c r="G86" s="563">
        <f t="shared" ref="G86:X86" si="69">G11+G43</f>
        <v>10</v>
      </c>
      <c r="H86" s="563">
        <f t="shared" si="69"/>
        <v>9</v>
      </c>
      <c r="I86" s="563">
        <f t="shared" si="69"/>
        <v>8</v>
      </c>
      <c r="J86" s="563">
        <f t="shared" si="69"/>
        <v>13</v>
      </c>
      <c r="K86" s="563">
        <f t="shared" si="69"/>
        <v>38</v>
      </c>
      <c r="L86" s="563">
        <f t="shared" si="69"/>
        <v>40</v>
      </c>
      <c r="M86" s="563">
        <f t="shared" si="69"/>
        <v>48</v>
      </c>
      <c r="N86" s="563">
        <f>N11+N43</f>
        <v>42</v>
      </c>
      <c r="O86" s="563">
        <f t="shared" si="69"/>
        <v>55.309236312406497</v>
      </c>
      <c r="P86" s="563">
        <f t="shared" si="69"/>
        <v>65.460585081456529</v>
      </c>
      <c r="Q86" s="563">
        <f t="shared" si="69"/>
        <v>84.844752551383124</v>
      </c>
      <c r="R86" s="563">
        <f t="shared" si="69"/>
        <v>109.96895347861229</v>
      </c>
      <c r="S86" s="563">
        <f t="shared" si="69"/>
        <v>142.53292473046469</v>
      </c>
      <c r="T86" s="563">
        <f t="shared" si="69"/>
        <v>184.73972871053527</v>
      </c>
      <c r="U86" s="563">
        <f t="shared" si="69"/>
        <v>239.44479795514621</v>
      </c>
      <c r="V86" s="563">
        <f t="shared" si="69"/>
        <v>310.34911476792263</v>
      </c>
      <c r="W86" s="563">
        <f t="shared" si="69"/>
        <v>402.24959514583225</v>
      </c>
      <c r="X86" s="563">
        <f t="shared" si="69"/>
        <v>521.36361631314048</v>
      </c>
      <c r="Y86" s="491"/>
      <c r="Z86" s="491"/>
    </row>
    <row r="87" spans="2:29">
      <c r="D87" s="551" t="str">
        <f t="shared" si="68"/>
        <v>High Scenario</v>
      </c>
      <c r="E87" s="453" t="str">
        <f>E86</f>
        <v>New EVs</v>
      </c>
      <c r="F87" s="563">
        <f>F86</f>
        <v>10</v>
      </c>
      <c r="G87" s="563">
        <f t="shared" ref="G87:N87" si="70">G86</f>
        <v>10</v>
      </c>
      <c r="H87" s="563">
        <f t="shared" si="70"/>
        <v>9</v>
      </c>
      <c r="I87" s="563">
        <f t="shared" si="70"/>
        <v>8</v>
      </c>
      <c r="J87" s="563">
        <f t="shared" si="70"/>
        <v>13</v>
      </c>
      <c r="K87" s="563">
        <f t="shared" si="70"/>
        <v>38</v>
      </c>
      <c r="L87" s="563">
        <f t="shared" si="70"/>
        <v>40</v>
      </c>
      <c r="M87" s="563">
        <f t="shared" si="70"/>
        <v>48</v>
      </c>
      <c r="N87" s="563">
        <f>N86/N82*N83</f>
        <v>52.130918531385639</v>
      </c>
      <c r="O87" s="563">
        <f t="shared" ref="O87:X87" si="71">O86/O82*O83</f>
        <v>74.357250212435119</v>
      </c>
      <c r="P87" s="563">
        <f t="shared" si="71"/>
        <v>95.32023706014698</v>
      </c>
      <c r="Q87" s="563">
        <f t="shared" si="71"/>
        <v>122.19316296991209</v>
      </c>
      <c r="R87" s="563">
        <f t="shared" si="71"/>
        <v>156.64217313234278</v>
      </c>
      <c r="S87" s="563">
        <f t="shared" si="71"/>
        <v>200.80313666702116</v>
      </c>
      <c r="T87" s="563">
        <f t="shared" si="71"/>
        <v>257.41407239829005</v>
      </c>
      <c r="U87" s="563">
        <f t="shared" si="71"/>
        <v>329.98490844567897</v>
      </c>
      <c r="V87" s="563">
        <f t="shared" si="71"/>
        <v>423.01510087381871</v>
      </c>
      <c r="W87" s="563">
        <f t="shared" si="71"/>
        <v>542.27260395074632</v>
      </c>
      <c r="X87" s="563">
        <f t="shared" si="71"/>
        <v>695.15148841752068</v>
      </c>
      <c r="Y87" s="491"/>
      <c r="Z87" s="491"/>
    </row>
    <row r="88" spans="2:29">
      <c r="D88" s="551"/>
      <c r="F88" s="562"/>
      <c r="G88" s="562"/>
      <c r="H88" s="562"/>
      <c r="I88" s="562"/>
      <c r="J88" s="562"/>
      <c r="K88" s="562"/>
      <c r="L88" s="562"/>
      <c r="M88" s="562"/>
      <c r="N88" s="562"/>
      <c r="O88" s="562"/>
      <c r="P88" s="562"/>
      <c r="Q88" s="562"/>
      <c r="R88" s="562"/>
      <c r="S88" s="562"/>
      <c r="T88" s="562"/>
      <c r="U88" s="562"/>
      <c r="V88" s="562"/>
      <c r="W88" s="562"/>
      <c r="X88" s="562"/>
      <c r="Y88" s="491"/>
      <c r="Z88" s="491"/>
    </row>
    <row r="89" spans="2:29">
      <c r="D89" s="551" t="str">
        <f>D85</f>
        <v>Low Scenario</v>
      </c>
      <c r="E89" s="551"/>
      <c r="F89" s="563">
        <f>F90</f>
        <v>11136</v>
      </c>
      <c r="G89" s="563">
        <f t="shared" ref="G89:N89" si="72">G90</f>
        <v>22272</v>
      </c>
      <c r="H89" s="563">
        <f t="shared" si="72"/>
        <v>20188</v>
      </c>
      <c r="I89" s="563">
        <f t="shared" si="72"/>
        <v>19020</v>
      </c>
      <c r="J89" s="563">
        <f t="shared" si="72"/>
        <v>27196</v>
      </c>
      <c r="K89" s="563">
        <f t="shared" si="72"/>
        <v>70200</v>
      </c>
      <c r="L89" s="563">
        <f t="shared" si="72"/>
        <v>103236</v>
      </c>
      <c r="M89" s="563">
        <f t="shared" si="72"/>
        <v>115408</v>
      </c>
      <c r="N89" s="563">
        <f>N90/N86*N85</f>
        <v>115822.84489642853</v>
      </c>
      <c r="O89" s="563">
        <f>O90/O86*O85</f>
        <v>114433.83065445632</v>
      </c>
      <c r="P89" s="563">
        <f t="shared" ref="P89:R89" si="73">P90/P86*P85</f>
        <v>124518.6357481734</v>
      </c>
      <c r="Q89" s="563">
        <f t="shared" si="73"/>
        <v>157400.4399624342</v>
      </c>
      <c r="R89" s="563">
        <f t="shared" si="73"/>
        <v>198965.38659861838</v>
      </c>
      <c r="S89" s="563">
        <f t="shared" ref="S89" si="74">S90/S86*S85</f>
        <v>251506.44479637855</v>
      </c>
      <c r="T89" s="563">
        <f t="shared" ref="T89:U89" si="75">T90/T86*T85</f>
        <v>317922.09115106991</v>
      </c>
      <c r="U89" s="563">
        <f t="shared" si="75"/>
        <v>401876.20688487659</v>
      </c>
      <c r="V89" s="563">
        <f t="shared" ref="V89" si="76">V90/V86*V85</f>
        <v>508000.19927974301</v>
      </c>
      <c r="W89" s="563">
        <f t="shared" ref="W89:X89" si="77">W90/W86*W85</f>
        <v>642148.49758991785</v>
      </c>
      <c r="X89" s="563">
        <f t="shared" si="77"/>
        <v>811721.51810498699</v>
      </c>
      <c r="Y89" s="491"/>
      <c r="Z89" s="491"/>
    </row>
    <row r="90" spans="2:29">
      <c r="D90" s="551" t="str">
        <f t="shared" ref="D90:D91" si="78">D86</f>
        <v>Reference Scenario</v>
      </c>
      <c r="F90" s="563">
        <f>F98+F108</f>
        <v>11136</v>
      </c>
      <c r="G90" s="563">
        <f t="shared" ref="G90:X90" si="79">G98+G108</f>
        <v>22272</v>
      </c>
      <c r="H90" s="563">
        <f t="shared" si="79"/>
        <v>20188</v>
      </c>
      <c r="I90" s="563">
        <f t="shared" si="79"/>
        <v>19020</v>
      </c>
      <c r="J90" s="563">
        <f t="shared" si="79"/>
        <v>27196</v>
      </c>
      <c r="K90" s="563">
        <f t="shared" si="79"/>
        <v>70200</v>
      </c>
      <c r="L90" s="563">
        <f t="shared" si="79"/>
        <v>103236</v>
      </c>
      <c r="M90" s="563">
        <f t="shared" si="79"/>
        <v>115408</v>
      </c>
      <c r="N90" s="563">
        <f t="shared" si="79"/>
        <v>122484</v>
      </c>
      <c r="O90" s="563">
        <f t="shared" si="79"/>
        <v>127352.68257544331</v>
      </c>
      <c r="P90" s="563">
        <f>P98+P108</f>
        <v>152875.35561298041</v>
      </c>
      <c r="Q90" s="563">
        <f>P90/P86*Q86</f>
        <v>198144.75691055678</v>
      </c>
      <c r="R90" s="563">
        <f t="shared" ref="R90:X90" si="80">Q90/Q86*R86</f>
        <v>256819.31880857074</v>
      </c>
      <c r="S90" s="563">
        <f t="shared" si="80"/>
        <v>332868.57316679409</v>
      </c>
      <c r="T90" s="563">
        <f t="shared" si="80"/>
        <v>431437.50834681978</v>
      </c>
      <c r="U90" s="563">
        <f t="shared" si="80"/>
        <v>559194.64501457126</v>
      </c>
      <c r="V90" s="563">
        <f t="shared" si="80"/>
        <v>724783.18403786828</v>
      </c>
      <c r="W90" s="563">
        <f t="shared" si="80"/>
        <v>939405.74815479841</v>
      </c>
      <c r="X90" s="563">
        <f t="shared" si="80"/>
        <v>1217582.2771574804</v>
      </c>
      <c r="Y90" s="491"/>
      <c r="Z90" s="491"/>
    </row>
    <row r="91" spans="2:29">
      <c r="D91" s="551" t="str">
        <f t="shared" si="78"/>
        <v>High Scenario</v>
      </c>
      <c r="F91" s="563">
        <f>F90</f>
        <v>11136</v>
      </c>
      <c r="G91" s="563">
        <f t="shared" ref="G91:N91" si="81">G90</f>
        <v>22272</v>
      </c>
      <c r="H91" s="563">
        <f t="shared" si="81"/>
        <v>20188</v>
      </c>
      <c r="I91" s="563">
        <f t="shared" si="81"/>
        <v>19020</v>
      </c>
      <c r="J91" s="563">
        <f t="shared" si="81"/>
        <v>27196</v>
      </c>
      <c r="K91" s="563">
        <f t="shared" si="81"/>
        <v>70200</v>
      </c>
      <c r="L91" s="563">
        <f t="shared" si="81"/>
        <v>103236</v>
      </c>
      <c r="M91" s="563">
        <f t="shared" si="81"/>
        <v>115408</v>
      </c>
      <c r="N91" s="563">
        <f>N90/N86*N87</f>
        <v>152028.65298567235</v>
      </c>
      <c r="O91" s="563">
        <f>O90/O86*O87</f>
        <v>171211.82491111208</v>
      </c>
      <c r="P91" s="563">
        <f t="shared" ref="P91:X91" si="82">P90/P86*P87</f>
        <v>222608.99623110011</v>
      </c>
      <c r="Q91" s="563">
        <f t="shared" si="82"/>
        <v>285367.49586419272</v>
      </c>
      <c r="R91" s="563">
        <f t="shared" si="82"/>
        <v>365819.03280880547</v>
      </c>
      <c r="S91" s="563">
        <f t="shared" si="82"/>
        <v>468951.67356010631</v>
      </c>
      <c r="T91" s="563">
        <f t="shared" si="82"/>
        <v>601159.73312346195</v>
      </c>
      <c r="U91" s="563">
        <f t="shared" si="82"/>
        <v>770640.2282041366</v>
      </c>
      <c r="V91" s="563">
        <f t="shared" si="82"/>
        <v>987901.09949788603</v>
      </c>
      <c r="W91" s="563">
        <f t="shared" si="82"/>
        <v>1266412.7133142739</v>
      </c>
      <c r="X91" s="563">
        <f t="shared" si="82"/>
        <v>1623443.036209974</v>
      </c>
      <c r="Y91" s="491"/>
      <c r="Z91" s="491"/>
    </row>
    <row r="92" spans="2:29">
      <c r="D92" s="551"/>
      <c r="F92" s="562"/>
      <c r="G92" s="562"/>
      <c r="H92" s="562"/>
      <c r="I92" s="562"/>
      <c r="J92" s="562"/>
      <c r="K92" s="562"/>
      <c r="L92" s="562"/>
      <c r="M92" s="562"/>
      <c r="N92" s="562"/>
      <c r="O92" s="562"/>
      <c r="P92" s="562"/>
      <c r="Q92" s="562"/>
      <c r="R92" s="562"/>
      <c r="S92" s="562"/>
      <c r="T92" s="562"/>
      <c r="U92" s="562"/>
      <c r="V92" s="562"/>
      <c r="W92" s="562"/>
      <c r="X92" s="562"/>
      <c r="Y92" s="491"/>
      <c r="Z92" s="491"/>
    </row>
    <row r="93" spans="2:29">
      <c r="F93" s="562"/>
      <c r="O93" s="562"/>
      <c r="P93" s="562"/>
      <c r="Q93" s="562"/>
      <c r="R93" s="562"/>
      <c r="S93" s="562"/>
      <c r="T93" s="562"/>
      <c r="U93" s="562"/>
      <c r="V93" s="562"/>
      <c r="W93" s="562"/>
      <c r="X93" s="562"/>
      <c r="Y93" s="491"/>
      <c r="Z93" s="491"/>
    </row>
    <row r="94" spans="2:29" ht="14.45" customHeight="1">
      <c r="B94" s="590" t="str">
        <f>B9</f>
        <v>Battery EVs</v>
      </c>
      <c r="C94" s="453" t="s">
        <v>314</v>
      </c>
      <c r="F94" s="453">
        <f t="shared" ref="F94:P94" si="83">F9</f>
        <v>2017</v>
      </c>
      <c r="G94" s="453">
        <f t="shared" si="83"/>
        <v>2018</v>
      </c>
      <c r="H94" s="453">
        <f t="shared" si="83"/>
        <v>2019</v>
      </c>
      <c r="I94" s="453">
        <f t="shared" si="83"/>
        <v>2020</v>
      </c>
      <c r="J94" s="453">
        <f t="shared" si="83"/>
        <v>2021</v>
      </c>
      <c r="K94" s="453">
        <f t="shared" si="83"/>
        <v>2022</v>
      </c>
      <c r="L94" s="453">
        <f t="shared" si="83"/>
        <v>2023</v>
      </c>
      <c r="M94" s="453">
        <f t="shared" si="83"/>
        <v>2024</v>
      </c>
      <c r="N94" s="453">
        <f t="shared" si="83"/>
        <v>2025</v>
      </c>
      <c r="O94" s="453">
        <f t="shared" si="83"/>
        <v>2026</v>
      </c>
      <c r="P94" s="453">
        <f t="shared" si="83"/>
        <v>2027</v>
      </c>
      <c r="X94" s="490" t="s">
        <v>315</v>
      </c>
      <c r="Y94" s="491" t="s">
        <v>286</v>
      </c>
      <c r="Z94" s="491" t="s">
        <v>316</v>
      </c>
      <c r="AB94" s="453" t="s">
        <v>317</v>
      </c>
    </row>
    <row r="95" spans="2:29">
      <c r="B95" s="590"/>
      <c r="C95" s="591" t="s">
        <v>318</v>
      </c>
      <c r="D95" s="453" t="s">
        <v>18</v>
      </c>
      <c r="F95" s="458">
        <f>F$18*$X95+F$23*$Y95+F$28*$Z95</f>
        <v>3723</v>
      </c>
      <c r="G95" s="458">
        <f>(G$18-F$18)*$X95+(G$23-F$23)*$Y95+(G$28-F$28)*$Z95</f>
        <v>7446</v>
      </c>
      <c r="H95" s="458">
        <f t="shared" ref="H95:P95" si="84">(H$18-G$18)*$X95+(H$23-G$23)*$Y95+(H$28-G$28)*$Z95</f>
        <v>6205</v>
      </c>
      <c r="I95" s="458">
        <f t="shared" si="84"/>
        <v>7446</v>
      </c>
      <c r="J95" s="458">
        <f t="shared" si="84"/>
        <v>17374</v>
      </c>
      <c r="K95" s="458">
        <f t="shared" si="84"/>
        <v>50199</v>
      </c>
      <c r="L95" s="458">
        <f t="shared" si="84"/>
        <v>68814</v>
      </c>
      <c r="M95" s="458">
        <f t="shared" si="84"/>
        <v>69250</v>
      </c>
      <c r="N95" s="458">
        <f>(N$18-M$18)*$X95+(N$23-M$23)*$Y95+(N$28-M$28)*$Z95</f>
        <v>68322</v>
      </c>
      <c r="O95" s="458">
        <f t="shared" si="84"/>
        <v>69615.617337858886</v>
      </c>
      <c r="P95" s="458">
        <f t="shared" si="84"/>
        <v>86290.404204244551</v>
      </c>
      <c r="Q95" s="458"/>
      <c r="R95" s="458"/>
      <c r="S95" s="458"/>
      <c r="T95" s="458"/>
      <c r="V95" s="458"/>
      <c r="W95" s="491" t="str">
        <f>D95</f>
        <v>Residential</v>
      </c>
      <c r="X95" s="493">
        <v>0.85</v>
      </c>
      <c r="Y95" s="493">
        <v>0.65</v>
      </c>
      <c r="Z95" s="493">
        <v>0.6</v>
      </c>
      <c r="AB95" s="494">
        <f>'Customer Count'!C13</f>
        <v>10391.75</v>
      </c>
      <c r="AC95" s="495">
        <f>AB95/$AB$98</f>
        <v>0.88071275716676911</v>
      </c>
    </row>
    <row r="96" spans="2:29">
      <c r="B96" s="590"/>
      <c r="C96" s="591"/>
      <c r="D96" s="453" t="s">
        <v>182</v>
      </c>
      <c r="F96" s="458">
        <f>F$18*$X96+F$23*$Y96+F$28*$Z96</f>
        <v>438</v>
      </c>
      <c r="G96" s="458">
        <f t="shared" ref="G96:P97" si="85">(G$18-F$18)*$X96+(G$23-F$23)*$Y96+(G$28-F$28)*$Z96</f>
        <v>876</v>
      </c>
      <c r="H96" s="458">
        <f t="shared" si="85"/>
        <v>730</v>
      </c>
      <c r="I96" s="458">
        <f t="shared" si="85"/>
        <v>876</v>
      </c>
      <c r="J96" s="458">
        <f t="shared" si="85"/>
        <v>2044</v>
      </c>
      <c r="K96" s="458">
        <f t="shared" si="85"/>
        <v>6444</v>
      </c>
      <c r="L96" s="458">
        <f t="shared" si="85"/>
        <v>8634</v>
      </c>
      <c r="M96" s="458">
        <f t="shared" si="85"/>
        <v>10300</v>
      </c>
      <c r="N96" s="458">
        <f t="shared" si="85"/>
        <v>12882</v>
      </c>
      <c r="O96" s="458">
        <f t="shared" si="85"/>
        <v>11655.213855634629</v>
      </c>
      <c r="P96" s="458">
        <f t="shared" si="85"/>
        <v>11841.793747182914</v>
      </c>
      <c r="Q96" s="458"/>
      <c r="R96" s="458"/>
      <c r="S96" s="458"/>
      <c r="T96" s="458"/>
      <c r="V96" s="458"/>
      <c r="W96" s="491" t="str">
        <f>D96</f>
        <v>GS&lt;50</v>
      </c>
      <c r="X96" s="493">
        <v>0.1</v>
      </c>
      <c r="Y96" s="493">
        <v>0.2</v>
      </c>
      <c r="Z96" s="493">
        <v>0.25</v>
      </c>
      <c r="AB96" s="494">
        <f>'Customer Count'!G13</f>
        <v>1271.75</v>
      </c>
      <c r="AC96" s="495">
        <f>AB96/$AB$98</f>
        <v>0.10778227429709515</v>
      </c>
    </row>
    <row r="97" spans="2:29">
      <c r="B97" s="590"/>
      <c r="C97" s="591"/>
      <c r="D97" s="453" t="s">
        <v>20</v>
      </c>
      <c r="F97" s="458">
        <f>F$18*$X97+F$23*$Y97+F$28*$Z97</f>
        <v>219</v>
      </c>
      <c r="G97" s="458">
        <f t="shared" si="85"/>
        <v>438</v>
      </c>
      <c r="H97" s="458">
        <f t="shared" si="85"/>
        <v>365</v>
      </c>
      <c r="I97" s="458">
        <f t="shared" si="85"/>
        <v>438</v>
      </c>
      <c r="J97" s="458">
        <f t="shared" si="85"/>
        <v>1022</v>
      </c>
      <c r="K97" s="458">
        <f t="shared" si="85"/>
        <v>3297</v>
      </c>
      <c r="L97" s="458">
        <f t="shared" si="85"/>
        <v>4392</v>
      </c>
      <c r="M97" s="458">
        <f t="shared" si="85"/>
        <v>5450</v>
      </c>
      <c r="N97" s="458">
        <f t="shared" si="85"/>
        <v>7116</v>
      </c>
      <c r="O97" s="458">
        <f t="shared" si="85"/>
        <v>6310.4544759326509</v>
      </c>
      <c r="P97" s="458">
        <f t="shared" si="85"/>
        <v>6156.3860973096571</v>
      </c>
      <c r="Q97" s="458"/>
      <c r="R97" s="458"/>
      <c r="S97" s="458"/>
      <c r="T97" s="458"/>
      <c r="V97" s="458"/>
      <c r="W97" s="491" t="str">
        <f>D97</f>
        <v>GS &gt; 50</v>
      </c>
      <c r="X97" s="493">
        <v>0.05</v>
      </c>
      <c r="Y97" s="493">
        <v>0.15</v>
      </c>
      <c r="Z97" s="493">
        <v>0.15</v>
      </c>
      <c r="AB97" s="494">
        <f>'Customer Count'!K13</f>
        <v>135.75</v>
      </c>
      <c r="AC97" s="495">
        <f>AB97/$AB$98</f>
        <v>1.1504968536135772E-2</v>
      </c>
    </row>
    <row r="98" spans="2:29">
      <c r="B98" s="590"/>
      <c r="F98" s="496">
        <f>SUM(F95:F97)</f>
        <v>4380</v>
      </c>
      <c r="G98" s="496">
        <f t="shared" ref="F98:P98" si="86">SUM(G95:G97)</f>
        <v>8760</v>
      </c>
      <c r="H98" s="496">
        <f t="shared" si="86"/>
        <v>7300</v>
      </c>
      <c r="I98" s="496">
        <f t="shared" si="86"/>
        <v>8760</v>
      </c>
      <c r="J98" s="496">
        <f t="shared" si="86"/>
        <v>20440</v>
      </c>
      <c r="K98" s="496">
        <f t="shared" si="86"/>
        <v>59940</v>
      </c>
      <c r="L98" s="496">
        <f t="shared" si="86"/>
        <v>81840</v>
      </c>
      <c r="M98" s="496">
        <f t="shared" si="86"/>
        <v>85000</v>
      </c>
      <c r="N98" s="496">
        <f t="shared" si="86"/>
        <v>88320</v>
      </c>
      <c r="O98" s="496">
        <f t="shared" si="86"/>
        <v>87581.285669426172</v>
      </c>
      <c r="P98" s="496">
        <f t="shared" si="86"/>
        <v>104288.58404873712</v>
      </c>
      <c r="Q98" s="496"/>
      <c r="R98" s="496"/>
      <c r="S98" s="496"/>
      <c r="T98" s="496"/>
      <c r="W98" s="491"/>
      <c r="X98" s="493">
        <f>SUM(X95:X97)</f>
        <v>1</v>
      </c>
      <c r="Y98" s="493">
        <f>SUM(Y95:Y97)</f>
        <v>1</v>
      </c>
      <c r="Z98" s="493">
        <f>SUM(Z95:Z97)</f>
        <v>1</v>
      </c>
      <c r="AB98" s="494">
        <f>SUM(AB95:AB97)</f>
        <v>11799.25</v>
      </c>
    </row>
    <row r="99" spans="2:29">
      <c r="B99" s="590"/>
    </row>
    <row r="100" spans="2:29">
      <c r="B100" s="590"/>
      <c r="C100" s="453" t="s">
        <v>319</v>
      </c>
    </row>
    <row r="101" spans="2:29">
      <c r="B101" s="590"/>
      <c r="D101" s="453" t="s">
        <v>320</v>
      </c>
      <c r="F101" s="497">
        <v>0.15</v>
      </c>
      <c r="G101" s="497">
        <f>F101</f>
        <v>0.15</v>
      </c>
      <c r="H101" s="497">
        <f t="shared" ref="H101:P101" si="87">G101</f>
        <v>0.15</v>
      </c>
      <c r="I101" s="497">
        <f t="shared" si="87"/>
        <v>0.15</v>
      </c>
      <c r="J101" s="497">
        <f t="shared" si="87"/>
        <v>0.15</v>
      </c>
      <c r="K101" s="497">
        <f t="shared" si="87"/>
        <v>0.15</v>
      </c>
      <c r="L101" s="497">
        <f t="shared" si="87"/>
        <v>0.15</v>
      </c>
      <c r="M101" s="497">
        <f t="shared" si="87"/>
        <v>0.15</v>
      </c>
      <c r="N101" s="497">
        <f t="shared" si="87"/>
        <v>0.15</v>
      </c>
      <c r="O101" s="497">
        <f t="shared" si="87"/>
        <v>0.15</v>
      </c>
      <c r="P101" s="497">
        <f t="shared" si="87"/>
        <v>0.15</v>
      </c>
      <c r="Q101" s="497"/>
      <c r="R101" s="497"/>
      <c r="S101" s="497"/>
      <c r="T101" s="497"/>
    </row>
    <row r="102" spans="2:29">
      <c r="B102" s="590"/>
      <c r="D102" s="453" t="str">
        <f>D97</f>
        <v>GS &gt; 50</v>
      </c>
      <c r="F102" s="498">
        <f t="shared" ref="F102:P102" si="88">((F97/$F$101)/8760)*12</f>
        <v>2</v>
      </c>
      <c r="G102" s="498">
        <f t="shared" si="88"/>
        <v>4</v>
      </c>
      <c r="H102" s="498">
        <f t="shared" si="88"/>
        <v>3.3333333333333335</v>
      </c>
      <c r="I102" s="498">
        <f t="shared" si="88"/>
        <v>4</v>
      </c>
      <c r="J102" s="498">
        <f t="shared" si="88"/>
        <v>9.3333333333333357</v>
      </c>
      <c r="K102" s="498">
        <f t="shared" si="88"/>
        <v>30.109589041095887</v>
      </c>
      <c r="L102" s="498">
        <f t="shared" si="88"/>
        <v>40.109589041095887</v>
      </c>
      <c r="M102" s="498">
        <f t="shared" si="88"/>
        <v>49.771689497716892</v>
      </c>
      <c r="N102" s="498">
        <f t="shared" si="88"/>
        <v>64.986301369863014</v>
      </c>
      <c r="O102" s="498">
        <f t="shared" si="88"/>
        <v>57.62972124139408</v>
      </c>
      <c r="P102" s="498">
        <f t="shared" si="88"/>
        <v>56.222704085019693</v>
      </c>
      <c r="Q102" s="498"/>
      <c r="R102" s="498"/>
      <c r="S102" s="498"/>
      <c r="T102" s="498"/>
    </row>
    <row r="103" spans="2:29">
      <c r="F103" s="498"/>
      <c r="G103" s="498"/>
      <c r="H103" s="498"/>
      <c r="I103" s="498"/>
      <c r="J103" s="498"/>
      <c r="K103" s="498"/>
      <c r="L103" s="498"/>
      <c r="M103" s="498"/>
      <c r="N103" s="498"/>
      <c r="O103" s="498"/>
      <c r="P103" s="498"/>
      <c r="Q103" s="498"/>
      <c r="R103" s="498"/>
      <c r="S103" s="498"/>
      <c r="T103" s="498"/>
    </row>
    <row r="104" spans="2:29" ht="14.45" customHeight="1">
      <c r="B104" s="590" t="str">
        <f>B41</f>
        <v>Plug-in hybrid EVs</v>
      </c>
      <c r="C104" s="453" t="s">
        <v>314</v>
      </c>
      <c r="K104" s="498"/>
      <c r="L104" s="498"/>
      <c r="M104" s="498"/>
      <c r="N104" s="498"/>
      <c r="O104" s="498"/>
      <c r="P104" s="498"/>
      <c r="Q104" s="498"/>
      <c r="R104" s="498"/>
      <c r="S104" s="498"/>
      <c r="T104" s="498"/>
      <c r="X104" s="490" t="s">
        <v>315</v>
      </c>
      <c r="Y104" s="491" t="s">
        <v>286</v>
      </c>
      <c r="Z104" s="491" t="s">
        <v>316</v>
      </c>
    </row>
    <row r="105" spans="2:29">
      <c r="B105" s="590"/>
      <c r="C105" s="591" t="s">
        <v>318</v>
      </c>
      <c r="D105" s="453" t="s">
        <v>18</v>
      </c>
      <c r="F105" s="458">
        <f>F$50*$X95+F$55*$Y95+F$60*$Z95</f>
        <v>5442.5999999999995</v>
      </c>
      <c r="G105" s="458">
        <f t="shared" ref="G105:P105" si="89">(G$50-F$50)*$X95+(G$55-F$55)*$Y95+(G$60-F$60)*$Z95</f>
        <v>10885.199999999999</v>
      </c>
      <c r="H105" s="458">
        <f t="shared" si="89"/>
        <v>10654.8</v>
      </c>
      <c r="I105" s="458">
        <f t="shared" si="89"/>
        <v>8421</v>
      </c>
      <c r="J105" s="458">
        <f t="shared" si="89"/>
        <v>5442.5999999999995</v>
      </c>
      <c r="K105" s="458">
        <f t="shared" si="89"/>
        <v>8421</v>
      </c>
      <c r="L105" s="458">
        <f t="shared" si="89"/>
        <v>17586.599999999999</v>
      </c>
      <c r="M105" s="458">
        <f t="shared" si="89"/>
        <v>25546.799999999999</v>
      </c>
      <c r="N105" s="458">
        <f t="shared" si="89"/>
        <v>29039.399999999998</v>
      </c>
      <c r="O105" s="458">
        <f t="shared" si="89"/>
        <v>33263.093377218502</v>
      </c>
      <c r="P105" s="458">
        <f t="shared" si="89"/>
        <v>40113.981206408054</v>
      </c>
      <c r="Q105" s="458"/>
      <c r="R105" s="458"/>
      <c r="S105" s="458"/>
      <c r="T105" s="458"/>
      <c r="W105" s="491" t="str">
        <f>D105</f>
        <v>Residential</v>
      </c>
      <c r="X105" s="493">
        <f t="shared" ref="X105:Z107" si="90">X95</f>
        <v>0.85</v>
      </c>
      <c r="Y105" s="493">
        <f t="shared" si="90"/>
        <v>0.65</v>
      </c>
      <c r="Z105" s="493">
        <f t="shared" si="90"/>
        <v>0.6</v>
      </c>
    </row>
    <row r="106" spans="2:29">
      <c r="B106" s="590"/>
      <c r="C106" s="591"/>
      <c r="D106" s="453" t="s">
        <v>182</v>
      </c>
      <c r="F106" s="458">
        <f>F$50*$X96+F$55*$Y96+F$60*$Z96</f>
        <v>825.6</v>
      </c>
      <c r="G106" s="458">
        <f t="shared" ref="G106:P106" si="91">(G$50-F$50)*$X96+(G$55-F$55)*$Y96+(G$60-F$60)*$Z96</f>
        <v>1651.2</v>
      </c>
      <c r="H106" s="458">
        <f t="shared" si="91"/>
        <v>1438.8</v>
      </c>
      <c r="I106" s="458">
        <f t="shared" si="91"/>
        <v>1176</v>
      </c>
      <c r="J106" s="458">
        <f t="shared" si="91"/>
        <v>825.6</v>
      </c>
      <c r="K106" s="458">
        <f t="shared" si="91"/>
        <v>1176</v>
      </c>
      <c r="L106" s="458">
        <f t="shared" si="91"/>
        <v>2439.6000000000004</v>
      </c>
      <c r="M106" s="458">
        <f t="shared" si="91"/>
        <v>3190.8</v>
      </c>
      <c r="N106" s="458">
        <f t="shared" si="91"/>
        <v>3416.4</v>
      </c>
      <c r="O106" s="458">
        <f t="shared" si="91"/>
        <v>4248.4366870497479</v>
      </c>
      <c r="P106" s="458">
        <f t="shared" si="91"/>
        <v>5451.0644680236937</v>
      </c>
      <c r="Q106" s="458"/>
      <c r="R106" s="458"/>
      <c r="S106" s="458"/>
      <c r="T106" s="458"/>
      <c r="W106" s="491" t="str">
        <f>D106</f>
        <v>GS&lt;50</v>
      </c>
      <c r="X106" s="493">
        <f t="shared" si="90"/>
        <v>0.1</v>
      </c>
      <c r="Y106" s="493">
        <f t="shared" si="90"/>
        <v>0.2</v>
      </c>
      <c r="Z106" s="493">
        <f t="shared" si="90"/>
        <v>0.25</v>
      </c>
    </row>
    <row r="107" spans="2:29">
      <c r="B107" s="590"/>
      <c r="C107" s="591"/>
      <c r="D107" s="453" t="str">
        <f>D102</f>
        <v>GS &gt; 50</v>
      </c>
      <c r="F107" s="458">
        <f>F$50*$X97+F$55*$Y97+F$60*$Z97</f>
        <v>487.8</v>
      </c>
      <c r="G107" s="458">
        <f t="shared" ref="G107:P107" si="92">(G$50-F$50)*$X97+(G$55-F$55)*$Y97+(G$60-F$60)*$Z97</f>
        <v>975.6</v>
      </c>
      <c r="H107" s="458">
        <f t="shared" si="92"/>
        <v>794.4</v>
      </c>
      <c r="I107" s="458">
        <f t="shared" si="92"/>
        <v>663</v>
      </c>
      <c r="J107" s="458">
        <f t="shared" si="92"/>
        <v>487.8</v>
      </c>
      <c r="K107" s="458">
        <f t="shared" si="92"/>
        <v>663</v>
      </c>
      <c r="L107" s="458">
        <f t="shared" si="92"/>
        <v>1369.8000000000002</v>
      </c>
      <c r="M107" s="458">
        <f t="shared" si="92"/>
        <v>1670.4</v>
      </c>
      <c r="N107" s="458">
        <f t="shared" si="92"/>
        <v>1708.2</v>
      </c>
      <c r="O107" s="458">
        <f t="shared" si="92"/>
        <v>2259.8668417488907</v>
      </c>
      <c r="P107" s="458">
        <f t="shared" si="92"/>
        <v>3021.7258898115301</v>
      </c>
      <c r="Q107" s="458"/>
      <c r="R107" s="458"/>
      <c r="S107" s="458"/>
      <c r="T107" s="458"/>
      <c r="W107" s="491" t="str">
        <f>D107</f>
        <v>GS &gt; 50</v>
      </c>
      <c r="X107" s="493">
        <f t="shared" si="90"/>
        <v>0.05</v>
      </c>
      <c r="Y107" s="493">
        <f t="shared" si="90"/>
        <v>0.15</v>
      </c>
      <c r="Z107" s="493">
        <f t="shared" si="90"/>
        <v>0.15</v>
      </c>
    </row>
    <row r="108" spans="2:29">
      <c r="B108" s="590"/>
      <c r="F108" s="496">
        <f t="shared" ref="F108:P108" si="93">SUM(F105:F107)</f>
        <v>6756</v>
      </c>
      <c r="G108" s="496">
        <f t="shared" si="93"/>
        <v>13512</v>
      </c>
      <c r="H108" s="496">
        <f t="shared" si="93"/>
        <v>12887.999999999998</v>
      </c>
      <c r="I108" s="496">
        <f t="shared" si="93"/>
        <v>10260</v>
      </c>
      <c r="J108" s="496">
        <f t="shared" si="93"/>
        <v>6756</v>
      </c>
      <c r="K108" s="496">
        <f t="shared" si="93"/>
        <v>10260</v>
      </c>
      <c r="L108" s="496">
        <f t="shared" si="93"/>
        <v>21395.999999999996</v>
      </c>
      <c r="M108" s="496">
        <f t="shared" si="93"/>
        <v>30408</v>
      </c>
      <c r="N108" s="496">
        <f t="shared" si="93"/>
        <v>34164</v>
      </c>
      <c r="O108" s="496">
        <f t="shared" si="93"/>
        <v>39771.396906017137</v>
      </c>
      <c r="P108" s="496">
        <f t="shared" si="93"/>
        <v>48586.771564243281</v>
      </c>
      <c r="Q108" s="496"/>
      <c r="R108" s="496"/>
      <c r="S108" s="496"/>
      <c r="T108" s="496"/>
      <c r="W108" s="491"/>
      <c r="X108" s="493">
        <f>SUM(X105:X107)</f>
        <v>1</v>
      </c>
      <c r="Y108" s="493">
        <f>SUM(Y105:Y107)</f>
        <v>1</v>
      </c>
      <c r="Z108" s="493">
        <f>SUM(Z105:Z107)</f>
        <v>1</v>
      </c>
    </row>
    <row r="109" spans="2:29">
      <c r="B109" s="590"/>
      <c r="K109" s="498"/>
      <c r="L109" s="498"/>
      <c r="M109" s="498"/>
      <c r="N109" s="498"/>
      <c r="O109" s="498"/>
      <c r="P109" s="498"/>
      <c r="Q109" s="498"/>
      <c r="R109" s="498"/>
      <c r="S109" s="498"/>
      <c r="T109" s="498"/>
    </row>
    <row r="110" spans="2:29">
      <c r="B110" s="590"/>
      <c r="C110" s="453" t="s">
        <v>319</v>
      </c>
      <c r="K110" s="498"/>
      <c r="L110" s="498"/>
      <c r="M110" s="498"/>
      <c r="N110" s="498"/>
      <c r="O110" s="498"/>
      <c r="P110" s="498"/>
      <c r="Q110" s="498"/>
      <c r="R110" s="498"/>
      <c r="S110" s="498"/>
      <c r="T110" s="498"/>
    </row>
    <row r="111" spans="2:29">
      <c r="B111" s="590"/>
      <c r="D111" s="453" t="s">
        <v>320</v>
      </c>
      <c r="F111" s="497">
        <v>0.15</v>
      </c>
      <c r="G111" s="497">
        <f>F111</f>
        <v>0.15</v>
      </c>
      <c r="H111" s="497">
        <f t="shared" ref="H111:P111" si="94">G111</f>
        <v>0.15</v>
      </c>
      <c r="I111" s="497">
        <f t="shared" si="94"/>
        <v>0.15</v>
      </c>
      <c r="J111" s="497">
        <f t="shared" si="94"/>
        <v>0.15</v>
      </c>
      <c r="K111" s="497">
        <f t="shared" si="94"/>
        <v>0.15</v>
      </c>
      <c r="L111" s="497">
        <f t="shared" si="94"/>
        <v>0.15</v>
      </c>
      <c r="M111" s="497">
        <f t="shared" si="94"/>
        <v>0.15</v>
      </c>
      <c r="N111" s="497">
        <f t="shared" si="94"/>
        <v>0.15</v>
      </c>
      <c r="O111" s="497">
        <f t="shared" si="94"/>
        <v>0.15</v>
      </c>
      <c r="P111" s="497">
        <f t="shared" si="94"/>
        <v>0.15</v>
      </c>
      <c r="Q111" s="497"/>
      <c r="R111" s="497"/>
      <c r="S111" s="497"/>
      <c r="T111" s="497"/>
    </row>
    <row r="112" spans="2:29">
      <c r="B112" s="590"/>
      <c r="D112" s="453" t="str">
        <f>D107</f>
        <v>GS &gt; 50</v>
      </c>
      <c r="F112" s="498">
        <f t="shared" ref="F112:P112" si="95">((F107/F$111)/8760)*12</f>
        <v>4.4547945205479449</v>
      </c>
      <c r="G112" s="498">
        <f t="shared" si="95"/>
        <v>8.9095890410958898</v>
      </c>
      <c r="H112" s="498">
        <f t="shared" si="95"/>
        <v>7.2547945205479456</v>
      </c>
      <c r="I112" s="498">
        <f t="shared" si="95"/>
        <v>6.0547945205479454</v>
      </c>
      <c r="J112" s="498">
        <f t="shared" si="95"/>
        <v>4.4547945205479449</v>
      </c>
      <c r="K112" s="498">
        <f t="shared" si="95"/>
        <v>6.0547945205479454</v>
      </c>
      <c r="L112" s="498">
        <f t="shared" si="95"/>
        <v>12.509589041095893</v>
      </c>
      <c r="M112" s="498">
        <f t="shared" si="95"/>
        <v>15.254794520547946</v>
      </c>
      <c r="N112" s="498">
        <f t="shared" si="95"/>
        <v>15.600000000000001</v>
      </c>
      <c r="O112" s="498">
        <f t="shared" si="95"/>
        <v>20.63805334930494</v>
      </c>
      <c r="P112" s="498">
        <f t="shared" si="95"/>
        <v>27.59567022658932</v>
      </c>
      <c r="Q112" s="498"/>
      <c r="R112" s="498"/>
      <c r="S112" s="498"/>
      <c r="T112" s="498"/>
    </row>
    <row r="115" spans="2:21" ht="14.45" customHeight="1">
      <c r="B115" s="592" t="s">
        <v>4</v>
      </c>
      <c r="C115" s="453" t="s">
        <v>314</v>
      </c>
      <c r="F115" s="499">
        <f t="shared" ref="F115:P115" si="96">F94</f>
        <v>2017</v>
      </c>
      <c r="G115" s="499">
        <f t="shared" si="96"/>
        <v>2018</v>
      </c>
      <c r="H115" s="499">
        <f t="shared" si="96"/>
        <v>2019</v>
      </c>
      <c r="I115" s="499">
        <f t="shared" si="96"/>
        <v>2020</v>
      </c>
      <c r="J115" s="499">
        <f t="shared" si="96"/>
        <v>2021</v>
      </c>
      <c r="K115" s="499">
        <f t="shared" si="96"/>
        <v>2022</v>
      </c>
      <c r="L115" s="499">
        <f t="shared" si="96"/>
        <v>2023</v>
      </c>
      <c r="M115" s="499">
        <f t="shared" si="96"/>
        <v>2024</v>
      </c>
      <c r="N115" s="499">
        <f t="shared" si="96"/>
        <v>2025</v>
      </c>
      <c r="O115" s="499">
        <f t="shared" si="96"/>
        <v>2026</v>
      </c>
      <c r="P115" s="499">
        <f t="shared" si="96"/>
        <v>2027</v>
      </c>
      <c r="Q115" s="499"/>
      <c r="R115" s="499"/>
      <c r="S115" s="499"/>
      <c r="T115" s="499"/>
    </row>
    <row r="116" spans="2:21">
      <c r="B116" s="592"/>
      <c r="C116" s="591" t="s">
        <v>318</v>
      </c>
      <c r="D116" s="453" t="s">
        <v>18</v>
      </c>
      <c r="F116" s="458">
        <f>F95+F105</f>
        <v>9165.5999999999985</v>
      </c>
      <c r="G116" s="458">
        <f t="shared" ref="F116:P116" si="97">G95+G105</f>
        <v>18331.199999999997</v>
      </c>
      <c r="H116" s="458">
        <f t="shared" si="97"/>
        <v>16859.8</v>
      </c>
      <c r="I116" s="458">
        <f t="shared" si="97"/>
        <v>15867</v>
      </c>
      <c r="J116" s="458">
        <f t="shared" si="97"/>
        <v>22816.6</v>
      </c>
      <c r="K116" s="458">
        <f t="shared" si="97"/>
        <v>58620</v>
      </c>
      <c r="L116" s="458">
        <f t="shared" si="97"/>
        <v>86400.6</v>
      </c>
      <c r="M116" s="458">
        <f t="shared" si="97"/>
        <v>94796.800000000003</v>
      </c>
      <c r="N116" s="458">
        <f t="shared" si="97"/>
        <v>97361.4</v>
      </c>
      <c r="O116" s="458">
        <f t="shared" si="97"/>
        <v>102878.71071507738</v>
      </c>
      <c r="P116" s="458">
        <f t="shared" si="97"/>
        <v>126404.38541065261</v>
      </c>
      <c r="Q116" s="458"/>
      <c r="R116" s="458"/>
      <c r="S116" s="458"/>
      <c r="T116" s="458"/>
    </row>
    <row r="117" spans="2:21">
      <c r="B117" s="592"/>
      <c r="C117" s="591"/>
      <c r="D117" s="453" t="s">
        <v>182</v>
      </c>
      <c r="F117" s="458">
        <f t="shared" ref="F117:P117" si="98">F96+F106</f>
        <v>1263.5999999999999</v>
      </c>
      <c r="G117" s="458">
        <f t="shared" si="98"/>
        <v>2527.1999999999998</v>
      </c>
      <c r="H117" s="458">
        <f t="shared" si="98"/>
        <v>2168.8000000000002</v>
      </c>
      <c r="I117" s="458">
        <f t="shared" si="98"/>
        <v>2052</v>
      </c>
      <c r="J117" s="458">
        <f t="shared" si="98"/>
        <v>2869.6</v>
      </c>
      <c r="K117" s="458">
        <f t="shared" si="98"/>
        <v>7620</v>
      </c>
      <c r="L117" s="458">
        <f t="shared" si="98"/>
        <v>11073.6</v>
      </c>
      <c r="M117" s="458">
        <f t="shared" si="98"/>
        <v>13490.8</v>
      </c>
      <c r="N117" s="458">
        <f t="shared" si="98"/>
        <v>16298.4</v>
      </c>
      <c r="O117" s="458">
        <f t="shared" si="98"/>
        <v>15903.650542684376</v>
      </c>
      <c r="P117" s="458">
        <f t="shared" si="98"/>
        <v>17292.858215206608</v>
      </c>
      <c r="Q117" s="458"/>
      <c r="R117" s="458"/>
      <c r="S117" s="458"/>
      <c r="T117" s="458"/>
    </row>
    <row r="118" spans="2:21">
      <c r="B118" s="592"/>
      <c r="C118" s="591"/>
      <c r="D118" s="453" t="str">
        <f>D102</f>
        <v>GS &gt; 50</v>
      </c>
      <c r="F118" s="458">
        <f t="shared" ref="F118:P118" si="99">F97+F107</f>
        <v>706.8</v>
      </c>
      <c r="G118" s="458">
        <f t="shared" si="99"/>
        <v>1413.6</v>
      </c>
      <c r="H118" s="458">
        <f t="shared" si="99"/>
        <v>1159.4000000000001</v>
      </c>
      <c r="I118" s="458">
        <f t="shared" si="99"/>
        <v>1101</v>
      </c>
      <c r="J118" s="458">
        <f t="shared" si="99"/>
        <v>1509.8</v>
      </c>
      <c r="K118" s="458">
        <f t="shared" si="99"/>
        <v>3960</v>
      </c>
      <c r="L118" s="458">
        <f t="shared" si="99"/>
        <v>5761.8</v>
      </c>
      <c r="M118" s="458">
        <f t="shared" si="99"/>
        <v>7120.4</v>
      </c>
      <c r="N118" s="458">
        <f t="shared" si="99"/>
        <v>8824.2000000000007</v>
      </c>
      <c r="O118" s="458">
        <f t="shared" si="99"/>
        <v>8570.3213176815407</v>
      </c>
      <c r="P118" s="458">
        <f t="shared" si="99"/>
        <v>9178.1119871211868</v>
      </c>
      <c r="Q118" s="458"/>
      <c r="R118" s="458"/>
      <c r="S118" s="458"/>
      <c r="T118" s="458"/>
    </row>
    <row r="119" spans="2:21">
      <c r="B119" s="592"/>
    </row>
    <row r="120" spans="2:21">
      <c r="B120" s="592"/>
      <c r="C120" s="453" t="s">
        <v>278</v>
      </c>
      <c r="F120" s="499">
        <f t="shared" ref="F120:P120" si="100">F115</f>
        <v>2017</v>
      </c>
      <c r="G120" s="499">
        <f t="shared" si="100"/>
        <v>2018</v>
      </c>
      <c r="H120" s="499">
        <f t="shared" si="100"/>
        <v>2019</v>
      </c>
      <c r="I120" s="499">
        <f t="shared" si="100"/>
        <v>2020</v>
      </c>
      <c r="J120" s="499">
        <f t="shared" si="100"/>
        <v>2021</v>
      </c>
      <c r="K120" s="499">
        <f t="shared" si="100"/>
        <v>2022</v>
      </c>
      <c r="L120" s="499">
        <f t="shared" si="100"/>
        <v>2023</v>
      </c>
      <c r="M120" s="499">
        <f t="shared" si="100"/>
        <v>2024</v>
      </c>
      <c r="N120" s="499">
        <f t="shared" si="100"/>
        <v>2025</v>
      </c>
      <c r="O120" s="499">
        <f t="shared" si="100"/>
        <v>2026</v>
      </c>
      <c r="P120" s="499">
        <f t="shared" si="100"/>
        <v>2027</v>
      </c>
      <c r="Q120" s="499"/>
      <c r="R120" s="499"/>
      <c r="S120" s="499"/>
      <c r="T120" s="499"/>
    </row>
    <row r="121" spans="2:21">
      <c r="B121" s="592"/>
      <c r="C121" s="591" t="s">
        <v>321</v>
      </c>
      <c r="D121" s="453" t="str">
        <f>D116</f>
        <v>Residential</v>
      </c>
      <c r="F121" s="458">
        <f>SUM($F116:F116)</f>
        <v>9165.5999999999985</v>
      </c>
      <c r="G121" s="458">
        <f>SUM($F116:G116)</f>
        <v>27496.799999999996</v>
      </c>
      <c r="H121" s="458">
        <f>SUM($F116:H116)</f>
        <v>44356.599999999991</v>
      </c>
      <c r="I121" s="458">
        <f>SUM($F116:I116)</f>
        <v>60223.599999999991</v>
      </c>
      <c r="J121" s="458">
        <f>SUM($F116:J116)</f>
        <v>83040.199999999983</v>
      </c>
      <c r="K121" s="458">
        <f>SUM($F116:K116)</f>
        <v>141660.19999999998</v>
      </c>
      <c r="L121" s="458">
        <f>SUM($F116:L116)</f>
        <v>228060.79999999999</v>
      </c>
      <c r="M121" s="458">
        <f>SUM($F116:M116)</f>
        <v>322857.59999999998</v>
      </c>
      <c r="N121" s="458">
        <f>SUM($F116:N116)</f>
        <v>420219</v>
      </c>
      <c r="O121" s="458">
        <f>SUM($F116:O116)</f>
        <v>523097.71071507735</v>
      </c>
      <c r="P121" s="458">
        <f>SUM($F116:P116)</f>
        <v>649502.09612572996</v>
      </c>
      <c r="Q121" s="458"/>
      <c r="R121" s="458"/>
      <c r="S121" s="458"/>
      <c r="T121" s="458"/>
      <c r="U121" s="458"/>
    </row>
    <row r="122" spans="2:21">
      <c r="B122" s="592"/>
      <c r="C122" s="591"/>
      <c r="D122" s="453" t="str">
        <f>D117</f>
        <v>GS&lt;50</v>
      </c>
      <c r="F122" s="458">
        <f>SUM($F117:F117)</f>
        <v>1263.5999999999999</v>
      </c>
      <c r="G122" s="458">
        <f>SUM($F117:G117)</f>
        <v>3790.7999999999997</v>
      </c>
      <c r="H122" s="458">
        <f>SUM($F117:H117)</f>
        <v>5959.6</v>
      </c>
      <c r="I122" s="458">
        <f>SUM($F117:I117)</f>
        <v>8011.6</v>
      </c>
      <c r="J122" s="458">
        <f>SUM($F117:J117)</f>
        <v>10881.2</v>
      </c>
      <c r="K122" s="458">
        <f>SUM($F117:K117)</f>
        <v>18501.2</v>
      </c>
      <c r="L122" s="458">
        <f>SUM($F117:L117)</f>
        <v>29574.800000000003</v>
      </c>
      <c r="M122" s="458">
        <f>SUM($F117:M117)</f>
        <v>43065.600000000006</v>
      </c>
      <c r="N122" s="458">
        <f>SUM($F117:N117)</f>
        <v>59364.000000000007</v>
      </c>
      <c r="O122" s="458">
        <f>SUM($F117:O117)</f>
        <v>75267.65054268438</v>
      </c>
      <c r="P122" s="458">
        <f>SUM($F117:P117)</f>
        <v>92560.508757890988</v>
      </c>
      <c r="Q122" s="458"/>
      <c r="R122" s="458"/>
      <c r="S122" s="458"/>
      <c r="T122" s="458"/>
    </row>
    <row r="123" spans="2:21">
      <c r="B123" s="592"/>
      <c r="C123" s="591"/>
      <c r="D123" s="453" t="str">
        <f>D118</f>
        <v>GS &gt; 50</v>
      </c>
      <c r="F123" s="458">
        <f>SUM($F118:F118)</f>
        <v>706.8</v>
      </c>
      <c r="G123" s="458">
        <f>SUM($F118:G118)</f>
        <v>2120.3999999999996</v>
      </c>
      <c r="H123" s="458">
        <f>SUM($F118:H118)</f>
        <v>3279.7999999999997</v>
      </c>
      <c r="I123" s="458">
        <f>SUM($F118:I118)</f>
        <v>4380.7999999999993</v>
      </c>
      <c r="J123" s="458">
        <f>SUM($F118:J118)</f>
        <v>5890.5999999999995</v>
      </c>
      <c r="K123" s="458">
        <f>SUM($F118:K118)</f>
        <v>9850.5999999999985</v>
      </c>
      <c r="L123" s="458">
        <f>SUM($F118:L118)</f>
        <v>15612.399999999998</v>
      </c>
      <c r="M123" s="458">
        <f>SUM($F118:M118)</f>
        <v>22732.799999999996</v>
      </c>
      <c r="N123" s="458">
        <f>SUM($F118:N118)</f>
        <v>31556.999999999996</v>
      </c>
      <c r="O123" s="458">
        <f>SUM($F118:O118)</f>
        <v>40127.321317681533</v>
      </c>
      <c r="P123" s="458">
        <f>SUM($F118:P118)</f>
        <v>49305.433304802718</v>
      </c>
      <c r="Q123" s="458"/>
      <c r="R123" s="458"/>
      <c r="S123" s="458"/>
      <c r="T123" s="458"/>
    </row>
    <row r="124" spans="2:21">
      <c r="B124" s="592"/>
      <c r="C124" s="492"/>
    </row>
    <row r="125" spans="2:21">
      <c r="B125" s="592"/>
      <c r="C125" s="453" t="s">
        <v>278</v>
      </c>
      <c r="F125" s="499">
        <f t="shared" ref="F125:P125" si="101">F115</f>
        <v>2017</v>
      </c>
      <c r="G125" s="499">
        <f t="shared" si="101"/>
        <v>2018</v>
      </c>
      <c r="H125" s="499">
        <f t="shared" si="101"/>
        <v>2019</v>
      </c>
      <c r="I125" s="499">
        <f t="shared" si="101"/>
        <v>2020</v>
      </c>
      <c r="J125" s="499">
        <f t="shared" si="101"/>
        <v>2021</v>
      </c>
      <c r="K125" s="499">
        <f t="shared" si="101"/>
        <v>2022</v>
      </c>
      <c r="L125" s="499">
        <f t="shared" si="101"/>
        <v>2023</v>
      </c>
      <c r="M125" s="499">
        <f t="shared" si="101"/>
        <v>2024</v>
      </c>
      <c r="N125" s="499">
        <f t="shared" si="101"/>
        <v>2025</v>
      </c>
      <c r="O125" s="499">
        <f t="shared" si="101"/>
        <v>2026</v>
      </c>
      <c r="P125" s="499">
        <f t="shared" si="101"/>
        <v>2027</v>
      </c>
      <c r="Q125" s="499"/>
      <c r="R125" s="499"/>
      <c r="S125" s="499"/>
      <c r="T125" s="499"/>
    </row>
    <row r="126" spans="2:21">
      <c r="B126" s="592"/>
      <c r="C126" s="591" t="s">
        <v>322</v>
      </c>
      <c r="D126" s="453" t="str">
        <f>D121</f>
        <v>Residential</v>
      </c>
      <c r="F126" s="458">
        <f t="shared" ref="F126:P126" si="102">(F$15*F$16)*$X95+(F$20*F$21)*$Y95+(F$25*F$26)*$Z95+(F$47*F$48)*$X95+(F$52*F$53)*$Y95+(F$57*F$58)*$Z95</f>
        <v>18331.199999999997</v>
      </c>
      <c r="G126" s="458">
        <f t="shared" si="102"/>
        <v>36662.399999999994</v>
      </c>
      <c r="H126" s="458">
        <f t="shared" si="102"/>
        <v>52050.8</v>
      </c>
      <c r="I126" s="458">
        <f t="shared" si="102"/>
        <v>68396.399999999994</v>
      </c>
      <c r="J126" s="458">
        <f t="shared" si="102"/>
        <v>97684</v>
      </c>
      <c r="K126" s="458">
        <f t="shared" si="102"/>
        <v>185636.4</v>
      </c>
      <c r="L126" s="458">
        <f t="shared" si="102"/>
        <v>270485.2</v>
      </c>
      <c r="M126" s="458">
        <f t="shared" si="102"/>
        <v>375230</v>
      </c>
      <c r="N126" s="458">
        <f t="shared" si="102"/>
        <v>465208</v>
      </c>
      <c r="O126" s="458">
        <f t="shared" si="102"/>
        <v>580987.42143015482</v>
      </c>
      <c r="P126" s="458">
        <f t="shared" si="102"/>
        <v>718016.77082130534</v>
      </c>
      <c r="Q126" s="458"/>
      <c r="R126" s="458"/>
      <c r="S126" s="458"/>
      <c r="T126" s="458"/>
      <c r="U126" s="458"/>
    </row>
    <row r="127" spans="2:21">
      <c r="B127" s="592"/>
      <c r="C127" s="591"/>
      <c r="D127" s="453" t="str">
        <f>D122</f>
        <v>GS&lt;50</v>
      </c>
      <c r="F127" s="458">
        <f t="shared" ref="F127:P127" si="103">(F$15*F$16)*$X96+(F$20*F$21)*$Y96+(F$25*F$26)*$Z96+(F$47*F$48)*$X96+(F$52*F$53)*$Y96+(F$57*F$58)*$Z96</f>
        <v>2527.1999999999998</v>
      </c>
      <c r="G127" s="458">
        <f t="shared" si="103"/>
        <v>5054.3999999999996</v>
      </c>
      <c r="H127" s="458">
        <f t="shared" si="103"/>
        <v>6864.8</v>
      </c>
      <c r="I127" s="458">
        <f t="shared" si="103"/>
        <v>9158.4</v>
      </c>
      <c r="J127" s="458">
        <f t="shared" si="103"/>
        <v>12604</v>
      </c>
      <c r="K127" s="458">
        <f t="shared" si="103"/>
        <v>24398.400000000001</v>
      </c>
      <c r="L127" s="458">
        <f t="shared" si="103"/>
        <v>34751.199999999997</v>
      </c>
      <c r="M127" s="458">
        <f t="shared" si="103"/>
        <v>51380</v>
      </c>
      <c r="N127" s="458">
        <f t="shared" si="103"/>
        <v>67348</v>
      </c>
      <c r="O127" s="458">
        <f t="shared" si="103"/>
        <v>83187.301085368759</v>
      </c>
      <c r="P127" s="458">
        <f t="shared" si="103"/>
        <v>101933.71643041323</v>
      </c>
      <c r="Q127" s="458"/>
      <c r="R127" s="458"/>
      <c r="S127" s="458"/>
      <c r="T127" s="458"/>
    </row>
    <row r="128" spans="2:21">
      <c r="B128" s="592"/>
      <c r="C128" s="591"/>
      <c r="D128" s="453" t="str">
        <f>D123</f>
        <v>GS &gt; 50</v>
      </c>
      <c r="F128" s="458">
        <f t="shared" ref="F128:P128" si="104">(F$15*F$16)*$X97+(F$20*F$21)*$Y97+(F$25*F$26)*$Z97+(F$47*F$48)*$X97+(F$52*F$53)*$Y97+(F$57*F$58)*$Z97</f>
        <v>1413.6</v>
      </c>
      <c r="G128" s="458">
        <f t="shared" si="104"/>
        <v>2827.2</v>
      </c>
      <c r="H128" s="458">
        <f t="shared" si="104"/>
        <v>3732.4</v>
      </c>
      <c r="I128" s="458">
        <f t="shared" si="104"/>
        <v>5029.2</v>
      </c>
      <c r="J128" s="458">
        <f t="shared" si="104"/>
        <v>6752</v>
      </c>
      <c r="K128" s="458">
        <f t="shared" si="104"/>
        <v>12949.2</v>
      </c>
      <c r="L128" s="458">
        <f t="shared" si="104"/>
        <v>18275.599999999999</v>
      </c>
      <c r="M128" s="458">
        <f t="shared" si="104"/>
        <v>27190</v>
      </c>
      <c r="N128" s="458">
        <f t="shared" si="104"/>
        <v>35924</v>
      </c>
      <c r="O128" s="458">
        <f t="shared" si="104"/>
        <v>44330.642635363081</v>
      </c>
      <c r="P128" s="458">
        <f t="shared" si="104"/>
        <v>54280.223974242377</v>
      </c>
      <c r="Q128" s="458"/>
      <c r="R128" s="458"/>
      <c r="S128" s="458"/>
      <c r="T128" s="458"/>
    </row>
    <row r="129" spans="2:20">
      <c r="B129" s="592"/>
      <c r="C129" s="492"/>
      <c r="F129" s="458"/>
      <c r="G129" s="458"/>
      <c r="H129" s="458"/>
      <c r="I129" s="458"/>
      <c r="J129" s="458"/>
      <c r="K129" s="458"/>
      <c r="L129" s="458"/>
      <c r="M129" s="458"/>
      <c r="N129" s="458"/>
      <c r="O129" s="458"/>
      <c r="P129" s="458"/>
      <c r="Q129" s="458"/>
      <c r="R129" s="458"/>
      <c r="S129" s="458"/>
      <c r="T129" s="458"/>
    </row>
    <row r="130" spans="2:20">
      <c r="B130" s="592"/>
      <c r="C130" s="453" t="s">
        <v>319</v>
      </c>
      <c r="F130" s="499">
        <f t="shared" ref="F130:P130" si="105">F125</f>
        <v>2017</v>
      </c>
      <c r="G130" s="499">
        <f t="shared" si="105"/>
        <v>2018</v>
      </c>
      <c r="H130" s="499">
        <f t="shared" si="105"/>
        <v>2019</v>
      </c>
      <c r="I130" s="499">
        <f t="shared" si="105"/>
        <v>2020</v>
      </c>
      <c r="J130" s="499">
        <f t="shared" si="105"/>
        <v>2021</v>
      </c>
      <c r="K130" s="499">
        <f t="shared" si="105"/>
        <v>2022</v>
      </c>
      <c r="L130" s="499">
        <f t="shared" si="105"/>
        <v>2023</v>
      </c>
      <c r="M130" s="499">
        <f t="shared" si="105"/>
        <v>2024</v>
      </c>
      <c r="N130" s="499">
        <f t="shared" si="105"/>
        <v>2025</v>
      </c>
      <c r="O130" s="499">
        <f t="shared" si="105"/>
        <v>2026</v>
      </c>
      <c r="P130" s="499">
        <f t="shared" si="105"/>
        <v>2027</v>
      </c>
      <c r="Q130" s="499"/>
      <c r="R130" s="499"/>
      <c r="S130" s="499"/>
      <c r="T130" s="499"/>
    </row>
    <row r="131" spans="2:20">
      <c r="B131" s="592"/>
      <c r="D131" s="453" t="str">
        <f>D128</f>
        <v>GS &gt; 50</v>
      </c>
      <c r="F131" s="458">
        <f t="shared" ref="F131:P131" si="106">F102+F112</f>
        <v>6.4547945205479449</v>
      </c>
      <c r="G131" s="458">
        <f t="shared" si="106"/>
        <v>12.90958904109589</v>
      </c>
      <c r="H131" s="458">
        <f t="shared" si="106"/>
        <v>10.588127853881279</v>
      </c>
      <c r="I131" s="458">
        <f t="shared" si="106"/>
        <v>10.054794520547945</v>
      </c>
      <c r="J131" s="458">
        <f t="shared" si="106"/>
        <v>13.788127853881281</v>
      </c>
      <c r="K131" s="458">
        <f t="shared" si="106"/>
        <v>36.164383561643831</v>
      </c>
      <c r="L131" s="458">
        <f t="shared" si="106"/>
        <v>52.61917808219178</v>
      </c>
      <c r="M131" s="458">
        <f t="shared" si="106"/>
        <v>65.026484018264838</v>
      </c>
      <c r="N131" s="458">
        <f t="shared" si="106"/>
        <v>80.586301369863008</v>
      </c>
      <c r="O131" s="458">
        <f t="shared" si="106"/>
        <v>78.26777459069902</v>
      </c>
      <c r="P131" s="458">
        <f t="shared" si="106"/>
        <v>83.818374311609006</v>
      </c>
      <c r="Q131" s="458"/>
      <c r="R131" s="458"/>
      <c r="S131" s="458"/>
      <c r="T131" s="458"/>
    </row>
    <row r="132" spans="2:20">
      <c r="B132" s="592"/>
      <c r="F132" s="458"/>
      <c r="G132" s="458"/>
      <c r="H132" s="458"/>
      <c r="I132" s="458"/>
      <c r="J132" s="458"/>
      <c r="K132" s="458"/>
      <c r="L132" s="458"/>
      <c r="M132" s="458"/>
      <c r="N132" s="458"/>
      <c r="O132" s="458"/>
      <c r="P132" s="458"/>
      <c r="Q132" s="458"/>
      <c r="R132" s="458"/>
      <c r="S132" s="458"/>
      <c r="T132" s="458"/>
    </row>
    <row r="133" spans="2:20">
      <c r="B133" s="592"/>
      <c r="C133" s="453" t="s">
        <v>323</v>
      </c>
      <c r="F133" s="499">
        <f>F130</f>
        <v>2017</v>
      </c>
      <c r="G133" s="499">
        <f t="shared" ref="G133:P133" si="107">G130</f>
        <v>2018</v>
      </c>
      <c r="H133" s="499">
        <f t="shared" si="107"/>
        <v>2019</v>
      </c>
      <c r="I133" s="499">
        <f t="shared" si="107"/>
        <v>2020</v>
      </c>
      <c r="J133" s="499">
        <f t="shared" si="107"/>
        <v>2021</v>
      </c>
      <c r="K133" s="499">
        <f t="shared" si="107"/>
        <v>2022</v>
      </c>
      <c r="L133" s="499">
        <f t="shared" si="107"/>
        <v>2023</v>
      </c>
      <c r="M133" s="499">
        <f t="shared" si="107"/>
        <v>2024</v>
      </c>
      <c r="N133" s="499">
        <f t="shared" si="107"/>
        <v>2025</v>
      </c>
      <c r="O133" s="499">
        <f t="shared" si="107"/>
        <v>2026</v>
      </c>
      <c r="P133" s="499">
        <f t="shared" si="107"/>
        <v>2027</v>
      </c>
      <c r="Q133" s="499"/>
      <c r="R133" s="499"/>
      <c r="S133" s="499"/>
      <c r="T133" s="499"/>
    </row>
    <row r="134" spans="2:20">
      <c r="B134" s="592"/>
      <c r="D134" s="453" t="str">
        <f>D131</f>
        <v>GS &gt; 50</v>
      </c>
      <c r="F134" s="458">
        <f>SUM($F131:F131)</f>
        <v>6.4547945205479449</v>
      </c>
      <c r="G134" s="458">
        <f>SUM($F131:G131)</f>
        <v>19.364383561643834</v>
      </c>
      <c r="H134" s="458">
        <f>SUM($F131:H131)</f>
        <v>29.952511415525112</v>
      </c>
      <c r="I134" s="458">
        <f>SUM($F131:I131)</f>
        <v>40.00730593607306</v>
      </c>
      <c r="J134" s="458">
        <f>SUM($F131:J131)</f>
        <v>53.795433789954345</v>
      </c>
      <c r="K134" s="458">
        <f>SUM($F131:K131)</f>
        <v>89.959817351598176</v>
      </c>
      <c r="L134" s="458">
        <f>SUM($F131:L131)</f>
        <v>142.57899543378994</v>
      </c>
      <c r="M134" s="458">
        <f>SUM($F131:M131)</f>
        <v>207.60547945205479</v>
      </c>
      <c r="N134" s="458">
        <f>SUM($F131:N131)</f>
        <v>288.1917808219178</v>
      </c>
      <c r="O134" s="458">
        <f>SUM($F131:O131)</f>
        <v>366.45955541261685</v>
      </c>
      <c r="P134" s="458">
        <f>SUM($F131:P131)</f>
        <v>450.27792972422583</v>
      </c>
      <c r="Q134" s="458"/>
      <c r="R134" s="458"/>
      <c r="S134" s="458"/>
      <c r="T134" s="458"/>
    </row>
    <row r="139" spans="2:20">
      <c r="I139" s="458">
        <f>I32</f>
        <v>4</v>
      </c>
      <c r="J139" s="458">
        <f t="shared" ref="J139:P139" si="108">J32</f>
        <v>10</v>
      </c>
      <c r="K139" s="458">
        <f t="shared" si="108"/>
        <v>30</v>
      </c>
      <c r="L139" s="458">
        <f t="shared" si="108"/>
        <v>25</v>
      </c>
      <c r="M139" s="458">
        <f t="shared" si="108"/>
        <v>29</v>
      </c>
      <c r="N139" s="458">
        <f t="shared" si="108"/>
        <v>22</v>
      </c>
      <c r="O139" s="458">
        <f t="shared" si="108"/>
        <v>31.196449325199513</v>
      </c>
      <c r="P139" s="458">
        <f t="shared" si="108"/>
        <v>36.922184456802832</v>
      </c>
    </row>
    <row r="140" spans="2:20">
      <c r="I140" s="458">
        <f>I33</f>
        <v>8161</v>
      </c>
      <c r="J140" s="458">
        <f t="shared" ref="J140:P140" si="109">J33</f>
        <v>14821</v>
      </c>
      <c r="K140" s="458">
        <f t="shared" si="109"/>
        <v>32783</v>
      </c>
      <c r="L140" s="458">
        <f t="shared" si="109"/>
        <v>38635</v>
      </c>
      <c r="M140" s="458">
        <f t="shared" si="109"/>
        <v>41659</v>
      </c>
      <c r="N140" s="458">
        <f t="shared" si="109"/>
        <v>42492.18</v>
      </c>
      <c r="O140" s="458">
        <f t="shared" si="109"/>
        <v>50291.111388255216</v>
      </c>
      <c r="P140" s="458">
        <f t="shared" si="109"/>
        <v>59521.443349479683</v>
      </c>
    </row>
    <row r="141" spans="2:20">
      <c r="I141" s="459">
        <f t="shared" ref="I141:N141" si="110">I30</f>
        <v>4.9013601274353633E-4</v>
      </c>
      <c r="J141" s="459">
        <f t="shared" si="110"/>
        <v>6.747183051076176E-4</v>
      </c>
      <c r="K141" s="459">
        <f t="shared" si="110"/>
        <v>9.1510844035018154E-4</v>
      </c>
      <c r="L141" s="459">
        <f t="shared" si="110"/>
        <v>6.4708166170570724E-4</v>
      </c>
      <c r="M141" s="459">
        <f t="shared" si="110"/>
        <v>6.9612808756811255E-4</v>
      </c>
      <c r="N141" s="459">
        <f t="shared" si="110"/>
        <v>5.1774232341103706E-4</v>
      </c>
      <c r="O141" s="459">
        <f>O30</f>
        <v>6.2031735756161888E-4</v>
      </c>
      <c r="P141" s="459">
        <f>P30</f>
        <v>6.2031735756161888E-4</v>
      </c>
    </row>
    <row r="142" spans="2:20">
      <c r="I142" s="458">
        <f>I14</f>
        <v>4</v>
      </c>
      <c r="J142" s="458">
        <f t="shared" ref="J142:P142" si="111">J14</f>
        <v>10</v>
      </c>
      <c r="K142" s="458">
        <f t="shared" si="111"/>
        <v>29</v>
      </c>
      <c r="L142" s="458">
        <f t="shared" si="111"/>
        <v>25</v>
      </c>
      <c r="M142" s="458">
        <f t="shared" si="111"/>
        <v>25</v>
      </c>
      <c r="N142" s="458">
        <f t="shared" si="111"/>
        <v>17</v>
      </c>
      <c r="O142" s="458">
        <f t="shared" si="111"/>
        <v>29.758482016995039</v>
      </c>
      <c r="P142" s="458">
        <f t="shared" si="111"/>
        <v>35.220295448764631</v>
      </c>
    </row>
    <row r="143" spans="2:20">
      <c r="I143" s="477">
        <f>I19</f>
        <v>0</v>
      </c>
      <c r="J143" s="477">
        <f t="shared" ref="J143:P143" si="112">J19</f>
        <v>0</v>
      </c>
      <c r="K143" s="477">
        <f t="shared" si="112"/>
        <v>0</v>
      </c>
      <c r="L143" s="477">
        <f t="shared" si="112"/>
        <v>0</v>
      </c>
      <c r="M143" s="477">
        <f t="shared" si="112"/>
        <v>0</v>
      </c>
      <c r="N143" s="477">
        <f t="shared" si="112"/>
        <v>0</v>
      </c>
      <c r="O143" s="477">
        <f t="shared" si="112"/>
        <v>0</v>
      </c>
      <c r="P143" s="477">
        <f t="shared" si="112"/>
        <v>0</v>
      </c>
    </row>
    <row r="144" spans="2:20">
      <c r="I144" s="477">
        <f>I24</f>
        <v>0</v>
      </c>
      <c r="J144" s="477">
        <f t="shared" ref="J144:P144" si="113">J24</f>
        <v>0</v>
      </c>
      <c r="K144" s="477">
        <f t="shared" si="113"/>
        <v>1</v>
      </c>
      <c r="L144" s="477">
        <f t="shared" si="113"/>
        <v>0</v>
      </c>
      <c r="M144" s="477">
        <f t="shared" si="113"/>
        <v>4</v>
      </c>
      <c r="N144" s="477">
        <f t="shared" si="113"/>
        <v>5</v>
      </c>
      <c r="O144" s="477">
        <f t="shared" si="113"/>
        <v>1.4379673082044724</v>
      </c>
      <c r="P144" s="477">
        <f t="shared" si="113"/>
        <v>1.7018890080382001</v>
      </c>
    </row>
    <row r="145" spans="9:16">
      <c r="I145" s="483">
        <f>I37</f>
        <v>1</v>
      </c>
      <c r="J145" s="483">
        <f t="shared" ref="J145:P145" si="114">J37</f>
        <v>1</v>
      </c>
      <c r="K145" s="483">
        <f t="shared" si="114"/>
        <v>0.98076923076923073</v>
      </c>
      <c r="L145" s="483">
        <f t="shared" si="114"/>
        <v>0.98701298701298701</v>
      </c>
      <c r="M145" s="483">
        <f t="shared" si="114"/>
        <v>0.95283018867924529</v>
      </c>
      <c r="N145" s="483">
        <f t="shared" si="114"/>
        <v>0.921875</v>
      </c>
      <c r="O145" s="483">
        <f t="shared" si="114"/>
        <v>0.9539060585640774</v>
      </c>
      <c r="P145" s="483">
        <f t="shared" si="114"/>
        <v>0.9539060585640774</v>
      </c>
    </row>
    <row r="146" spans="9:16">
      <c r="I146" s="483">
        <f>I38</f>
        <v>0</v>
      </c>
      <c r="J146" s="483">
        <f>J38</f>
        <v>0</v>
      </c>
      <c r="K146" s="483">
        <f>K38</f>
        <v>0</v>
      </c>
      <c r="L146" s="483">
        <f>L38</f>
        <v>0</v>
      </c>
      <c r="M146" s="483">
        <f>M38</f>
        <v>0</v>
      </c>
      <c r="N146" s="483">
        <f>N38</f>
        <v>0</v>
      </c>
      <c r="O146" s="483">
        <f>O38</f>
        <v>0</v>
      </c>
      <c r="P146" s="483">
        <f>P38</f>
        <v>0</v>
      </c>
    </row>
    <row r="147" spans="9:16">
      <c r="I147" s="483">
        <f>I39</f>
        <v>0</v>
      </c>
      <c r="J147" s="483">
        <f>J39</f>
        <v>0</v>
      </c>
      <c r="K147" s="483">
        <f>K39</f>
        <v>1.9230769230769232E-2</v>
      </c>
      <c r="L147" s="483">
        <f>L39</f>
        <v>1.2987012987012988E-2</v>
      </c>
      <c r="M147" s="483">
        <f>M39</f>
        <v>4.716981132075472E-2</v>
      </c>
      <c r="N147" s="483">
        <f>N39</f>
        <v>7.8125E-2</v>
      </c>
      <c r="O147" s="483">
        <f>O39</f>
        <v>4.6093941435922568E-2</v>
      </c>
      <c r="P147" s="483">
        <f>P39</f>
        <v>4.6093941435922568E-2</v>
      </c>
    </row>
    <row r="150" spans="9:16">
      <c r="O150" s="458">
        <f>O75</f>
        <v>727513.22519999999</v>
      </c>
      <c r="P150" s="458">
        <f>P75</f>
        <v>742063.48970399995</v>
      </c>
    </row>
    <row r="151" spans="9:16">
      <c r="O151" s="459">
        <f>O141</f>
        <v>6.2031735756161888E-4</v>
      </c>
      <c r="P151" s="459">
        <f>P141</f>
        <v>6.2031735756161888E-4</v>
      </c>
    </row>
    <row r="152" spans="9:16">
      <c r="O152" s="459">
        <f>O62</f>
        <v>1.2767737460725528E-3</v>
      </c>
      <c r="P152" s="459">
        <f>P62</f>
        <v>1.2767737460725528E-3</v>
      </c>
    </row>
    <row r="153" spans="9:16">
      <c r="O153" s="458">
        <f>O11</f>
        <v>31.196449325199513</v>
      </c>
      <c r="P153" s="458">
        <f>P11</f>
        <v>36.922184456802832</v>
      </c>
    </row>
    <row r="154" spans="9:16">
      <c r="O154" s="458">
        <f t="shared" ref="O154:P156" si="115">O142</f>
        <v>29.758482016995039</v>
      </c>
      <c r="P154" s="458">
        <f t="shared" si="115"/>
        <v>35.220295448764631</v>
      </c>
    </row>
    <row r="155" spans="9:16">
      <c r="O155" s="458">
        <f t="shared" si="115"/>
        <v>0</v>
      </c>
      <c r="P155" s="458">
        <f t="shared" si="115"/>
        <v>0</v>
      </c>
    </row>
    <row r="156" spans="9:16">
      <c r="O156" s="458">
        <f t="shared" si="115"/>
        <v>1.4379673082044724</v>
      </c>
      <c r="P156" s="458">
        <f t="shared" si="115"/>
        <v>1.7018890080382001</v>
      </c>
    </row>
    <row r="158" spans="9:16">
      <c r="I158" s="458">
        <f>I64</f>
        <v>4</v>
      </c>
      <c r="J158" s="458">
        <f t="shared" ref="J158:P158" si="116">J64</f>
        <v>3</v>
      </c>
      <c r="K158" s="458">
        <f t="shared" si="116"/>
        <v>8</v>
      </c>
      <c r="L158" s="458">
        <f t="shared" si="116"/>
        <v>15</v>
      </c>
      <c r="M158" s="458">
        <f t="shared" si="116"/>
        <v>19</v>
      </c>
      <c r="N158" s="458">
        <f t="shared" si="116"/>
        <v>20</v>
      </c>
      <c r="O158" s="458">
        <f t="shared" si="116"/>
        <v>24.112786987206981</v>
      </c>
      <c r="P158" s="458">
        <f t="shared" si="116"/>
        <v>28.538400624653701</v>
      </c>
    </row>
    <row r="159" spans="9:16">
      <c r="I159" s="458">
        <f>I65</f>
        <v>2356</v>
      </c>
      <c r="J159" s="458">
        <f t="shared" ref="J159:P159" si="117">J65</f>
        <v>4989</v>
      </c>
      <c r="K159" s="458">
        <f t="shared" si="117"/>
        <v>5879</v>
      </c>
      <c r="L159" s="458">
        <f t="shared" si="117"/>
        <v>11497</v>
      </c>
      <c r="M159" s="458">
        <f t="shared" si="117"/>
        <v>14934</v>
      </c>
      <c r="N159" s="458">
        <f t="shared" si="117"/>
        <v>15957</v>
      </c>
      <c r="O159" s="458">
        <f t="shared" si="117"/>
        <v>18885.716487654634</v>
      </c>
      <c r="P159" s="458">
        <f t="shared" si="117"/>
        <v>22351.963856117698</v>
      </c>
    </row>
    <row r="160" spans="9:16">
      <c r="I160" s="459">
        <f>I62</f>
        <v>1.697792869269949E-3</v>
      </c>
      <c r="J160" s="459">
        <f t="shared" ref="J160:P160" si="118">J62</f>
        <v>6.0132291040288638E-4</v>
      </c>
      <c r="K160" s="459">
        <f t="shared" si="118"/>
        <v>1.360775642116006E-3</v>
      </c>
      <c r="L160" s="459">
        <f t="shared" si="118"/>
        <v>1.3046881795250936E-3</v>
      </c>
      <c r="M160" s="459">
        <f t="shared" si="118"/>
        <v>1.2722646310432571E-3</v>
      </c>
      <c r="N160" s="459">
        <f t="shared" si="118"/>
        <v>1.2533684276493076E-3</v>
      </c>
      <c r="O160" s="459">
        <f t="shared" si="118"/>
        <v>1.2767737460725528E-3</v>
      </c>
      <c r="P160" s="459">
        <f t="shared" si="118"/>
        <v>1.2767737460725528E-3</v>
      </c>
    </row>
    <row r="161" spans="9:16">
      <c r="I161" s="458">
        <f>I46</f>
        <v>3</v>
      </c>
      <c r="J161" s="458">
        <f t="shared" ref="J161:P161" si="119">J46</f>
        <v>3</v>
      </c>
      <c r="K161" s="458">
        <f t="shared" si="119"/>
        <v>7</v>
      </c>
      <c r="L161" s="458">
        <f t="shared" si="119"/>
        <v>14</v>
      </c>
      <c r="M161" s="458">
        <f t="shared" si="119"/>
        <v>19</v>
      </c>
      <c r="N161" s="458">
        <f t="shared" si="119"/>
        <v>20</v>
      </c>
      <c r="O161" s="458">
        <f t="shared" si="119"/>
        <v>22.304140344220091</v>
      </c>
      <c r="P161" s="458">
        <f t="shared" si="119"/>
        <v>26.397798523644816</v>
      </c>
    </row>
    <row r="162" spans="9:16">
      <c r="I162" s="477">
        <f>I51</f>
        <v>1</v>
      </c>
      <c r="J162" s="477">
        <f t="shared" ref="J162:P162" si="120">J51</f>
        <v>0</v>
      </c>
      <c r="K162" s="477">
        <f t="shared" si="120"/>
        <v>1</v>
      </c>
      <c r="L162" s="477">
        <f t="shared" si="120"/>
        <v>1</v>
      </c>
      <c r="M162" s="477">
        <f t="shared" si="120"/>
        <v>0</v>
      </c>
      <c r="N162" s="477">
        <f t="shared" si="120"/>
        <v>0</v>
      </c>
      <c r="O162" s="477">
        <f t="shared" si="120"/>
        <v>1.8086466429868917</v>
      </c>
      <c r="P162" s="477">
        <f t="shared" si="120"/>
        <v>2.1406021010088829</v>
      </c>
    </row>
    <row r="163" spans="9:16">
      <c r="I163" s="498">
        <f>I56</f>
        <v>0</v>
      </c>
      <c r="J163" s="498">
        <f t="shared" ref="J163:P163" si="121">J56</f>
        <v>0</v>
      </c>
      <c r="K163" s="498">
        <f t="shared" si="121"/>
        <v>0</v>
      </c>
      <c r="L163" s="498">
        <f t="shared" si="121"/>
        <v>0</v>
      </c>
      <c r="M163" s="498">
        <f t="shared" si="121"/>
        <v>0</v>
      </c>
      <c r="N163" s="498">
        <f t="shared" si="121"/>
        <v>0</v>
      </c>
      <c r="O163" s="498">
        <f t="shared" si="121"/>
        <v>0</v>
      </c>
      <c r="P163" s="498">
        <f t="shared" si="121"/>
        <v>0</v>
      </c>
    </row>
    <row r="164" spans="9:16">
      <c r="I164" s="483">
        <f>I69</f>
        <v>0.88</v>
      </c>
      <c r="J164" s="483">
        <f t="shared" ref="J164:P164" si="122">J69</f>
        <v>0.8928571428571429</v>
      </c>
      <c r="K164" s="483">
        <f t="shared" si="122"/>
        <v>0.88888888888888884</v>
      </c>
      <c r="L164" s="483">
        <f t="shared" si="122"/>
        <v>0.90196078431372551</v>
      </c>
      <c r="M164" s="483">
        <f t="shared" si="122"/>
        <v>0.9285714285714286</v>
      </c>
      <c r="N164" s="483">
        <f t="shared" si="122"/>
        <v>0.94444444444444442</v>
      </c>
      <c r="O164" s="483">
        <f t="shared" si="122"/>
        <v>0.92499221910986618</v>
      </c>
      <c r="P164" s="483">
        <f t="shared" si="122"/>
        <v>0.92499221910986618</v>
      </c>
    </row>
    <row r="165" spans="9:16">
      <c r="I165" s="483">
        <f>I70</f>
        <v>0.12</v>
      </c>
      <c r="J165" s="483">
        <f>J70</f>
        <v>0.10714285714285714</v>
      </c>
      <c r="K165" s="483">
        <f>K70</f>
        <v>0.1111111111111111</v>
      </c>
      <c r="L165" s="483">
        <f>L70</f>
        <v>9.8039215686274508E-2</v>
      </c>
      <c r="M165" s="483">
        <f>M70</f>
        <v>7.1428571428571425E-2</v>
      </c>
      <c r="N165" s="483">
        <f>N70</f>
        <v>5.5555555555555552E-2</v>
      </c>
      <c r="O165" s="483">
        <f>O70</f>
        <v>7.5007780890133838E-2</v>
      </c>
      <c r="P165" s="483">
        <f>P70</f>
        <v>7.5007780890133838E-2</v>
      </c>
    </row>
    <row r="166" spans="9:16">
      <c r="I166" s="483">
        <f>I71</f>
        <v>0</v>
      </c>
      <c r="J166" s="483">
        <f>J71</f>
        <v>0</v>
      </c>
      <c r="K166" s="483">
        <f>K71</f>
        <v>0</v>
      </c>
      <c r="L166" s="483">
        <f>L71</f>
        <v>0</v>
      </c>
      <c r="M166" s="483">
        <f>M71</f>
        <v>0</v>
      </c>
      <c r="N166" s="483">
        <f>N71</f>
        <v>0</v>
      </c>
      <c r="O166" s="483">
        <f>O71</f>
        <v>0</v>
      </c>
      <c r="P166" s="483">
        <f>P71</f>
        <v>0</v>
      </c>
    </row>
    <row r="168" spans="9:16">
      <c r="O168" s="458">
        <f>O150</f>
        <v>727513.22519999999</v>
      </c>
      <c r="P168" s="458">
        <f>P150</f>
        <v>742063.48970399995</v>
      </c>
    </row>
    <row r="169" spans="9:16">
      <c r="O169" s="483">
        <f>O67</f>
        <v>2.5959275836480881E-2</v>
      </c>
      <c r="P169" s="483">
        <f>P67</f>
        <v>3.0121363153217014E-2</v>
      </c>
    </row>
    <row r="170" spans="9:16">
      <c r="O170" s="459">
        <f>O160</f>
        <v>1.2767737460725528E-3</v>
      </c>
      <c r="P170" s="459">
        <f>P160</f>
        <v>1.2767737460725528E-3</v>
      </c>
    </row>
    <row r="171" spans="9:16">
      <c r="O171" s="458">
        <f>O43</f>
        <v>24.112786987206981</v>
      </c>
      <c r="P171" s="458">
        <f>P43</f>
        <v>28.538400624653701</v>
      </c>
    </row>
    <row r="172" spans="9:16">
      <c r="O172" s="458">
        <f>O46</f>
        <v>22.304140344220091</v>
      </c>
      <c r="P172" s="458">
        <f>P46</f>
        <v>26.397798523644816</v>
      </c>
    </row>
    <row r="173" spans="9:16">
      <c r="O173" s="458">
        <f>O51</f>
        <v>1.8086466429868917</v>
      </c>
      <c r="P173" s="458">
        <f>P51</f>
        <v>2.1406021010088829</v>
      </c>
    </row>
    <row r="174" spans="9:16">
      <c r="O174" s="458">
        <f>O56</f>
        <v>0</v>
      </c>
      <c r="P174" s="458">
        <f>P56</f>
        <v>0</v>
      </c>
    </row>
    <row r="176" spans="9:16">
      <c r="K176" s="458">
        <f>O14+O46</f>
        <v>52.062622361215134</v>
      </c>
      <c r="L176" s="458">
        <f>P14+P46</f>
        <v>61.618093972409447</v>
      </c>
      <c r="M176" s="458">
        <f>O19+O51</f>
        <v>1.8086466429868917</v>
      </c>
      <c r="N176" s="458">
        <f>P19+P51</f>
        <v>2.1406021010088829</v>
      </c>
      <c r="O176" s="458">
        <f>O24+O56</f>
        <v>1.4379673082044724</v>
      </c>
      <c r="P176" s="458">
        <f>P24+P56</f>
        <v>1.7018890080382001</v>
      </c>
    </row>
    <row r="177" spans="11:16">
      <c r="K177" s="458">
        <f>O17+O49</f>
        <v>125971.62137269913</v>
      </c>
      <c r="L177" s="458">
        <f>P17+P49</f>
        <v>149092.20572381845</v>
      </c>
      <c r="M177" s="458">
        <f>O22+O54</f>
        <v>5425.9399289606754</v>
      </c>
      <c r="N177" s="458">
        <f>P22+P54</f>
        <v>6421.8063030266485</v>
      </c>
      <c r="O177" s="458">
        <f>O27+O54</f>
        <v>14053.743778187511</v>
      </c>
      <c r="P177" s="458">
        <f>P27+P54</f>
        <v>16633.14035125585</v>
      </c>
    </row>
    <row r="178" spans="11:16">
      <c r="K178" s="458">
        <f>O15+O47</f>
        <v>255.06262236121512</v>
      </c>
      <c r="L178" s="458">
        <f>P15+P47</f>
        <v>316.68071633362456</v>
      </c>
      <c r="M178" s="458">
        <f>O20+O52</f>
        <v>6.8086466429868917</v>
      </c>
      <c r="N178" s="458">
        <f>P20+P52</f>
        <v>8.9492487439957742</v>
      </c>
      <c r="O178" s="458">
        <f>O25+O57</f>
        <v>11.437967308204472</v>
      </c>
      <c r="P178" s="458">
        <f>P25+P57</f>
        <v>13.139856316242673</v>
      </c>
    </row>
    <row r="179" spans="11:16">
      <c r="K179" s="458">
        <f>O18+O50</f>
        <v>556465.81068634952</v>
      </c>
      <c r="L179" s="458">
        <f>P18+P50</f>
        <v>693997.72423460823</v>
      </c>
      <c r="M179" s="458">
        <f>O23+O55</f>
        <v>17712.969964480337</v>
      </c>
      <c r="N179" s="458">
        <f>P23+P55</f>
        <v>23636.843080473998</v>
      </c>
      <c r="O179" s="458">
        <f>O28+O55</f>
        <v>82026.87188909376</v>
      </c>
      <c r="P179" s="458">
        <f>P28+P55</f>
        <v>97370.313953815436</v>
      </c>
    </row>
  </sheetData>
  <mergeCells count="18">
    <mergeCell ref="B41:B72"/>
    <mergeCell ref="C43:C44"/>
    <mergeCell ref="C46:C50"/>
    <mergeCell ref="C51:C55"/>
    <mergeCell ref="C56:C60"/>
    <mergeCell ref="B9:B40"/>
    <mergeCell ref="C11:C12"/>
    <mergeCell ref="C14:C18"/>
    <mergeCell ref="C19:C23"/>
    <mergeCell ref="C24:C28"/>
    <mergeCell ref="B94:B102"/>
    <mergeCell ref="C95:C97"/>
    <mergeCell ref="B104:B112"/>
    <mergeCell ref="C105:C107"/>
    <mergeCell ref="B115:B134"/>
    <mergeCell ref="C116:C118"/>
    <mergeCell ref="C121:C123"/>
    <mergeCell ref="C126:C128"/>
  </mergeCells>
  <hyperlinks>
    <hyperlink ref="F3" r:id="rId1" display="https://council.cleanairpartnership.org/wp-content/uploads/2021/11/2-21-050-EV-Charging-Performance-Requirements-in-GTHA.pdf" xr:uid="{1ECD9B8F-46AA-4778-A75C-EA1666AB62B2}"/>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B1843-7E1B-46B0-955E-9992B1CD9DB9}">
  <sheetPr codeName="Sheet22">
    <tabColor theme="3" tint="0.499984740745262"/>
  </sheetPr>
  <dimension ref="B1:W93"/>
  <sheetViews>
    <sheetView topLeftCell="A14" workbookViewId="0">
      <selection activeCell="H78" sqref="H78"/>
    </sheetView>
  </sheetViews>
  <sheetFormatPr defaultColWidth="8.83203125" defaultRowHeight="14.45"/>
  <cols>
    <col min="1" max="1" width="8.83203125" style="117"/>
    <col min="2" max="3" width="27" style="117" customWidth="1"/>
    <col min="4" max="4" width="13.83203125" style="117" bestFit="1" customWidth="1"/>
    <col min="5" max="5" width="19.1640625" style="117" customWidth="1"/>
    <col min="6" max="6" width="13.33203125" style="117" customWidth="1"/>
    <col min="7" max="7" width="14.83203125" style="117" bestFit="1" customWidth="1"/>
    <col min="8" max="8" width="13.6640625" style="117" customWidth="1"/>
    <col min="9" max="9" width="14.83203125" style="117" customWidth="1"/>
    <col min="10" max="10" width="14.6640625" style="117" bestFit="1" customWidth="1"/>
    <col min="11" max="11" width="13.1640625" style="117" customWidth="1"/>
    <col min="12" max="14" width="8.83203125" style="117"/>
    <col min="15" max="15" width="15.1640625" style="117" customWidth="1"/>
    <col min="16" max="17" width="11.6640625" style="117" customWidth="1"/>
    <col min="18" max="18" width="13.6640625" style="117" customWidth="1"/>
    <col min="19" max="20" width="8.83203125" style="117"/>
    <col min="21" max="21" width="13.6640625" style="117" customWidth="1"/>
    <col min="22" max="22" width="10.5" style="117" bestFit="1" customWidth="1"/>
    <col min="23" max="16384" width="8.83203125" style="117"/>
  </cols>
  <sheetData>
    <row r="1" spans="2:23">
      <c r="F1" s="118" t="s">
        <v>18</v>
      </c>
      <c r="G1" s="118" t="s">
        <v>182</v>
      </c>
      <c r="T1" s="117" t="s">
        <v>18</v>
      </c>
      <c r="V1" s="117" t="s">
        <v>324</v>
      </c>
    </row>
    <row r="2" spans="2:23">
      <c r="E2" s="117" t="s">
        <v>325</v>
      </c>
      <c r="F2" s="129">
        <f>U15</f>
        <v>1788</v>
      </c>
      <c r="G2" s="121">
        <f>W15</f>
        <v>6955</v>
      </c>
      <c r="H2" s="117" t="s">
        <v>326</v>
      </c>
      <c r="I2" s="117" t="s">
        <v>327</v>
      </c>
      <c r="O2" s="600" t="s">
        <v>328</v>
      </c>
      <c r="P2" s="600"/>
      <c r="Q2" s="600"/>
      <c r="T2" s="130" t="s">
        <v>329</v>
      </c>
      <c r="U2" s="117" t="s">
        <v>330</v>
      </c>
      <c r="V2" s="130" t="s">
        <v>329</v>
      </c>
      <c r="W2" s="117" t="s">
        <v>330</v>
      </c>
    </row>
    <row r="3" spans="2:23">
      <c r="E3" s="117" t="s">
        <v>331</v>
      </c>
      <c r="F3" s="117">
        <v>3.4299999999999997E-2</v>
      </c>
      <c r="G3" s="117">
        <f>F3</f>
        <v>3.4299999999999997E-2</v>
      </c>
      <c r="H3" s="117" t="s">
        <v>332</v>
      </c>
      <c r="I3" s="117" t="s">
        <v>333</v>
      </c>
      <c r="O3" s="117" t="s">
        <v>172</v>
      </c>
      <c r="P3" s="131">
        <f ca="1">Weather!AO39</f>
        <v>852.55166666666662</v>
      </c>
      <c r="Q3" s="123">
        <f t="shared" ref="Q3:Q8" ca="1" si="0">P3/$P$15</f>
        <v>0.18541607028564938</v>
      </c>
      <c r="R3" s="601">
        <f ca="1">SUM(Q3:Q9)</f>
        <v>0.62661074980125164</v>
      </c>
      <c r="T3" s="132">
        <v>419</v>
      </c>
      <c r="U3" s="121">
        <f t="shared" ref="U3:U8" si="1">MAX(T3-$T$9,0)</f>
        <v>368</v>
      </c>
      <c r="V3" s="129">
        <v>1640</v>
      </c>
      <c r="W3" s="121">
        <f t="shared" ref="W3:W8" si="2">MAX(V3-$V$9,0)</f>
        <v>1491</v>
      </c>
    </row>
    <row r="4" spans="2:23">
      <c r="E4" s="117" t="s">
        <v>334</v>
      </c>
      <c r="F4" s="117">
        <v>277</v>
      </c>
      <c r="G4" s="117">
        <f>F4</f>
        <v>277</v>
      </c>
      <c r="H4" s="117" t="s">
        <v>335</v>
      </c>
      <c r="I4" s="117" t="s">
        <v>333</v>
      </c>
      <c r="O4" s="117" t="s">
        <v>173</v>
      </c>
      <c r="P4" s="131">
        <f ca="1">Weather!AO40</f>
        <v>747.22854166666662</v>
      </c>
      <c r="Q4" s="123">
        <f t="shared" ca="1" si="0"/>
        <v>0.16251000991272468</v>
      </c>
      <c r="R4" s="601"/>
      <c r="T4" s="132">
        <v>404</v>
      </c>
      <c r="U4" s="121">
        <f t="shared" si="1"/>
        <v>353</v>
      </c>
      <c r="V4" s="129">
        <v>1463</v>
      </c>
      <c r="W4" s="121">
        <f t="shared" si="2"/>
        <v>1314</v>
      </c>
    </row>
    <row r="5" spans="2:23">
      <c r="E5" s="117" t="s">
        <v>336</v>
      </c>
      <c r="F5" s="117">
        <f>F3*F4</f>
        <v>9.5010999999999992</v>
      </c>
      <c r="G5" s="117">
        <f>G3*G4</f>
        <v>9.5010999999999992</v>
      </c>
      <c r="H5" s="117" t="s">
        <v>337</v>
      </c>
      <c r="O5" s="117" t="s">
        <v>174</v>
      </c>
      <c r="P5" s="131">
        <f ca="1">Weather!AO41</f>
        <v>636.29604166666672</v>
      </c>
      <c r="Q5" s="123">
        <f t="shared" ca="1" si="0"/>
        <v>0.13838400204579646</v>
      </c>
      <c r="R5" s="601"/>
      <c r="T5" s="132">
        <v>354</v>
      </c>
      <c r="U5" s="121">
        <f t="shared" si="1"/>
        <v>303</v>
      </c>
      <c r="V5" s="129">
        <v>1262</v>
      </c>
      <c r="W5" s="121">
        <f t="shared" si="2"/>
        <v>1113</v>
      </c>
    </row>
    <row r="6" spans="2:23">
      <c r="E6" s="117" t="s">
        <v>338</v>
      </c>
      <c r="F6" s="564">
        <f>F2*F5</f>
        <v>16987.966799999998</v>
      </c>
      <c r="G6" s="564">
        <f>G2*G5</f>
        <v>66080.150499999989</v>
      </c>
      <c r="H6" s="117" t="s">
        <v>339</v>
      </c>
      <c r="J6" s="121"/>
      <c r="O6" s="117" t="s">
        <v>175</v>
      </c>
      <c r="P6" s="131">
        <f ca="1">Weather!AO42</f>
        <v>408.60374999999999</v>
      </c>
      <c r="Q6" s="123">
        <f t="shared" ca="1" si="0"/>
        <v>8.886464550024914E-2</v>
      </c>
      <c r="R6" s="601"/>
      <c r="T6" s="132">
        <v>252</v>
      </c>
      <c r="U6" s="121">
        <f t="shared" si="1"/>
        <v>201</v>
      </c>
      <c r="V6" s="129">
        <v>679</v>
      </c>
      <c r="W6" s="121">
        <f t="shared" si="2"/>
        <v>530</v>
      </c>
    </row>
    <row r="7" spans="2:23">
      <c r="E7" s="117" t="s">
        <v>340</v>
      </c>
      <c r="F7" s="117">
        <v>2.5499999999999998</v>
      </c>
      <c r="G7" s="117">
        <v>2.5499999999999998</v>
      </c>
      <c r="H7" s="117" t="s">
        <v>341</v>
      </c>
      <c r="I7" s="94" t="s">
        <v>342</v>
      </c>
      <c r="O7" s="117" t="s">
        <v>86</v>
      </c>
      <c r="P7" s="131">
        <f ca="1">Weather!AO43</f>
        <v>178.10395833333331</v>
      </c>
      <c r="Q7" s="123">
        <f t="shared" ca="1" si="0"/>
        <v>3.8734703534861858E-2</v>
      </c>
      <c r="R7" s="601"/>
      <c r="T7" s="132">
        <v>158</v>
      </c>
      <c r="U7" s="121">
        <f t="shared" si="1"/>
        <v>107</v>
      </c>
      <c r="V7" s="129">
        <v>331</v>
      </c>
      <c r="W7" s="121">
        <f t="shared" si="2"/>
        <v>182</v>
      </c>
    </row>
    <row r="8" spans="2:23">
      <c r="E8" s="117" t="s">
        <v>343</v>
      </c>
      <c r="F8" s="127">
        <f>F6/F7</f>
        <v>6661.947764705882</v>
      </c>
      <c r="G8" s="127">
        <f>G6/G7</f>
        <v>25913.784509803918</v>
      </c>
      <c r="H8" s="117" t="s">
        <v>339</v>
      </c>
      <c r="O8" s="117" t="s">
        <v>165</v>
      </c>
      <c r="P8" s="131">
        <f ca="1">Weather!AO44</f>
        <v>51.834166666666661</v>
      </c>
      <c r="Q8" s="123">
        <f t="shared" ca="1" si="0"/>
        <v>1.1273085099278124E-2</v>
      </c>
      <c r="R8" s="601"/>
      <c r="T8" s="132">
        <v>69</v>
      </c>
      <c r="U8" s="121">
        <f t="shared" si="1"/>
        <v>18</v>
      </c>
      <c r="V8" s="129">
        <v>82</v>
      </c>
      <c r="W8" s="121">
        <f t="shared" si="2"/>
        <v>0</v>
      </c>
    </row>
    <row r="9" spans="2:23">
      <c r="O9" s="117" t="s">
        <v>166</v>
      </c>
      <c r="P9" s="131">
        <f ca="1">Weather!AO45</f>
        <v>6.5670833333333318</v>
      </c>
      <c r="Q9" s="123">
        <f t="shared" ref="Q9:Q14" ca="1" si="3">P9/$P$15</f>
        <v>1.4282334226919382E-3</v>
      </c>
      <c r="R9" s="601"/>
      <c r="T9" s="132">
        <v>51</v>
      </c>
      <c r="U9" s="121">
        <f t="shared" ref="U9:U14" si="4">MAX(T9-$T$9,0)</f>
        <v>0</v>
      </c>
      <c r="V9" s="129">
        <v>149</v>
      </c>
      <c r="W9" s="121">
        <f t="shared" ref="W9:W14" si="5">MAX(V9-$V$9,0)</f>
        <v>0</v>
      </c>
    </row>
    <row r="10" spans="2:23">
      <c r="O10" s="117" t="s">
        <v>167</v>
      </c>
      <c r="P10" s="131">
        <f ca="1">Weather!AO46</f>
        <v>23.263124999999995</v>
      </c>
      <c r="Q10" s="123">
        <f t="shared" ca="1" si="3"/>
        <v>5.059349935855907E-3</v>
      </c>
      <c r="R10" s="601">
        <f ca="1">SUM(Q10:Q14)</f>
        <v>0.37338925019874836</v>
      </c>
      <c r="T10" s="132">
        <v>54</v>
      </c>
      <c r="U10" s="121">
        <f t="shared" si="4"/>
        <v>3</v>
      </c>
      <c r="V10" s="129">
        <v>166</v>
      </c>
      <c r="W10" s="121">
        <f t="shared" si="5"/>
        <v>17</v>
      </c>
    </row>
    <row r="11" spans="2:23">
      <c r="O11" s="117" t="s">
        <v>176</v>
      </c>
      <c r="P11" s="131">
        <f ca="1">Weather!AO47</f>
        <v>114.73583333333336</v>
      </c>
      <c r="Q11" s="123">
        <f t="shared" ca="1" si="3"/>
        <v>2.4953170780596945E-2</v>
      </c>
      <c r="R11" s="601"/>
      <c r="T11" s="132">
        <v>58</v>
      </c>
      <c r="U11" s="121">
        <f t="shared" si="4"/>
        <v>7</v>
      </c>
      <c r="V11" s="129">
        <v>193</v>
      </c>
      <c r="W11" s="121">
        <f t="shared" si="5"/>
        <v>44</v>
      </c>
    </row>
    <row r="12" spans="2:23">
      <c r="O12" s="117" t="s">
        <v>177</v>
      </c>
      <c r="P12" s="131">
        <f ca="1">Weather!AO48</f>
        <v>302.40479166666665</v>
      </c>
      <c r="Q12" s="123">
        <f t="shared" ca="1" si="3"/>
        <v>6.5768105674593125E-2</v>
      </c>
      <c r="R12" s="601"/>
      <c r="T12" s="132">
        <v>91</v>
      </c>
      <c r="U12" s="121">
        <f t="shared" si="4"/>
        <v>40</v>
      </c>
      <c r="V12" s="129">
        <v>407</v>
      </c>
      <c r="W12" s="121">
        <f t="shared" si="5"/>
        <v>258</v>
      </c>
    </row>
    <row r="13" spans="2:23">
      <c r="O13" s="117" t="s">
        <v>178</v>
      </c>
      <c r="P13" s="131">
        <f ca="1">Weather!AO49</f>
        <v>526.09395833333338</v>
      </c>
      <c r="Q13" s="123">
        <f t="shared" ca="1" si="3"/>
        <v>0.11441684788040862</v>
      </c>
      <c r="R13" s="601"/>
      <c r="T13" s="132">
        <v>174</v>
      </c>
      <c r="U13" s="121">
        <f t="shared" si="4"/>
        <v>123</v>
      </c>
      <c r="V13" s="129">
        <v>919</v>
      </c>
      <c r="W13" s="121">
        <f t="shared" si="5"/>
        <v>770</v>
      </c>
    </row>
    <row r="14" spans="2:23">
      <c r="O14" s="117" t="s">
        <v>179</v>
      </c>
      <c r="P14" s="131">
        <f ca="1">Weather!AO50</f>
        <v>750.36333333333334</v>
      </c>
      <c r="Q14" s="123">
        <f t="shared" ca="1" si="3"/>
        <v>0.16319177592729375</v>
      </c>
      <c r="R14" s="601"/>
      <c r="T14" s="132">
        <v>316</v>
      </c>
      <c r="U14" s="121">
        <f t="shared" si="4"/>
        <v>265</v>
      </c>
      <c r="V14" s="129">
        <v>1385</v>
      </c>
      <c r="W14" s="121">
        <f t="shared" si="5"/>
        <v>1236</v>
      </c>
    </row>
    <row r="15" spans="2:23">
      <c r="O15" s="117" t="s">
        <v>4</v>
      </c>
      <c r="P15" s="133">
        <f ca="1">SUM(P3:P14)</f>
        <v>4598.0462500000003</v>
      </c>
      <c r="Q15" s="134">
        <f ca="1">SUM(Q3:Q14)</f>
        <v>0.99999999999999989</v>
      </c>
      <c r="R15" s="135"/>
      <c r="T15" s="129">
        <f>SUM(T3:T14)</f>
        <v>2400</v>
      </c>
      <c r="U15" s="129">
        <f>SUM(U3:U14)</f>
        <v>1788</v>
      </c>
      <c r="V15" s="129">
        <f>SUM(V3:V14)</f>
        <v>8676</v>
      </c>
      <c r="W15" s="129">
        <f>SUM(W3:W14)</f>
        <v>6955</v>
      </c>
    </row>
    <row r="16" spans="2:23" ht="18">
      <c r="B16" s="161"/>
      <c r="C16" s="161"/>
      <c r="D16" s="161"/>
      <c r="E16" s="161"/>
      <c r="F16" s="161"/>
      <c r="G16" s="161"/>
      <c r="H16" s="161"/>
      <c r="I16" s="161"/>
      <c r="J16" s="161"/>
      <c r="R16" s="135"/>
    </row>
    <row r="17" spans="2:18">
      <c r="B17" s="122" t="s">
        <v>18</v>
      </c>
      <c r="C17" s="122"/>
      <c r="D17" s="117">
        <v>2022</v>
      </c>
      <c r="E17" s="117">
        <v>2023</v>
      </c>
      <c r="F17" s="117">
        <v>2024</v>
      </c>
      <c r="G17" s="117">
        <v>2025</v>
      </c>
      <c r="H17" s="117">
        <v>2026</v>
      </c>
      <c r="I17" s="117">
        <v>2027</v>
      </c>
      <c r="R17" s="135"/>
    </row>
    <row r="18" spans="2:18">
      <c r="B18" s="117" t="s">
        <v>344</v>
      </c>
      <c r="C18" s="119">
        <f>'Customer Count'!C9</f>
        <v>10078.083333333334</v>
      </c>
      <c r="D18" s="129">
        <f>'Customer Count'!C10</f>
        <v>10168.75</v>
      </c>
      <c r="E18" s="129">
        <f>'Customer Count'!C11</f>
        <v>10282.666666666666</v>
      </c>
      <c r="F18" s="129">
        <f>'Customer Count'!C12</f>
        <v>10350.916666666666</v>
      </c>
      <c r="G18" s="129">
        <f>'Customer Count'!C13</f>
        <v>10391.75</v>
      </c>
      <c r="H18" s="129">
        <f>'Customer Count'!C14</f>
        <v>10495.126481225594</v>
      </c>
      <c r="I18" s="129">
        <f>'Customer Count'!C15</f>
        <v>10599.5313452424</v>
      </c>
      <c r="J18" s="129"/>
    </row>
    <row r="19" spans="2:18">
      <c r="B19" s="117" t="s">
        <v>345</v>
      </c>
      <c r="D19" s="129">
        <f t="shared" ref="D19:I19" si="6">D18-C18</f>
        <v>90.66666666666606</v>
      </c>
      <c r="E19" s="129">
        <f t="shared" si="6"/>
        <v>113.91666666666606</v>
      </c>
      <c r="F19" s="129">
        <f t="shared" si="6"/>
        <v>68.25</v>
      </c>
      <c r="G19" s="129">
        <f t="shared" si="6"/>
        <v>40.83333333333394</v>
      </c>
      <c r="H19" s="129">
        <f t="shared" si="6"/>
        <v>103.37648122559403</v>
      </c>
      <c r="I19" s="129">
        <f t="shared" si="6"/>
        <v>104.40486401680573</v>
      </c>
      <c r="J19" s="129"/>
    </row>
    <row r="20" spans="2:18">
      <c r="B20" s="117" t="s">
        <v>346</v>
      </c>
      <c r="D20" s="136">
        <v>1.5E-3</v>
      </c>
      <c r="E20" s="120">
        <f>D20</f>
        <v>1.5E-3</v>
      </c>
      <c r="F20" s="120">
        <f>E20</f>
        <v>1.5E-3</v>
      </c>
      <c r="G20" s="120">
        <f>F20</f>
        <v>1.5E-3</v>
      </c>
      <c r="H20" s="120">
        <f>G20</f>
        <v>1.5E-3</v>
      </c>
      <c r="I20" s="120">
        <f>H20</f>
        <v>1.5E-3</v>
      </c>
      <c r="J20" s="120"/>
    </row>
    <row r="21" spans="2:18">
      <c r="B21" s="117" t="s">
        <v>347</v>
      </c>
      <c r="D21" s="137">
        <v>0.15</v>
      </c>
      <c r="E21" s="126">
        <v>0.15</v>
      </c>
      <c r="F21" s="126">
        <f>E21</f>
        <v>0.15</v>
      </c>
      <c r="G21" s="126">
        <f>F21</f>
        <v>0.15</v>
      </c>
      <c r="H21" s="126">
        <v>0.15</v>
      </c>
      <c r="I21" s="126">
        <f>H21</f>
        <v>0.15</v>
      </c>
      <c r="J21" s="126"/>
    </row>
    <row r="22" spans="2:18">
      <c r="B22" s="117" t="s">
        <v>348</v>
      </c>
      <c r="D22" s="129">
        <f>D20*(D18-D19)</f>
        <v>15.117125000000001</v>
      </c>
      <c r="E22" s="129">
        <f t="shared" ref="E22:I22" si="7">E20*(E18-E19)</f>
        <v>15.253125000000001</v>
      </c>
      <c r="F22" s="129">
        <f t="shared" si="7"/>
        <v>15.423999999999999</v>
      </c>
      <c r="G22" s="129">
        <f t="shared" si="7"/>
        <v>15.526375</v>
      </c>
      <c r="H22" s="129">
        <f t="shared" si="7"/>
        <v>15.587625000000001</v>
      </c>
      <c r="I22" s="129">
        <f t="shared" si="7"/>
        <v>15.742689721838392</v>
      </c>
      <c r="J22" s="129"/>
    </row>
    <row r="23" spans="2:18">
      <c r="B23" s="117" t="s">
        <v>349</v>
      </c>
      <c r="D23" s="129">
        <f>D21*D19</f>
        <v>13.599999999999909</v>
      </c>
      <c r="E23" s="129">
        <f t="shared" ref="E23:I23" si="8">E21*E19</f>
        <v>17.08749999999991</v>
      </c>
      <c r="F23" s="129">
        <f t="shared" si="8"/>
        <v>10.237499999999999</v>
      </c>
      <c r="G23" s="129">
        <f t="shared" si="8"/>
        <v>6.1250000000000906</v>
      </c>
      <c r="H23" s="129">
        <f t="shared" si="8"/>
        <v>15.506472183839104</v>
      </c>
      <c r="I23" s="129">
        <f t="shared" si="8"/>
        <v>15.66072960252086</v>
      </c>
      <c r="J23" s="129"/>
    </row>
    <row r="24" spans="2:18">
      <c r="B24" s="117" t="s">
        <v>350</v>
      </c>
      <c r="D24" s="129">
        <f t="shared" ref="D24:I24" si="9">D22+D23</f>
        <v>28.717124999999911</v>
      </c>
      <c r="E24" s="129">
        <f t="shared" si="9"/>
        <v>32.34062499999991</v>
      </c>
      <c r="F24" s="129">
        <f t="shared" si="9"/>
        <v>25.661499999999997</v>
      </c>
      <c r="G24" s="129">
        <f t="shared" si="9"/>
        <v>21.65137500000009</v>
      </c>
      <c r="H24" s="129">
        <f t="shared" si="9"/>
        <v>31.094097183839104</v>
      </c>
      <c r="I24" s="129">
        <f t="shared" si="9"/>
        <v>31.403419324359252</v>
      </c>
      <c r="J24" s="129"/>
    </row>
    <row r="25" spans="2:18">
      <c r="B25" s="117" t="s">
        <v>339</v>
      </c>
      <c r="D25" s="129">
        <f t="shared" ref="D25:I25" si="10">$F$8</f>
        <v>6661.947764705882</v>
      </c>
      <c r="E25" s="129">
        <f t="shared" si="10"/>
        <v>6661.947764705882</v>
      </c>
      <c r="F25" s="129">
        <f t="shared" si="10"/>
        <v>6661.947764705882</v>
      </c>
      <c r="G25" s="129">
        <f t="shared" si="10"/>
        <v>6661.947764705882</v>
      </c>
      <c r="H25" s="129">
        <f t="shared" si="10"/>
        <v>6661.947764705882</v>
      </c>
      <c r="I25" s="129">
        <f t="shared" si="10"/>
        <v>6661.947764705882</v>
      </c>
      <c r="J25" s="129"/>
    </row>
    <row r="26" spans="2:18">
      <c r="B26" s="122" t="s">
        <v>351</v>
      </c>
      <c r="C26" s="122"/>
      <c r="D26" s="138">
        <f t="shared" ref="D26:I26" si="11">D24*D25</f>
        <v>191311.98670252881</v>
      </c>
      <c r="E26" s="138">
        <f t="shared" si="11"/>
        <v>215451.55442794057</v>
      </c>
      <c r="F26" s="138">
        <f t="shared" si="11"/>
        <v>170955.57256399997</v>
      </c>
      <c r="G26" s="138">
        <f t="shared" si="11"/>
        <v>144240.32928405941</v>
      </c>
      <c r="H26" s="138">
        <f t="shared" si="11"/>
        <v>207147.25122942438</v>
      </c>
      <c r="I26" s="138">
        <f t="shared" si="11"/>
        <v>209207.93917203663</v>
      </c>
      <c r="J26" s="138"/>
      <c r="L26" s="129"/>
      <c r="M26" s="129"/>
    </row>
    <row r="27" spans="2:18">
      <c r="D27" s="129"/>
      <c r="E27" s="129"/>
      <c r="F27" s="129"/>
      <c r="G27" s="129"/>
      <c r="H27" s="129"/>
      <c r="I27" s="129"/>
      <c r="J27" s="129"/>
    </row>
    <row r="28" spans="2:18">
      <c r="B28" s="122" t="s">
        <v>182</v>
      </c>
      <c r="C28" s="122"/>
      <c r="D28" s="129"/>
      <c r="E28" s="129"/>
      <c r="F28" s="129"/>
      <c r="G28" s="129"/>
      <c r="H28" s="129"/>
      <c r="I28" s="129"/>
      <c r="J28" s="129"/>
    </row>
    <row r="29" spans="2:18">
      <c r="B29" s="117" t="s">
        <v>344</v>
      </c>
      <c r="C29" s="129">
        <f>'Customer Count'!G9</f>
        <v>1278.4166666666667</v>
      </c>
      <c r="D29" s="129">
        <f>'Customer Count'!G10</f>
        <v>1277.75</v>
      </c>
      <c r="E29" s="129">
        <f>'Customer Count'!G11</f>
        <v>1269.5833333333333</v>
      </c>
      <c r="F29" s="129">
        <f>'Customer Count'!G12</f>
        <v>1276.4166666666667</v>
      </c>
      <c r="G29" s="129">
        <f>'Customer Count'!G13</f>
        <v>1271.75</v>
      </c>
      <c r="H29" s="129">
        <f>'Customer Count'!G14</f>
        <v>1269.4651062046864</v>
      </c>
      <c r="I29" s="129">
        <f>'Customer Count'!G15</f>
        <v>1267.1843175712804</v>
      </c>
      <c r="J29" s="129"/>
    </row>
    <row r="30" spans="2:18">
      <c r="B30" s="117" t="s">
        <v>345</v>
      </c>
      <c r="D30" s="129">
        <f t="shared" ref="D30:I30" si="12">D29-C29</f>
        <v>-0.66666666666674246</v>
      </c>
      <c r="E30" s="129">
        <f t="shared" si="12"/>
        <v>-8.1666666666667425</v>
      </c>
      <c r="F30" s="129">
        <f t="shared" si="12"/>
        <v>6.8333333333334849</v>
      </c>
      <c r="G30" s="129">
        <f t="shared" si="12"/>
        <v>-4.6666666666667425</v>
      </c>
      <c r="H30" s="129">
        <f t="shared" si="12"/>
        <v>-2.2848937953135646</v>
      </c>
      <c r="I30" s="129">
        <f t="shared" si="12"/>
        <v>-2.2807886334060186</v>
      </c>
      <c r="J30" s="129"/>
    </row>
    <row r="31" spans="2:18">
      <c r="B31" s="117" t="s">
        <v>346</v>
      </c>
      <c r="D31" s="136">
        <f>D20</f>
        <v>1.5E-3</v>
      </c>
      <c r="E31" s="120">
        <f>D31</f>
        <v>1.5E-3</v>
      </c>
      <c r="F31" s="120">
        <f t="shared" ref="F31:I32" si="13">E31</f>
        <v>1.5E-3</v>
      </c>
      <c r="G31" s="120">
        <f t="shared" si="13"/>
        <v>1.5E-3</v>
      </c>
      <c r="H31" s="120">
        <f t="shared" si="13"/>
        <v>1.5E-3</v>
      </c>
      <c r="I31" s="120">
        <f t="shared" si="13"/>
        <v>1.5E-3</v>
      </c>
      <c r="J31" s="120"/>
    </row>
    <row r="32" spans="2:18">
      <c r="B32" s="117" t="s">
        <v>347</v>
      </c>
      <c r="D32" s="222">
        <v>0.15</v>
      </c>
      <c r="E32" s="126">
        <f>D32</f>
        <v>0.15</v>
      </c>
      <c r="F32" s="126">
        <f t="shared" si="13"/>
        <v>0.15</v>
      </c>
      <c r="G32" s="126">
        <f t="shared" si="13"/>
        <v>0.15</v>
      </c>
      <c r="H32" s="126">
        <f t="shared" si="13"/>
        <v>0.15</v>
      </c>
      <c r="I32" s="126">
        <f t="shared" si="13"/>
        <v>0.15</v>
      </c>
      <c r="J32" s="126"/>
    </row>
    <row r="33" spans="2:14">
      <c r="B33" s="117" t="s">
        <v>348</v>
      </c>
      <c r="D33" s="129">
        <f>D31*(D29-D30)</f>
        <v>1.9176250000000001</v>
      </c>
      <c r="E33" s="129">
        <f t="shared" ref="E33:I33" si="14">E31*(E29-E30)</f>
        <v>1.916625</v>
      </c>
      <c r="F33" s="129">
        <f t="shared" si="14"/>
        <v>1.9043749999999999</v>
      </c>
      <c r="G33" s="129">
        <f t="shared" si="14"/>
        <v>1.9146250000000002</v>
      </c>
      <c r="H33" s="129">
        <f t="shared" si="14"/>
        <v>1.9076250000000001</v>
      </c>
      <c r="I33" s="129">
        <f t="shared" si="14"/>
        <v>1.9041976593070298</v>
      </c>
      <c r="J33" s="129"/>
    </row>
    <row r="34" spans="2:14">
      <c r="B34" s="117" t="s">
        <v>349</v>
      </c>
      <c r="D34" s="129">
        <f t="shared" ref="D34:I34" si="15">MAX(D32*D30,0)</f>
        <v>0</v>
      </c>
      <c r="E34" s="129">
        <f t="shared" si="15"/>
        <v>0</v>
      </c>
      <c r="F34" s="129">
        <f t="shared" si="15"/>
        <v>1.0250000000000228</v>
      </c>
      <c r="G34" s="129">
        <f t="shared" si="15"/>
        <v>0</v>
      </c>
      <c r="H34" s="129">
        <f t="shared" si="15"/>
        <v>0</v>
      </c>
      <c r="I34" s="129">
        <f t="shared" si="15"/>
        <v>0</v>
      </c>
      <c r="J34" s="129"/>
    </row>
    <row r="35" spans="2:14">
      <c r="B35" s="117" t="s">
        <v>350</v>
      </c>
      <c r="D35" s="129">
        <f t="shared" ref="D35:I35" si="16">D33+D34</f>
        <v>1.9176250000000001</v>
      </c>
      <c r="E35" s="129">
        <f t="shared" si="16"/>
        <v>1.916625</v>
      </c>
      <c r="F35" s="129">
        <f t="shared" si="16"/>
        <v>2.9293750000000225</v>
      </c>
      <c r="G35" s="129">
        <f t="shared" si="16"/>
        <v>1.9146250000000002</v>
      </c>
      <c r="H35" s="129">
        <f t="shared" si="16"/>
        <v>1.9076250000000001</v>
      </c>
      <c r="I35" s="129">
        <f t="shared" si="16"/>
        <v>1.9041976593070298</v>
      </c>
      <c r="J35" s="129"/>
    </row>
    <row r="36" spans="2:14">
      <c r="B36" s="117" t="s">
        <v>339</v>
      </c>
      <c r="D36" s="129">
        <f>G8</f>
        <v>25913.784509803918</v>
      </c>
      <c r="E36" s="129">
        <f>D36</f>
        <v>25913.784509803918</v>
      </c>
      <c r="F36" s="129">
        <f>E36</f>
        <v>25913.784509803918</v>
      </c>
      <c r="G36" s="129">
        <f>F36</f>
        <v>25913.784509803918</v>
      </c>
      <c r="H36" s="129">
        <f>G36</f>
        <v>25913.784509803918</v>
      </c>
      <c r="I36" s="129">
        <f>H36</f>
        <v>25913.784509803918</v>
      </c>
      <c r="J36" s="129"/>
    </row>
    <row r="37" spans="2:14">
      <c r="B37" s="122" t="s">
        <v>351</v>
      </c>
      <c r="C37" s="122"/>
      <c r="D37" s="138">
        <f t="shared" ref="D37:I37" si="17">D35*D36</f>
        <v>49692.921020612739</v>
      </c>
      <c r="E37" s="138">
        <f t="shared" si="17"/>
        <v>49667.007236102938</v>
      </c>
      <c r="F37" s="138">
        <f t="shared" si="17"/>
        <v>75911.192498407429</v>
      </c>
      <c r="G37" s="138">
        <f t="shared" si="17"/>
        <v>49615.179667083336</v>
      </c>
      <c r="H37" s="138">
        <f t="shared" si="17"/>
        <v>49433.783175514705</v>
      </c>
      <c r="I37" s="138">
        <f t="shared" si="17"/>
        <v>49344.967807355388</v>
      </c>
      <c r="J37" s="138"/>
      <c r="L37" s="129"/>
      <c r="M37" s="129"/>
    </row>
    <row r="38" spans="2:14">
      <c r="D38" s="129"/>
      <c r="E38" s="126"/>
      <c r="F38" s="126"/>
      <c r="G38" s="126"/>
    </row>
    <row r="40" spans="2:14">
      <c r="L40" s="124"/>
      <c r="M40" s="139"/>
    </row>
    <row r="41" spans="2:14">
      <c r="D41" s="117">
        <v>2022</v>
      </c>
      <c r="E41" s="117">
        <v>2023</v>
      </c>
      <c r="F41" s="117">
        <v>2024</v>
      </c>
      <c r="G41" s="117">
        <v>2025</v>
      </c>
      <c r="H41" s="117">
        <v>2026</v>
      </c>
      <c r="I41" s="117">
        <v>2027</v>
      </c>
      <c r="J41" s="117">
        <v>2028</v>
      </c>
      <c r="L41" s="124"/>
      <c r="M41" s="140"/>
      <c r="N41" s="141"/>
    </row>
    <row r="42" spans="2:14">
      <c r="B42" s="117" t="s">
        <v>352</v>
      </c>
      <c r="D42" s="121">
        <f t="shared" ref="D42:J42" si="18">D26</f>
        <v>191311.98670252881</v>
      </c>
      <c r="E42" s="121">
        <f t="shared" si="18"/>
        <v>215451.55442794057</v>
      </c>
      <c r="F42" s="121">
        <f t="shared" si="18"/>
        <v>170955.57256399997</v>
      </c>
      <c r="G42" s="121">
        <f t="shared" si="18"/>
        <v>144240.32928405941</v>
      </c>
      <c r="H42" s="121">
        <f t="shared" si="18"/>
        <v>207147.25122942438</v>
      </c>
      <c r="I42" s="121">
        <f t="shared" si="18"/>
        <v>209207.93917203663</v>
      </c>
      <c r="J42" s="121">
        <f t="shared" si="18"/>
        <v>0</v>
      </c>
      <c r="K42" s="121"/>
      <c r="L42" s="124"/>
      <c r="M42" s="140"/>
      <c r="N42" s="141"/>
    </row>
    <row r="43" spans="2:14">
      <c r="B43" s="117" t="s">
        <v>353</v>
      </c>
      <c r="D43" s="129">
        <f t="shared" ref="D43:J43" ca="1" si="19">C42*$R$3</f>
        <v>0</v>
      </c>
      <c r="E43" s="129">
        <f t="shared" ca="1" si="19"/>
        <v>119878.14743363866</v>
      </c>
      <c r="F43" s="129">
        <f t="shared" ca="1" si="19"/>
        <v>135004.26006593701</v>
      </c>
      <c r="G43" s="129">
        <f t="shared" ca="1" si="19"/>
        <v>107122.5995070303</v>
      </c>
      <c r="H43" s="129">
        <f t="shared" ca="1" si="19"/>
        <v>90382.540884263901</v>
      </c>
      <c r="I43" s="129">
        <f t="shared" ca="1" si="19"/>
        <v>129800.69441213786</v>
      </c>
      <c r="J43" s="129">
        <f t="shared" ca="1" si="19"/>
        <v>131091.94362896451</v>
      </c>
      <c r="K43" s="129"/>
      <c r="L43" s="124"/>
      <c r="M43" s="140"/>
      <c r="N43" s="141"/>
    </row>
    <row r="44" spans="2:14">
      <c r="B44" s="117" t="s">
        <v>354</v>
      </c>
      <c r="D44" s="129">
        <f t="shared" ref="D44:J44" ca="1" si="20">D42*$R$10</f>
        <v>71433.839268890151</v>
      </c>
      <c r="E44" s="129">
        <f t="shared" ca="1" si="20"/>
        <v>80447.294362003551</v>
      </c>
      <c r="F44" s="129">
        <f t="shared" ca="1" si="20"/>
        <v>63832.973056969669</v>
      </c>
      <c r="G44" s="129">
        <f t="shared" ca="1" si="20"/>
        <v>53857.788399795507</v>
      </c>
      <c r="H44" s="129">
        <f t="shared" ca="1" si="20"/>
        <v>77346.556817286517</v>
      </c>
      <c r="I44" s="129">
        <f t="shared" ca="1" si="20"/>
        <v>78115.995543072117</v>
      </c>
      <c r="J44" s="129">
        <f t="shared" ca="1" si="20"/>
        <v>0</v>
      </c>
      <c r="K44" s="129"/>
      <c r="L44" s="124"/>
      <c r="M44" s="140"/>
      <c r="N44" s="141"/>
    </row>
    <row r="45" spans="2:14">
      <c r="B45" s="122" t="s">
        <v>355</v>
      </c>
      <c r="C45" s="122"/>
      <c r="D45" s="125">
        <f t="shared" ref="D45:J45" ca="1" si="21">D43+D44</f>
        <v>71433.839268890151</v>
      </c>
      <c r="E45" s="125">
        <f t="shared" ca="1" si="21"/>
        <v>200325.4417956422</v>
      </c>
      <c r="F45" s="125">
        <f t="shared" ca="1" si="21"/>
        <v>198837.23312290668</v>
      </c>
      <c r="G45" s="125">
        <f t="shared" ca="1" si="21"/>
        <v>160980.38790682581</v>
      </c>
      <c r="H45" s="125">
        <f t="shared" ca="1" si="21"/>
        <v>167729.0977015504</v>
      </c>
      <c r="I45" s="125">
        <f t="shared" ca="1" si="21"/>
        <v>207916.68995520996</v>
      </c>
      <c r="J45" s="125">
        <f t="shared" ca="1" si="21"/>
        <v>131091.94362896451</v>
      </c>
      <c r="K45" s="125"/>
      <c r="M45" s="140"/>
    </row>
    <row r="46" spans="2:14">
      <c r="B46" s="117" t="s">
        <v>356</v>
      </c>
      <c r="D46" s="121">
        <f t="shared" ref="D46:I46" si="22">D37</f>
        <v>49692.921020612739</v>
      </c>
      <c r="E46" s="121">
        <f t="shared" si="22"/>
        <v>49667.007236102938</v>
      </c>
      <c r="F46" s="121">
        <f t="shared" si="22"/>
        <v>75911.192498407429</v>
      </c>
      <c r="G46" s="121">
        <f t="shared" si="22"/>
        <v>49615.179667083336</v>
      </c>
      <c r="H46" s="121">
        <f t="shared" si="22"/>
        <v>49433.783175514705</v>
      </c>
      <c r="I46" s="121">
        <f t="shared" si="22"/>
        <v>49344.967807355388</v>
      </c>
      <c r="J46" s="121">
        <f>J37</f>
        <v>0</v>
      </c>
      <c r="K46" s="121"/>
    </row>
    <row r="47" spans="2:14">
      <c r="B47" s="117" t="s">
        <v>353</v>
      </c>
      <c r="D47" s="129">
        <f t="shared" ref="D47:J47" ca="1" si="23">C46*$R$3</f>
        <v>0</v>
      </c>
      <c r="E47" s="129">
        <f t="shared" ca="1" si="23"/>
        <v>31138.118500540528</v>
      </c>
      <c r="F47" s="129">
        <f t="shared" ca="1" si="23"/>
        <v>31121.880644598652</v>
      </c>
      <c r="G47" s="129">
        <f t="shared" ca="1" si="23"/>
        <v>47566.769249734229</v>
      </c>
      <c r="H47" s="129">
        <f t="shared" ca="1" si="23"/>
        <v>31089.404932714904</v>
      </c>
      <c r="I47" s="129">
        <f t="shared" ca="1" si="23"/>
        <v>30975.739941121767</v>
      </c>
      <c r="J47" s="129">
        <f t="shared" ca="1" si="23"/>
        <v>30920.087276685583</v>
      </c>
      <c r="K47" s="129"/>
    </row>
    <row r="48" spans="2:14">
      <c r="B48" s="117" t="s">
        <v>354</v>
      </c>
      <c r="D48" s="129">
        <f t="shared" ref="D48:J48" ca="1" si="24">D46*$R$10</f>
        <v>18554.802520072211</v>
      </c>
      <c r="E48" s="129">
        <f t="shared" ca="1" si="24"/>
        <v>18545.126591504286</v>
      </c>
      <c r="F48" s="129">
        <f t="shared" ca="1" si="24"/>
        <v>28344.4232486732</v>
      </c>
      <c r="G48" s="129">
        <f t="shared" ca="1" si="24"/>
        <v>18525.774734368431</v>
      </c>
      <c r="H48" s="129">
        <f t="shared" ca="1" si="24"/>
        <v>18458.043234392939</v>
      </c>
      <c r="I48" s="129">
        <f t="shared" ca="1" si="24"/>
        <v>18424.880530669805</v>
      </c>
      <c r="J48" s="129">
        <f t="shared" ca="1" si="24"/>
        <v>0</v>
      </c>
      <c r="K48" s="129"/>
    </row>
    <row r="49" spans="2:11">
      <c r="B49" s="122" t="s">
        <v>355</v>
      </c>
      <c r="C49" s="122"/>
      <c r="D49" s="125">
        <f t="shared" ref="D49:J49" ca="1" si="25">D47+D48</f>
        <v>18554.802520072211</v>
      </c>
      <c r="E49" s="125">
        <f t="shared" ca="1" si="25"/>
        <v>49683.245092044817</v>
      </c>
      <c r="F49" s="125">
        <f t="shared" ca="1" si="25"/>
        <v>59466.303893271848</v>
      </c>
      <c r="G49" s="125">
        <f t="shared" ca="1" si="25"/>
        <v>66092.543984102667</v>
      </c>
      <c r="H49" s="125">
        <f t="shared" ca="1" si="25"/>
        <v>49547.448167107839</v>
      </c>
      <c r="I49" s="125">
        <f t="shared" ca="1" si="25"/>
        <v>49400.620471791568</v>
      </c>
      <c r="J49" s="125">
        <f t="shared" ca="1" si="25"/>
        <v>30920.087276685583</v>
      </c>
      <c r="K49" s="125"/>
    </row>
    <row r="53" spans="2:11" ht="28.9">
      <c r="D53" s="142"/>
      <c r="E53" s="142"/>
      <c r="F53" s="142" t="s">
        <v>357</v>
      </c>
      <c r="G53" s="142" t="s">
        <v>358</v>
      </c>
      <c r="H53" s="142"/>
    </row>
    <row r="54" spans="2:11">
      <c r="C54" s="117" t="s">
        <v>18</v>
      </c>
      <c r="D54" s="127"/>
      <c r="E54" s="127"/>
      <c r="F54" s="127">
        <f ca="1">H45</f>
        <v>167729.0977015504</v>
      </c>
      <c r="G54" s="127">
        <f ca="1">I45</f>
        <v>207916.68995520996</v>
      </c>
      <c r="H54" s="127"/>
    </row>
    <row r="55" spans="2:11">
      <c r="B55" s="552" t="s">
        <v>359</v>
      </c>
      <c r="C55" s="117" t="s">
        <v>19</v>
      </c>
      <c r="D55" s="127"/>
      <c r="E55" s="127"/>
      <c r="F55" s="127">
        <f ca="1">H49</f>
        <v>49547.448167107839</v>
      </c>
      <c r="G55" s="127">
        <f ca="1">I49</f>
        <v>49400.620471791568</v>
      </c>
      <c r="H55" s="127"/>
    </row>
    <row r="56" spans="2:11">
      <c r="C56" s="117" t="s">
        <v>4</v>
      </c>
      <c r="D56" s="128"/>
      <c r="E56" s="128"/>
      <c r="F56" s="128">
        <f ca="1">SUM(F54:F55)</f>
        <v>217276.54586865823</v>
      </c>
      <c r="G56" s="128">
        <f ca="1">SUM(G54:G55)</f>
        <v>257317.31042700153</v>
      </c>
      <c r="H56" s="128"/>
    </row>
    <row r="58" spans="2:11">
      <c r="E58" s="118"/>
      <c r="F58" s="117">
        <v>2026</v>
      </c>
      <c r="G58" s="117">
        <v>2027</v>
      </c>
    </row>
    <row r="59" spans="2:11">
      <c r="C59" s="117" t="str">
        <f>C54</f>
        <v>Residential</v>
      </c>
      <c r="D59" s="127"/>
      <c r="E59" s="127"/>
      <c r="F59" s="127">
        <f ca="1">SUM($D54:F54)</f>
        <v>167729.0977015504</v>
      </c>
      <c r="G59" s="127">
        <f ca="1">SUM($D54:G54)</f>
        <v>375645.78765676037</v>
      </c>
      <c r="H59" s="127"/>
    </row>
    <row r="60" spans="2:11">
      <c r="C60" s="117" t="str">
        <f>C55</f>
        <v>GS &lt; 50</v>
      </c>
      <c r="D60" s="127"/>
      <c r="E60" s="127"/>
      <c r="F60" s="127">
        <f ca="1">SUM($D55:F55)</f>
        <v>49547.448167107839</v>
      </c>
      <c r="G60" s="127">
        <f ca="1">SUM($D55:G55)</f>
        <v>98948.068638899407</v>
      </c>
      <c r="H60" s="127"/>
    </row>
    <row r="61" spans="2:11">
      <c r="C61" s="122" t="s">
        <v>4</v>
      </c>
      <c r="D61" s="128"/>
      <c r="E61" s="128"/>
      <c r="F61" s="128">
        <f ca="1">F59+F60</f>
        <v>217276.54586865823</v>
      </c>
      <c r="G61" s="128">
        <f ca="1">G59+G60</f>
        <v>474593.85629565979</v>
      </c>
      <c r="H61" s="128"/>
    </row>
    <row r="66" spans="2:11">
      <c r="D66" s="117">
        <f>D17</f>
        <v>2022</v>
      </c>
      <c r="E66" s="117">
        <f t="shared" ref="E66:I66" si="26">E17</f>
        <v>2023</v>
      </c>
      <c r="F66" s="117">
        <f t="shared" si="26"/>
        <v>2024</v>
      </c>
      <c r="G66" s="117">
        <f t="shared" si="26"/>
        <v>2025</v>
      </c>
      <c r="H66" s="117">
        <f t="shared" si="26"/>
        <v>2026</v>
      </c>
      <c r="I66" s="117">
        <f t="shared" si="26"/>
        <v>2027</v>
      </c>
    </row>
    <row r="68" spans="2:11">
      <c r="C68" s="117" t="str">
        <f>B20</f>
        <v>Existing Conversions %</v>
      </c>
      <c r="D68" s="562">
        <v>1E-3</v>
      </c>
      <c r="E68" s="124">
        <f>D68</f>
        <v>1E-3</v>
      </c>
      <c r="F68" s="124">
        <f t="shared" ref="F68:G68" si="27">E68</f>
        <v>1E-3</v>
      </c>
      <c r="G68" s="124">
        <f t="shared" si="27"/>
        <v>1E-3</v>
      </c>
      <c r="H68" s="124">
        <f t="shared" ref="H68:I68" si="28">G68</f>
        <v>1E-3</v>
      </c>
      <c r="I68" s="124">
        <f t="shared" si="28"/>
        <v>1E-3</v>
      </c>
      <c r="J68" s="124"/>
      <c r="K68" s="124"/>
    </row>
    <row r="69" spans="2:11">
      <c r="B69" s="552" t="s">
        <v>360</v>
      </c>
      <c r="C69" s="117" t="str">
        <f>B21</f>
        <v>New Connection %</v>
      </c>
      <c r="D69" s="553">
        <v>0.1</v>
      </c>
      <c r="E69" s="553">
        <f>D69</f>
        <v>0.1</v>
      </c>
      <c r="F69" s="553">
        <f t="shared" ref="F69:G69" si="29">E69</f>
        <v>0.1</v>
      </c>
      <c r="G69" s="553">
        <f t="shared" si="29"/>
        <v>0.1</v>
      </c>
      <c r="H69" s="553">
        <f t="shared" ref="H69:I69" si="30">G69</f>
        <v>0.1</v>
      </c>
      <c r="I69" s="553">
        <f t="shared" si="30"/>
        <v>0.1</v>
      </c>
      <c r="J69" s="553"/>
      <c r="K69" s="553"/>
    </row>
    <row r="70" spans="2:11">
      <c r="C70" s="117" t="str">
        <f>B24</f>
        <v>Total Connections</v>
      </c>
      <c r="D70" s="554">
        <f>D68*(D18-D19)+D69*D19</f>
        <v>19.144749999999938</v>
      </c>
      <c r="E70" s="554">
        <f t="shared" ref="E70:I70" si="31">E68*(E18-E19)+E69*E19</f>
        <v>21.560416666666608</v>
      </c>
      <c r="F70" s="554">
        <f t="shared" si="31"/>
        <v>17.107666666666667</v>
      </c>
      <c r="G70" s="554">
        <f t="shared" si="31"/>
        <v>14.434250000000061</v>
      </c>
      <c r="H70" s="554">
        <f t="shared" si="31"/>
        <v>20.729398122559402</v>
      </c>
      <c r="I70" s="554">
        <f t="shared" si="31"/>
        <v>20.935612882906167</v>
      </c>
      <c r="J70" s="554"/>
      <c r="K70" s="554"/>
    </row>
    <row r="71" spans="2:11">
      <c r="C71" s="117" t="str">
        <f>B26</f>
        <v>Total kWh</v>
      </c>
      <c r="D71" s="563">
        <f>D70*D25</f>
        <v>127541.32446835253</v>
      </c>
      <c r="E71" s="563">
        <f t="shared" ref="E71:I71" si="32">E70*E25</f>
        <v>143634.36961862707</v>
      </c>
      <c r="F71" s="563">
        <f t="shared" si="32"/>
        <v>113970.38170933333</v>
      </c>
      <c r="G71" s="563">
        <f t="shared" si="32"/>
        <v>96160.219522706277</v>
      </c>
      <c r="H71" s="563">
        <f t="shared" si="32"/>
        <v>138098.16748628291</v>
      </c>
      <c r="I71" s="563">
        <f t="shared" si="32"/>
        <v>139471.9594480244</v>
      </c>
    </row>
    <row r="72" spans="2:11">
      <c r="C72" s="117" t="str">
        <f>B45</f>
        <v>Seasonally Adjusted kWh</v>
      </c>
      <c r="D72" s="127">
        <f ca="1">D71*$R$10</f>
        <v>47622.559512593427</v>
      </c>
      <c r="E72" s="127">
        <f ca="1">E71*$R$10+D71*$R$3</f>
        <v>133550.29453042813</v>
      </c>
      <c r="F72" s="127">
        <f t="shared" ref="F72" ca="1" si="33">F71*$R$10+E71*$R$3</f>
        <v>132558.15541527115</v>
      </c>
      <c r="G72" s="127">
        <f t="shared" ref="G72" ca="1" si="34">G71*$R$10+F71*$R$3</f>
        <v>107320.25860455056</v>
      </c>
      <c r="H72" s="127">
        <f t="shared" ref="H72" ca="1" si="35">H71*$R$10+G71*$R$3</f>
        <v>111819.39846770029</v>
      </c>
      <c r="I72" s="127">
        <f t="shared" ref="I72" ca="1" si="36">I71*$R$10+H71*$R$3</f>
        <v>138611.12663680664</v>
      </c>
    </row>
    <row r="75" spans="2:11">
      <c r="C75" s="117" t="str">
        <f>C68</f>
        <v>Existing Conversions %</v>
      </c>
      <c r="D75" s="562">
        <v>1E-3</v>
      </c>
      <c r="E75" s="124">
        <f>D75</f>
        <v>1E-3</v>
      </c>
      <c r="F75" s="124">
        <f t="shared" ref="F75:I75" si="37">E75</f>
        <v>1E-3</v>
      </c>
      <c r="G75" s="124">
        <f t="shared" si="37"/>
        <v>1E-3</v>
      </c>
      <c r="H75" s="124">
        <f t="shared" si="37"/>
        <v>1E-3</v>
      </c>
      <c r="I75" s="124">
        <f t="shared" si="37"/>
        <v>1E-3</v>
      </c>
    </row>
    <row r="76" spans="2:11">
      <c r="C76" s="117" t="str">
        <f>C69</f>
        <v>New Connection %</v>
      </c>
      <c r="D76" s="553">
        <v>0.1</v>
      </c>
      <c r="E76" s="553">
        <f>D76</f>
        <v>0.1</v>
      </c>
      <c r="F76" s="553">
        <f t="shared" ref="F76:I76" si="38">E76</f>
        <v>0.1</v>
      </c>
      <c r="G76" s="553">
        <f t="shared" si="38"/>
        <v>0.1</v>
      </c>
      <c r="H76" s="553">
        <f t="shared" si="38"/>
        <v>0.1</v>
      </c>
      <c r="I76" s="553">
        <f t="shared" si="38"/>
        <v>0.1</v>
      </c>
    </row>
    <row r="77" spans="2:11">
      <c r="C77" s="117" t="str">
        <f>C70</f>
        <v>Total Connections</v>
      </c>
      <c r="D77" s="554">
        <f>D75*MAX(D29-D30,0)+D76*MAX(D30,0)</f>
        <v>1.2784166666666668</v>
      </c>
      <c r="E77" s="554">
        <f t="shared" ref="E77:I77" si="39">E75*MAX(E29-E30,0)+E76*MAX(E30,0)</f>
        <v>1.2777499999999999</v>
      </c>
      <c r="F77" s="554">
        <f t="shared" si="39"/>
        <v>1.952916666666682</v>
      </c>
      <c r="G77" s="554">
        <f t="shared" si="39"/>
        <v>1.2764166666666668</v>
      </c>
      <c r="H77" s="554">
        <f t="shared" si="39"/>
        <v>1.2717499999999999</v>
      </c>
      <c r="I77" s="554">
        <f t="shared" si="39"/>
        <v>1.2694651062046864</v>
      </c>
    </row>
    <row r="78" spans="2:11">
      <c r="C78" s="117" t="str">
        <f t="shared" ref="C78:C79" si="40">C71</f>
        <v>Total kWh</v>
      </c>
      <c r="D78" s="563">
        <f>D77*D36</f>
        <v>33128.614013741826</v>
      </c>
      <c r="E78" s="563">
        <f t="shared" ref="E78:I78" si="41">E77*E36</f>
        <v>33111.338157401951</v>
      </c>
      <c r="F78" s="563">
        <f t="shared" si="41"/>
        <v>50607.461665604962</v>
      </c>
      <c r="G78" s="563">
        <f t="shared" si="41"/>
        <v>33076.786444722216</v>
      </c>
      <c r="H78" s="563">
        <f t="shared" si="41"/>
        <v>32955.85545034313</v>
      </c>
      <c r="I78" s="563">
        <f t="shared" si="41"/>
        <v>32896.645204903587</v>
      </c>
    </row>
    <row r="79" spans="2:11">
      <c r="C79" s="117" t="str">
        <f t="shared" si="40"/>
        <v>Seasonally Adjusted kWh</v>
      </c>
      <c r="D79" s="127">
        <f ca="1">D78*$R$10</f>
        <v>12369.868346714808</v>
      </c>
      <c r="E79" s="127">
        <f ca="1">E78*$R$10+D78*$R$3</f>
        <v>33122.163394696538</v>
      </c>
      <c r="F79" s="127">
        <f t="shared" ref="F79:I79" ca="1" si="42">F78*$R$10+E78*$R$3</f>
        <v>39644.202595514565</v>
      </c>
      <c r="G79" s="127">
        <f t="shared" ca="1" si="42"/>
        <v>44061.695989401778</v>
      </c>
      <c r="H79" s="127">
        <f t="shared" ca="1" si="42"/>
        <v>33031.632111405219</v>
      </c>
      <c r="I79" s="127">
        <f t="shared" ca="1" si="42"/>
        <v>32933.746981194374</v>
      </c>
    </row>
    <row r="83" spans="2:9">
      <c r="B83" s="552" t="s">
        <v>361</v>
      </c>
      <c r="C83" s="117" t="str">
        <f>C75</f>
        <v>Existing Conversions %</v>
      </c>
      <c r="D83" s="562">
        <v>2E-3</v>
      </c>
      <c r="E83" s="124">
        <f>D83</f>
        <v>2E-3</v>
      </c>
      <c r="F83" s="124">
        <f t="shared" ref="F83:I83" si="43">E83</f>
        <v>2E-3</v>
      </c>
      <c r="G83" s="124">
        <f t="shared" si="43"/>
        <v>2E-3</v>
      </c>
      <c r="H83" s="124">
        <f t="shared" si="43"/>
        <v>2E-3</v>
      </c>
      <c r="I83" s="124">
        <f t="shared" si="43"/>
        <v>2E-3</v>
      </c>
    </row>
    <row r="84" spans="2:9">
      <c r="C84" s="117" t="str">
        <f>C76</f>
        <v>New Connection %</v>
      </c>
      <c r="D84" s="553">
        <v>0.2</v>
      </c>
      <c r="E84" s="553">
        <f>D84</f>
        <v>0.2</v>
      </c>
      <c r="F84" s="553">
        <f t="shared" ref="F84:I84" si="44">E84</f>
        <v>0.2</v>
      </c>
      <c r="G84" s="553">
        <f t="shared" si="44"/>
        <v>0.2</v>
      </c>
      <c r="H84" s="553">
        <f t="shared" si="44"/>
        <v>0.2</v>
      </c>
      <c r="I84" s="553">
        <f t="shared" si="44"/>
        <v>0.2</v>
      </c>
    </row>
    <row r="85" spans="2:9">
      <c r="C85" s="117" t="str">
        <f>C77</f>
        <v>Total Connections</v>
      </c>
      <c r="D85" s="554">
        <f>D83*(D18-D19)+D84*D19</f>
        <v>38.289499999999876</v>
      </c>
      <c r="E85" s="554">
        <f t="shared" ref="E85:I85" si="45">E83*(E18-E19)+E84*E19</f>
        <v>43.120833333333216</v>
      </c>
      <c r="F85" s="554">
        <f t="shared" si="45"/>
        <v>34.215333333333334</v>
      </c>
      <c r="G85" s="554">
        <f t="shared" si="45"/>
        <v>28.868500000000122</v>
      </c>
      <c r="H85" s="554">
        <f t="shared" si="45"/>
        <v>41.458796245118805</v>
      </c>
      <c r="I85" s="554">
        <f t="shared" si="45"/>
        <v>41.871225765812333</v>
      </c>
    </row>
    <row r="86" spans="2:9">
      <c r="C86" s="117" t="str">
        <f t="shared" ref="C86:C87" si="46">C78</f>
        <v>Total kWh</v>
      </c>
      <c r="D86" s="563">
        <f>D85*D25</f>
        <v>255082.64893670505</v>
      </c>
      <c r="E86" s="563">
        <f t="shared" ref="E86:I86" si="47">E85*E25</f>
        <v>287268.73923725414</v>
      </c>
      <c r="F86" s="563">
        <f t="shared" si="47"/>
        <v>227940.76341866667</v>
      </c>
      <c r="G86" s="563">
        <f t="shared" si="47"/>
        <v>192320.43904541255</v>
      </c>
      <c r="H86" s="563">
        <f t="shared" si="47"/>
        <v>276196.33497256582</v>
      </c>
      <c r="I86" s="563">
        <f t="shared" si="47"/>
        <v>278943.9188960488</v>
      </c>
    </row>
    <row r="87" spans="2:9">
      <c r="C87" s="117" t="str">
        <f t="shared" si="46"/>
        <v>Seasonally Adjusted kWh</v>
      </c>
      <c r="D87" s="127">
        <f ca="1">D86*$R$10</f>
        <v>95245.119025186854</v>
      </c>
      <c r="E87" s="127">
        <f ca="1">E86*$R$10+D86*$R$3</f>
        <v>267100.58906085626</v>
      </c>
      <c r="F87" s="127">
        <f t="shared" ref="F87" ca="1" si="48">F86*$R$10+E86*$R$3</f>
        <v>265116.31083054229</v>
      </c>
      <c r="G87" s="127">
        <f t="shared" ref="G87" ca="1" si="49">G86*$R$10+F86*$R$3</f>
        <v>214640.51720910112</v>
      </c>
      <c r="H87" s="127">
        <f t="shared" ref="H87" ca="1" si="50">H86*$R$10+G86*$R$3</f>
        <v>223638.79693540058</v>
      </c>
      <c r="I87" s="127">
        <f t="shared" ref="I87" ca="1" si="51">I86*$R$10+H86*$R$3</f>
        <v>277222.25327361329</v>
      </c>
    </row>
    <row r="88" spans="2:9">
      <c r="D88" s="563"/>
      <c r="E88" s="563"/>
      <c r="F88" s="563"/>
      <c r="G88" s="563"/>
      <c r="H88" s="563"/>
      <c r="I88" s="563"/>
    </row>
    <row r="89" spans="2:9">
      <c r="C89" s="117" t="str">
        <f>C83</f>
        <v>Existing Conversions %</v>
      </c>
      <c r="D89" s="562">
        <v>2E-3</v>
      </c>
      <c r="E89" s="124">
        <f>D89</f>
        <v>2E-3</v>
      </c>
      <c r="F89" s="124">
        <f t="shared" ref="F89:I89" si="52">E89</f>
        <v>2E-3</v>
      </c>
      <c r="G89" s="124">
        <f t="shared" si="52"/>
        <v>2E-3</v>
      </c>
      <c r="H89" s="124">
        <f t="shared" si="52"/>
        <v>2E-3</v>
      </c>
      <c r="I89" s="124">
        <f t="shared" si="52"/>
        <v>2E-3</v>
      </c>
    </row>
    <row r="90" spans="2:9">
      <c r="C90" s="117" t="str">
        <f t="shared" ref="C90:C93" si="53">C84</f>
        <v>New Connection %</v>
      </c>
      <c r="D90" s="553">
        <v>0.2</v>
      </c>
      <c r="E90" s="553">
        <f>D90</f>
        <v>0.2</v>
      </c>
      <c r="F90" s="553">
        <f t="shared" ref="F90:I90" si="54">E90</f>
        <v>0.2</v>
      </c>
      <c r="G90" s="553">
        <f t="shared" si="54"/>
        <v>0.2</v>
      </c>
      <c r="H90" s="553">
        <f t="shared" si="54"/>
        <v>0.2</v>
      </c>
      <c r="I90" s="553">
        <f t="shared" si="54"/>
        <v>0.2</v>
      </c>
    </row>
    <row r="91" spans="2:9">
      <c r="C91" s="117" t="str">
        <f t="shared" si="53"/>
        <v>Total Connections</v>
      </c>
      <c r="D91" s="554">
        <f>D89*(D29-D30)+D90*MAX(D30,0)</f>
        <v>2.5568333333333335</v>
      </c>
      <c r="E91" s="554">
        <f t="shared" ref="E91:I91" si="55">E89*(E29-E30)+E90*MAX(E30,0)</f>
        <v>2.5554999999999999</v>
      </c>
      <c r="F91" s="554">
        <f t="shared" si="55"/>
        <v>3.9058333333333639</v>
      </c>
      <c r="G91" s="554">
        <f t="shared" si="55"/>
        <v>2.5528333333333335</v>
      </c>
      <c r="H91" s="554">
        <f t="shared" si="55"/>
        <v>2.5434999999999999</v>
      </c>
      <c r="I91" s="554">
        <f t="shared" si="55"/>
        <v>2.5389302124093729</v>
      </c>
    </row>
    <row r="92" spans="2:9">
      <c r="C92" s="117" t="str">
        <f t="shared" si="53"/>
        <v>Total kWh</v>
      </c>
      <c r="D92" s="563">
        <f>D91*D36</f>
        <v>66257.228027483652</v>
      </c>
      <c r="E92" s="563">
        <f t="shared" ref="E92:I92" si="56">E91*E36</f>
        <v>66222.676314803903</v>
      </c>
      <c r="F92" s="563">
        <f t="shared" si="56"/>
        <v>101214.92333120992</v>
      </c>
      <c r="G92" s="563">
        <f t="shared" si="56"/>
        <v>66153.572889444433</v>
      </c>
      <c r="H92" s="563">
        <f t="shared" si="56"/>
        <v>65911.710900686259</v>
      </c>
      <c r="I92" s="563">
        <f t="shared" si="56"/>
        <v>65793.290409807174</v>
      </c>
    </row>
    <row r="93" spans="2:9">
      <c r="C93" s="117" t="str">
        <f t="shared" si="53"/>
        <v>Seasonally Adjusted kWh</v>
      </c>
      <c r="D93" s="127">
        <f ca="1">D92*$R$10</f>
        <v>24739.736693429615</v>
      </c>
      <c r="E93" s="127">
        <f ca="1">E92*$R$10+D92*$R$3</f>
        <v>66244.326789393075</v>
      </c>
      <c r="F93" s="127">
        <f t="shared" ref="F93" ca="1" si="57">F92*$R$10+E92*$R$3</f>
        <v>79288.405191029131</v>
      </c>
      <c r="G93" s="127">
        <f t="shared" ref="G93" ca="1" si="58">G92*$R$10+F92*$R$3</f>
        <v>88123.391978803556</v>
      </c>
      <c r="H93" s="127">
        <f t="shared" ref="H93" ca="1" si="59">H92*$R$10+G92*$R$3</f>
        <v>66063.264222810438</v>
      </c>
      <c r="I93" s="127">
        <f t="shared" ref="I93" ca="1" si="60">I92*$R$10+H92*$R$3</f>
        <v>65867.493962388748</v>
      </c>
    </row>
  </sheetData>
  <mergeCells count="3">
    <mergeCell ref="O2:Q2"/>
    <mergeCell ref="R3:R9"/>
    <mergeCell ref="R10:R14"/>
  </mergeCells>
  <hyperlinks>
    <hyperlink ref="I7" r:id="rId1" xr:uid="{25F5FA15-88AA-4E3A-ACAC-BA92961BEF1E}"/>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D47B5-B413-415D-8701-E27FE0BD4C30}">
  <sheetPr codeName="Sheet23">
    <tabColor theme="3" tint="0.499984740745262"/>
  </sheetPr>
  <dimension ref="A2:P39"/>
  <sheetViews>
    <sheetView workbookViewId="0">
      <selection activeCell="R12" sqref="R12"/>
    </sheetView>
  </sheetViews>
  <sheetFormatPr defaultColWidth="10.1640625" defaultRowHeight="13.9"/>
  <cols>
    <col min="1" max="1" width="10.1640625" style="143"/>
    <col min="2" max="2" width="11.6640625" style="143" customWidth="1"/>
    <col min="3" max="5" width="13.33203125" style="143" customWidth="1"/>
    <col min="6" max="6" width="1.33203125" style="143" customWidth="1"/>
    <col min="7" max="8" width="9" style="143" customWidth="1"/>
    <col min="9" max="10" width="10.1640625" style="143"/>
    <col min="11" max="11" width="13.5" style="143" customWidth="1"/>
    <col min="12" max="12" width="10.83203125" style="143" bestFit="1" customWidth="1"/>
    <col min="13" max="13" width="10.1640625" style="143"/>
    <col min="14" max="14" width="1.83203125" style="143" customWidth="1"/>
    <col min="15" max="16384" width="10.1640625" style="143"/>
  </cols>
  <sheetData>
    <row r="2" spans="1:10">
      <c r="B2" s="604" t="s">
        <v>359</v>
      </c>
      <c r="C2" s="604"/>
      <c r="D2" s="604"/>
      <c r="E2" s="604"/>
      <c r="F2" s="604"/>
      <c r="G2" s="604"/>
      <c r="H2" s="604"/>
    </row>
    <row r="4" spans="1:10">
      <c r="D4" s="602" t="s">
        <v>1</v>
      </c>
      <c r="E4" s="603"/>
      <c r="G4" s="602" t="s">
        <v>2</v>
      </c>
      <c r="H4" s="603"/>
    </row>
    <row r="5" spans="1:10">
      <c r="D5" s="159">
        <v>2026</v>
      </c>
      <c r="E5" s="160">
        <v>2027</v>
      </c>
      <c r="G5" s="159">
        <f>D5</f>
        <v>2026</v>
      </c>
      <c r="H5" s="160">
        <f>E5</f>
        <v>2027</v>
      </c>
    </row>
    <row r="6" spans="1:10">
      <c r="B6" s="144"/>
      <c r="C6" s="145" t="s">
        <v>18</v>
      </c>
      <c r="D6" s="146">
        <f>'EV Forecast'!N116</f>
        <v>97361.4</v>
      </c>
      <c r="E6" s="147">
        <f>'EV Forecast'!O116+D6</f>
        <v>200240.11071507738</v>
      </c>
      <c r="F6" s="148"/>
      <c r="G6" s="146"/>
      <c r="H6" s="147"/>
    </row>
    <row r="7" spans="1:10">
      <c r="B7" s="149" t="s">
        <v>299</v>
      </c>
      <c r="C7" s="143" t="s">
        <v>182</v>
      </c>
      <c r="D7" s="150">
        <f>'EV Forecast'!N117</f>
        <v>16298.4</v>
      </c>
      <c r="E7" s="151">
        <f>'EV Forecast'!O117+D7</f>
        <v>32202.050542684374</v>
      </c>
      <c r="F7" s="148"/>
      <c r="G7" s="150"/>
      <c r="H7" s="151"/>
    </row>
    <row r="8" spans="1:10">
      <c r="B8" s="149"/>
      <c r="C8" s="143" t="s">
        <v>183</v>
      </c>
      <c r="D8" s="150">
        <f>'EV Forecast'!N118</f>
        <v>8824.2000000000007</v>
      </c>
      <c r="E8" s="151">
        <f>'EV Forecast'!O118+D8</f>
        <v>17394.521317681541</v>
      </c>
      <c r="F8" s="148"/>
      <c r="G8" s="150">
        <f>'EV Forecast'!O131</f>
        <v>78.26777459069902</v>
      </c>
      <c r="H8" s="151">
        <f>'EV Forecast'!P131+G8</f>
        <v>162.08614890230803</v>
      </c>
    </row>
    <row r="9" spans="1:10">
      <c r="B9" s="152"/>
      <c r="C9" s="153" t="s">
        <v>4</v>
      </c>
      <c r="D9" s="154">
        <f>SUM(D6:D8)</f>
        <v>122483.99999999999</v>
      </c>
      <c r="E9" s="155">
        <f>SUM(E6:E8)</f>
        <v>249836.68257544329</v>
      </c>
      <c r="F9" s="156"/>
      <c r="G9" s="154">
        <f>SUM(G6:G8)</f>
        <v>78.26777459069902</v>
      </c>
      <c r="H9" s="155">
        <f>SUM(H6:H8)</f>
        <v>162.08614890230803</v>
      </c>
    </row>
    <row r="10" spans="1:10">
      <c r="B10" s="144"/>
      <c r="C10" s="145" t="s">
        <v>18</v>
      </c>
      <c r="D10" s="146">
        <f ca="1">Heating!F59</f>
        <v>167729.0977015504</v>
      </c>
      <c r="E10" s="147">
        <f ca="1">Heating!G59</f>
        <v>375645.78765676037</v>
      </c>
      <c r="F10" s="148"/>
      <c r="G10" s="146"/>
      <c r="H10" s="147"/>
    </row>
    <row r="11" spans="1:10">
      <c r="A11" s="143" t="s">
        <v>362</v>
      </c>
      <c r="B11" s="149" t="s">
        <v>363</v>
      </c>
      <c r="C11" s="143" t="s">
        <v>182</v>
      </c>
      <c r="D11" s="150">
        <f ca="1">Heating!F60</f>
        <v>49547.448167107839</v>
      </c>
      <c r="E11" s="151">
        <f ca="1">Heating!G60</f>
        <v>98948.068638899407</v>
      </c>
      <c r="F11" s="148"/>
      <c r="G11" s="150"/>
      <c r="H11" s="151"/>
    </row>
    <row r="12" spans="1:10">
      <c r="B12" s="149"/>
      <c r="C12" s="143" t="s">
        <v>183</v>
      </c>
      <c r="D12" s="150"/>
      <c r="E12" s="151"/>
      <c r="F12" s="148"/>
      <c r="G12" s="150"/>
      <c r="H12" s="151"/>
      <c r="J12" s="143" t="s">
        <v>364</v>
      </c>
    </row>
    <row r="13" spans="1:10">
      <c r="B13" s="152"/>
      <c r="C13" s="153" t="s">
        <v>4</v>
      </c>
      <c r="D13" s="154">
        <f ca="1">SUM(D10:D12)</f>
        <v>217276.54586865823</v>
      </c>
      <c r="E13" s="155">
        <f ca="1">SUM(E10:E12)</f>
        <v>474593.85629565979</v>
      </c>
      <c r="F13" s="156"/>
      <c r="G13" s="154">
        <f>SUM(G10:G12)</f>
        <v>0</v>
      </c>
      <c r="H13" s="155">
        <f>SUM(H10:H12)</f>
        <v>0</v>
      </c>
      <c r="J13" s="143" t="s">
        <v>365</v>
      </c>
    </row>
    <row r="14" spans="1:10" hidden="1">
      <c r="B14" s="144"/>
      <c r="C14" s="145" t="s">
        <v>18</v>
      </c>
      <c r="D14" s="146"/>
      <c r="E14" s="147"/>
      <c r="F14" s="148"/>
      <c r="G14" s="146"/>
      <c r="H14" s="147"/>
    </row>
    <row r="15" spans="1:10" hidden="1">
      <c r="B15" s="149" t="s">
        <v>366</v>
      </c>
      <c r="C15" s="143" t="s">
        <v>182</v>
      </c>
      <c r="D15" s="150"/>
      <c r="E15" s="151"/>
      <c r="F15" s="148"/>
      <c r="G15" s="150"/>
      <c r="H15" s="151"/>
    </row>
    <row r="16" spans="1:10" hidden="1">
      <c r="B16" s="149" t="s">
        <v>367</v>
      </c>
      <c r="C16" s="143" t="s">
        <v>183</v>
      </c>
      <c r="D16" s="150"/>
      <c r="E16" s="151"/>
      <c r="F16" s="148"/>
      <c r="G16" s="150"/>
      <c r="H16" s="151"/>
      <c r="I16" s="157"/>
    </row>
    <row r="17" spans="2:16" hidden="1">
      <c r="B17" s="152"/>
      <c r="C17" s="153" t="s">
        <v>4</v>
      </c>
      <c r="D17" s="154">
        <f>SUM(D14:D16)</f>
        <v>0</v>
      </c>
      <c r="E17" s="155">
        <f>SUM(E14:E16)</f>
        <v>0</v>
      </c>
      <c r="F17" s="156"/>
      <c r="G17" s="154">
        <f>SUM(G14:G16)</f>
        <v>0</v>
      </c>
      <c r="H17" s="155">
        <f>SUM(H14:H16)</f>
        <v>0</v>
      </c>
    </row>
    <row r="18" spans="2:16">
      <c r="B18" s="144"/>
      <c r="C18" s="145" t="s">
        <v>18</v>
      </c>
      <c r="D18" s="146">
        <f t="shared" ref="D18:E20" ca="1" si="0">D6+D10+D14</f>
        <v>265090.49770155037</v>
      </c>
      <c r="E18" s="147">
        <f t="shared" ca="1" si="0"/>
        <v>575885.8983718378</v>
      </c>
      <c r="F18" s="148"/>
      <c r="G18" s="146"/>
      <c r="H18" s="147"/>
    </row>
    <row r="19" spans="2:16">
      <c r="B19" s="158" t="s">
        <v>4</v>
      </c>
      <c r="C19" s="143" t="s">
        <v>182</v>
      </c>
      <c r="D19" s="150">
        <f t="shared" ca="1" si="0"/>
        <v>65845.848167107833</v>
      </c>
      <c r="E19" s="151">
        <f t="shared" ca="1" si="0"/>
        <v>131150.11918158378</v>
      </c>
      <c r="F19" s="148"/>
      <c r="G19" s="150"/>
      <c r="H19" s="151"/>
    </row>
    <row r="20" spans="2:16">
      <c r="B20" s="149"/>
      <c r="C20" s="143" t="s">
        <v>183</v>
      </c>
      <c r="D20" s="150">
        <f t="shared" si="0"/>
        <v>8824.2000000000007</v>
      </c>
      <c r="E20" s="151">
        <f t="shared" si="0"/>
        <v>17394.521317681541</v>
      </c>
      <c r="F20" s="148"/>
      <c r="G20" s="150">
        <f>G8+G12+G16</f>
        <v>78.26777459069902</v>
      </c>
      <c r="H20" s="151">
        <f>H8+H12+H16</f>
        <v>162.08614890230803</v>
      </c>
    </row>
    <row r="21" spans="2:16">
      <c r="B21" s="152"/>
      <c r="C21" s="153" t="s">
        <v>4</v>
      </c>
      <c r="D21" s="154">
        <f ca="1">SUM(D18:D20)</f>
        <v>339760.54586865823</v>
      </c>
      <c r="E21" s="155">
        <f ca="1">SUM(E18:E20)</f>
        <v>724430.53887110308</v>
      </c>
      <c r="F21" s="156"/>
      <c r="G21" s="154">
        <f>SUM(G18:G20)</f>
        <v>78.26777459069902</v>
      </c>
      <c r="H21" s="155">
        <f>SUM(H18:H20)</f>
        <v>162.08614890230803</v>
      </c>
    </row>
    <row r="24" spans="2:16">
      <c r="B24" s="604" t="s">
        <v>360</v>
      </c>
      <c r="C24" s="604"/>
      <c r="D24" s="604"/>
      <c r="E24" s="604"/>
      <c r="F24" s="604"/>
      <c r="G24" s="604"/>
      <c r="H24" s="604"/>
      <c r="J24" s="604" t="s">
        <v>361</v>
      </c>
      <c r="K24" s="604"/>
      <c r="L24" s="604"/>
      <c r="M24" s="604"/>
      <c r="N24" s="604"/>
      <c r="O24" s="604"/>
      <c r="P24" s="604"/>
    </row>
    <row r="26" spans="2:16">
      <c r="D26" s="602" t="s">
        <v>1</v>
      </c>
      <c r="E26" s="603"/>
      <c r="G26" s="602" t="s">
        <v>2</v>
      </c>
      <c r="H26" s="603"/>
      <c r="L26" s="602" t="s">
        <v>1</v>
      </c>
      <c r="M26" s="603"/>
      <c r="O26" s="602" t="s">
        <v>2</v>
      </c>
      <c r="P26" s="603"/>
    </row>
    <row r="27" spans="2:16">
      <c r="D27" s="159">
        <v>2026</v>
      </c>
      <c r="E27" s="160">
        <v>2027</v>
      </c>
      <c r="G27" s="159">
        <f>D27</f>
        <v>2026</v>
      </c>
      <c r="H27" s="160">
        <f>E27</f>
        <v>2027</v>
      </c>
      <c r="L27" s="159">
        <v>2026</v>
      </c>
      <c r="M27" s="160">
        <v>2027</v>
      </c>
      <c r="O27" s="159">
        <f>L27</f>
        <v>2026</v>
      </c>
      <c r="P27" s="160">
        <f>M27</f>
        <v>2027</v>
      </c>
    </row>
    <row r="28" spans="2:16">
      <c r="B28" s="144"/>
      <c r="C28" s="145" t="s">
        <v>18</v>
      </c>
      <c r="D28" s="146">
        <f>D6/D$9*D$31</f>
        <v>92066.50934896915</v>
      </c>
      <c r="E28" s="147">
        <f>E6/E$9*E$31</f>
        <v>184547.04781501411</v>
      </c>
      <c r="F28" s="148"/>
      <c r="G28" s="146"/>
      <c r="H28" s="147"/>
      <c r="J28" s="144"/>
      <c r="K28" s="145" t="s">
        <v>18</v>
      </c>
      <c r="L28" s="146">
        <f>D6/D$9*L$31</f>
        <v>120846.17170242024</v>
      </c>
      <c r="M28" s="147">
        <f>E6/E$9*M$31</f>
        <v>259072.08026628112</v>
      </c>
      <c r="N28" s="148"/>
      <c r="O28" s="146"/>
      <c r="P28" s="147"/>
    </row>
    <row r="29" spans="2:16">
      <c r="B29" s="149" t="s">
        <v>299</v>
      </c>
      <c r="C29" s="143" t="s">
        <v>182</v>
      </c>
      <c r="D29" s="150">
        <f t="shared" ref="D29:E30" si="1">D7/D$9*D$31</f>
        <v>15412.029777439919</v>
      </c>
      <c r="E29" s="151">
        <f t="shared" si="1"/>
        <v>29678.336373366787</v>
      </c>
      <c r="F29" s="148"/>
      <c r="G29" s="150"/>
      <c r="H29" s="151"/>
      <c r="J29" s="149" t="s">
        <v>299</v>
      </c>
      <c r="K29" s="143" t="s">
        <v>182</v>
      </c>
      <c r="L29" s="150">
        <f t="shared" ref="L29:M30" si="2">D7/D$9*L$31</f>
        <v>20229.775299807996</v>
      </c>
      <c r="M29" s="151">
        <f t="shared" si="2"/>
        <v>41663.242160328038</v>
      </c>
      <c r="N29" s="148"/>
      <c r="O29" s="150"/>
      <c r="P29" s="151"/>
    </row>
    <row r="30" spans="2:16">
      <c r="B30" s="149"/>
      <c r="C30" s="143" t="s">
        <v>183</v>
      </c>
      <c r="D30" s="150">
        <f t="shared" si="1"/>
        <v>8344.3057700194713</v>
      </c>
      <c r="E30" s="151">
        <f t="shared" si="1"/>
        <v>16031.291362503966</v>
      </c>
      <c r="F30" s="148"/>
      <c r="G30" s="150">
        <f>G8/D8*D30</f>
        <v>74.01126936422034</v>
      </c>
      <c r="H30" s="151">
        <f>H8/E8*E30</f>
        <v>149.38325875273017</v>
      </c>
      <c r="J30" s="149"/>
      <c r="K30" s="143" t="s">
        <v>183</v>
      </c>
      <c r="L30" s="150">
        <f t="shared" si="2"/>
        <v>10952.705983444126</v>
      </c>
      <c r="M30" s="151">
        <f t="shared" si="2"/>
        <v>22505.155470175294</v>
      </c>
      <c r="N30" s="148"/>
      <c r="O30" s="150">
        <f>G8/D8*L30</f>
        <v>97.146928114775861</v>
      </c>
      <c r="P30" s="151">
        <f>H8/E8*M30</f>
        <v>209.70821294751357</v>
      </c>
    </row>
    <row r="31" spans="2:16">
      <c r="B31" s="152"/>
      <c r="C31" s="153" t="s">
        <v>4</v>
      </c>
      <c r="D31" s="154">
        <f>'EV Forecast'!N89</f>
        <v>115822.84489642853</v>
      </c>
      <c r="E31" s="155">
        <f>'EV Forecast'!O89+D31</f>
        <v>230256.67555088486</v>
      </c>
      <c r="F31" s="156"/>
      <c r="G31" s="154">
        <f>SUM(G28:G30)</f>
        <v>74.01126936422034</v>
      </c>
      <c r="H31" s="155">
        <f>SUM(H28:H30)</f>
        <v>149.38325875273017</v>
      </c>
      <c r="J31" s="152"/>
      <c r="K31" s="153" t="s">
        <v>4</v>
      </c>
      <c r="L31" s="154">
        <f>'EV Forecast'!N91</f>
        <v>152028.65298567235</v>
      </c>
      <c r="M31" s="155">
        <f>'EV Forecast'!O91+L31</f>
        <v>323240.47789678443</v>
      </c>
      <c r="N31" s="156"/>
      <c r="O31" s="154">
        <f>SUM(O28:O30)</f>
        <v>97.146928114775861</v>
      </c>
      <c r="P31" s="155">
        <f>SUM(P28:P30)</f>
        <v>209.70821294751357</v>
      </c>
    </row>
    <row r="32" spans="2:16">
      <c r="B32" s="144"/>
      <c r="C32" s="145" t="s">
        <v>18</v>
      </c>
      <c r="D32" s="146">
        <f ca="1">Heating!H72</f>
        <v>111819.39846770029</v>
      </c>
      <c r="E32" s="147">
        <f ca="1">Heating!I72+D32</f>
        <v>250430.52510450693</v>
      </c>
      <c r="F32" s="148"/>
      <c r="G32" s="146"/>
      <c r="H32" s="147"/>
      <c r="J32" s="144"/>
      <c r="K32" s="145" t="s">
        <v>18</v>
      </c>
      <c r="L32" s="146">
        <f ca="1">Heating!H87</f>
        <v>223638.79693540058</v>
      </c>
      <c r="M32" s="147">
        <f ca="1">Heating!I87+L32</f>
        <v>500861.05020901386</v>
      </c>
      <c r="N32" s="148"/>
      <c r="O32" s="146"/>
      <c r="P32" s="147"/>
    </row>
    <row r="33" spans="2:16">
      <c r="B33" s="149" t="s">
        <v>363</v>
      </c>
      <c r="C33" s="143" t="s">
        <v>182</v>
      </c>
      <c r="D33" s="150">
        <f ca="1">Heating!H79</f>
        <v>33031.632111405219</v>
      </c>
      <c r="E33" s="151">
        <f ca="1">Heating!I79+D33</f>
        <v>65965.379092599585</v>
      </c>
      <c r="F33" s="148"/>
      <c r="G33" s="150"/>
      <c r="H33" s="151"/>
      <c r="J33" s="149" t="s">
        <v>363</v>
      </c>
      <c r="K33" s="143" t="s">
        <v>182</v>
      </c>
      <c r="L33" s="150">
        <f ca="1">Heating!H93</f>
        <v>66063.264222810438</v>
      </c>
      <c r="M33" s="151">
        <f ca="1">Heating!I93+L33</f>
        <v>131930.75818519917</v>
      </c>
      <c r="N33" s="148"/>
      <c r="O33" s="150"/>
      <c r="P33" s="151"/>
    </row>
    <row r="34" spans="2:16">
      <c r="B34" s="149"/>
      <c r="C34" s="143" t="s">
        <v>183</v>
      </c>
      <c r="D34" s="150"/>
      <c r="E34" s="151"/>
      <c r="F34" s="148"/>
      <c r="G34" s="150"/>
      <c r="H34" s="151"/>
      <c r="J34" s="149"/>
      <c r="K34" s="143" t="s">
        <v>183</v>
      </c>
      <c r="L34" s="150"/>
      <c r="M34" s="151"/>
      <c r="N34" s="148"/>
      <c r="O34" s="150"/>
      <c r="P34" s="151"/>
    </row>
    <row r="35" spans="2:16">
      <c r="B35" s="152"/>
      <c r="C35" s="153" t="s">
        <v>4</v>
      </c>
      <c r="D35" s="154">
        <f ca="1">SUM(D32:D34)</f>
        <v>144851.03057910551</v>
      </c>
      <c r="E35" s="155">
        <f ca="1">SUM(E32:E34)</f>
        <v>316395.90419710649</v>
      </c>
      <c r="F35" s="156"/>
      <c r="G35" s="154">
        <f>SUM(G32:G34)</f>
        <v>0</v>
      </c>
      <c r="H35" s="155">
        <f>SUM(H32:H34)</f>
        <v>0</v>
      </c>
      <c r="J35" s="152"/>
      <c r="K35" s="153" t="s">
        <v>4</v>
      </c>
      <c r="L35" s="154">
        <f ca="1">SUM(L32:L34)</f>
        <v>289702.06115821103</v>
      </c>
      <c r="M35" s="155">
        <f ca="1">SUM(M32:M34)</f>
        <v>632791.80839421297</v>
      </c>
      <c r="N35" s="156"/>
      <c r="O35" s="154">
        <f>SUM(O32:O34)</f>
        <v>0</v>
      </c>
      <c r="P35" s="155">
        <f>SUM(P32:P34)</f>
        <v>0</v>
      </c>
    </row>
    <row r="36" spans="2:16">
      <c r="B36" s="144"/>
      <c r="C36" s="145" t="s">
        <v>18</v>
      </c>
      <c r="D36" s="146">
        <f ca="1">D28+D32</f>
        <v>203885.90781666944</v>
      </c>
      <c r="E36" s="147">
        <f ca="1">E28+E32</f>
        <v>434977.57291952102</v>
      </c>
      <c r="F36" s="148"/>
      <c r="G36" s="146"/>
      <c r="H36" s="147"/>
      <c r="J36" s="144"/>
      <c r="K36" s="145" t="s">
        <v>18</v>
      </c>
      <c r="L36" s="146">
        <f ca="1">L28+L32</f>
        <v>344484.9686378208</v>
      </c>
      <c r="M36" s="147">
        <f ca="1">M28+M32</f>
        <v>759933.13047529501</v>
      </c>
      <c r="N36" s="148"/>
      <c r="O36" s="146"/>
      <c r="P36" s="147"/>
    </row>
    <row r="37" spans="2:16">
      <c r="B37" s="158" t="s">
        <v>4</v>
      </c>
      <c r="C37" s="143" t="s">
        <v>182</v>
      </c>
      <c r="D37" s="150">
        <f ca="1">D29+D33</f>
        <v>48443.661888845134</v>
      </c>
      <c r="E37" s="151">
        <f ca="1">E29+E33</f>
        <v>95643.715465966379</v>
      </c>
      <c r="F37" s="148"/>
      <c r="G37" s="150"/>
      <c r="H37" s="151"/>
      <c r="J37" s="158" t="s">
        <v>4</v>
      </c>
      <c r="K37" s="143" t="s">
        <v>182</v>
      </c>
      <c r="L37" s="150">
        <f ca="1">L29+L33</f>
        <v>86293.039522618434</v>
      </c>
      <c r="M37" s="151">
        <f ca="1">M29+M33</f>
        <v>173594.00034552719</v>
      </c>
      <c r="N37" s="148"/>
      <c r="O37" s="150"/>
      <c r="P37" s="151"/>
    </row>
    <row r="38" spans="2:16">
      <c r="B38" s="149"/>
      <c r="C38" s="143" t="s">
        <v>183</v>
      </c>
      <c r="D38" s="150">
        <f>D30+D34</f>
        <v>8344.3057700194713</v>
      </c>
      <c r="E38" s="151">
        <f>E30+E34</f>
        <v>16031.291362503966</v>
      </c>
      <c r="F38" s="148"/>
      <c r="G38" s="150">
        <f>G30+G34</f>
        <v>74.01126936422034</v>
      </c>
      <c r="H38" s="151">
        <f>H30+H34</f>
        <v>149.38325875273017</v>
      </c>
      <c r="J38" s="149"/>
      <c r="K38" s="143" t="s">
        <v>183</v>
      </c>
      <c r="L38" s="150">
        <f>L30+L34</f>
        <v>10952.705983444126</v>
      </c>
      <c r="M38" s="151">
        <f>M30+M34</f>
        <v>22505.155470175294</v>
      </c>
      <c r="N38" s="148"/>
      <c r="O38" s="150">
        <f>O30+O34</f>
        <v>97.146928114775861</v>
      </c>
      <c r="P38" s="151">
        <f>P30+P34</f>
        <v>209.70821294751357</v>
      </c>
    </row>
    <row r="39" spans="2:16">
      <c r="B39" s="152"/>
      <c r="C39" s="153" t="s">
        <v>4</v>
      </c>
      <c r="D39" s="154">
        <f ca="1">SUM(D36:D38)</f>
        <v>260673.87547553406</v>
      </c>
      <c r="E39" s="155">
        <f ca="1">SUM(E36:E38)</f>
        <v>546652.5797479914</v>
      </c>
      <c r="F39" s="156"/>
      <c r="G39" s="154">
        <f>SUM(G36:G38)</f>
        <v>74.01126936422034</v>
      </c>
      <c r="H39" s="155">
        <f>SUM(H36:H38)</f>
        <v>149.38325875273017</v>
      </c>
      <c r="J39" s="152"/>
      <c r="K39" s="153" t="s">
        <v>4</v>
      </c>
      <c r="L39" s="154">
        <f ca="1">SUM(L36:L38)</f>
        <v>441730.71414388332</v>
      </c>
      <c r="M39" s="155">
        <f ca="1">SUM(M36:M38)</f>
        <v>956032.28629099752</v>
      </c>
      <c r="N39" s="156"/>
      <c r="O39" s="154">
        <f>SUM(O36:O38)</f>
        <v>97.146928114775861</v>
      </c>
      <c r="P39" s="155">
        <f>SUM(P36:P38)</f>
        <v>209.70821294751357</v>
      </c>
    </row>
  </sheetData>
  <mergeCells count="9">
    <mergeCell ref="O26:P26"/>
    <mergeCell ref="J24:P24"/>
    <mergeCell ref="B24:H24"/>
    <mergeCell ref="B2:H2"/>
    <mergeCell ref="D4:E4"/>
    <mergeCell ref="G4:H4"/>
    <mergeCell ref="D26:E26"/>
    <mergeCell ref="G26:H26"/>
    <mergeCell ref="L26:M26"/>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8">
    <tabColor rgb="FFFF0000"/>
  </sheetPr>
  <dimension ref="B1:W19"/>
  <sheetViews>
    <sheetView workbookViewId="0">
      <selection activeCell="AA29" sqref="AA29"/>
    </sheetView>
  </sheetViews>
  <sheetFormatPr defaultColWidth="8.83203125" defaultRowHeight="13.15"/>
  <cols>
    <col min="1" max="1" width="14.83203125" style="1" customWidth="1"/>
    <col min="2" max="2" width="8.6640625" style="1" customWidth="1"/>
    <col min="3" max="3" width="21.1640625" style="1" customWidth="1"/>
    <col min="4" max="4" width="15.83203125" style="1" customWidth="1"/>
    <col min="5" max="5" width="8.83203125" style="1"/>
    <col min="6" max="7" width="22.5" style="1" customWidth="1"/>
    <col min="8" max="8" width="8.83203125" style="1"/>
    <col min="9" max="9" width="20" style="1" customWidth="1"/>
    <col min="10" max="10" width="16.83203125" style="1" customWidth="1"/>
    <col min="11" max="11" width="8.83203125" style="1"/>
    <col min="12" max="13" width="22.33203125" style="1" customWidth="1"/>
    <col min="14" max="14" width="8.83203125" style="1"/>
    <col min="15" max="15" width="19.33203125" style="1" customWidth="1"/>
    <col min="16" max="16" width="17.6640625" style="1" customWidth="1"/>
    <col min="17" max="17" width="8.83203125" style="1"/>
    <col min="18" max="18" width="25.1640625" style="1" customWidth="1"/>
    <col min="19" max="19" width="13.1640625" style="1" hidden="1" customWidth="1"/>
    <col min="20" max="20" width="0" style="1" hidden="1" customWidth="1"/>
    <col min="21" max="21" width="17.5" style="1" hidden="1" customWidth="1"/>
    <col min="22" max="22" width="15.1640625" style="1" hidden="1" customWidth="1"/>
    <col min="23" max="23" width="10.83203125" style="1" hidden="1" customWidth="1"/>
    <col min="24" max="25" width="0" style="1" hidden="1" customWidth="1"/>
    <col min="26" max="16384" width="8.83203125" style="1"/>
  </cols>
  <sheetData>
    <row r="1" spans="2:23">
      <c r="D1" s="5"/>
    </row>
    <row r="2" spans="2:23" ht="13.9">
      <c r="B2" s="272"/>
      <c r="C2" s="605" t="s">
        <v>368</v>
      </c>
      <c r="D2" s="605"/>
      <c r="E2" s="273" t="s">
        <v>369</v>
      </c>
      <c r="F2" s="271"/>
      <c r="G2" s="271"/>
      <c r="H2" s="272"/>
      <c r="I2" s="605" t="s">
        <v>356</v>
      </c>
      <c r="J2" s="605"/>
      <c r="K2" s="273" t="s">
        <v>369</v>
      </c>
      <c r="N2" s="272"/>
      <c r="O2" s="605" t="s">
        <v>370</v>
      </c>
      <c r="P2" s="605"/>
      <c r="Q2" s="273" t="s">
        <v>369</v>
      </c>
      <c r="T2" s="272"/>
      <c r="U2" s="605" t="s">
        <v>371</v>
      </c>
      <c r="V2" s="605"/>
      <c r="W2" s="273" t="s">
        <v>369</v>
      </c>
    </row>
    <row r="3" spans="2:23" ht="13.9">
      <c r="B3" s="273" t="s">
        <v>27</v>
      </c>
      <c r="C3" s="273" t="s">
        <v>372</v>
      </c>
      <c r="D3" s="273" t="s">
        <v>188</v>
      </c>
      <c r="E3" s="273" t="s">
        <v>373</v>
      </c>
      <c r="F3" s="271"/>
      <c r="G3" s="271"/>
      <c r="H3" s="273" t="s">
        <v>27</v>
      </c>
      <c r="I3" s="273" t="s">
        <v>372</v>
      </c>
      <c r="J3" s="273" t="s">
        <v>188</v>
      </c>
      <c r="K3" s="273" t="s">
        <v>373</v>
      </c>
      <c r="N3" s="273" t="s">
        <v>27</v>
      </c>
      <c r="O3" s="273" t="s">
        <v>372</v>
      </c>
      <c r="P3" s="273" t="s">
        <v>188</v>
      </c>
      <c r="Q3" s="273" t="s">
        <v>373</v>
      </c>
      <c r="T3" s="273" t="s">
        <v>27</v>
      </c>
      <c r="U3" s="273" t="s">
        <v>372</v>
      </c>
      <c r="V3" s="273" t="s">
        <v>188</v>
      </c>
      <c r="W3" s="273" t="s">
        <v>373</v>
      </c>
    </row>
    <row r="4" spans="2:23" ht="13.9">
      <c r="B4" s="271">
        <v>2016</v>
      </c>
      <c r="C4" s="274">
        <f>SUMIF('Res Predicted Monthly'!$B:$B,B4,'Res Predicted Monthly'!D:D)</f>
        <v>77024706.5</v>
      </c>
      <c r="D4" s="274">
        <f>SUMIF('Res Predicted Monthly'!$B:$B,B4,'Res Predicted Monthly'!S:S)</f>
        <v>77113207.445807025</v>
      </c>
      <c r="E4" s="275">
        <f t="shared" ref="E4:E15" si="0">ABS(C4-D4)/C4</f>
        <v>1.1489942620816717E-3</v>
      </c>
      <c r="F4" s="275"/>
      <c r="G4" s="275"/>
      <c r="H4" s="271">
        <v>2016</v>
      </c>
      <c r="I4" s="274">
        <f>SUMIF('GS&lt;50 Predicted Monthly'!$B:$B,H4,'GS&lt;50 Predicted Monthly'!D:D)</f>
        <v>29877372.5</v>
      </c>
      <c r="J4" s="274">
        <f>SUMIF('GS&lt;50 Predicted Monthly'!$B:$B,H4,'GS&lt;50 Predicted Monthly'!Q:Q)</f>
        <v>29426984.979233723</v>
      </c>
      <c r="K4" s="275">
        <f t="shared" ref="K4:K15" si="1">ABS(I4-J4)/I4</f>
        <v>1.5074535780088322E-2</v>
      </c>
      <c r="N4" s="271">
        <v>2016</v>
      </c>
      <c r="O4" s="274">
        <f>SUMIF('GS&gt;50 Predicted Monthly (no LC)'!$B:$B,N4,'GS&gt;50 Predicted Monthly (no LC)'!D:D)</f>
        <v>73187221.230000004</v>
      </c>
      <c r="P4" s="274">
        <f>SUMIF('GS&gt;50 Predicted Monthly (no LC)'!$B:$B,N4,'GS&gt;50 Predicted Monthly (no LC)'!K:K)</f>
        <v>68078442.493372023</v>
      </c>
      <c r="Q4" s="275">
        <f t="shared" ref="Q4:Q15" si="2">ABS(O4-P4)/O4</f>
        <v>6.9804245205225157E-2</v>
      </c>
      <c r="T4" s="271">
        <v>2016</v>
      </c>
      <c r="U4" s="274">
        <f>SUMIF('LC Predicted Monthly'!$B:$B,T4,'LC Predicted Monthly'!D:D)</f>
        <v>2336658.27</v>
      </c>
      <c r="V4" s="274">
        <f>SUMIF('LC Predicted Monthly'!$B:$B,T4,'LC Predicted Monthly'!O:O)</f>
        <v>1090946.6175498345</v>
      </c>
      <c r="W4" s="275">
        <f t="shared" ref="W4:W15" si="3">ABS(U4-V4)/U4</f>
        <v>0.53311674558649325</v>
      </c>
    </row>
    <row r="5" spans="2:23" ht="13.9">
      <c r="B5" s="270">
        <f>B4+1</f>
        <v>2017</v>
      </c>
      <c r="C5" s="274">
        <f>SUMIF('Res Predicted Monthly'!$B:$B,B5,'Res Predicted Monthly'!D:D)</f>
        <v>77499466.519999996</v>
      </c>
      <c r="D5" s="274">
        <f>SUMIF('Res Predicted Monthly'!$B:$B,B5,'Res Predicted Monthly'!S:S)</f>
        <v>76932007.854082212</v>
      </c>
      <c r="E5" s="275">
        <f t="shared" si="0"/>
        <v>7.3220977046511929E-3</v>
      </c>
      <c r="F5" s="275"/>
      <c r="G5" s="275"/>
      <c r="H5" s="270">
        <f>H4+1</f>
        <v>2017</v>
      </c>
      <c r="I5" s="274">
        <f>SUMIF('GS&lt;50 Predicted Monthly'!$B:$B,H5,'GS&lt;50 Predicted Monthly'!D:D)</f>
        <v>29920648.25</v>
      </c>
      <c r="J5" s="274">
        <f>SUMIF('GS&lt;50 Predicted Monthly'!$B:$B,H5,'GS&lt;50 Predicted Monthly'!Q:Q)</f>
        <v>29669931.632932913</v>
      </c>
      <c r="K5" s="275">
        <f t="shared" si="1"/>
        <v>8.379384529781618E-3</v>
      </c>
      <c r="N5" s="270">
        <f>N4+1</f>
        <v>2017</v>
      </c>
      <c r="O5" s="274">
        <f>SUMIF('GS&gt;50 Predicted Monthly (no LC)'!$B:$B,N5,'GS&gt;50 Predicted Monthly (no LC)'!D:D)</f>
        <v>71226705.75</v>
      </c>
      <c r="P5" s="274">
        <f>SUMIF('GS&gt;50 Predicted Monthly (no LC)'!$B:$B,N5,'GS&gt;50 Predicted Monthly (no LC)'!K:K)</f>
        <v>67557196.262448549</v>
      </c>
      <c r="Q5" s="275">
        <f t="shared" si="2"/>
        <v>5.1518730915776641E-2</v>
      </c>
      <c r="T5" s="270">
        <f>T4+1</f>
        <v>2017</v>
      </c>
      <c r="U5" s="274">
        <f>SUMIF('LC Predicted Monthly'!$B:$B,T5,'LC Predicted Monthly'!D:D)</f>
        <v>520326</v>
      </c>
      <c r="V5" s="274">
        <f>SUMIF('LC Predicted Monthly'!$B:$B,T5,'LC Predicted Monthly'!O:O)</f>
        <v>1117004.9039837283</v>
      </c>
      <c r="W5" s="275">
        <f t="shared" si="3"/>
        <v>1.1467405126473178</v>
      </c>
    </row>
    <row r="6" spans="2:23" ht="13.9">
      <c r="B6" s="270">
        <f t="shared" ref="B6:B13" si="4">B5+1</f>
        <v>2018</v>
      </c>
      <c r="C6" s="274">
        <f>SUMIF('Res Predicted Monthly'!$B:$B,B6,'Res Predicted Monthly'!D:D)</f>
        <v>83578765.401635692</v>
      </c>
      <c r="D6" s="274">
        <f>SUMIF('Res Predicted Monthly'!$B:$B,B6,'Res Predicted Monthly'!S:S)</f>
        <v>82867951.672822371</v>
      </c>
      <c r="E6" s="275">
        <f t="shared" si="0"/>
        <v>8.504716782995329E-3</v>
      </c>
      <c r="F6" s="275"/>
      <c r="G6" s="275"/>
      <c r="H6" s="270">
        <f t="shared" ref="H6:H13" si="5">H5+1</f>
        <v>2018</v>
      </c>
      <c r="I6" s="274">
        <f>SUMIF('GS&lt;50 Predicted Monthly'!$B:$B,H6,'GS&lt;50 Predicted Monthly'!D:D)</f>
        <v>31714630.431263767</v>
      </c>
      <c r="J6" s="274">
        <f>SUMIF('GS&lt;50 Predicted Monthly'!$B:$B,H6,'GS&lt;50 Predicted Monthly'!Q:Q)</f>
        <v>31287407.67442859</v>
      </c>
      <c r="K6" s="275">
        <f t="shared" si="1"/>
        <v>1.3470841407441668E-2</v>
      </c>
      <c r="N6" s="270">
        <f t="shared" ref="N6:N13" si="6">N5+1</f>
        <v>2018</v>
      </c>
      <c r="O6" s="274">
        <f>SUMIF('GS&gt;50 Predicted Monthly (no LC)'!$B:$B,N6,'GS&gt;50 Predicted Monthly (no LC)'!D:D)</f>
        <v>72257066.753801703</v>
      </c>
      <c r="P6" s="274">
        <f>SUMIF('GS&gt;50 Predicted Monthly (no LC)'!$B:$B,N6,'GS&gt;50 Predicted Monthly (no LC)'!K:K)</f>
        <v>68616960.150648057</v>
      </c>
      <c r="Q6" s="275">
        <f t="shared" si="2"/>
        <v>5.0377170935493681E-2</v>
      </c>
      <c r="T6" s="270">
        <f t="shared" ref="T6:T13" si="7">T5+1</f>
        <v>2018</v>
      </c>
      <c r="U6" s="274">
        <f>SUMIF('LC Predicted Monthly'!$B:$B,T6,'LC Predicted Monthly'!D:D)</f>
        <v>654927.6</v>
      </c>
      <c r="V6" s="274">
        <f>SUMIF('LC Predicted Monthly'!$B:$B,T6,'LC Predicted Monthly'!O:O)</f>
        <v>1141817.7293840183</v>
      </c>
      <c r="W6" s="275">
        <f t="shared" si="3"/>
        <v>0.7434258830808449</v>
      </c>
    </row>
    <row r="7" spans="2:23" ht="13.9">
      <c r="B7" s="270">
        <f t="shared" si="4"/>
        <v>2019</v>
      </c>
      <c r="C7" s="274">
        <f>SUMIF('Res Predicted Monthly'!$B:$B,B7,'Res Predicted Monthly'!D:D)</f>
        <v>87874875.305112973</v>
      </c>
      <c r="D7" s="274">
        <f>SUMIF('Res Predicted Monthly'!$B:$B,B7,'Res Predicted Monthly'!S:S)</f>
        <v>83074224.226157963</v>
      </c>
      <c r="E7" s="275">
        <f t="shared" si="0"/>
        <v>5.4630530766462265E-2</v>
      </c>
      <c r="F7" s="275"/>
      <c r="G7" s="275"/>
      <c r="H7" s="270">
        <f t="shared" si="5"/>
        <v>2019</v>
      </c>
      <c r="I7" s="274">
        <f>SUMIF('GS&lt;50 Predicted Monthly'!$B:$B,H7,'GS&lt;50 Predicted Monthly'!D:D)</f>
        <v>32703083.382904623</v>
      </c>
      <c r="J7" s="274">
        <f>SUMIF('GS&lt;50 Predicted Monthly'!$B:$B,H7,'GS&lt;50 Predicted Monthly'!Q:Q)</f>
        <v>31498651.436810296</v>
      </c>
      <c r="K7" s="275">
        <f t="shared" si="1"/>
        <v>3.6829308478109363E-2</v>
      </c>
      <c r="N7" s="270">
        <f t="shared" si="6"/>
        <v>2019</v>
      </c>
      <c r="O7" s="274">
        <f>SUMIF('GS&gt;50 Predicted Monthly (no LC)'!$B:$B,N7,'GS&gt;50 Predicted Monthly (no LC)'!D:D)</f>
        <v>74466688.787980467</v>
      </c>
      <c r="P7" s="274">
        <f>SUMIF('GS&gt;50 Predicted Monthly (no LC)'!$B:$B,N7,'GS&gt;50 Predicted Monthly (no LC)'!K:K)</f>
        <v>68019348.600029394</v>
      </c>
      <c r="Q7" s="275">
        <f t="shared" si="2"/>
        <v>8.6580191665400416E-2</v>
      </c>
      <c r="T7" s="270">
        <f t="shared" si="7"/>
        <v>2019</v>
      </c>
      <c r="U7" s="274">
        <f>SUMIF('LC Predicted Monthly'!$B:$B,T7,'LC Predicted Monthly'!D:D)</f>
        <v>712041.19000000006</v>
      </c>
      <c r="V7" s="274">
        <f>SUMIF('LC Predicted Monthly'!$B:$B,T7,'LC Predicted Monthly'!O:O)</f>
        <v>1201515.8330299908</v>
      </c>
      <c r="W7" s="275">
        <f t="shared" si="3"/>
        <v>0.68742461799153876</v>
      </c>
    </row>
    <row r="8" spans="2:23" ht="13.9">
      <c r="B8" s="270">
        <f t="shared" si="4"/>
        <v>2020</v>
      </c>
      <c r="C8" s="274">
        <f>SUMIF('Res Predicted Monthly'!$B:$B,B8,'Res Predicted Monthly'!D:D)</f>
        <v>87084144.305112958</v>
      </c>
      <c r="D8" s="274">
        <f>SUMIF('Res Predicted Monthly'!$B:$B,B8,'Res Predicted Monthly'!S:S)</f>
        <v>86411069.108527496</v>
      </c>
      <c r="E8" s="275">
        <f t="shared" si="0"/>
        <v>7.7290211892906361E-3</v>
      </c>
      <c r="F8" s="275"/>
      <c r="G8" s="275"/>
      <c r="H8" s="270">
        <f t="shared" si="5"/>
        <v>2020</v>
      </c>
      <c r="I8" s="274">
        <f>SUMIF('GS&lt;50 Predicted Monthly'!$B:$B,H8,'GS&lt;50 Predicted Monthly'!D:D)</f>
        <v>28109315.408435535</v>
      </c>
      <c r="J8" s="274">
        <f>SUMIF('GS&lt;50 Predicted Monthly'!$B:$B,H8,'GS&lt;50 Predicted Monthly'!Q:Q)</f>
        <v>27963853.357799679</v>
      </c>
      <c r="K8" s="275">
        <f t="shared" si="1"/>
        <v>5.1748699149109425E-3</v>
      </c>
      <c r="N8" s="270">
        <f t="shared" si="6"/>
        <v>2020</v>
      </c>
      <c r="O8" s="274">
        <f>SUMIF('GS&gt;50 Predicted Monthly (no LC)'!$B:$B,N8,'GS&gt;50 Predicted Monthly (no LC)'!D:D)</f>
        <v>66399108.68778874</v>
      </c>
      <c r="P8" s="274">
        <f>SUMIF('GS&gt;50 Predicted Monthly (no LC)'!$B:$B,N8,'GS&gt;50 Predicted Monthly (no LC)'!K:K)</f>
        <v>67447370.877388835</v>
      </c>
      <c r="Q8" s="275">
        <f t="shared" si="2"/>
        <v>1.5787293087457934E-2</v>
      </c>
      <c r="T8" s="270">
        <f t="shared" si="7"/>
        <v>2020</v>
      </c>
      <c r="U8" s="274">
        <f>SUMIF('LC Predicted Monthly'!$B:$B,T8,'LC Predicted Monthly'!D:D)</f>
        <v>388219.62000000005</v>
      </c>
      <c r="V8" s="274">
        <f>SUMIF('LC Predicted Monthly'!$B:$B,T8,'LC Predicted Monthly'!O:O)</f>
        <v>1084201.5076918192</v>
      </c>
      <c r="W8" s="275">
        <f t="shared" si="3"/>
        <v>1.7927529981401225</v>
      </c>
    </row>
    <row r="9" spans="2:23" ht="13.9">
      <c r="B9" s="270">
        <f t="shared" si="4"/>
        <v>2021</v>
      </c>
      <c r="C9" s="274">
        <f>SUMIF('Res Predicted Monthly'!$B:$B,B9,'Res Predicted Monthly'!D:D)</f>
        <v>87284957.413936123</v>
      </c>
      <c r="D9" s="274">
        <f>SUMIF('Res Predicted Monthly'!$B:$B,B9,'Res Predicted Monthly'!S:S)</f>
        <v>87439786.73694402</v>
      </c>
      <c r="E9" s="275">
        <f t="shared" si="0"/>
        <v>1.7738374124838163E-3</v>
      </c>
      <c r="F9" s="275"/>
      <c r="G9" s="275"/>
      <c r="H9" s="270">
        <f t="shared" si="5"/>
        <v>2021</v>
      </c>
      <c r="I9" s="274">
        <f>SUMIF('GS&lt;50 Predicted Monthly'!$B:$B,H9,'GS&lt;50 Predicted Monthly'!D:D)</f>
        <v>29009356.332179528</v>
      </c>
      <c r="J9" s="274">
        <f>SUMIF('GS&lt;50 Predicted Monthly'!$B:$B,H9,'GS&lt;50 Predicted Monthly'!Q:Q)</f>
        <v>29074596.136624705</v>
      </c>
      <c r="K9" s="275">
        <f t="shared" si="1"/>
        <v>2.2489228543415849E-3</v>
      </c>
      <c r="N9" s="270">
        <f t="shared" si="6"/>
        <v>2021</v>
      </c>
      <c r="O9" s="274">
        <f>SUMIF('GS&gt;50 Predicted Monthly (no LC)'!$B:$B,N9,'GS&gt;50 Predicted Monthly (no LC)'!D:D)</f>
        <v>69570047.167225704</v>
      </c>
      <c r="P9" s="274">
        <f>SUMIF('GS&gt;50 Predicted Monthly (no LC)'!$B:$B,N9,'GS&gt;50 Predicted Monthly (no LC)'!K:K)</f>
        <v>67480465.02611272</v>
      </c>
      <c r="Q9" s="275">
        <f t="shared" si="2"/>
        <v>3.0035657961971034E-2</v>
      </c>
      <c r="T9" s="270">
        <f t="shared" si="7"/>
        <v>2021</v>
      </c>
      <c r="U9" s="274">
        <f>SUMIF('LC Predicted Monthly'!$B:$B,T9,'LC Predicted Monthly'!D:D)</f>
        <v>174202.4</v>
      </c>
      <c r="V9" s="274">
        <f>SUMIF('LC Predicted Monthly'!$B:$B,T9,'LC Predicted Monthly'!O:O)</f>
        <v>1026031.2264507673</v>
      </c>
      <c r="W9" s="275">
        <f t="shared" si="3"/>
        <v>4.8898799697981614</v>
      </c>
    </row>
    <row r="10" spans="2:23" ht="13.9">
      <c r="B10" s="270">
        <f t="shared" si="4"/>
        <v>2022</v>
      </c>
      <c r="C10" s="274">
        <f>SUMIF('Res Predicted Monthly'!$B:$B,B10,'Res Predicted Monthly'!D:D)</f>
        <v>88081157.296012342</v>
      </c>
      <c r="D10" s="274">
        <f>SUMIF('Res Predicted Monthly'!$B:$B,B10,'Res Predicted Monthly'!S:S)</f>
        <v>89134131.476258725</v>
      </c>
      <c r="E10" s="275">
        <f t="shared" si="0"/>
        <v>1.1954590659017758E-2</v>
      </c>
      <c r="F10" s="275"/>
      <c r="G10" s="275"/>
      <c r="H10" s="270">
        <f t="shared" si="5"/>
        <v>2022</v>
      </c>
      <c r="I10" s="274">
        <f>SUMIF('GS&lt;50 Predicted Monthly'!$B:$B,H10,'GS&lt;50 Predicted Monthly'!D:D)</f>
        <v>31199528.132652268</v>
      </c>
      <c r="J10" s="274">
        <f>SUMIF('GS&lt;50 Predicted Monthly'!$B:$B,H10,'GS&lt;50 Predicted Monthly'!Q:Q)</f>
        <v>31388805.046123181</v>
      </c>
      <c r="K10" s="275">
        <f t="shared" si="1"/>
        <v>6.0666594913280931E-3</v>
      </c>
      <c r="N10" s="270">
        <f t="shared" si="6"/>
        <v>2022</v>
      </c>
      <c r="O10" s="274">
        <f>SUMIF('GS&gt;50 Predicted Monthly (no LC)'!$B:$B,N10,'GS&gt;50 Predicted Monthly (no LC)'!D:D)</f>
        <v>67589731.82623066</v>
      </c>
      <c r="P10" s="274">
        <f>SUMIF('GS&gt;50 Predicted Monthly (no LC)'!$B:$B,N10,'GS&gt;50 Predicted Monthly (no LC)'!K:K)</f>
        <v>67749967.066553563</v>
      </c>
      <c r="Q10" s="275">
        <f t="shared" si="2"/>
        <v>2.3707038923435654E-3</v>
      </c>
      <c r="T10" s="270">
        <f t="shared" si="7"/>
        <v>2022</v>
      </c>
      <c r="U10" s="274">
        <f>SUMIF('LC Predicted Monthly'!$B:$B,T10,'LC Predicted Monthly'!D:D)</f>
        <v>2839915.68</v>
      </c>
      <c r="V10" s="274">
        <f>SUMIF('LC Predicted Monthly'!$B:$B,T10,'LC Predicted Monthly'!O:O)</f>
        <v>1101611.5174416909</v>
      </c>
      <c r="W10" s="275">
        <f t="shared" si="3"/>
        <v>0.61209710372749837</v>
      </c>
    </row>
    <row r="11" spans="2:23" ht="13.9">
      <c r="B11" s="270">
        <f t="shared" si="4"/>
        <v>2023</v>
      </c>
      <c r="C11" s="274">
        <f>SUMIF('Res Predicted Monthly'!$B:$B,B11,'Res Predicted Monthly'!D:D)</f>
        <v>87011012.248750299</v>
      </c>
      <c r="D11" s="274">
        <f>SUMIF('Res Predicted Monthly'!$B:$B,B11,'Res Predicted Monthly'!S:S)</f>
        <v>87333881.53489843</v>
      </c>
      <c r="E11" s="275">
        <f t="shared" si="0"/>
        <v>3.7106715323009945E-3</v>
      </c>
      <c r="F11" s="275"/>
      <c r="G11" s="275"/>
      <c r="H11" s="270">
        <f t="shared" si="5"/>
        <v>2023</v>
      </c>
      <c r="I11" s="274">
        <f>SUMIF('GS&lt;50 Predicted Monthly'!$B:$B,H11,'GS&lt;50 Predicted Monthly'!D:D)</f>
        <v>31728197.147761703</v>
      </c>
      <c r="J11" s="274">
        <f>SUMIF('GS&lt;50 Predicted Monthly'!$B:$B,H11,'GS&lt;50 Predicted Monthly'!Q:Q)</f>
        <v>32082529.173417408</v>
      </c>
      <c r="K11" s="275">
        <f t="shared" si="1"/>
        <v>1.1167732726998079E-2</v>
      </c>
      <c r="N11" s="270">
        <f t="shared" si="6"/>
        <v>2023</v>
      </c>
      <c r="O11" s="274">
        <f>SUMIF('GS&gt;50 Predicted Monthly (no LC)'!$B:$B,N11,'GS&gt;50 Predicted Monthly (no LC)'!D:D)</f>
        <v>66752782.994383968</v>
      </c>
      <c r="P11" s="274">
        <f>SUMIF('GS&gt;50 Predicted Monthly (no LC)'!$B:$B,N11,'GS&gt;50 Predicted Monthly (no LC)'!K:K)</f>
        <v>67013961.17727942</v>
      </c>
      <c r="Q11" s="275">
        <f t="shared" si="2"/>
        <v>3.9126186381985778E-3</v>
      </c>
      <c r="T11" s="270">
        <f t="shared" si="7"/>
        <v>2023</v>
      </c>
      <c r="U11" s="274">
        <f>SUMIF('LC Predicted Monthly'!$B:$B,T11,'LC Predicted Monthly'!D:D)</f>
        <v>451805.60000000003</v>
      </c>
      <c r="V11" s="274">
        <f>SUMIF('LC Predicted Monthly'!$B:$B,T11,'LC Predicted Monthly'!O:O)</f>
        <v>1034106.6763648817</v>
      </c>
      <c r="W11" s="275">
        <f t="shared" si="3"/>
        <v>1.2888310290197411</v>
      </c>
    </row>
    <row r="12" spans="2:23" ht="13.9">
      <c r="B12" s="270">
        <f t="shared" si="4"/>
        <v>2024</v>
      </c>
      <c r="C12" s="274">
        <f>SUMIF('Res Predicted Monthly'!$B:$B,B12,'Res Predicted Monthly'!D:D)</f>
        <v>88808415.569124147</v>
      </c>
      <c r="D12" s="274">
        <f>SUMIF('Res Predicted Monthly'!$B:$B,B12,'Res Predicted Monthly'!S:S)</f>
        <v>88154168.737918675</v>
      </c>
      <c r="E12" s="275">
        <f t="shared" si="0"/>
        <v>7.3669463306237958E-3</v>
      </c>
      <c r="F12" s="275"/>
      <c r="G12" s="275"/>
      <c r="H12" s="270">
        <f t="shared" si="5"/>
        <v>2024</v>
      </c>
      <c r="I12" s="274">
        <f>SUMIF('GS&lt;50 Predicted Monthly'!$B:$B,H12,'GS&lt;50 Predicted Monthly'!D:D)</f>
        <v>32322808.851253755</v>
      </c>
      <c r="J12" s="274">
        <f>SUMIF('GS&lt;50 Predicted Monthly'!$B:$B,H12,'GS&lt;50 Predicted Monthly'!Q:Q)</f>
        <v>32221129.27702735</v>
      </c>
      <c r="K12" s="275">
        <f t="shared" si="1"/>
        <v>3.1457530406569685E-3</v>
      </c>
      <c r="N12" s="270">
        <f t="shared" si="6"/>
        <v>2024</v>
      </c>
      <c r="O12" s="274">
        <f>SUMIF('GS&gt;50 Predicted Monthly (no LC)'!$B:$B,N12,'GS&gt;50 Predicted Monthly (no LC)'!D:D)</f>
        <v>66338907.505016088</v>
      </c>
      <c r="P12" s="274">
        <f>SUMIF('GS&gt;50 Predicted Monthly (no LC)'!$B:$B,N12,'GS&gt;50 Predicted Monthly (no LC)'!K:K)</f>
        <v>66954287.332279287</v>
      </c>
      <c r="Q12" s="275">
        <f t="shared" si="2"/>
        <v>9.2763033098889666E-3</v>
      </c>
      <c r="T12" s="270">
        <f t="shared" si="7"/>
        <v>2024</v>
      </c>
      <c r="U12" s="274">
        <f>SUMIF('LC Predicted Monthly'!$B:$B,T12,'LC Predicted Monthly'!D:D)</f>
        <v>749449.6</v>
      </c>
      <c r="V12" s="274">
        <f>SUMIF('LC Predicted Monthly'!$B:$B,T12,'LC Predicted Monthly'!O:O)</f>
        <v>976490.02814493119</v>
      </c>
      <c r="W12" s="275">
        <f t="shared" si="3"/>
        <v>0.30294289054918599</v>
      </c>
    </row>
    <row r="13" spans="2:23" ht="13.9">
      <c r="B13" s="270">
        <f t="shared" si="4"/>
        <v>2025</v>
      </c>
      <c r="C13" s="274">
        <f>SUMIF('Res Predicted Monthly'!$B:$B,B13,'Res Predicted Monthly'!D:D)</f>
        <v>93157276.854925811</v>
      </c>
      <c r="D13" s="274">
        <f>SUMIF('Res Predicted Monthly'!$B:$B,B13,'Res Predicted Monthly'!S:S)</f>
        <v>92969869.923073903</v>
      </c>
      <c r="E13" s="275">
        <f t="shared" si="0"/>
        <v>2.0117261708256897E-3</v>
      </c>
      <c r="F13" s="275"/>
      <c r="G13" s="275"/>
      <c r="H13" s="270">
        <f t="shared" si="5"/>
        <v>2025</v>
      </c>
      <c r="I13" s="274">
        <f>SUMIF('GS&lt;50 Predicted Monthly'!$B:$B,H13,'GS&lt;50 Predicted Monthly'!D:D)</f>
        <v>34041750.909477159</v>
      </c>
      <c r="J13" s="274">
        <f>SUMIF('GS&lt;50 Predicted Monthly'!$B:$B,H13,'GS&lt;50 Predicted Monthly'!Q:Q)</f>
        <v>33767381.586664692</v>
      </c>
      <c r="K13" s="275">
        <f t="shared" si="1"/>
        <v>8.059788802933867E-3</v>
      </c>
      <c r="N13" s="270">
        <f t="shared" si="6"/>
        <v>2025</v>
      </c>
      <c r="O13" s="274">
        <f>SUMIF('GS&gt;50 Predicted Monthly (no LC)'!$B:$B,N13,'GS&gt;50 Predicted Monthly (no LC)'!D:D)</f>
        <v>66893124.253890343</v>
      </c>
      <c r="P13" s="274">
        <f>SUMIF('GS&gt;50 Predicted Monthly (no LC)'!$B:$B,N13,'GS&gt;50 Predicted Monthly (no LC)'!K:K)</f>
        <v>68249960.465732023</v>
      </c>
      <c r="Q13" s="275">
        <f t="shared" si="2"/>
        <v>2.0283642406831816E-2</v>
      </c>
      <c r="T13" s="270">
        <f t="shared" si="7"/>
        <v>2025</v>
      </c>
      <c r="U13" s="274">
        <f>SUMIF('LC Predicted Monthly'!$B:$B,T13,'LC Predicted Monthly'!D:D)</f>
        <v>8441212.5999999996</v>
      </c>
      <c r="V13" s="274">
        <f>SUMIF('LC Predicted Monthly'!$B:$B,T13,'LC Predicted Monthly'!O:O)</f>
        <v>7466128.3559561726</v>
      </c>
      <c r="W13" s="275">
        <f t="shared" si="3"/>
        <v>0.11551471219239605</v>
      </c>
    </row>
    <row r="14" spans="2:23" s="545" customFormat="1" ht="13.9">
      <c r="B14" s="542" t="s">
        <v>4</v>
      </c>
      <c r="C14" s="543">
        <f>SUM(C4:C13)</f>
        <v>857404777.41461039</v>
      </c>
      <c r="D14" s="543">
        <f>SUM(D4:D13)</f>
        <v>851430298.71649086</v>
      </c>
      <c r="E14" s="544">
        <f t="shared" si="0"/>
        <v>6.9680958813114662E-3</v>
      </c>
      <c r="F14" s="544"/>
      <c r="G14" s="544"/>
      <c r="H14" s="542" t="s">
        <v>4</v>
      </c>
      <c r="I14" s="543">
        <f>SUM(I4:I13)</f>
        <v>310626691.34592831</v>
      </c>
      <c r="J14" s="543">
        <f>SUM(J4:J13)</f>
        <v>308381270.30106252</v>
      </c>
      <c r="K14" s="544">
        <f t="shared" si="1"/>
        <v>7.2286803015429923E-3</v>
      </c>
      <c r="N14" s="542" t="s">
        <v>4</v>
      </c>
      <c r="O14" s="543">
        <f>SUM(O4:O13)</f>
        <v>694681384.95631766</v>
      </c>
      <c r="P14" s="543">
        <f>SUM(P4:P13)</f>
        <v>677167959.45184398</v>
      </c>
      <c r="Q14" s="544">
        <f t="shared" si="2"/>
        <v>2.5210730967801808E-2</v>
      </c>
      <c r="T14" s="542" t="s">
        <v>4</v>
      </c>
      <c r="U14" s="543">
        <f>SUM(U4:U13)</f>
        <v>17268758.560000002</v>
      </c>
      <c r="V14" s="543">
        <f>SUM(V4:V13)</f>
        <v>17239854.395997837</v>
      </c>
      <c r="W14" s="544">
        <f t="shared" si="3"/>
        <v>1.6737835497403117E-3</v>
      </c>
    </row>
    <row r="15" spans="2:23" s="545" customFormat="1" ht="13.9">
      <c r="B15" s="546" t="s">
        <v>374</v>
      </c>
      <c r="C15" s="543">
        <f>SUM(C8:C13)</f>
        <v>531426963.68786168</v>
      </c>
      <c r="D15" s="543">
        <f>SUM(D8:D13)</f>
        <v>531442907.51762122</v>
      </c>
      <c r="E15" s="544">
        <f t="shared" si="0"/>
        <v>3.0001920958047064E-5</v>
      </c>
      <c r="F15" s="547"/>
      <c r="G15" s="547"/>
      <c r="H15" s="546" t="s">
        <v>374</v>
      </c>
      <c r="I15" s="543">
        <f>SUM(I8:I13)</f>
        <v>186410956.78175992</v>
      </c>
      <c r="J15" s="543">
        <f>SUM(J8:J13)</f>
        <v>186498294.57765698</v>
      </c>
      <c r="K15" s="544">
        <f t="shared" si="1"/>
        <v>4.6852286692201825E-4</v>
      </c>
      <c r="N15" s="546" t="s">
        <v>374</v>
      </c>
      <c r="O15" s="543">
        <f>SUM(O8:O13)</f>
        <v>403543702.4345355</v>
      </c>
      <c r="P15" s="543">
        <f>SUM(P8:P13)</f>
        <v>404896011.94534588</v>
      </c>
      <c r="Q15" s="544">
        <f t="shared" si="2"/>
        <v>3.3510856510758024E-3</v>
      </c>
      <c r="T15" s="546" t="s">
        <v>374</v>
      </c>
      <c r="U15" s="543">
        <f>SUM(U8:U13)</f>
        <v>13044805.5</v>
      </c>
      <c r="V15" s="543">
        <f>SUM(V8:V13)</f>
        <v>12688569.312050264</v>
      </c>
      <c r="W15" s="544">
        <f t="shared" si="3"/>
        <v>2.7308662283215771E-2</v>
      </c>
    </row>
    <row r="16" spans="2:23" ht="13.9">
      <c r="B16" s="271"/>
      <c r="C16" s="270"/>
      <c r="D16" s="270"/>
      <c r="E16" s="270"/>
      <c r="F16" s="270"/>
      <c r="G16" s="270"/>
      <c r="H16" s="270"/>
      <c r="I16" s="270"/>
      <c r="J16" s="270"/>
      <c r="K16" s="270"/>
      <c r="N16" s="270"/>
      <c r="O16" s="270"/>
      <c r="P16" s="270"/>
      <c r="Q16" s="270"/>
      <c r="T16" s="270"/>
      <c r="U16" s="270"/>
      <c r="V16" s="270"/>
      <c r="W16" s="270"/>
    </row>
    <row r="17" spans="2:23" ht="13.9">
      <c r="B17" s="631" t="s">
        <v>375</v>
      </c>
      <c r="C17" s="631"/>
      <c r="D17" s="631"/>
      <c r="E17" s="276">
        <f>AVERAGE(E4:E13)</f>
        <v>1.0615313281073315E-2</v>
      </c>
      <c r="F17" s="276"/>
      <c r="G17" s="276"/>
      <c r="H17" s="631" t="s">
        <v>375</v>
      </c>
      <c r="I17" s="631"/>
      <c r="J17" s="631"/>
      <c r="K17" s="276">
        <f>AVERAGE(K4:K13)</f>
        <v>1.0961779702659049E-2</v>
      </c>
      <c r="N17" s="631" t="s">
        <v>375</v>
      </c>
      <c r="O17" s="631"/>
      <c r="P17" s="631"/>
      <c r="Q17" s="276">
        <f>AVERAGE(Q4:Q13)</f>
        <v>3.3994655801858779E-2</v>
      </c>
      <c r="T17" s="631" t="s">
        <v>375</v>
      </c>
      <c r="U17" s="631"/>
      <c r="V17" s="631"/>
      <c r="W17" s="276">
        <f>AVERAGE(W4:W13)</f>
        <v>1.2112726462733301</v>
      </c>
    </row>
    <row r="18" spans="2:23" ht="13.9">
      <c r="B18" s="631" t="s">
        <v>376</v>
      </c>
      <c r="C18" s="631"/>
      <c r="D18" s="631"/>
      <c r="E18" s="276">
        <f>AVERAGE(E8:E13)</f>
        <v>5.7577988824237822E-3</v>
      </c>
      <c r="F18" s="276"/>
      <c r="G18" s="276"/>
      <c r="H18" s="631" t="s">
        <v>376</v>
      </c>
      <c r="I18" s="631"/>
      <c r="J18" s="631"/>
      <c r="K18" s="276">
        <f>AVERAGE(K8:K13)</f>
        <v>5.9772878051949224E-3</v>
      </c>
      <c r="N18" s="631" t="s">
        <v>376</v>
      </c>
      <c r="O18" s="631"/>
      <c r="P18" s="631"/>
      <c r="Q18" s="276">
        <f>AVERAGE(Q8:Q13)</f>
        <v>1.3611036549448651E-2</v>
      </c>
      <c r="T18" s="631" t="s">
        <v>376</v>
      </c>
      <c r="U18" s="631"/>
      <c r="V18" s="631"/>
      <c r="W18" s="276">
        <f>AVERAGE(W8:W13)</f>
        <v>1.5003364505711845</v>
      </c>
    </row>
    <row r="19" spans="2:23" ht="13.9">
      <c r="B19" s="631" t="s">
        <v>377</v>
      </c>
      <c r="C19" s="631"/>
      <c r="D19" s="631"/>
      <c r="E19" s="276">
        <f>'Res Predicted Monthly'!U122</f>
        <v>1.9201303139580395E-2</v>
      </c>
      <c r="F19" s="276"/>
      <c r="G19" s="276"/>
      <c r="H19" s="631" t="s">
        <v>377</v>
      </c>
      <c r="I19" s="631"/>
      <c r="J19" s="631"/>
      <c r="K19" s="276">
        <f>'GS&lt;50 Predicted Monthly'!S122</f>
        <v>2.0547851926964553E-2</v>
      </c>
      <c r="N19" s="631" t="s">
        <v>377</v>
      </c>
      <c r="O19" s="631"/>
      <c r="P19" s="631"/>
      <c r="Q19" s="276">
        <f>'GS&gt;50 Predicted Monthly (no LC)'!M122</f>
        <v>3.3614922718716377E-2</v>
      </c>
      <c r="T19" s="631" t="s">
        <v>377</v>
      </c>
      <c r="U19" s="631"/>
      <c r="V19" s="631"/>
      <c r="W19" s="276">
        <f>'LC Predicted Monthly'!Q122</f>
        <v>624.4371324980425</v>
      </c>
    </row>
  </sheetData>
  <sheetProtection sheet="1" objects="1" scenarios="1"/>
  <mergeCells count="16">
    <mergeCell ref="U2:V2"/>
    <mergeCell ref="T17:V17"/>
    <mergeCell ref="T19:V19"/>
    <mergeCell ref="B18:D18"/>
    <mergeCell ref="H18:J18"/>
    <mergeCell ref="N18:P18"/>
    <mergeCell ref="T18:V18"/>
    <mergeCell ref="O2:P2"/>
    <mergeCell ref="N17:P17"/>
    <mergeCell ref="N19:P19"/>
    <mergeCell ref="C2:D2"/>
    <mergeCell ref="B17:D17"/>
    <mergeCell ref="B19:D19"/>
    <mergeCell ref="I2:J2"/>
    <mergeCell ref="H17:J17"/>
    <mergeCell ref="H19:J19"/>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1"/>
  <dimension ref="A1:AV232"/>
  <sheetViews>
    <sheetView workbookViewId="0">
      <pane xSplit="1" ySplit="1" topLeftCell="B2" activePane="bottomRight" state="frozen"/>
      <selection pane="bottomRight" activeCell="AU148" sqref="AU148"/>
      <selection pane="bottomLeft" activeCell="T31" sqref="T31"/>
      <selection pane="topRight" activeCell="T31" sqref="T31"/>
    </sheetView>
  </sheetViews>
  <sheetFormatPr defaultColWidth="9.33203125" defaultRowHeight="13.15"/>
  <cols>
    <col min="1" max="1" width="10.5" bestFit="1" customWidth="1"/>
    <col min="4" max="4" width="14.6640625" bestFit="1" customWidth="1"/>
    <col min="7" max="7" width="11.33203125" bestFit="1" customWidth="1"/>
    <col min="9" max="9" width="12.5" bestFit="1" customWidth="1"/>
    <col min="10" max="10" width="12.5" customWidth="1"/>
    <col min="11" max="11" width="11.83203125" bestFit="1" customWidth="1"/>
    <col min="12" max="12" width="12" bestFit="1" customWidth="1"/>
    <col min="13" max="13" width="12.83203125" bestFit="1" customWidth="1"/>
    <col min="14" max="14" width="13.83203125" bestFit="1" customWidth="1"/>
    <col min="15" max="15" width="14.33203125" bestFit="1" customWidth="1"/>
    <col min="16" max="16" width="13.6640625" bestFit="1" customWidth="1"/>
    <col min="17" max="17" width="11.1640625" bestFit="1" customWidth="1"/>
    <col min="18" max="18" width="11.1640625" customWidth="1"/>
    <col min="19" max="19" width="16.1640625" customWidth="1"/>
    <col min="20" max="20" width="14.83203125" customWidth="1"/>
    <col min="22" max="22" width="13.83203125" bestFit="1" customWidth="1"/>
    <col min="23" max="23" width="13" bestFit="1" customWidth="1"/>
    <col min="24" max="25" width="16" bestFit="1" customWidth="1"/>
    <col min="42" max="42" width="12.6640625" bestFit="1" customWidth="1"/>
    <col min="47" max="47" width="11.1640625" bestFit="1" customWidth="1"/>
    <col min="48" max="48" width="10.1640625" bestFit="1" customWidth="1"/>
  </cols>
  <sheetData>
    <row r="1" spans="1:48">
      <c r="A1" s="266" t="str">
        <f>'Monthly Data'!A1</f>
        <v>Date</v>
      </c>
      <c r="B1" s="258" t="s">
        <v>27</v>
      </c>
      <c r="C1" s="258" t="s">
        <v>28</v>
      </c>
      <c r="D1" s="267" t="str">
        <f>'Monthly Data'!F1</f>
        <v>Res_NoCDM</v>
      </c>
      <c r="E1" s="268" t="str">
        <f>'Monthly Data'!AS1</f>
        <v>HDD18</v>
      </c>
      <c r="F1" s="268" t="str">
        <f>'Monthly Data'!AZ1</f>
        <v>CDD12</v>
      </c>
      <c r="G1" s="269" t="str">
        <f>'Monthly Data'!G1</f>
        <v>Residential_Customers</v>
      </c>
      <c r="H1" s="258" t="str">
        <f>'Monthly Data'!BU1</f>
        <v>Month Days</v>
      </c>
      <c r="I1" s="268" t="str">
        <f>'Monthly Data'!CQ1</f>
        <v>CWFHHDD18</v>
      </c>
      <c r="J1" s="268" t="str">
        <f>'Monthly Data'!CX1</f>
        <v>CWFHCDD12</v>
      </c>
      <c r="L1" s="258" t="s">
        <v>187</v>
      </c>
      <c r="M1" s="268" t="str">
        <f t="shared" ref="M1:R1" si="0">E1</f>
        <v>HDD18</v>
      </c>
      <c r="N1" s="268" t="str">
        <f t="shared" si="0"/>
        <v>CDD12</v>
      </c>
      <c r="O1" s="268" t="str">
        <f t="shared" si="0"/>
        <v>Residential_Customers</v>
      </c>
      <c r="P1" s="268" t="str">
        <f t="shared" si="0"/>
        <v>Month Days</v>
      </c>
      <c r="Q1" s="268" t="str">
        <f t="shared" si="0"/>
        <v>CWFHHDD18</v>
      </c>
      <c r="R1" s="268" t="str">
        <f t="shared" si="0"/>
        <v>CWFHCDD12</v>
      </c>
      <c r="S1" s="258" t="s">
        <v>378</v>
      </c>
      <c r="T1" s="258" t="s">
        <v>189</v>
      </c>
      <c r="AK1" t="s">
        <v>379</v>
      </c>
      <c r="AL1" t="s">
        <v>380</v>
      </c>
      <c r="AM1" t="s">
        <v>381</v>
      </c>
      <c r="AN1" t="s">
        <v>382</v>
      </c>
      <c r="AP1" t="str">
        <f>AK1</f>
        <v>HDDLow</v>
      </c>
      <c r="AQ1" t="str">
        <f>AL1</f>
        <v>HDDHigh</v>
      </c>
      <c r="AR1" t="str">
        <f>AM1</f>
        <v>CDDLow</v>
      </c>
      <c r="AS1" t="str">
        <f>AN1</f>
        <v>CDDHigh</v>
      </c>
      <c r="AU1" t="s">
        <v>383</v>
      </c>
      <c r="AV1" t="s">
        <v>384</v>
      </c>
    </row>
    <row r="2" spans="1:48">
      <c r="A2" s="541">
        <f>'Monthly Data'!A2</f>
        <v>42370</v>
      </c>
      <c r="B2">
        <f>YEAR(A2)</f>
        <v>2016</v>
      </c>
      <c r="C2">
        <f>MONTH(A2)</f>
        <v>1</v>
      </c>
      <c r="D2" s="18">
        <f>'Monthly Data'!F2</f>
        <v>18730.360576923078</v>
      </c>
      <c r="E2" s="516">
        <f ca="1">Weather!AO39</f>
        <v>852.55166666666662</v>
      </c>
      <c r="F2" s="516">
        <f ca="1">Weather!CF39</f>
        <v>0</v>
      </c>
      <c r="G2" s="18">
        <f>'Monthly Data'!G2</f>
        <v>9443</v>
      </c>
      <c r="H2">
        <f>'Monthly Data'!BU2</f>
        <v>31</v>
      </c>
      <c r="I2" s="33">
        <f>'Monthly Data'!CQ2</f>
        <v>0</v>
      </c>
      <c r="J2" s="33">
        <f>'Monthly Data'!CX2</f>
        <v>0</v>
      </c>
      <c r="L2" s="18">
        <f>'Res Predicted Monthly'!$X$8</f>
        <v>-16404845.677784801</v>
      </c>
      <c r="M2" s="18">
        <f ca="1">E2*'Res Predicted Monthly'!$X$9</f>
        <v>5585584.3300463771</v>
      </c>
      <c r="N2" s="18">
        <f ca="1">F2*'Res Predicted Monthly'!$X$10</f>
        <v>0</v>
      </c>
      <c r="O2" s="18">
        <f>G2*'Res Predicted Monthly'!$X$11</f>
        <v>12720044.704831958</v>
      </c>
      <c r="P2" s="18">
        <f>H2*'Res Predicted Monthly'!$X$12</f>
        <v>6513250.5985030681</v>
      </c>
      <c r="Q2" s="18">
        <f>I2*'Res Predicted Monthly'!$X$13</f>
        <v>0</v>
      </c>
      <c r="R2" s="18">
        <f>J2*'Res Predicted Monthly'!$X$14</f>
        <v>0</v>
      </c>
      <c r="S2" s="18">
        <f ca="1">SUM(L2:R2)</f>
        <v>8414033.9555966035</v>
      </c>
      <c r="T2" s="30">
        <f t="shared" ref="T2:T17" ca="1" si="1">S2-D2</f>
        <v>8395303.5950196795</v>
      </c>
      <c r="U2" s="35">
        <f t="shared" ref="U2:U17" ca="1" si="2">ABS(T2/D2)</f>
        <v>448.21900574424575</v>
      </c>
      <c r="AK2" s="33">
        <f ca="1">Weather!AR39</f>
        <v>750.59476891120983</v>
      </c>
      <c r="AL2" s="33">
        <f ca="1">Weather!AS39</f>
        <v>950.29946511324727</v>
      </c>
      <c r="AM2" s="33">
        <f ca="1">Weather!CJ39</f>
        <v>0</v>
      </c>
      <c r="AN2" s="33">
        <f ca="1">Weather!CK39</f>
        <v>0</v>
      </c>
      <c r="AP2" s="18">
        <f ca="1">AK2*'Res Predicted Monthly'!$X$9</f>
        <v>4917602.7018247992</v>
      </c>
      <c r="AQ2" s="18">
        <f ca="1">AL2*'Res Predicted Monthly'!$X$9</f>
        <v>6225989.5895122774</v>
      </c>
      <c r="AR2" s="18">
        <f ca="1">AM2*'Res Predicted Monthly'!$X$10</f>
        <v>0</v>
      </c>
      <c r="AS2" s="18">
        <f ca="1">AN2*'Res Predicted Monthly'!$X$10</f>
        <v>0</v>
      </c>
      <c r="AU2" s="31">
        <f ca="1">AP2+AR2-M2-N2+S2</f>
        <v>7746052.3273750255</v>
      </c>
      <c r="AV2" s="31">
        <f ca="1">AQ2+AS2-M2-N2+S2</f>
        <v>9054439.2150625028</v>
      </c>
    </row>
    <row r="3" spans="1:48">
      <c r="A3" s="541">
        <f>'Monthly Data'!A3</f>
        <v>42401</v>
      </c>
      <c r="B3">
        <f>YEAR(A3)</f>
        <v>2016</v>
      </c>
      <c r="C3">
        <f>MONTH(A3)</f>
        <v>2</v>
      </c>
      <c r="D3" s="18">
        <f>'Monthly Data'!F3</f>
        <v>21227.741987179485</v>
      </c>
      <c r="E3" s="516">
        <f ca="1">Weather!AO40</f>
        <v>747.22854166666662</v>
      </c>
      <c r="F3" s="516">
        <f ca="1">Weather!CF40</f>
        <v>0</v>
      </c>
      <c r="G3" s="18">
        <f>'Monthly Data'!G3</f>
        <v>9443</v>
      </c>
      <c r="H3">
        <f>'Monthly Data'!BU3</f>
        <v>28</v>
      </c>
      <c r="I3" s="33">
        <f>'Monthly Data'!CQ3</f>
        <v>0</v>
      </c>
      <c r="J3" s="33">
        <f>'Monthly Data'!CX3</f>
        <v>0</v>
      </c>
      <c r="L3" s="18">
        <f>'Res Predicted Monthly'!$X$8</f>
        <v>-16404845.677784801</v>
      </c>
      <c r="M3" s="18">
        <f ca="1">E3*'Res Predicted Monthly'!$X$9</f>
        <v>4895548.500438964</v>
      </c>
      <c r="N3" s="18">
        <f ca="1">F3*'Res Predicted Monthly'!$X$10</f>
        <v>0</v>
      </c>
      <c r="O3" s="18">
        <f>G3*'Res Predicted Monthly'!$X$11</f>
        <v>12720044.704831958</v>
      </c>
      <c r="P3" s="18">
        <f>H3*'Res Predicted Monthly'!$X$12</f>
        <v>5882936.0244543841</v>
      </c>
      <c r="Q3" s="18">
        <f>I3*'Res Predicted Monthly'!$X$13</f>
        <v>0</v>
      </c>
      <c r="R3" s="18">
        <f>J3*'Res Predicted Monthly'!$X$14</f>
        <v>0</v>
      </c>
      <c r="S3" s="18">
        <f t="shared" ref="S3:S66" ca="1" si="3">SUM(L3:R3)</f>
        <v>7093683.5519405054</v>
      </c>
      <c r="T3" s="30">
        <f t="shared" ca="1" si="1"/>
        <v>7072455.8099533264</v>
      </c>
      <c r="U3" s="35">
        <f t="shared" ca="1" si="2"/>
        <v>333.17042454278663</v>
      </c>
      <c r="AK3" s="33">
        <f ca="1">Weather!AR40</f>
        <v>657.86726656584096</v>
      </c>
      <c r="AL3" s="33">
        <f ca="1">Weather!AS40</f>
        <v>832.90070411746512</v>
      </c>
      <c r="AM3" s="33">
        <f ca="1">Weather!CJ40</f>
        <v>0</v>
      </c>
      <c r="AN3" s="33">
        <f ca="1">Weather!CK40</f>
        <v>0</v>
      </c>
      <c r="AP3" s="18">
        <f ca="1">AK3*'Res Predicted Monthly'!$X$9</f>
        <v>4310088.4545186171</v>
      </c>
      <c r="AQ3" s="18">
        <f ca="1">AL3*'Res Predicted Monthly'!$X$9</f>
        <v>5456838.9263639245</v>
      </c>
      <c r="AR3" s="18">
        <f ca="1">AM3*'Res Predicted Monthly'!$X$10</f>
        <v>0</v>
      </c>
      <c r="AS3" s="18">
        <f ca="1">AN3*'Res Predicted Monthly'!$X$10</f>
        <v>0</v>
      </c>
      <c r="AU3" s="31">
        <f t="shared" ref="AU3:AU66" ca="1" si="4">AP3+AR3-M3-N3+S3</f>
        <v>6508223.5060201585</v>
      </c>
      <c r="AV3" s="31">
        <f t="shared" ref="AV3:AV66" ca="1" si="5">AQ3+AS3-M3-N3+S3</f>
        <v>7654973.9778654659</v>
      </c>
    </row>
    <row r="4" spans="1:48">
      <c r="A4" s="541">
        <f>'Monthly Data'!A4</f>
        <v>42430</v>
      </c>
      <c r="B4">
        <f>YEAR(A4)</f>
        <v>2016</v>
      </c>
      <c r="C4">
        <f>MONTH(A4)</f>
        <v>3</v>
      </c>
      <c r="D4" s="18">
        <f>'Monthly Data'!F4</f>
        <v>23725.123397435898</v>
      </c>
      <c r="E4" s="516">
        <f ca="1">Weather!AO41</f>
        <v>636.29604166666672</v>
      </c>
      <c r="F4" s="516">
        <f ca="1">Weather!CF41</f>
        <v>0</v>
      </c>
      <c r="G4" s="18">
        <f>'Monthly Data'!G4</f>
        <v>9443</v>
      </c>
      <c r="H4">
        <f>'Monthly Data'!BU4</f>
        <v>31</v>
      </c>
      <c r="I4" s="33">
        <f>'Monthly Data'!CQ4</f>
        <v>0</v>
      </c>
      <c r="J4" s="33">
        <f>'Monthly Data'!CX4</f>
        <v>0</v>
      </c>
      <c r="L4" s="18">
        <f>'Res Predicted Monthly'!$X$8</f>
        <v>-16404845.677784801</v>
      </c>
      <c r="M4" s="18">
        <f ca="1">E4*'Res Predicted Monthly'!$X$9</f>
        <v>4168762.2446387853</v>
      </c>
      <c r="N4" s="18">
        <f ca="1">F4*'Res Predicted Monthly'!$X$10</f>
        <v>0</v>
      </c>
      <c r="O4" s="18">
        <f>G4*'Res Predicted Monthly'!$X$11</f>
        <v>12720044.704831958</v>
      </c>
      <c r="P4" s="18">
        <f>H4*'Res Predicted Monthly'!$X$12</f>
        <v>6513250.5985030681</v>
      </c>
      <c r="Q4" s="18">
        <f>I4*'Res Predicted Monthly'!$X$13</f>
        <v>0</v>
      </c>
      <c r="R4" s="18">
        <f>J4*'Res Predicted Monthly'!$X$14</f>
        <v>0</v>
      </c>
      <c r="S4" s="18">
        <f t="shared" ca="1" si="3"/>
        <v>6997211.8701890111</v>
      </c>
      <c r="T4" s="30">
        <f t="shared" ca="1" si="1"/>
        <v>6973486.7467915751</v>
      </c>
      <c r="U4" s="35">
        <f t="shared" ca="1" si="2"/>
        <v>293.92836572328378</v>
      </c>
      <c r="AK4" s="33">
        <f ca="1">Weather!AR41</f>
        <v>560.20121598172079</v>
      </c>
      <c r="AL4" s="33">
        <f ca="1">Weather!AS41</f>
        <v>709.24943518517148</v>
      </c>
      <c r="AM4" s="33">
        <f ca="1">Weather!CJ41</f>
        <v>0</v>
      </c>
      <c r="AN4" s="33">
        <f ca="1">Weather!CK41</f>
        <v>0</v>
      </c>
      <c r="AP4" s="18">
        <f ca="1">AK4*'Res Predicted Monthly'!$X$9</f>
        <v>3670218.7750033834</v>
      </c>
      <c r="AQ4" s="18">
        <f ca="1">AL4*'Res Predicted Monthly'!$X$9</f>
        <v>4646724.2821231214</v>
      </c>
      <c r="AR4" s="18">
        <f ca="1">AM4*'Res Predicted Monthly'!$X$10</f>
        <v>0</v>
      </c>
      <c r="AS4" s="18">
        <f ca="1">AN4*'Res Predicted Monthly'!$X$10</f>
        <v>0</v>
      </c>
      <c r="AU4" s="31">
        <f t="shared" ca="1" si="4"/>
        <v>6498668.4005536092</v>
      </c>
      <c r="AV4" s="31">
        <f t="shared" ca="1" si="5"/>
        <v>7475173.9076733477</v>
      </c>
    </row>
    <row r="5" spans="1:48">
      <c r="A5" s="541">
        <f>'Monthly Data'!A5</f>
        <v>42461</v>
      </c>
      <c r="B5">
        <f>YEAR(A5)</f>
        <v>2016</v>
      </c>
      <c r="C5">
        <f>MONTH(A5)</f>
        <v>4</v>
      </c>
      <c r="D5" s="18">
        <f>'Monthly Data'!F5</f>
        <v>26222.504807692305</v>
      </c>
      <c r="E5" s="516">
        <f ca="1">Weather!AO42</f>
        <v>408.60374999999999</v>
      </c>
      <c r="F5" s="516">
        <f ca="1">Weather!CF42</f>
        <v>2.8104166666666677</v>
      </c>
      <c r="G5" s="18">
        <f>'Monthly Data'!G5</f>
        <v>9491</v>
      </c>
      <c r="H5">
        <f>'Monthly Data'!BU5</f>
        <v>30</v>
      </c>
      <c r="I5" s="33">
        <f>'Monthly Data'!CQ5</f>
        <v>0</v>
      </c>
      <c r="J5" s="33">
        <f>'Monthly Data'!CX5</f>
        <v>0</v>
      </c>
      <c r="L5" s="18">
        <f>'Res Predicted Monthly'!$X$8</f>
        <v>-16404845.677784801</v>
      </c>
      <c r="M5" s="18">
        <f ca="1">E5*'Res Predicted Monthly'!$X$9</f>
        <v>2677011.6022663582</v>
      </c>
      <c r="N5" s="18">
        <f ca="1">F5*'Res Predicted Monthly'!$X$10</f>
        <v>40990.172374191818</v>
      </c>
      <c r="O5" s="18">
        <f>G5*'Res Predicted Monthly'!$X$11</f>
        <v>12784702.350265818</v>
      </c>
      <c r="P5" s="18">
        <f>H5*'Res Predicted Monthly'!$X$12</f>
        <v>6303145.7404868407</v>
      </c>
      <c r="Q5" s="18">
        <f>I5*'Res Predicted Monthly'!$X$13</f>
        <v>0</v>
      </c>
      <c r="R5" s="18">
        <f>J5*'Res Predicted Monthly'!$X$14</f>
        <v>0</v>
      </c>
      <c r="S5" s="18">
        <f t="shared" ca="1" si="3"/>
        <v>5401004.1876084087</v>
      </c>
      <c r="T5" s="30">
        <f t="shared" ca="1" si="1"/>
        <v>5374781.6828007167</v>
      </c>
      <c r="U5" s="35">
        <f t="shared" ca="1" si="2"/>
        <v>204.96827904952994</v>
      </c>
      <c r="AK5" s="33">
        <f ca="1">Weather!AR42</f>
        <v>359.73871062458045</v>
      </c>
      <c r="AL5" s="33">
        <f ca="1">Weather!AS42</f>
        <v>455.4514878686926</v>
      </c>
      <c r="AM5" s="33">
        <f ca="1">Weather!CJ42</f>
        <v>2.33889472041326</v>
      </c>
      <c r="AN5" s="33">
        <f ca="1">Weather!CK42</f>
        <v>3.0470377046304016</v>
      </c>
      <c r="AP5" s="18">
        <f ca="1">AK5*'Res Predicted Monthly'!$X$9</f>
        <v>2356867.0187837039</v>
      </c>
      <c r="AQ5" s="18">
        <f ca="1">AL5*'Res Predicted Monthly'!$X$9</f>
        <v>2983939.617034757</v>
      </c>
      <c r="AR5" s="18">
        <f ca="1">AM5*'Res Predicted Monthly'!$X$10</f>
        <v>34112.983634037664</v>
      </c>
      <c r="AS5" s="18">
        <f ca="1">AN5*'Res Predicted Monthly'!$X$10</f>
        <v>44441.310864982734</v>
      </c>
      <c r="AU5" s="31">
        <f t="shared" ca="1" si="4"/>
        <v>5073982.4153856002</v>
      </c>
      <c r="AV5" s="31">
        <f t="shared" ca="1" si="5"/>
        <v>5711383.3408675985</v>
      </c>
    </row>
    <row r="6" spans="1:48">
      <c r="A6" s="541">
        <f>'Monthly Data'!A6</f>
        <v>42491</v>
      </c>
      <c r="B6">
        <f t="shared" ref="B6:B17" si="6">YEAR(A6)</f>
        <v>2016</v>
      </c>
      <c r="C6">
        <f t="shared" ref="C6:C17" si="7">MONTH(A6)</f>
        <v>5</v>
      </c>
      <c r="D6" s="18">
        <f>'Monthly Data'!F6</f>
        <v>28719.886217948719</v>
      </c>
      <c r="E6" s="516">
        <f ca="1">Weather!AO43</f>
        <v>178.10395833333331</v>
      </c>
      <c r="F6" s="516">
        <f ca="1">Weather!CF43</f>
        <v>74.673124999999999</v>
      </c>
      <c r="G6" s="18">
        <f>'Monthly Data'!G6</f>
        <v>9491</v>
      </c>
      <c r="H6">
        <f>'Monthly Data'!BU6</f>
        <v>31</v>
      </c>
      <c r="I6" s="33">
        <f>'Monthly Data'!CQ6</f>
        <v>0</v>
      </c>
      <c r="J6" s="33">
        <f>'Monthly Data'!CX6</f>
        <v>0</v>
      </c>
      <c r="L6" s="18">
        <f>'Res Predicted Monthly'!$X$8</f>
        <v>-16404845.677784801</v>
      </c>
      <c r="M6" s="18">
        <f ca="1">E6*'Res Predicted Monthly'!$X$9</f>
        <v>1166867.3204000143</v>
      </c>
      <c r="N6" s="18">
        <f ca="1">F6*'Res Predicted Monthly'!$X$10</f>
        <v>1089114.045534021</v>
      </c>
      <c r="O6" s="18">
        <f>G6*'Res Predicted Monthly'!$X$11</f>
        <v>12784702.350265818</v>
      </c>
      <c r="P6" s="18">
        <f>H6*'Res Predicted Monthly'!$X$12</f>
        <v>6513250.5985030681</v>
      </c>
      <c r="Q6" s="18">
        <f>I6*'Res Predicted Monthly'!$X$13</f>
        <v>0</v>
      </c>
      <c r="R6" s="18">
        <f>J6*'Res Predicted Monthly'!$X$14</f>
        <v>0</v>
      </c>
      <c r="S6" s="18">
        <f t="shared" ca="1" si="3"/>
        <v>5149088.6369181201</v>
      </c>
      <c r="T6" s="30">
        <f t="shared" ca="1" si="1"/>
        <v>5120368.7507001711</v>
      </c>
      <c r="U6" s="35">
        <f t="shared" ca="1" si="2"/>
        <v>178.28652634076789</v>
      </c>
      <c r="AK6" s="33">
        <f ca="1">Weather!AR43</f>
        <v>156.80445499574424</v>
      </c>
      <c r="AL6" s="33">
        <f ca="1">Weather!AS43</f>
        <v>198.52415162176143</v>
      </c>
      <c r="AM6" s="33">
        <f ca="1">Weather!CJ43</f>
        <v>62.144727467193846</v>
      </c>
      <c r="AN6" s="33">
        <f ca="1">Weather!CK43</f>
        <v>80.960175797507716</v>
      </c>
      <c r="AP6" s="18">
        <f ca="1">AK6*'Res Predicted Monthly'!$X$9</f>
        <v>1027321.3236801189</v>
      </c>
      <c r="AQ6" s="18">
        <f ca="1">AL6*'Res Predicted Monthly'!$X$9</f>
        <v>1300652.4223567233</v>
      </c>
      <c r="AR6" s="18">
        <f ca="1">AM6*'Res Predicted Monthly'!$X$10</f>
        <v>906386.27404979616</v>
      </c>
      <c r="AS6" s="18">
        <f ca="1">AN6*'Res Predicted Monthly'!$X$10</f>
        <v>1180811.2301443012</v>
      </c>
      <c r="AU6" s="31">
        <f t="shared" ca="1" si="4"/>
        <v>4826814.8687140001</v>
      </c>
      <c r="AV6" s="31">
        <f t="shared" ca="1" si="5"/>
        <v>5374570.9234851096</v>
      </c>
    </row>
    <row r="7" spans="1:48">
      <c r="A7" s="541">
        <f>'Monthly Data'!A7</f>
        <v>42522</v>
      </c>
      <c r="B7">
        <f t="shared" si="6"/>
        <v>2016</v>
      </c>
      <c r="C7">
        <f t="shared" si="7"/>
        <v>6</v>
      </c>
      <c r="D7" s="18">
        <f>'Monthly Data'!F7</f>
        <v>31217.267628205125</v>
      </c>
      <c r="E7" s="516">
        <f ca="1">Weather!AO44</f>
        <v>51.834166666666661</v>
      </c>
      <c r="F7" s="516">
        <f ca="1">Weather!CF44</f>
        <v>169.78833333333333</v>
      </c>
      <c r="G7" s="18">
        <f>'Monthly Data'!G7</f>
        <v>9491</v>
      </c>
      <c r="H7">
        <f>'Monthly Data'!BU7</f>
        <v>30</v>
      </c>
      <c r="I7" s="33">
        <f>'Monthly Data'!CQ7</f>
        <v>0</v>
      </c>
      <c r="J7" s="33">
        <f>'Monthly Data'!CX7</f>
        <v>0</v>
      </c>
      <c r="L7" s="18">
        <f>'Res Predicted Monthly'!$X$8</f>
        <v>-16404845.677784801</v>
      </c>
      <c r="M7" s="18">
        <f ca="1">E7*'Res Predicted Monthly'!$X$9</f>
        <v>339597.14163287729</v>
      </c>
      <c r="N7" s="18">
        <f ca="1">F7*'Res Predicted Monthly'!$X$10</f>
        <v>2476377.6606529527</v>
      </c>
      <c r="O7" s="18">
        <f>G7*'Res Predicted Monthly'!$X$11</f>
        <v>12784702.350265818</v>
      </c>
      <c r="P7" s="18">
        <f>H7*'Res Predicted Monthly'!$X$12</f>
        <v>6303145.7404868407</v>
      </c>
      <c r="Q7" s="18">
        <f>I7*'Res Predicted Monthly'!$X$13</f>
        <v>0</v>
      </c>
      <c r="R7" s="18">
        <f>J7*'Res Predicted Monthly'!$X$14</f>
        <v>0</v>
      </c>
      <c r="S7" s="18">
        <f t="shared" ca="1" si="3"/>
        <v>5498977.2152536875</v>
      </c>
      <c r="T7" s="30">
        <f t="shared" ca="1" si="1"/>
        <v>5467759.9476254825</v>
      </c>
      <c r="U7" s="35">
        <f t="shared" ca="1" si="2"/>
        <v>175.1517785844045</v>
      </c>
      <c r="AK7" s="33">
        <f ca="1">Weather!AR44</f>
        <v>45.635303843800436</v>
      </c>
      <c r="AL7" s="33">
        <f ca="1">Weather!AS44</f>
        <v>57.777121063541692</v>
      </c>
      <c r="AM7" s="33">
        <f ca="1">Weather!CJ44</f>
        <v>141.30183653234096</v>
      </c>
      <c r="AN7" s="33">
        <f ca="1">Weather!CK44</f>
        <v>184.0835416360639</v>
      </c>
      <c r="AP7" s="18">
        <f ca="1">AK7*'Res Predicted Monthly'!$X$9</f>
        <v>298984.62229679566</v>
      </c>
      <c r="AQ7" s="18">
        <f ca="1">AL7*'Res Predicted Monthly'!$X$9</f>
        <v>378533.04927487596</v>
      </c>
      <c r="AR7" s="18">
        <f ca="1">AM7*'Res Predicted Monthly'!$X$10</f>
        <v>2060899.6185324343</v>
      </c>
      <c r="AS7" s="18">
        <f ca="1">AN7*'Res Predicted Monthly'!$X$10</f>
        <v>2684874.5214223182</v>
      </c>
      <c r="AU7" s="31">
        <f t="shared" ca="1" si="4"/>
        <v>5042886.6537970873</v>
      </c>
      <c r="AV7" s="31">
        <f t="shared" ca="1" si="5"/>
        <v>5746409.9836650509</v>
      </c>
    </row>
    <row r="8" spans="1:48">
      <c r="A8" s="541">
        <f>'Monthly Data'!A8</f>
        <v>42552</v>
      </c>
      <c r="B8">
        <f t="shared" si="6"/>
        <v>2016</v>
      </c>
      <c r="C8">
        <f t="shared" si="7"/>
        <v>7</v>
      </c>
      <c r="D8" s="18">
        <f>'Monthly Data'!F8</f>
        <v>33714.649038461539</v>
      </c>
      <c r="E8" s="516">
        <f ca="1">Weather!AO45</f>
        <v>6.5670833333333318</v>
      </c>
      <c r="F8" s="516">
        <f ca="1">Weather!CF45</f>
        <v>265.99625000000003</v>
      </c>
      <c r="G8" s="18">
        <f>'Monthly Data'!G8</f>
        <v>9540</v>
      </c>
      <c r="H8">
        <f>'Monthly Data'!BU8</f>
        <v>31</v>
      </c>
      <c r="I8" s="33">
        <f>'Monthly Data'!CQ8</f>
        <v>0</v>
      </c>
      <c r="J8" s="33">
        <f>'Monthly Data'!CX8</f>
        <v>0</v>
      </c>
      <c r="L8" s="18">
        <f>'Res Predicted Monthly'!$X$8</f>
        <v>-16404845.677784801</v>
      </c>
      <c r="M8" s="18">
        <f ca="1">E8*'Res Predicted Monthly'!$X$9</f>
        <v>43024.95578267052</v>
      </c>
      <c r="N8" s="18">
        <f ca="1">F8*'Res Predicted Monthly'!$X$10</f>
        <v>3879578.5221842378</v>
      </c>
      <c r="O8" s="18">
        <f>G8*'Res Predicted Monthly'!$X$11</f>
        <v>12850707.029979549</v>
      </c>
      <c r="P8" s="18">
        <f>H8*'Res Predicted Monthly'!$X$12</f>
        <v>6513250.5985030681</v>
      </c>
      <c r="Q8" s="18">
        <f>I8*'Res Predicted Monthly'!$X$13</f>
        <v>0</v>
      </c>
      <c r="R8" s="18">
        <f>J8*'Res Predicted Monthly'!$X$14</f>
        <v>0</v>
      </c>
      <c r="S8" s="18">
        <f t="shared" ca="1" si="3"/>
        <v>6881715.4286647253</v>
      </c>
      <c r="T8" s="30">
        <f t="shared" ca="1" si="1"/>
        <v>6848000.7796262633</v>
      </c>
      <c r="U8" s="35">
        <f t="shared" ca="1" si="2"/>
        <v>203.11647829446753</v>
      </c>
      <c r="AK8" s="33">
        <f ca="1">Weather!AR45</f>
        <v>5.7817239584744504</v>
      </c>
      <c r="AL8" s="33">
        <f ca="1">Weather!AS45</f>
        <v>7.3200206193025874</v>
      </c>
      <c r="AM8" s="33">
        <f ca="1">Weather!CJ45</f>
        <v>221.36832312221517</v>
      </c>
      <c r="AN8" s="33">
        <f ca="1">Weather!CK45</f>
        <v>288.39161561107579</v>
      </c>
      <c r="AP8" s="18">
        <f ca="1">AK8*'Res Predicted Monthly'!$X$9</f>
        <v>37879.589009982119</v>
      </c>
      <c r="AQ8" s="18">
        <f ca="1">AL8*'Res Predicted Monthly'!$X$9</f>
        <v>47957.905738021247</v>
      </c>
      <c r="AR8" s="18">
        <f ca="1">AM8*'Res Predicted Monthly'!$X$10</f>
        <v>3228676.313582941</v>
      </c>
      <c r="AS8" s="18">
        <f ca="1">AN8*'Res Predicted Monthly'!$X$10</f>
        <v>4206216.8842708953</v>
      </c>
      <c r="AU8" s="31">
        <f t="shared" ca="1" si="4"/>
        <v>6225667.8532907404</v>
      </c>
      <c r="AV8" s="31">
        <f t="shared" ca="1" si="5"/>
        <v>7213286.7407067334</v>
      </c>
    </row>
    <row r="9" spans="1:48">
      <c r="A9" s="541">
        <f>'Monthly Data'!A9</f>
        <v>42583</v>
      </c>
      <c r="B9">
        <f t="shared" si="6"/>
        <v>2016</v>
      </c>
      <c r="C9">
        <f t="shared" si="7"/>
        <v>8</v>
      </c>
      <c r="D9" s="18">
        <f>'Monthly Data'!F9</f>
        <v>36212.030448717946</v>
      </c>
      <c r="E9" s="516">
        <f ca="1">Weather!AO46</f>
        <v>23.263124999999995</v>
      </c>
      <c r="F9" s="516">
        <f ca="1">Weather!CF46</f>
        <v>218.46562499999996</v>
      </c>
      <c r="G9" s="18">
        <f>'Monthly Data'!G9</f>
        <v>9540</v>
      </c>
      <c r="H9">
        <f>'Monthly Data'!BU9</f>
        <v>31</v>
      </c>
      <c r="I9" s="33">
        <f>'Monthly Data'!CQ9</f>
        <v>0</v>
      </c>
      <c r="J9" s="33">
        <f>'Monthly Data'!CX9</f>
        <v>0</v>
      </c>
      <c r="L9" s="18">
        <f>'Res Predicted Monthly'!$X$8</f>
        <v>-16404845.677784801</v>
      </c>
      <c r="M9" s="18">
        <f ca="1">E9*'Res Predicted Monthly'!$X$9</f>
        <v>152410.87613604273</v>
      </c>
      <c r="N9" s="18">
        <f ca="1">F9*'Res Predicted Monthly'!$X$10</f>
        <v>3186340.2081253235</v>
      </c>
      <c r="O9" s="18">
        <f>G9*'Res Predicted Monthly'!$X$11</f>
        <v>12850707.029979549</v>
      </c>
      <c r="P9" s="18">
        <f>H9*'Res Predicted Monthly'!$X$12</f>
        <v>6513250.5985030681</v>
      </c>
      <c r="Q9" s="18">
        <f>I9*'Res Predicted Monthly'!$X$13</f>
        <v>0</v>
      </c>
      <c r="R9" s="18">
        <f>J9*'Res Predicted Monthly'!$X$14</f>
        <v>0</v>
      </c>
      <c r="S9" s="18">
        <f t="shared" ca="1" si="3"/>
        <v>6297863.0349591821</v>
      </c>
      <c r="T9" s="30">
        <f t="shared" ca="1" si="1"/>
        <v>6261651.0045104641</v>
      </c>
      <c r="U9" s="35">
        <f t="shared" ca="1" si="2"/>
        <v>172.91631888407827</v>
      </c>
      <c r="AK9" s="33">
        <f ca="1">Weather!AR46</f>
        <v>20.481081225021654</v>
      </c>
      <c r="AL9" s="33">
        <f ca="1">Weather!AS46</f>
        <v>25.930317315309463</v>
      </c>
      <c r="AM9" s="33">
        <f ca="1">Weather!CJ46</f>
        <v>181.81222128543794</v>
      </c>
      <c r="AN9" s="33">
        <f ca="1">Weather!CK46</f>
        <v>236.85918335026682</v>
      </c>
      <c r="AP9" s="18">
        <f ca="1">AK9*'Res Predicted Monthly'!$X$9</f>
        <v>134184.01584993443</v>
      </c>
      <c r="AQ9" s="18">
        <f ca="1">AL9*'Res Predicted Monthly'!$X$9</f>
        <v>169885.27467878521</v>
      </c>
      <c r="AR9" s="18">
        <f ca="1">AM9*'Res Predicted Monthly'!$X$10</f>
        <v>2651747.1158694639</v>
      </c>
      <c r="AS9" s="18">
        <f ca="1">AN9*'Res Predicted Monthly'!$X$10</f>
        <v>3454611.8620386319</v>
      </c>
      <c r="AU9" s="31">
        <f t="shared" ca="1" si="4"/>
        <v>5745043.0824172143</v>
      </c>
      <c r="AV9" s="31">
        <f t="shared" ca="1" si="5"/>
        <v>6583609.0874152333</v>
      </c>
    </row>
    <row r="10" spans="1:48">
      <c r="A10" s="541">
        <f>'Monthly Data'!A10</f>
        <v>42614</v>
      </c>
      <c r="B10">
        <f t="shared" si="6"/>
        <v>2016</v>
      </c>
      <c r="C10">
        <f t="shared" si="7"/>
        <v>9</v>
      </c>
      <c r="D10" s="18">
        <f>'Monthly Data'!F10</f>
        <v>38709.411858974359</v>
      </c>
      <c r="E10" s="516">
        <f ca="1">Weather!AO47</f>
        <v>114.73583333333336</v>
      </c>
      <c r="F10" s="516">
        <f ca="1">Weather!CF47</f>
        <v>95.131249999999994</v>
      </c>
      <c r="G10" s="18">
        <f>'Monthly Data'!G10</f>
        <v>9540</v>
      </c>
      <c r="H10">
        <f>'Monthly Data'!BU10</f>
        <v>30</v>
      </c>
      <c r="I10" s="33">
        <f>'Monthly Data'!CQ10</f>
        <v>0</v>
      </c>
      <c r="J10" s="33">
        <f>'Monthly Data'!CX10</f>
        <v>0</v>
      </c>
      <c r="L10" s="18">
        <f>'Res Predicted Monthly'!$X$8</f>
        <v>-16404845.677784801</v>
      </c>
      <c r="M10" s="18">
        <f ca="1">E10*'Res Predicted Monthly'!$X$9</f>
        <v>751704.20493946178</v>
      </c>
      <c r="N10" s="18">
        <f ca="1">F10*'Res Predicted Monthly'!$X$10</f>
        <v>1387497.5842273687</v>
      </c>
      <c r="O10" s="18">
        <f>G10*'Res Predicted Monthly'!$X$11</f>
        <v>12850707.029979549</v>
      </c>
      <c r="P10" s="18">
        <f>H10*'Res Predicted Monthly'!$X$12</f>
        <v>6303145.7404868407</v>
      </c>
      <c r="Q10" s="18">
        <f>I10*'Res Predicted Monthly'!$X$13</f>
        <v>0</v>
      </c>
      <c r="R10" s="18">
        <f>J10*'Res Predicted Monthly'!$X$14</f>
        <v>0</v>
      </c>
      <c r="S10" s="18">
        <f t="shared" ca="1" si="3"/>
        <v>4888208.88184842</v>
      </c>
      <c r="T10" s="30">
        <f t="shared" ca="1" si="1"/>
        <v>4849499.469989446</v>
      </c>
      <c r="U10" s="35">
        <f t="shared" ca="1" si="2"/>
        <v>125.27959576490289</v>
      </c>
      <c r="AK10" s="33">
        <f ca="1">Weather!AR47</f>
        <v>101.01454219588074</v>
      </c>
      <c r="AL10" s="33">
        <f ca="1">Weather!AS47</f>
        <v>127.89066669975746</v>
      </c>
      <c r="AM10" s="33">
        <f ca="1">Weather!CJ47</f>
        <v>79.170459316701752</v>
      </c>
      <c r="AN10" s="33">
        <f ca="1">Weather!CK47</f>
        <v>103.14075812197032</v>
      </c>
      <c r="AP10" s="18">
        <f ca="1">AK10*'Res Predicted Monthly'!$X$9</f>
        <v>661807.68398723053</v>
      </c>
      <c r="AQ10" s="18">
        <f ca="1">AL10*'Res Predicted Monthly'!$X$9</f>
        <v>837889.51662051689</v>
      </c>
      <c r="AR10" s="18">
        <f ca="1">AM10*'Res Predicted Monthly'!$X$10</f>
        <v>1154708.0590667615</v>
      </c>
      <c r="AS10" s="18">
        <f ca="1">AN10*'Res Predicted Monthly'!$X$10</f>
        <v>1504316.9592495966</v>
      </c>
      <c r="AU10" s="31">
        <f t="shared" ca="1" si="4"/>
        <v>4565522.8357355818</v>
      </c>
      <c r="AV10" s="31">
        <f t="shared" ca="1" si="5"/>
        <v>5091213.5685517024</v>
      </c>
    </row>
    <row r="11" spans="1:48">
      <c r="A11" s="541">
        <f>'Monthly Data'!A11</f>
        <v>42644</v>
      </c>
      <c r="B11">
        <f t="shared" si="6"/>
        <v>2016</v>
      </c>
      <c r="C11">
        <f t="shared" si="7"/>
        <v>10</v>
      </c>
      <c r="D11" s="18">
        <f>'Monthly Data'!F11</f>
        <v>41206.793269230766</v>
      </c>
      <c r="E11" s="516">
        <f ca="1">Weather!AO48</f>
        <v>302.40479166666665</v>
      </c>
      <c r="F11" s="516">
        <f ca="1">Weather!CF48</f>
        <v>21.813750000000006</v>
      </c>
      <c r="G11" s="18">
        <f>'Monthly Data'!G11</f>
        <v>9550</v>
      </c>
      <c r="H11">
        <f>'Monthly Data'!BU11</f>
        <v>31</v>
      </c>
      <c r="I11" s="33">
        <f>'Monthly Data'!CQ11</f>
        <v>0</v>
      </c>
      <c r="J11" s="33">
        <f>'Monthly Data'!CX11</f>
        <v>0</v>
      </c>
      <c r="L11" s="18">
        <f>'Res Predicted Monthly'!$X$8</f>
        <v>-16404845.677784801</v>
      </c>
      <c r="M11" s="18">
        <f ca="1">E11*'Res Predicted Monthly'!$X$9</f>
        <v>1981237.655975031</v>
      </c>
      <c r="N11" s="18">
        <f ca="1">F11*'Res Predicted Monthly'!$X$10</f>
        <v>318155.44763618446</v>
      </c>
      <c r="O11" s="18">
        <f>G11*'Res Predicted Monthly'!$X$11</f>
        <v>12864177.37277827</v>
      </c>
      <c r="P11" s="18">
        <f>H11*'Res Predicted Monthly'!$X$12</f>
        <v>6513250.5985030681</v>
      </c>
      <c r="Q11" s="18">
        <f>I11*'Res Predicted Monthly'!$X$13</f>
        <v>0</v>
      </c>
      <c r="R11" s="18">
        <f>J11*'Res Predicted Monthly'!$X$14</f>
        <v>0</v>
      </c>
      <c r="S11" s="18">
        <f t="shared" ca="1" si="3"/>
        <v>5271975.3971077539</v>
      </c>
      <c r="T11" s="30">
        <f t="shared" ca="1" si="1"/>
        <v>5230768.6038385229</v>
      </c>
      <c r="U11" s="35">
        <f t="shared" ca="1" si="2"/>
        <v>126.93947256857653</v>
      </c>
      <c r="AK11" s="33">
        <f ca="1">Weather!AR48</f>
        <v>266.24011610481193</v>
      </c>
      <c r="AL11" s="33">
        <f ca="1">Weather!AS48</f>
        <v>337.07647642295342</v>
      </c>
      <c r="AM11" s="33">
        <f ca="1">Weather!CJ48</f>
        <v>18.153914795818444</v>
      </c>
      <c r="AN11" s="33">
        <f ca="1">Weather!CK48</f>
        <v>23.650343209861436</v>
      </c>
      <c r="AP11" s="18">
        <f ca="1">AK11*'Res Predicted Monthly'!$X$9</f>
        <v>1744300.8778096722</v>
      </c>
      <c r="AQ11" s="18">
        <f ca="1">AL11*'Res Predicted Monthly'!$X$9</f>
        <v>2208392.9436166673</v>
      </c>
      <c r="AR11" s="18">
        <f ca="1">AM11*'Res Predicted Monthly'!$X$10</f>
        <v>264776.4317557856</v>
      </c>
      <c r="AS11" s="18">
        <f ca="1">AN11*'Res Predicted Monthly'!$X$10</f>
        <v>344942.31989836041</v>
      </c>
      <c r="AU11" s="31">
        <f t="shared" ca="1" si="4"/>
        <v>4981659.6030619964</v>
      </c>
      <c r="AV11" s="31">
        <f t="shared" ca="1" si="5"/>
        <v>5525917.5570115661</v>
      </c>
    </row>
    <row r="12" spans="1:48">
      <c r="A12" s="541">
        <f>'Monthly Data'!A12</f>
        <v>42675</v>
      </c>
      <c r="B12">
        <f t="shared" si="6"/>
        <v>2016</v>
      </c>
      <c r="C12">
        <f t="shared" si="7"/>
        <v>11</v>
      </c>
      <c r="D12" s="18">
        <f>'Monthly Data'!F12</f>
        <v>43704.17467948718</v>
      </c>
      <c r="E12" s="516">
        <f ca="1">Weather!AO49</f>
        <v>526.09395833333338</v>
      </c>
      <c r="F12" s="516">
        <f ca="1">Weather!CF49</f>
        <v>2.2795833333333335</v>
      </c>
      <c r="G12" s="18">
        <f>'Monthly Data'!G12</f>
        <v>9550</v>
      </c>
      <c r="H12">
        <f>'Monthly Data'!BU12</f>
        <v>30</v>
      </c>
      <c r="I12" s="33">
        <f>'Monthly Data'!CQ12</f>
        <v>0</v>
      </c>
      <c r="J12" s="33">
        <f>'Monthly Data'!CX12</f>
        <v>0</v>
      </c>
      <c r="L12" s="18">
        <f>'Res Predicted Monthly'!$X$8</f>
        <v>-16404845.677784801</v>
      </c>
      <c r="M12" s="18">
        <f ca="1">E12*'Res Predicted Monthly'!$X$9</f>
        <v>3446761.3925240957</v>
      </c>
      <c r="N12" s="18">
        <f ca="1">F12*'Res Predicted Monthly'!$X$10</f>
        <v>33247.921876827779</v>
      </c>
      <c r="O12" s="18">
        <f>G12*'Res Predicted Monthly'!$X$11</f>
        <v>12864177.37277827</v>
      </c>
      <c r="P12" s="18">
        <f>H12*'Res Predicted Monthly'!$X$12</f>
        <v>6303145.7404868407</v>
      </c>
      <c r="Q12" s="18">
        <f>I12*'Res Predicted Monthly'!$X$13</f>
        <v>0</v>
      </c>
      <c r="R12" s="18">
        <f>J12*'Res Predicted Monthly'!$X$14</f>
        <v>0</v>
      </c>
      <c r="S12" s="18">
        <f t="shared" ca="1" si="3"/>
        <v>6242486.7498812331</v>
      </c>
      <c r="T12" s="30">
        <f t="shared" ca="1" si="1"/>
        <v>6198782.5752017461</v>
      </c>
      <c r="U12" s="35">
        <f t="shared" ca="1" si="2"/>
        <v>141.83502195526376</v>
      </c>
      <c r="AK12" s="33">
        <f ca="1">Weather!AR49</f>
        <v>463.17823132610772</v>
      </c>
      <c r="AL12" s="33">
        <f ca="1">Weather!AS49</f>
        <v>586.4123275463005</v>
      </c>
      <c r="AM12" s="33">
        <f ca="1">Weather!CJ49</f>
        <v>1.8971227598785685</v>
      </c>
      <c r="AN12" s="33">
        <f ca="1">Weather!CK49</f>
        <v>2.4715112352902775</v>
      </c>
      <c r="AP12" s="18">
        <f ca="1">AK12*'Res Predicted Monthly'!$X$9</f>
        <v>3034562.2113776528</v>
      </c>
      <c r="AQ12" s="18">
        <f ca="1">AL12*'Res Predicted Monthly'!$X$9</f>
        <v>3841943.7035354339</v>
      </c>
      <c r="AR12" s="18">
        <f ca="1">AM12*'Res Predicted Monthly'!$X$10</f>
        <v>27669.701032145298</v>
      </c>
      <c r="AS12" s="18">
        <f ca="1">AN12*'Res Predicted Monthly'!$X$10</f>
        <v>36047.207078179461</v>
      </c>
      <c r="AU12" s="31">
        <f t="shared" ca="1" si="4"/>
        <v>5824709.3478901079</v>
      </c>
      <c r="AV12" s="31">
        <f t="shared" ca="1" si="5"/>
        <v>6640468.3460939229</v>
      </c>
    </row>
    <row r="13" spans="1:48">
      <c r="A13" s="541">
        <f>'Monthly Data'!A13</f>
        <v>42705</v>
      </c>
      <c r="B13">
        <f t="shared" si="6"/>
        <v>2016</v>
      </c>
      <c r="C13">
        <f t="shared" si="7"/>
        <v>12</v>
      </c>
      <c r="D13" s="18">
        <f>'Monthly Data'!F13</f>
        <v>76681316.556089744</v>
      </c>
      <c r="E13" s="516">
        <f ca="1">Weather!AO50</f>
        <v>750.36333333333334</v>
      </c>
      <c r="F13" s="516">
        <f ca="1">Weather!CF50</f>
        <v>0</v>
      </c>
      <c r="G13" s="18">
        <f>'Monthly Data'!G13</f>
        <v>9550</v>
      </c>
      <c r="H13">
        <f>'Monthly Data'!BU13</f>
        <v>31</v>
      </c>
      <c r="I13" s="33">
        <f>'Monthly Data'!CQ13</f>
        <v>0</v>
      </c>
      <c r="J13" s="33">
        <f>'Monthly Data'!CX13</f>
        <v>0</v>
      </c>
      <c r="L13" s="18">
        <f>'Res Predicted Monthly'!$X$8</f>
        <v>-16404845.677784801</v>
      </c>
      <c r="M13" s="18">
        <f ca="1">E13*'Res Predicted Monthly'!$X$9</f>
        <v>4916086.4266385026</v>
      </c>
      <c r="N13" s="18">
        <f ca="1">F13*'Res Predicted Monthly'!$X$10</f>
        <v>0</v>
      </c>
      <c r="O13" s="18">
        <f>G13*'Res Predicted Monthly'!$X$11</f>
        <v>12864177.37277827</v>
      </c>
      <c r="P13" s="18">
        <f>H13*'Res Predicted Monthly'!$X$12</f>
        <v>6513250.5985030681</v>
      </c>
      <c r="Q13" s="18">
        <f>I13*'Res Predicted Monthly'!$X$13</f>
        <v>0</v>
      </c>
      <c r="R13" s="18">
        <f>J13*'Res Predicted Monthly'!$X$14</f>
        <v>0</v>
      </c>
      <c r="S13" s="18">
        <f t="shared" ca="1" si="3"/>
        <v>7888668.7201350406</v>
      </c>
      <c r="T13" s="30">
        <f t="shared" ca="1" si="1"/>
        <v>-68792647.835954696</v>
      </c>
      <c r="U13" s="35">
        <f t="shared" ca="1" si="2"/>
        <v>0.8971239791590595</v>
      </c>
      <c r="AK13" s="33">
        <f ca="1">Weather!AR50</f>
        <v>660.62716760013984</v>
      </c>
      <c r="AL13" s="33">
        <f ca="1">Weather!AS50</f>
        <v>836.39490975983074</v>
      </c>
      <c r="AM13" s="33">
        <f ca="1">Weather!CJ50</f>
        <v>0</v>
      </c>
      <c r="AN13" s="33">
        <f ca="1">Weather!CK50</f>
        <v>0</v>
      </c>
      <c r="AP13" s="18">
        <f ca="1">AK13*'Res Predicted Monthly'!$X$9</f>
        <v>4328170.2442474803</v>
      </c>
      <c r="AQ13" s="18">
        <f ca="1">AL13*'Res Predicted Monthly'!$X$9</f>
        <v>5479731.5920463055</v>
      </c>
      <c r="AR13" s="18">
        <f ca="1">AM13*'Res Predicted Monthly'!$X$10</f>
        <v>0</v>
      </c>
      <c r="AS13" s="18">
        <f ca="1">AN13*'Res Predicted Monthly'!$X$10</f>
        <v>0</v>
      </c>
      <c r="AU13" s="31">
        <f t="shared" ca="1" si="4"/>
        <v>7300752.5377440182</v>
      </c>
      <c r="AV13" s="31">
        <f t="shared" ca="1" si="5"/>
        <v>8452313.8855428435</v>
      </c>
    </row>
    <row r="14" spans="1:48">
      <c r="A14" s="541">
        <f>'Monthly Data'!A14</f>
        <v>42736</v>
      </c>
      <c r="B14">
        <f t="shared" si="6"/>
        <v>2017</v>
      </c>
      <c r="C14">
        <f t="shared" si="7"/>
        <v>1</v>
      </c>
      <c r="D14" s="18">
        <f>'Monthly Data'!F14</f>
        <v>80079.323717948719</v>
      </c>
      <c r="E14" s="33">
        <f t="shared" ref="E14:F33" ca="1" si="8">E2</f>
        <v>852.55166666666662</v>
      </c>
      <c r="F14" s="33">
        <f t="shared" ca="1" si="8"/>
        <v>0</v>
      </c>
      <c r="G14" s="18">
        <f>'Monthly Data'!G14</f>
        <v>9560</v>
      </c>
      <c r="H14">
        <f>'Monthly Data'!BU14</f>
        <v>31</v>
      </c>
      <c r="I14" s="33">
        <f>'Monthly Data'!CQ14</f>
        <v>0</v>
      </c>
      <c r="J14" s="33">
        <f>'Monthly Data'!CX14</f>
        <v>0</v>
      </c>
      <c r="L14" s="18">
        <f>'Res Predicted Monthly'!$X$8</f>
        <v>-16404845.677784801</v>
      </c>
      <c r="M14" s="18">
        <f ca="1">E14*'Res Predicted Monthly'!$X$9</f>
        <v>5585584.3300463771</v>
      </c>
      <c r="N14" s="18">
        <f ca="1">F14*'Res Predicted Monthly'!$X$10</f>
        <v>0</v>
      </c>
      <c r="O14" s="18">
        <f>G14*'Res Predicted Monthly'!$X$11</f>
        <v>12877647.71557699</v>
      </c>
      <c r="P14" s="18">
        <f>H14*'Res Predicted Monthly'!$X$12</f>
        <v>6513250.5985030681</v>
      </c>
      <c r="Q14" s="18">
        <f>I14*'Res Predicted Monthly'!$X$13</f>
        <v>0</v>
      </c>
      <c r="R14" s="18">
        <f>J14*'Res Predicted Monthly'!$X$14</f>
        <v>0</v>
      </c>
      <c r="S14" s="18">
        <f t="shared" ca="1" si="3"/>
        <v>8571636.9663416352</v>
      </c>
      <c r="T14" s="30">
        <f t="shared" ca="1" si="1"/>
        <v>8491557.6426236872</v>
      </c>
      <c r="U14" s="35">
        <f t="shared" ca="1" si="2"/>
        <v>106.03932761135965</v>
      </c>
      <c r="AK14" s="33">
        <f ca="1">AK2</f>
        <v>750.59476891120983</v>
      </c>
      <c r="AL14" s="33">
        <f t="shared" ref="AL14:AN14" ca="1" si="9">AL2</f>
        <v>950.29946511324727</v>
      </c>
      <c r="AM14" s="33">
        <f t="shared" ca="1" si="9"/>
        <v>0</v>
      </c>
      <c r="AN14" s="33">
        <f t="shared" ca="1" si="9"/>
        <v>0</v>
      </c>
      <c r="AP14" s="18">
        <f ca="1">AK14*'Res Predicted Monthly'!$X$9</f>
        <v>4917602.7018247992</v>
      </c>
      <c r="AQ14" s="18">
        <f ca="1">AL14*'Res Predicted Monthly'!$X$9</f>
        <v>6225989.5895122774</v>
      </c>
      <c r="AR14" s="18">
        <f ca="1">AM14*'Res Predicted Monthly'!$X$10</f>
        <v>0</v>
      </c>
      <c r="AS14" s="18">
        <f ca="1">AN14*'Res Predicted Monthly'!$X$10</f>
        <v>0</v>
      </c>
      <c r="AU14" s="31">
        <f t="shared" ca="1" si="4"/>
        <v>7903655.3381200572</v>
      </c>
      <c r="AV14" s="31">
        <f t="shared" ca="1" si="5"/>
        <v>9212042.2258075364</v>
      </c>
    </row>
    <row r="15" spans="1:48">
      <c r="A15" s="541">
        <f>'Monthly Data'!A15</f>
        <v>42767</v>
      </c>
      <c r="B15">
        <f t="shared" si="6"/>
        <v>2017</v>
      </c>
      <c r="C15">
        <f t="shared" si="7"/>
        <v>2</v>
      </c>
      <c r="D15" s="18">
        <f>'Monthly Data'!F15</f>
        <v>86427.772435897437</v>
      </c>
      <c r="E15" s="33">
        <f t="shared" ca="1" si="8"/>
        <v>747.22854166666662</v>
      </c>
      <c r="F15" s="33">
        <f t="shared" ca="1" si="8"/>
        <v>0</v>
      </c>
      <c r="G15" s="18">
        <f>'Monthly Data'!G15</f>
        <v>9560</v>
      </c>
      <c r="H15">
        <f>'Monthly Data'!BU15</f>
        <v>28</v>
      </c>
      <c r="I15" s="33">
        <f>'Monthly Data'!CQ15</f>
        <v>0</v>
      </c>
      <c r="J15" s="33">
        <f>'Monthly Data'!CX15</f>
        <v>0</v>
      </c>
      <c r="L15" s="18">
        <f>'Res Predicted Monthly'!$X$8</f>
        <v>-16404845.677784801</v>
      </c>
      <c r="M15" s="18">
        <f ca="1">E15*'Res Predicted Monthly'!$X$9</f>
        <v>4895548.500438964</v>
      </c>
      <c r="N15" s="18">
        <f ca="1">F15*'Res Predicted Monthly'!$X$10</f>
        <v>0</v>
      </c>
      <c r="O15" s="18">
        <f>G15*'Res Predicted Monthly'!$X$11</f>
        <v>12877647.71557699</v>
      </c>
      <c r="P15" s="18">
        <f>H15*'Res Predicted Monthly'!$X$12</f>
        <v>5882936.0244543841</v>
      </c>
      <c r="Q15" s="18">
        <f>I15*'Res Predicted Monthly'!$X$13</f>
        <v>0</v>
      </c>
      <c r="R15" s="18">
        <f>J15*'Res Predicted Monthly'!$X$14</f>
        <v>0</v>
      </c>
      <c r="S15" s="18">
        <f t="shared" ca="1" si="3"/>
        <v>7251286.5626855372</v>
      </c>
      <c r="T15" s="30">
        <f t="shared" ca="1" si="1"/>
        <v>7164858.7902496401</v>
      </c>
      <c r="U15" s="35">
        <f t="shared" ca="1" si="2"/>
        <v>82.899958986721998</v>
      </c>
      <c r="AK15" s="33">
        <f t="shared" ref="AK15:AN15" ca="1" si="10">AK3</f>
        <v>657.86726656584096</v>
      </c>
      <c r="AL15" s="33">
        <f t="shared" ca="1" si="10"/>
        <v>832.90070411746512</v>
      </c>
      <c r="AM15" s="33">
        <f t="shared" ca="1" si="10"/>
        <v>0</v>
      </c>
      <c r="AN15" s="33">
        <f t="shared" ca="1" si="10"/>
        <v>0</v>
      </c>
      <c r="AP15" s="18">
        <f ca="1">AK15*'Res Predicted Monthly'!$X$9</f>
        <v>4310088.4545186171</v>
      </c>
      <c r="AQ15" s="18">
        <f ca="1">AL15*'Res Predicted Monthly'!$X$9</f>
        <v>5456838.9263639245</v>
      </c>
      <c r="AR15" s="18">
        <f ca="1">AM15*'Res Predicted Monthly'!$X$10</f>
        <v>0</v>
      </c>
      <c r="AS15" s="18">
        <f ca="1">AN15*'Res Predicted Monthly'!$X$10</f>
        <v>0</v>
      </c>
      <c r="AU15" s="31">
        <f t="shared" ca="1" si="4"/>
        <v>6665826.5167651903</v>
      </c>
      <c r="AV15" s="31">
        <f t="shared" ca="1" si="5"/>
        <v>7812576.9886104977</v>
      </c>
    </row>
    <row r="16" spans="1:48">
      <c r="A16" s="541">
        <f>'Monthly Data'!A16</f>
        <v>42795</v>
      </c>
      <c r="B16">
        <f t="shared" si="6"/>
        <v>2017</v>
      </c>
      <c r="C16">
        <f t="shared" si="7"/>
        <v>3</v>
      </c>
      <c r="D16" s="18">
        <f>'Monthly Data'!F16</f>
        <v>92776.221153846156</v>
      </c>
      <c r="E16" s="33">
        <f t="shared" ca="1" si="8"/>
        <v>636.29604166666672</v>
      </c>
      <c r="F16" s="33">
        <f t="shared" ca="1" si="8"/>
        <v>0</v>
      </c>
      <c r="G16" s="18">
        <f>'Monthly Data'!G16</f>
        <v>9560</v>
      </c>
      <c r="H16">
        <f>'Monthly Data'!BU16</f>
        <v>31</v>
      </c>
      <c r="I16" s="33">
        <f>'Monthly Data'!CQ16</f>
        <v>0</v>
      </c>
      <c r="J16" s="33">
        <f>'Monthly Data'!CX16</f>
        <v>0</v>
      </c>
      <c r="L16" s="18">
        <f>'Res Predicted Monthly'!$X$8</f>
        <v>-16404845.677784801</v>
      </c>
      <c r="M16" s="18">
        <f ca="1">E16*'Res Predicted Monthly'!$X$9</f>
        <v>4168762.2446387853</v>
      </c>
      <c r="N16" s="18">
        <f ca="1">F16*'Res Predicted Monthly'!$X$10</f>
        <v>0</v>
      </c>
      <c r="O16" s="18">
        <f>G16*'Res Predicted Monthly'!$X$11</f>
        <v>12877647.71557699</v>
      </c>
      <c r="P16" s="18">
        <f>H16*'Res Predicted Monthly'!$X$12</f>
        <v>6513250.5985030681</v>
      </c>
      <c r="Q16" s="18">
        <f>I16*'Res Predicted Monthly'!$X$13</f>
        <v>0</v>
      </c>
      <c r="R16" s="18">
        <f>J16*'Res Predicted Monthly'!$X$14</f>
        <v>0</v>
      </c>
      <c r="S16" s="18">
        <f t="shared" ca="1" si="3"/>
        <v>7154814.8809340429</v>
      </c>
      <c r="T16" s="30">
        <f t="shared" ca="1" si="1"/>
        <v>7062038.6597801968</v>
      </c>
      <c r="U16" s="35">
        <f t="shared" ca="1" si="2"/>
        <v>76.119059085943718</v>
      </c>
      <c r="AK16" s="33">
        <f t="shared" ref="AK16:AN16" ca="1" si="11">AK4</f>
        <v>560.20121598172079</v>
      </c>
      <c r="AL16" s="33">
        <f t="shared" ca="1" si="11"/>
        <v>709.24943518517148</v>
      </c>
      <c r="AM16" s="33">
        <f t="shared" ca="1" si="11"/>
        <v>0</v>
      </c>
      <c r="AN16" s="33">
        <f t="shared" ca="1" si="11"/>
        <v>0</v>
      </c>
      <c r="AP16" s="18">
        <f ca="1">AK16*'Res Predicted Monthly'!$X$9</f>
        <v>3670218.7750033834</v>
      </c>
      <c r="AQ16" s="18">
        <f ca="1">AL16*'Res Predicted Monthly'!$X$9</f>
        <v>4646724.2821231214</v>
      </c>
      <c r="AR16" s="18">
        <f ca="1">AM16*'Res Predicted Monthly'!$X$10</f>
        <v>0</v>
      </c>
      <c r="AS16" s="18">
        <f ca="1">AN16*'Res Predicted Monthly'!$X$10</f>
        <v>0</v>
      </c>
      <c r="AU16" s="31">
        <f t="shared" ca="1" si="4"/>
        <v>6656271.411298641</v>
      </c>
      <c r="AV16" s="31">
        <f t="shared" ca="1" si="5"/>
        <v>7632776.9184183795</v>
      </c>
    </row>
    <row r="17" spans="1:48">
      <c r="A17" s="541">
        <f>'Monthly Data'!A17</f>
        <v>42826</v>
      </c>
      <c r="B17">
        <f t="shared" si="6"/>
        <v>2017</v>
      </c>
      <c r="C17">
        <f t="shared" si="7"/>
        <v>4</v>
      </c>
      <c r="D17" s="18">
        <f>'Monthly Data'!F17</f>
        <v>99124.669871794875</v>
      </c>
      <c r="E17" s="33">
        <f t="shared" ca="1" si="8"/>
        <v>408.60374999999999</v>
      </c>
      <c r="F17" s="33">
        <f t="shared" ca="1" si="8"/>
        <v>2.8104166666666677</v>
      </c>
      <c r="G17" s="18">
        <f>'Monthly Data'!G17</f>
        <v>9566</v>
      </c>
      <c r="H17">
        <f>'Monthly Data'!BU17</f>
        <v>30</v>
      </c>
      <c r="I17" s="33">
        <f>'Monthly Data'!CQ17</f>
        <v>0</v>
      </c>
      <c r="J17" s="33">
        <f>'Monthly Data'!CX17</f>
        <v>0</v>
      </c>
      <c r="L17" s="18">
        <f>'Res Predicted Monthly'!$X$8</f>
        <v>-16404845.677784801</v>
      </c>
      <c r="M17" s="18">
        <f ca="1">E17*'Res Predicted Monthly'!$X$9</f>
        <v>2677011.6022663582</v>
      </c>
      <c r="N17" s="18">
        <f ca="1">F17*'Res Predicted Monthly'!$X$10</f>
        <v>40990.172374191818</v>
      </c>
      <c r="O17" s="18">
        <f>G17*'Res Predicted Monthly'!$X$11</f>
        <v>12885729.921256222</v>
      </c>
      <c r="P17" s="18">
        <f>H17*'Res Predicted Monthly'!$X$12</f>
        <v>6303145.7404868407</v>
      </c>
      <c r="Q17" s="18">
        <f>I17*'Res Predicted Monthly'!$X$13</f>
        <v>0</v>
      </c>
      <c r="R17" s="18">
        <f>J17*'Res Predicted Monthly'!$X$14</f>
        <v>0</v>
      </c>
      <c r="S17" s="18">
        <f t="shared" ca="1" si="3"/>
        <v>5502031.7585988129</v>
      </c>
      <c r="T17" s="30">
        <f t="shared" ca="1" si="1"/>
        <v>5402907.0887270179</v>
      </c>
      <c r="U17" s="35">
        <f t="shared" ca="1" si="2"/>
        <v>54.506179901683296</v>
      </c>
      <c r="AK17" s="33">
        <f t="shared" ref="AK17:AN17" ca="1" si="12">AK5</f>
        <v>359.73871062458045</v>
      </c>
      <c r="AL17" s="33">
        <f t="shared" ca="1" si="12"/>
        <v>455.4514878686926</v>
      </c>
      <c r="AM17" s="33">
        <f t="shared" ca="1" si="12"/>
        <v>2.33889472041326</v>
      </c>
      <c r="AN17" s="33">
        <f t="shared" ca="1" si="12"/>
        <v>3.0470377046304016</v>
      </c>
      <c r="AP17" s="18">
        <f ca="1">AK17*'Res Predicted Monthly'!$X$9</f>
        <v>2356867.0187837039</v>
      </c>
      <c r="AQ17" s="18">
        <f ca="1">AL17*'Res Predicted Monthly'!$X$9</f>
        <v>2983939.617034757</v>
      </c>
      <c r="AR17" s="18">
        <f ca="1">AM17*'Res Predicted Monthly'!$X$10</f>
        <v>34112.983634037664</v>
      </c>
      <c r="AS17" s="18">
        <f ca="1">AN17*'Res Predicted Monthly'!$X$10</f>
        <v>44441.310864982734</v>
      </c>
      <c r="AU17" s="31">
        <f t="shared" ca="1" si="4"/>
        <v>5175009.9863760043</v>
      </c>
      <c r="AV17" s="31">
        <f t="shared" ca="1" si="5"/>
        <v>5812410.9118580027</v>
      </c>
    </row>
    <row r="18" spans="1:48">
      <c r="A18" s="541">
        <f>'Monthly Data'!A18</f>
        <v>42856</v>
      </c>
      <c r="B18">
        <f t="shared" ref="B18:B73" si="13">YEAR(A18)</f>
        <v>2017</v>
      </c>
      <c r="C18">
        <f t="shared" ref="C18:C73" si="14">MONTH(A18)</f>
        <v>5</v>
      </c>
      <c r="D18" s="18">
        <f>'Monthly Data'!F18</f>
        <v>105473.11858974359</v>
      </c>
      <c r="E18" s="33">
        <f t="shared" ca="1" si="8"/>
        <v>178.10395833333331</v>
      </c>
      <c r="F18" s="33">
        <f t="shared" ca="1" si="8"/>
        <v>74.673124999999999</v>
      </c>
      <c r="G18" s="18">
        <f>'Monthly Data'!G18</f>
        <v>9566</v>
      </c>
      <c r="H18">
        <f>'Monthly Data'!BU18</f>
        <v>31</v>
      </c>
      <c r="I18" s="33">
        <f>'Monthly Data'!CQ18</f>
        <v>0</v>
      </c>
      <c r="J18" s="33">
        <f>'Monthly Data'!CX18</f>
        <v>0</v>
      </c>
      <c r="L18" s="18">
        <f>'Res Predicted Monthly'!$X$8</f>
        <v>-16404845.677784801</v>
      </c>
      <c r="M18" s="18">
        <f ca="1">E18*'Res Predicted Monthly'!$X$9</f>
        <v>1166867.3204000143</v>
      </c>
      <c r="N18" s="18">
        <f ca="1">F18*'Res Predicted Monthly'!$X$10</f>
        <v>1089114.045534021</v>
      </c>
      <c r="O18" s="18">
        <f>G18*'Res Predicted Monthly'!$X$11</f>
        <v>12885729.921256222</v>
      </c>
      <c r="P18" s="18">
        <f>H18*'Res Predicted Monthly'!$X$12</f>
        <v>6513250.5985030681</v>
      </c>
      <c r="Q18" s="18">
        <f>I18*'Res Predicted Monthly'!$X$13</f>
        <v>0</v>
      </c>
      <c r="R18" s="18">
        <f>J18*'Res Predicted Monthly'!$X$14</f>
        <v>0</v>
      </c>
      <c r="S18" s="18">
        <f t="shared" ca="1" si="3"/>
        <v>5250116.2079085242</v>
      </c>
      <c r="T18" s="30">
        <f t="shared" ref="T18:T49" ca="1" si="15">S18-D18</f>
        <v>5144643.0893187802</v>
      </c>
      <c r="U18" s="35">
        <f t="shared" ref="U18:U49" ca="1" si="16">ABS(T18/D18)</f>
        <v>48.776817810135888</v>
      </c>
      <c r="AK18" s="33">
        <f t="shared" ref="AK18:AN18" ca="1" si="17">AK6</f>
        <v>156.80445499574424</v>
      </c>
      <c r="AL18" s="33">
        <f t="shared" ca="1" si="17"/>
        <v>198.52415162176143</v>
      </c>
      <c r="AM18" s="33">
        <f t="shared" ca="1" si="17"/>
        <v>62.144727467193846</v>
      </c>
      <c r="AN18" s="33">
        <f t="shared" ca="1" si="17"/>
        <v>80.960175797507716</v>
      </c>
      <c r="AP18" s="18">
        <f ca="1">AK18*'Res Predicted Monthly'!$X$9</f>
        <v>1027321.3236801189</v>
      </c>
      <c r="AQ18" s="18">
        <f ca="1">AL18*'Res Predicted Monthly'!$X$9</f>
        <v>1300652.4223567233</v>
      </c>
      <c r="AR18" s="18">
        <f ca="1">AM18*'Res Predicted Monthly'!$X$10</f>
        <v>906386.27404979616</v>
      </c>
      <c r="AS18" s="18">
        <f ca="1">AN18*'Res Predicted Monthly'!$X$10</f>
        <v>1180811.2301443012</v>
      </c>
      <c r="AU18" s="31">
        <f t="shared" ca="1" si="4"/>
        <v>4927842.4397044042</v>
      </c>
      <c r="AV18" s="31">
        <f t="shared" ca="1" si="5"/>
        <v>5475598.4944755137</v>
      </c>
    </row>
    <row r="19" spans="1:48">
      <c r="A19" s="541">
        <f>'Monthly Data'!A19</f>
        <v>42887</v>
      </c>
      <c r="B19">
        <f t="shared" si="13"/>
        <v>2017</v>
      </c>
      <c r="C19">
        <f t="shared" si="14"/>
        <v>6</v>
      </c>
      <c r="D19" s="18">
        <f>'Monthly Data'!F19</f>
        <v>111821.56730769231</v>
      </c>
      <c r="E19" s="33">
        <f t="shared" ca="1" si="8"/>
        <v>51.834166666666661</v>
      </c>
      <c r="F19" s="33">
        <f t="shared" ca="1" si="8"/>
        <v>169.78833333333333</v>
      </c>
      <c r="G19" s="18">
        <f>'Monthly Data'!G19</f>
        <v>9566</v>
      </c>
      <c r="H19">
        <f>'Monthly Data'!BU19</f>
        <v>30</v>
      </c>
      <c r="I19" s="33">
        <f>'Monthly Data'!CQ19</f>
        <v>0</v>
      </c>
      <c r="J19" s="33">
        <f>'Monthly Data'!CX19</f>
        <v>0</v>
      </c>
      <c r="L19" s="18">
        <f>'Res Predicted Monthly'!$X$8</f>
        <v>-16404845.677784801</v>
      </c>
      <c r="M19" s="18">
        <f ca="1">E19*'Res Predicted Monthly'!$X$9</f>
        <v>339597.14163287729</v>
      </c>
      <c r="N19" s="18">
        <f ca="1">F19*'Res Predicted Monthly'!$X$10</f>
        <v>2476377.6606529527</v>
      </c>
      <c r="O19" s="18">
        <f>G19*'Res Predicted Monthly'!$X$11</f>
        <v>12885729.921256222</v>
      </c>
      <c r="P19" s="18">
        <f>H19*'Res Predicted Monthly'!$X$12</f>
        <v>6303145.7404868407</v>
      </c>
      <c r="Q19" s="18">
        <f>I19*'Res Predicted Monthly'!$X$13</f>
        <v>0</v>
      </c>
      <c r="R19" s="18">
        <f>J19*'Res Predicted Monthly'!$X$14</f>
        <v>0</v>
      </c>
      <c r="S19" s="18">
        <f t="shared" ca="1" si="3"/>
        <v>5600004.7862440916</v>
      </c>
      <c r="T19" s="30">
        <f t="shared" ca="1" si="15"/>
        <v>5488183.2189363996</v>
      </c>
      <c r="U19" s="35">
        <f t="shared" ca="1" si="16"/>
        <v>49.079827363132139</v>
      </c>
      <c r="AK19" s="33">
        <f t="shared" ref="AK19:AN19" ca="1" si="18">AK7</f>
        <v>45.635303843800436</v>
      </c>
      <c r="AL19" s="33">
        <f t="shared" ca="1" si="18"/>
        <v>57.777121063541692</v>
      </c>
      <c r="AM19" s="33">
        <f t="shared" ca="1" si="18"/>
        <v>141.30183653234096</v>
      </c>
      <c r="AN19" s="33">
        <f t="shared" ca="1" si="18"/>
        <v>184.0835416360639</v>
      </c>
      <c r="AP19" s="18">
        <f ca="1">AK19*'Res Predicted Monthly'!$X$9</f>
        <v>298984.62229679566</v>
      </c>
      <c r="AQ19" s="18">
        <f ca="1">AL19*'Res Predicted Monthly'!$X$9</f>
        <v>378533.04927487596</v>
      </c>
      <c r="AR19" s="18">
        <f ca="1">AM19*'Res Predicted Monthly'!$X$10</f>
        <v>2060899.6185324343</v>
      </c>
      <c r="AS19" s="18">
        <f ca="1">AN19*'Res Predicted Monthly'!$X$10</f>
        <v>2684874.5214223182</v>
      </c>
      <c r="AU19" s="31">
        <f t="shared" ca="1" si="4"/>
        <v>5143914.2247874914</v>
      </c>
      <c r="AV19" s="31">
        <f t="shared" ca="1" si="5"/>
        <v>5847437.5546554551</v>
      </c>
    </row>
    <row r="20" spans="1:48">
      <c r="A20" s="541">
        <f>'Monthly Data'!A20</f>
        <v>42917</v>
      </c>
      <c r="B20">
        <f t="shared" si="13"/>
        <v>2017</v>
      </c>
      <c r="C20">
        <f t="shared" si="14"/>
        <v>7</v>
      </c>
      <c r="D20" s="18">
        <f>'Monthly Data'!F20</f>
        <v>118170.01602564103</v>
      </c>
      <c r="E20" s="33">
        <f t="shared" ca="1" si="8"/>
        <v>6.5670833333333318</v>
      </c>
      <c r="F20" s="33">
        <f t="shared" ca="1" si="8"/>
        <v>265.99625000000003</v>
      </c>
      <c r="G20" s="18">
        <f>'Monthly Data'!G20</f>
        <v>9598</v>
      </c>
      <c r="H20">
        <f>'Monthly Data'!BU20</f>
        <v>31</v>
      </c>
      <c r="I20" s="33">
        <f>'Monthly Data'!CQ20</f>
        <v>0</v>
      </c>
      <c r="J20" s="33">
        <f>'Monthly Data'!CX20</f>
        <v>0</v>
      </c>
      <c r="L20" s="18">
        <f>'Res Predicted Monthly'!$X$8</f>
        <v>-16404845.677784801</v>
      </c>
      <c r="M20" s="18">
        <f ca="1">E20*'Res Predicted Monthly'!$X$9</f>
        <v>43024.95578267052</v>
      </c>
      <c r="N20" s="18">
        <f ca="1">F20*'Res Predicted Monthly'!$X$10</f>
        <v>3879578.5221842378</v>
      </c>
      <c r="O20" s="18">
        <f>G20*'Res Predicted Monthly'!$X$11</f>
        <v>12928835.018212128</v>
      </c>
      <c r="P20" s="18">
        <f>H20*'Res Predicted Monthly'!$X$12</f>
        <v>6513250.5985030681</v>
      </c>
      <c r="Q20" s="18">
        <f>I20*'Res Predicted Monthly'!$X$13</f>
        <v>0</v>
      </c>
      <c r="R20" s="18">
        <f>J20*'Res Predicted Monthly'!$X$14</f>
        <v>0</v>
      </c>
      <c r="S20" s="18">
        <f t="shared" ca="1" si="3"/>
        <v>6959843.4168973044</v>
      </c>
      <c r="T20" s="30">
        <f t="shared" ca="1" si="15"/>
        <v>6841673.4008716634</v>
      </c>
      <c r="U20" s="35">
        <f t="shared" ca="1" si="16"/>
        <v>57.896864458299881</v>
      </c>
      <c r="AK20" s="33">
        <f t="shared" ref="AK20:AN20" ca="1" si="19">AK8</f>
        <v>5.7817239584744504</v>
      </c>
      <c r="AL20" s="33">
        <f t="shared" ca="1" si="19"/>
        <v>7.3200206193025874</v>
      </c>
      <c r="AM20" s="33">
        <f t="shared" ca="1" si="19"/>
        <v>221.36832312221517</v>
      </c>
      <c r="AN20" s="33">
        <f t="shared" ca="1" si="19"/>
        <v>288.39161561107579</v>
      </c>
      <c r="AP20" s="18">
        <f ca="1">AK20*'Res Predicted Monthly'!$X$9</f>
        <v>37879.589009982119</v>
      </c>
      <c r="AQ20" s="18">
        <f ca="1">AL20*'Res Predicted Monthly'!$X$9</f>
        <v>47957.905738021247</v>
      </c>
      <c r="AR20" s="18">
        <f ca="1">AM20*'Res Predicted Monthly'!$X$10</f>
        <v>3228676.313582941</v>
      </c>
      <c r="AS20" s="18">
        <f ca="1">AN20*'Res Predicted Monthly'!$X$10</f>
        <v>4206216.8842708953</v>
      </c>
      <c r="AU20" s="31">
        <f t="shared" ca="1" si="4"/>
        <v>6303795.8415233195</v>
      </c>
      <c r="AV20" s="31">
        <f t="shared" ca="1" si="5"/>
        <v>7291414.7289393125</v>
      </c>
    </row>
    <row r="21" spans="1:48">
      <c r="A21" s="541">
        <f>'Monthly Data'!A21</f>
        <v>42948</v>
      </c>
      <c r="B21">
        <f t="shared" si="13"/>
        <v>2017</v>
      </c>
      <c r="C21">
        <f t="shared" si="14"/>
        <v>8</v>
      </c>
      <c r="D21" s="18">
        <f>'Monthly Data'!F21</f>
        <v>124518.46474358975</v>
      </c>
      <c r="E21" s="33">
        <f t="shared" ca="1" si="8"/>
        <v>23.263124999999995</v>
      </c>
      <c r="F21" s="33">
        <f t="shared" ca="1" si="8"/>
        <v>218.46562499999996</v>
      </c>
      <c r="G21" s="18">
        <f>'Monthly Data'!G21</f>
        <v>9598</v>
      </c>
      <c r="H21">
        <f>'Monthly Data'!BU21</f>
        <v>31</v>
      </c>
      <c r="I21" s="33">
        <f>'Monthly Data'!CQ21</f>
        <v>0</v>
      </c>
      <c r="J21" s="33">
        <f>'Monthly Data'!CX21</f>
        <v>0</v>
      </c>
      <c r="L21" s="18">
        <f>'Res Predicted Monthly'!$X$8</f>
        <v>-16404845.677784801</v>
      </c>
      <c r="M21" s="18">
        <f ca="1">E21*'Res Predicted Monthly'!$X$9</f>
        <v>152410.87613604273</v>
      </c>
      <c r="N21" s="18">
        <f ca="1">F21*'Res Predicted Monthly'!$X$10</f>
        <v>3186340.2081253235</v>
      </c>
      <c r="O21" s="18">
        <f>G21*'Res Predicted Monthly'!$X$11</f>
        <v>12928835.018212128</v>
      </c>
      <c r="P21" s="18">
        <f>H21*'Res Predicted Monthly'!$X$12</f>
        <v>6513250.5985030681</v>
      </c>
      <c r="Q21" s="18">
        <f>I21*'Res Predicted Monthly'!$X$13</f>
        <v>0</v>
      </c>
      <c r="R21" s="18">
        <f>J21*'Res Predicted Monthly'!$X$14</f>
        <v>0</v>
      </c>
      <c r="S21" s="18">
        <f t="shared" ca="1" si="3"/>
        <v>6375991.0231917612</v>
      </c>
      <c r="T21" s="30">
        <f t="shared" ca="1" si="15"/>
        <v>6251472.5584481712</v>
      </c>
      <c r="U21" s="35">
        <f t="shared" ca="1" si="16"/>
        <v>50.205185000644647</v>
      </c>
      <c r="AK21" s="33">
        <f t="shared" ref="AK21:AN21" ca="1" si="20">AK9</f>
        <v>20.481081225021654</v>
      </c>
      <c r="AL21" s="33">
        <f t="shared" ca="1" si="20"/>
        <v>25.930317315309463</v>
      </c>
      <c r="AM21" s="33">
        <f t="shared" ca="1" si="20"/>
        <v>181.81222128543794</v>
      </c>
      <c r="AN21" s="33">
        <f t="shared" ca="1" si="20"/>
        <v>236.85918335026682</v>
      </c>
      <c r="AP21" s="18">
        <f ca="1">AK21*'Res Predicted Monthly'!$X$9</f>
        <v>134184.01584993443</v>
      </c>
      <c r="AQ21" s="18">
        <f ca="1">AL21*'Res Predicted Monthly'!$X$9</f>
        <v>169885.27467878521</v>
      </c>
      <c r="AR21" s="18">
        <f ca="1">AM21*'Res Predicted Monthly'!$X$10</f>
        <v>2651747.1158694639</v>
      </c>
      <c r="AS21" s="18">
        <f ca="1">AN21*'Res Predicted Monthly'!$X$10</f>
        <v>3454611.8620386319</v>
      </c>
      <c r="AU21" s="31">
        <f t="shared" ca="1" si="4"/>
        <v>5823171.0706497934</v>
      </c>
      <c r="AV21" s="31">
        <f t="shared" ca="1" si="5"/>
        <v>6661737.0756478123</v>
      </c>
    </row>
    <row r="22" spans="1:48">
      <c r="A22" s="541">
        <f>'Monthly Data'!A22</f>
        <v>42979</v>
      </c>
      <c r="B22">
        <f t="shared" si="13"/>
        <v>2017</v>
      </c>
      <c r="C22">
        <f t="shared" si="14"/>
        <v>9</v>
      </c>
      <c r="D22" s="18">
        <f>'Monthly Data'!F22</f>
        <v>130866.91346153847</v>
      </c>
      <c r="E22" s="33">
        <f t="shared" ca="1" si="8"/>
        <v>114.73583333333336</v>
      </c>
      <c r="F22" s="33">
        <f t="shared" ca="1" si="8"/>
        <v>95.131249999999994</v>
      </c>
      <c r="G22" s="18">
        <f>'Monthly Data'!G22</f>
        <v>9598</v>
      </c>
      <c r="H22">
        <f>'Monthly Data'!BU22</f>
        <v>30</v>
      </c>
      <c r="I22" s="33">
        <f>'Monthly Data'!CQ22</f>
        <v>0</v>
      </c>
      <c r="J22" s="33">
        <f>'Monthly Data'!CX22</f>
        <v>0</v>
      </c>
      <c r="L22" s="18">
        <f>'Res Predicted Monthly'!$X$8</f>
        <v>-16404845.677784801</v>
      </c>
      <c r="M22" s="18">
        <f ca="1">E22*'Res Predicted Monthly'!$X$9</f>
        <v>751704.20493946178</v>
      </c>
      <c r="N22" s="18">
        <f ca="1">F22*'Res Predicted Monthly'!$X$10</f>
        <v>1387497.5842273687</v>
      </c>
      <c r="O22" s="18">
        <f>G22*'Res Predicted Monthly'!$X$11</f>
        <v>12928835.018212128</v>
      </c>
      <c r="P22" s="18">
        <f>H22*'Res Predicted Monthly'!$X$12</f>
        <v>6303145.7404868407</v>
      </c>
      <c r="Q22" s="18">
        <f>I22*'Res Predicted Monthly'!$X$13</f>
        <v>0</v>
      </c>
      <c r="R22" s="18">
        <f>J22*'Res Predicted Monthly'!$X$14</f>
        <v>0</v>
      </c>
      <c r="S22" s="18">
        <f t="shared" ca="1" si="3"/>
        <v>4966336.8700809991</v>
      </c>
      <c r="T22" s="30">
        <f t="shared" ca="1" si="15"/>
        <v>4835469.9566194611</v>
      </c>
      <c r="U22" s="35">
        <f t="shared" ca="1" si="16"/>
        <v>36.949522447785064</v>
      </c>
      <c r="AK22" s="33">
        <f t="shared" ref="AK22:AN22" ca="1" si="21">AK10</f>
        <v>101.01454219588074</v>
      </c>
      <c r="AL22" s="33">
        <f t="shared" ca="1" si="21"/>
        <v>127.89066669975746</v>
      </c>
      <c r="AM22" s="33">
        <f t="shared" ca="1" si="21"/>
        <v>79.170459316701752</v>
      </c>
      <c r="AN22" s="33">
        <f t="shared" ca="1" si="21"/>
        <v>103.14075812197032</v>
      </c>
      <c r="AP22" s="18">
        <f ca="1">AK22*'Res Predicted Monthly'!$X$9</f>
        <v>661807.68398723053</v>
      </c>
      <c r="AQ22" s="18">
        <f ca="1">AL22*'Res Predicted Monthly'!$X$9</f>
        <v>837889.51662051689</v>
      </c>
      <c r="AR22" s="18">
        <f ca="1">AM22*'Res Predicted Monthly'!$X$10</f>
        <v>1154708.0590667615</v>
      </c>
      <c r="AS22" s="18">
        <f ca="1">AN22*'Res Predicted Monthly'!$X$10</f>
        <v>1504316.9592495966</v>
      </c>
      <c r="AU22" s="31">
        <f t="shared" ca="1" si="4"/>
        <v>4643650.8239681609</v>
      </c>
      <c r="AV22" s="31">
        <f t="shared" ca="1" si="5"/>
        <v>5169341.5567842815</v>
      </c>
    </row>
    <row r="23" spans="1:48">
      <c r="A23" s="541">
        <f>'Monthly Data'!A23</f>
        <v>43009</v>
      </c>
      <c r="B23">
        <f t="shared" si="13"/>
        <v>2017</v>
      </c>
      <c r="C23">
        <f t="shared" si="14"/>
        <v>10</v>
      </c>
      <c r="D23" s="18">
        <f>'Monthly Data'!F23</f>
        <v>137215.36217948719</v>
      </c>
      <c r="E23" s="33">
        <f t="shared" ca="1" si="8"/>
        <v>302.40479166666665</v>
      </c>
      <c r="F23" s="33">
        <f t="shared" ca="1" si="8"/>
        <v>21.813750000000006</v>
      </c>
      <c r="G23" s="18">
        <f>'Monthly Data'!G23</f>
        <v>9676</v>
      </c>
      <c r="H23">
        <f>'Monthly Data'!BU23</f>
        <v>31</v>
      </c>
      <c r="I23" s="33">
        <f>'Monthly Data'!CQ23</f>
        <v>0</v>
      </c>
      <c r="J23" s="33">
        <f>'Monthly Data'!CX23</f>
        <v>0</v>
      </c>
      <c r="L23" s="18">
        <f>'Res Predicted Monthly'!$X$8</f>
        <v>-16404845.677784801</v>
      </c>
      <c r="M23" s="18">
        <f ca="1">E23*'Res Predicted Monthly'!$X$9</f>
        <v>1981237.655975031</v>
      </c>
      <c r="N23" s="18">
        <f ca="1">F23*'Res Predicted Monthly'!$X$10</f>
        <v>318155.44763618446</v>
      </c>
      <c r="O23" s="18">
        <f>G23*'Res Predicted Monthly'!$X$11</f>
        <v>13033903.69204215</v>
      </c>
      <c r="P23" s="18">
        <f>H23*'Res Predicted Monthly'!$X$12</f>
        <v>6513250.5985030681</v>
      </c>
      <c r="Q23" s="18">
        <f>I23*'Res Predicted Monthly'!$X$13</f>
        <v>0</v>
      </c>
      <c r="R23" s="18">
        <f>J23*'Res Predicted Monthly'!$X$14</f>
        <v>0</v>
      </c>
      <c r="S23" s="18">
        <f t="shared" ca="1" si="3"/>
        <v>5441701.7163716331</v>
      </c>
      <c r="T23" s="30">
        <f t="shared" ca="1" si="15"/>
        <v>5304486.3541921461</v>
      </c>
      <c r="U23" s="35">
        <f t="shared" ca="1" si="16"/>
        <v>38.658108464950963</v>
      </c>
      <c r="AK23" s="33">
        <f t="shared" ref="AK23:AN23" ca="1" si="22">AK11</f>
        <v>266.24011610481193</v>
      </c>
      <c r="AL23" s="33">
        <f t="shared" ca="1" si="22"/>
        <v>337.07647642295342</v>
      </c>
      <c r="AM23" s="33">
        <f t="shared" ca="1" si="22"/>
        <v>18.153914795818444</v>
      </c>
      <c r="AN23" s="33">
        <f t="shared" ca="1" si="22"/>
        <v>23.650343209861436</v>
      </c>
      <c r="AP23" s="18">
        <f ca="1">AK23*'Res Predicted Monthly'!$X$9</f>
        <v>1744300.8778096722</v>
      </c>
      <c r="AQ23" s="18">
        <f ca="1">AL23*'Res Predicted Monthly'!$X$9</f>
        <v>2208392.9436166673</v>
      </c>
      <c r="AR23" s="18">
        <f ca="1">AM23*'Res Predicted Monthly'!$X$10</f>
        <v>264776.4317557856</v>
      </c>
      <c r="AS23" s="18">
        <f ca="1">AN23*'Res Predicted Monthly'!$X$10</f>
        <v>344942.31989836041</v>
      </c>
      <c r="AU23" s="31">
        <f t="shared" ca="1" si="4"/>
        <v>5151385.9223258756</v>
      </c>
      <c r="AV23" s="31">
        <f t="shared" ca="1" si="5"/>
        <v>5695643.8762754453</v>
      </c>
    </row>
    <row r="24" spans="1:48">
      <c r="A24" s="541">
        <f>'Monthly Data'!A24</f>
        <v>43040</v>
      </c>
      <c r="B24">
        <f t="shared" si="13"/>
        <v>2017</v>
      </c>
      <c r="C24">
        <f t="shared" si="14"/>
        <v>11</v>
      </c>
      <c r="D24" s="18">
        <f>'Monthly Data'!F24</f>
        <v>143563.81089743588</v>
      </c>
      <c r="E24" s="33">
        <f t="shared" ca="1" si="8"/>
        <v>526.09395833333338</v>
      </c>
      <c r="F24" s="33">
        <f t="shared" ca="1" si="8"/>
        <v>2.2795833333333335</v>
      </c>
      <c r="G24" s="18">
        <f>'Monthly Data'!G24</f>
        <v>9676</v>
      </c>
      <c r="H24">
        <f>'Monthly Data'!BU24</f>
        <v>30</v>
      </c>
      <c r="I24" s="33">
        <f>'Monthly Data'!CQ24</f>
        <v>0</v>
      </c>
      <c r="J24" s="33">
        <f>'Monthly Data'!CX24</f>
        <v>0</v>
      </c>
      <c r="L24" s="18">
        <f>'Res Predicted Monthly'!$X$8</f>
        <v>-16404845.677784801</v>
      </c>
      <c r="M24" s="18">
        <f ca="1">E24*'Res Predicted Monthly'!$X$9</f>
        <v>3446761.3925240957</v>
      </c>
      <c r="N24" s="18">
        <f ca="1">F24*'Res Predicted Monthly'!$X$10</f>
        <v>33247.921876827779</v>
      </c>
      <c r="O24" s="18">
        <f>G24*'Res Predicted Monthly'!$X$11</f>
        <v>13033903.69204215</v>
      </c>
      <c r="P24" s="18">
        <f>H24*'Res Predicted Monthly'!$X$12</f>
        <v>6303145.7404868407</v>
      </c>
      <c r="Q24" s="18">
        <f>I24*'Res Predicted Monthly'!$X$13</f>
        <v>0</v>
      </c>
      <c r="R24" s="18">
        <f>J24*'Res Predicted Monthly'!$X$14</f>
        <v>0</v>
      </c>
      <c r="S24" s="18">
        <f t="shared" ca="1" si="3"/>
        <v>6412213.0691451123</v>
      </c>
      <c r="T24" s="30">
        <f t="shared" ca="1" si="15"/>
        <v>6268649.2582476763</v>
      </c>
      <c r="U24" s="35">
        <f t="shared" ca="1" si="16"/>
        <v>43.664550411845035</v>
      </c>
      <c r="AK24" s="33">
        <f t="shared" ref="AK24:AN24" ca="1" si="23">AK12</f>
        <v>463.17823132610772</v>
      </c>
      <c r="AL24" s="33">
        <f t="shared" ca="1" si="23"/>
        <v>586.4123275463005</v>
      </c>
      <c r="AM24" s="33">
        <f t="shared" ca="1" si="23"/>
        <v>1.8971227598785685</v>
      </c>
      <c r="AN24" s="33">
        <f t="shared" ca="1" si="23"/>
        <v>2.4715112352902775</v>
      </c>
      <c r="AP24" s="18">
        <f ca="1">AK24*'Res Predicted Monthly'!$X$9</f>
        <v>3034562.2113776528</v>
      </c>
      <c r="AQ24" s="18">
        <f ca="1">AL24*'Res Predicted Monthly'!$X$9</f>
        <v>3841943.7035354339</v>
      </c>
      <c r="AR24" s="18">
        <f ca="1">AM24*'Res Predicted Monthly'!$X$10</f>
        <v>27669.701032145298</v>
      </c>
      <c r="AS24" s="18">
        <f ca="1">AN24*'Res Predicted Monthly'!$X$10</f>
        <v>36047.207078179461</v>
      </c>
      <c r="AU24" s="31">
        <f t="shared" ca="1" si="4"/>
        <v>5994435.6671539871</v>
      </c>
      <c r="AV24" s="31">
        <f t="shared" ca="1" si="5"/>
        <v>6810194.6653578021</v>
      </c>
    </row>
    <row r="25" spans="1:48">
      <c r="A25" s="541">
        <f>'Monthly Data'!A25</f>
        <v>43070</v>
      </c>
      <c r="B25">
        <f t="shared" si="13"/>
        <v>2017</v>
      </c>
      <c r="C25">
        <f t="shared" si="14"/>
        <v>12</v>
      </c>
      <c r="D25" s="18">
        <f>'Monthly Data'!F25</f>
        <v>76269429.279615387</v>
      </c>
      <c r="E25" s="33">
        <f t="shared" ca="1" si="8"/>
        <v>750.36333333333334</v>
      </c>
      <c r="F25" s="33">
        <f t="shared" ca="1" si="8"/>
        <v>0</v>
      </c>
      <c r="G25" s="18">
        <f>'Monthly Data'!G25</f>
        <v>9676</v>
      </c>
      <c r="H25">
        <f>'Monthly Data'!BU25</f>
        <v>31</v>
      </c>
      <c r="I25" s="33">
        <f>'Monthly Data'!CQ25</f>
        <v>0</v>
      </c>
      <c r="J25" s="33">
        <f>'Monthly Data'!CX25</f>
        <v>0</v>
      </c>
      <c r="L25" s="18">
        <f>'Res Predicted Monthly'!$X$8</f>
        <v>-16404845.677784801</v>
      </c>
      <c r="M25" s="18">
        <f ca="1">E25*'Res Predicted Monthly'!$X$9</f>
        <v>4916086.4266385026</v>
      </c>
      <c r="N25" s="18">
        <f ca="1">F25*'Res Predicted Monthly'!$X$10</f>
        <v>0</v>
      </c>
      <c r="O25" s="18">
        <f>G25*'Res Predicted Monthly'!$X$11</f>
        <v>13033903.69204215</v>
      </c>
      <c r="P25" s="18">
        <f>H25*'Res Predicted Monthly'!$X$12</f>
        <v>6513250.5985030681</v>
      </c>
      <c r="Q25" s="18">
        <f>I25*'Res Predicted Monthly'!$X$13</f>
        <v>0</v>
      </c>
      <c r="R25" s="18">
        <f>J25*'Res Predicted Monthly'!$X$14</f>
        <v>0</v>
      </c>
      <c r="S25" s="18">
        <f t="shared" ca="1" si="3"/>
        <v>8058395.0393989198</v>
      </c>
      <c r="T25" s="30">
        <f t="shared" ca="1" si="15"/>
        <v>-68211034.240216464</v>
      </c>
      <c r="U25" s="35">
        <f t="shared" ca="1" si="16"/>
        <v>0.89434305310118922</v>
      </c>
      <c r="AK25" s="33">
        <f t="shared" ref="AK25:AN25" ca="1" si="24">AK13</f>
        <v>660.62716760013984</v>
      </c>
      <c r="AL25" s="33">
        <f t="shared" ca="1" si="24"/>
        <v>836.39490975983074</v>
      </c>
      <c r="AM25" s="33">
        <f t="shared" ca="1" si="24"/>
        <v>0</v>
      </c>
      <c r="AN25" s="33">
        <f t="shared" ca="1" si="24"/>
        <v>0</v>
      </c>
      <c r="AP25" s="18">
        <f ca="1">AK25*'Res Predicted Monthly'!$X$9</f>
        <v>4328170.2442474803</v>
      </c>
      <c r="AQ25" s="18">
        <f ca="1">AL25*'Res Predicted Monthly'!$X$9</f>
        <v>5479731.5920463055</v>
      </c>
      <c r="AR25" s="18">
        <f ca="1">AM25*'Res Predicted Monthly'!$X$10</f>
        <v>0</v>
      </c>
      <c r="AS25" s="18">
        <f ca="1">AN25*'Res Predicted Monthly'!$X$10</f>
        <v>0</v>
      </c>
      <c r="AU25" s="31">
        <f t="shared" ca="1" si="4"/>
        <v>7470478.8570078975</v>
      </c>
      <c r="AV25" s="31">
        <f t="shared" ca="1" si="5"/>
        <v>8622040.2048067227</v>
      </c>
    </row>
    <row r="26" spans="1:48">
      <c r="A26" s="541">
        <f>'Monthly Data'!A26</f>
        <v>43101</v>
      </c>
      <c r="B26">
        <f t="shared" si="13"/>
        <v>2018</v>
      </c>
      <c r="C26">
        <f t="shared" si="14"/>
        <v>1</v>
      </c>
      <c r="D26" s="18">
        <f>'Monthly Data'!F26</f>
        <v>138184.10424530588</v>
      </c>
      <c r="E26" s="33">
        <f t="shared" ca="1" si="8"/>
        <v>852.55166666666662</v>
      </c>
      <c r="F26" s="33">
        <f t="shared" ca="1" si="8"/>
        <v>0</v>
      </c>
      <c r="G26" s="18">
        <f>'Monthly Data'!G26</f>
        <v>9688</v>
      </c>
      <c r="H26">
        <f>'Monthly Data'!BU26</f>
        <v>31</v>
      </c>
      <c r="I26" s="33">
        <f>'Monthly Data'!CQ26</f>
        <v>0</v>
      </c>
      <c r="J26" s="33">
        <f>'Monthly Data'!CX26</f>
        <v>0</v>
      </c>
      <c r="L26" s="18">
        <f>'Res Predicted Monthly'!$X$8</f>
        <v>-16404845.677784801</v>
      </c>
      <c r="M26" s="18">
        <f ca="1">E26*'Res Predicted Monthly'!$X$9</f>
        <v>5585584.3300463771</v>
      </c>
      <c r="N26" s="18">
        <f ca="1">F26*'Res Predicted Monthly'!$X$10</f>
        <v>0</v>
      </c>
      <c r="O26" s="18">
        <f>G26*'Res Predicted Monthly'!$X$11</f>
        <v>13050068.103400616</v>
      </c>
      <c r="P26" s="18">
        <f>H26*'Res Predicted Monthly'!$X$12</f>
        <v>6513250.5985030681</v>
      </c>
      <c r="Q26" s="18">
        <f>I26*'Res Predicted Monthly'!$X$13</f>
        <v>0</v>
      </c>
      <c r="R26" s="18">
        <f>J26*'Res Predicted Monthly'!$X$14</f>
        <v>0</v>
      </c>
      <c r="S26" s="18">
        <f t="shared" ca="1" si="3"/>
        <v>8744057.3541652616</v>
      </c>
      <c r="T26" s="30">
        <f t="shared" ca="1" si="15"/>
        <v>8605873.2499199566</v>
      </c>
      <c r="U26" s="35">
        <f t="shared" ca="1" si="16"/>
        <v>62.278315562568032</v>
      </c>
      <c r="AK26" s="33">
        <f t="shared" ref="AK26:AN26" ca="1" si="25">AK14</f>
        <v>750.59476891120983</v>
      </c>
      <c r="AL26" s="33">
        <f t="shared" ca="1" si="25"/>
        <v>950.29946511324727</v>
      </c>
      <c r="AM26" s="33">
        <f t="shared" ca="1" si="25"/>
        <v>0</v>
      </c>
      <c r="AN26" s="33">
        <f t="shared" ca="1" si="25"/>
        <v>0</v>
      </c>
      <c r="AP26" s="18">
        <f ca="1">AK26*'Res Predicted Monthly'!$X$9</f>
        <v>4917602.7018247992</v>
      </c>
      <c r="AQ26" s="18">
        <f ca="1">AL26*'Res Predicted Monthly'!$X$9</f>
        <v>6225989.5895122774</v>
      </c>
      <c r="AR26" s="18">
        <f ca="1">AM26*'Res Predicted Monthly'!$X$10</f>
        <v>0</v>
      </c>
      <c r="AS26" s="18">
        <f ca="1">AN26*'Res Predicted Monthly'!$X$10</f>
        <v>0</v>
      </c>
      <c r="AU26" s="31">
        <f t="shared" ca="1" si="4"/>
        <v>8076075.7259436836</v>
      </c>
      <c r="AV26" s="31">
        <f t="shared" ca="1" si="5"/>
        <v>9384462.6136311628</v>
      </c>
    </row>
    <row r="27" spans="1:48">
      <c r="A27" s="541">
        <f>'Monthly Data'!A27</f>
        <v>43132</v>
      </c>
      <c r="B27">
        <f t="shared" si="13"/>
        <v>2018</v>
      </c>
      <c r="C27">
        <f t="shared" si="14"/>
        <v>2</v>
      </c>
      <c r="D27" s="18">
        <f>'Monthly Data'!F27</f>
        <v>141275.87925579111</v>
      </c>
      <c r="E27" s="33">
        <f t="shared" ca="1" si="8"/>
        <v>747.22854166666662</v>
      </c>
      <c r="F27" s="33">
        <f t="shared" ca="1" si="8"/>
        <v>0</v>
      </c>
      <c r="G27" s="18">
        <f>'Monthly Data'!G27</f>
        <v>9699</v>
      </c>
      <c r="H27">
        <f>'Monthly Data'!BU27</f>
        <v>29</v>
      </c>
      <c r="I27" s="33">
        <f>'Monthly Data'!CQ27</f>
        <v>0</v>
      </c>
      <c r="J27" s="33">
        <f>'Monthly Data'!CX27</f>
        <v>0</v>
      </c>
      <c r="L27" s="18">
        <f>'Res Predicted Monthly'!$X$8</f>
        <v>-16404845.677784801</v>
      </c>
      <c r="M27" s="18">
        <f ca="1">E27*'Res Predicted Monthly'!$X$9</f>
        <v>4895548.500438964</v>
      </c>
      <c r="N27" s="18">
        <f ca="1">F27*'Res Predicted Monthly'!$X$10</f>
        <v>0</v>
      </c>
      <c r="O27" s="18">
        <f>G27*'Res Predicted Monthly'!$X$11</f>
        <v>13064885.480479209</v>
      </c>
      <c r="P27" s="18">
        <f>H27*'Res Predicted Monthly'!$X$12</f>
        <v>6093040.8824706124</v>
      </c>
      <c r="Q27" s="18">
        <f>I27*'Res Predicted Monthly'!$X$13</f>
        <v>0</v>
      </c>
      <c r="R27" s="18">
        <f>J27*'Res Predicted Monthly'!$X$14</f>
        <v>0</v>
      </c>
      <c r="S27" s="18">
        <f t="shared" ca="1" si="3"/>
        <v>7648629.1856039846</v>
      </c>
      <c r="T27" s="30">
        <f t="shared" ca="1" si="15"/>
        <v>7507353.3063481934</v>
      </c>
      <c r="U27" s="35">
        <f t="shared" ca="1" si="16"/>
        <v>53.139667902937198</v>
      </c>
      <c r="AK27" s="33">
        <f t="shared" ref="AK27:AN27" ca="1" si="26">AK15</f>
        <v>657.86726656584096</v>
      </c>
      <c r="AL27" s="33">
        <f t="shared" ca="1" si="26"/>
        <v>832.90070411746512</v>
      </c>
      <c r="AM27" s="33">
        <f t="shared" ca="1" si="26"/>
        <v>0</v>
      </c>
      <c r="AN27" s="33">
        <f t="shared" ca="1" si="26"/>
        <v>0</v>
      </c>
      <c r="AP27" s="18">
        <f ca="1">AK27*'Res Predicted Monthly'!$X$9</f>
        <v>4310088.4545186171</v>
      </c>
      <c r="AQ27" s="18">
        <f ca="1">AL27*'Res Predicted Monthly'!$X$9</f>
        <v>5456838.9263639245</v>
      </c>
      <c r="AR27" s="18">
        <f ca="1">AM27*'Res Predicted Monthly'!$X$10</f>
        <v>0</v>
      </c>
      <c r="AS27" s="18">
        <f ca="1">AN27*'Res Predicted Monthly'!$X$10</f>
        <v>0</v>
      </c>
      <c r="AU27" s="31">
        <f t="shared" ca="1" si="4"/>
        <v>7063169.1396836378</v>
      </c>
      <c r="AV27" s="31">
        <f t="shared" ca="1" si="5"/>
        <v>8209919.6115289452</v>
      </c>
    </row>
    <row r="28" spans="1:48">
      <c r="A28" s="541">
        <f>'Monthly Data'!A28</f>
        <v>43160</v>
      </c>
      <c r="B28">
        <f t="shared" si="13"/>
        <v>2018</v>
      </c>
      <c r="C28">
        <f t="shared" si="14"/>
        <v>3</v>
      </c>
      <c r="D28" s="18">
        <f>'Monthly Data'!F28</f>
        <v>144367.65426627634</v>
      </c>
      <c r="E28" s="33">
        <f t="shared" ca="1" si="8"/>
        <v>636.29604166666672</v>
      </c>
      <c r="F28" s="33">
        <f t="shared" ca="1" si="8"/>
        <v>0</v>
      </c>
      <c r="G28" s="18">
        <f>'Monthly Data'!G28</f>
        <v>9711</v>
      </c>
      <c r="H28">
        <f>'Monthly Data'!BU28</f>
        <v>31</v>
      </c>
      <c r="I28" s="33">
        <f>'Monthly Data'!CQ28</f>
        <v>0</v>
      </c>
      <c r="J28" s="33">
        <f>'Monthly Data'!CX28</f>
        <v>0</v>
      </c>
      <c r="L28" s="18">
        <f>'Res Predicted Monthly'!$X$8</f>
        <v>-16404845.677784801</v>
      </c>
      <c r="M28" s="18">
        <f ca="1">E28*'Res Predicted Monthly'!$X$9</f>
        <v>4168762.2446387853</v>
      </c>
      <c r="N28" s="18">
        <f ca="1">F28*'Res Predicted Monthly'!$X$10</f>
        <v>0</v>
      </c>
      <c r="O28" s="18">
        <f>G28*'Res Predicted Monthly'!$X$11</f>
        <v>13081049.891837673</v>
      </c>
      <c r="P28" s="18">
        <f>H28*'Res Predicted Monthly'!$X$12</f>
        <v>6513250.5985030681</v>
      </c>
      <c r="Q28" s="18">
        <f>I28*'Res Predicted Monthly'!$X$13</f>
        <v>0</v>
      </c>
      <c r="R28" s="18">
        <f>J28*'Res Predicted Monthly'!$X$14</f>
        <v>0</v>
      </c>
      <c r="S28" s="18">
        <f t="shared" ca="1" si="3"/>
        <v>7358217.0571947265</v>
      </c>
      <c r="T28" s="30">
        <f t="shared" ca="1" si="15"/>
        <v>7213849.4029284501</v>
      </c>
      <c r="U28" s="35">
        <f t="shared" ca="1" si="16"/>
        <v>49.968598849871142</v>
      </c>
      <c r="AK28" s="33">
        <f t="shared" ref="AK28:AN28" ca="1" si="27">AK16</f>
        <v>560.20121598172079</v>
      </c>
      <c r="AL28" s="33">
        <f t="shared" ca="1" si="27"/>
        <v>709.24943518517148</v>
      </c>
      <c r="AM28" s="33">
        <f t="shared" ca="1" si="27"/>
        <v>0</v>
      </c>
      <c r="AN28" s="33">
        <f t="shared" ca="1" si="27"/>
        <v>0</v>
      </c>
      <c r="AP28" s="18">
        <f ca="1">AK28*'Res Predicted Monthly'!$X$9</f>
        <v>3670218.7750033834</v>
      </c>
      <c r="AQ28" s="18">
        <f ca="1">AL28*'Res Predicted Monthly'!$X$9</f>
        <v>4646724.2821231214</v>
      </c>
      <c r="AR28" s="18">
        <f ca="1">AM28*'Res Predicted Monthly'!$X$10</f>
        <v>0</v>
      </c>
      <c r="AS28" s="18">
        <f ca="1">AN28*'Res Predicted Monthly'!$X$10</f>
        <v>0</v>
      </c>
      <c r="AU28" s="31">
        <f t="shared" ca="1" si="4"/>
        <v>6859673.5875593247</v>
      </c>
      <c r="AV28" s="31">
        <f t="shared" ca="1" si="5"/>
        <v>7836179.0946790632</v>
      </c>
    </row>
    <row r="29" spans="1:48">
      <c r="A29" s="541">
        <f>'Monthly Data'!A29</f>
        <v>43191</v>
      </c>
      <c r="B29">
        <f t="shared" si="13"/>
        <v>2018</v>
      </c>
      <c r="C29">
        <f t="shared" si="14"/>
        <v>4</v>
      </c>
      <c r="D29" s="18">
        <f>'Monthly Data'!F29</f>
        <v>147459.42927676154</v>
      </c>
      <c r="E29" s="33">
        <f t="shared" ca="1" si="8"/>
        <v>408.60374999999999</v>
      </c>
      <c r="F29" s="33">
        <f t="shared" ca="1" si="8"/>
        <v>2.8104166666666677</v>
      </c>
      <c r="G29" s="18">
        <f>'Monthly Data'!G29</f>
        <v>9720</v>
      </c>
      <c r="H29">
        <f>'Monthly Data'!BU29</f>
        <v>30</v>
      </c>
      <c r="I29" s="33">
        <f>'Monthly Data'!CQ29</f>
        <v>0</v>
      </c>
      <c r="J29" s="33">
        <f>'Monthly Data'!CX29</f>
        <v>0</v>
      </c>
      <c r="L29" s="18">
        <f>'Res Predicted Monthly'!$X$8</f>
        <v>-16404845.677784801</v>
      </c>
      <c r="M29" s="18">
        <f ca="1">E29*'Res Predicted Monthly'!$X$9</f>
        <v>2677011.6022663582</v>
      </c>
      <c r="N29" s="18">
        <f ca="1">F29*'Res Predicted Monthly'!$X$10</f>
        <v>40990.172374191818</v>
      </c>
      <c r="O29" s="18">
        <f>G29*'Res Predicted Monthly'!$X$11</f>
        <v>13093173.200356521</v>
      </c>
      <c r="P29" s="18">
        <f>H29*'Res Predicted Monthly'!$X$12</f>
        <v>6303145.7404868407</v>
      </c>
      <c r="Q29" s="18">
        <f>I29*'Res Predicted Monthly'!$X$13</f>
        <v>0</v>
      </c>
      <c r="R29" s="18">
        <f>J29*'Res Predicted Monthly'!$X$14</f>
        <v>0</v>
      </c>
      <c r="S29" s="18">
        <f t="shared" ca="1" si="3"/>
        <v>5709475.0376991117</v>
      </c>
      <c r="T29" s="30">
        <f t="shared" ca="1" si="15"/>
        <v>5562015.6084223501</v>
      </c>
      <c r="U29" s="35">
        <f t="shared" ca="1" si="16"/>
        <v>37.718955211627694</v>
      </c>
      <c r="AK29" s="33">
        <f t="shared" ref="AK29:AN29" ca="1" si="28">AK17</f>
        <v>359.73871062458045</v>
      </c>
      <c r="AL29" s="33">
        <f t="shared" ca="1" si="28"/>
        <v>455.4514878686926</v>
      </c>
      <c r="AM29" s="33">
        <f t="shared" ca="1" si="28"/>
        <v>2.33889472041326</v>
      </c>
      <c r="AN29" s="33">
        <f t="shared" ca="1" si="28"/>
        <v>3.0470377046304016</v>
      </c>
      <c r="AP29" s="18">
        <f ca="1">AK29*'Res Predicted Monthly'!$X$9</f>
        <v>2356867.0187837039</v>
      </c>
      <c r="AQ29" s="18">
        <f ca="1">AL29*'Res Predicted Monthly'!$X$9</f>
        <v>2983939.617034757</v>
      </c>
      <c r="AR29" s="18">
        <f ca="1">AM29*'Res Predicted Monthly'!$X$10</f>
        <v>34112.983634037664</v>
      </c>
      <c r="AS29" s="18">
        <f ca="1">AN29*'Res Predicted Monthly'!$X$10</f>
        <v>44441.310864982734</v>
      </c>
      <c r="AU29" s="31">
        <f t="shared" ca="1" si="4"/>
        <v>5382453.2654763032</v>
      </c>
      <c r="AV29" s="31">
        <f t="shared" ca="1" si="5"/>
        <v>6019854.1909583015</v>
      </c>
    </row>
    <row r="30" spans="1:48">
      <c r="A30" s="541">
        <f>'Monthly Data'!A30</f>
        <v>43221</v>
      </c>
      <c r="B30">
        <f t="shared" si="13"/>
        <v>2018</v>
      </c>
      <c r="C30">
        <f t="shared" si="14"/>
        <v>5</v>
      </c>
      <c r="D30" s="18">
        <f>'Monthly Data'!F30</f>
        <v>150551.20428724677</v>
      </c>
      <c r="E30" s="33">
        <f t="shared" ca="1" si="8"/>
        <v>178.10395833333331</v>
      </c>
      <c r="F30" s="33">
        <f t="shared" ca="1" si="8"/>
        <v>74.673124999999999</v>
      </c>
      <c r="G30" s="18">
        <f>'Monthly Data'!G30</f>
        <v>9723</v>
      </c>
      <c r="H30">
        <f>'Monthly Data'!BU30</f>
        <v>31</v>
      </c>
      <c r="I30" s="33">
        <f>'Monthly Data'!CQ30</f>
        <v>0</v>
      </c>
      <c r="J30" s="33">
        <f>'Monthly Data'!CX30</f>
        <v>0</v>
      </c>
      <c r="L30" s="18">
        <f>'Res Predicted Monthly'!$X$8</f>
        <v>-16404845.677784801</v>
      </c>
      <c r="M30" s="18">
        <f ca="1">E30*'Res Predicted Monthly'!$X$9</f>
        <v>1166867.3204000143</v>
      </c>
      <c r="N30" s="18">
        <f ca="1">F30*'Res Predicted Monthly'!$X$10</f>
        <v>1089114.045534021</v>
      </c>
      <c r="O30" s="18">
        <f>G30*'Res Predicted Monthly'!$X$11</f>
        <v>13097214.303196138</v>
      </c>
      <c r="P30" s="18">
        <f>H30*'Res Predicted Monthly'!$X$12</f>
        <v>6513250.5985030681</v>
      </c>
      <c r="Q30" s="18">
        <f>I30*'Res Predicted Monthly'!$X$13</f>
        <v>0</v>
      </c>
      <c r="R30" s="18">
        <f>J30*'Res Predicted Monthly'!$X$14</f>
        <v>0</v>
      </c>
      <c r="S30" s="18">
        <f t="shared" ca="1" si="3"/>
        <v>5461600.5898484401</v>
      </c>
      <c r="T30" s="30">
        <f t="shared" ca="1" si="15"/>
        <v>5311049.3855611933</v>
      </c>
      <c r="U30" s="35">
        <f t="shared" ca="1" si="16"/>
        <v>35.277362347948312</v>
      </c>
      <c r="AK30" s="33">
        <f t="shared" ref="AK30:AN30" ca="1" si="29">AK18</f>
        <v>156.80445499574424</v>
      </c>
      <c r="AL30" s="33">
        <f t="shared" ca="1" si="29"/>
        <v>198.52415162176143</v>
      </c>
      <c r="AM30" s="33">
        <f t="shared" ca="1" si="29"/>
        <v>62.144727467193846</v>
      </c>
      <c r="AN30" s="33">
        <f t="shared" ca="1" si="29"/>
        <v>80.960175797507716</v>
      </c>
      <c r="AP30" s="18">
        <f ca="1">AK30*'Res Predicted Monthly'!$X$9</f>
        <v>1027321.3236801189</v>
      </c>
      <c r="AQ30" s="18">
        <f ca="1">AL30*'Res Predicted Monthly'!$X$9</f>
        <v>1300652.4223567233</v>
      </c>
      <c r="AR30" s="18">
        <f ca="1">AM30*'Res Predicted Monthly'!$X$10</f>
        <v>906386.27404979616</v>
      </c>
      <c r="AS30" s="18">
        <f ca="1">AN30*'Res Predicted Monthly'!$X$10</f>
        <v>1180811.2301443012</v>
      </c>
      <c r="AU30" s="31">
        <f t="shared" ca="1" si="4"/>
        <v>5139326.8216443202</v>
      </c>
      <c r="AV30" s="31">
        <f t="shared" ca="1" si="5"/>
        <v>5687082.8764154296</v>
      </c>
    </row>
    <row r="31" spans="1:48">
      <c r="A31" s="541">
        <f>'Monthly Data'!A31</f>
        <v>43252</v>
      </c>
      <c r="B31">
        <f t="shared" si="13"/>
        <v>2018</v>
      </c>
      <c r="C31">
        <f t="shared" si="14"/>
        <v>6</v>
      </c>
      <c r="D31" s="18">
        <f>'Monthly Data'!F31</f>
        <v>153642.979297732</v>
      </c>
      <c r="E31" s="33">
        <f t="shared" ca="1" si="8"/>
        <v>51.834166666666661</v>
      </c>
      <c r="F31" s="33">
        <f t="shared" ca="1" si="8"/>
        <v>169.78833333333333</v>
      </c>
      <c r="G31" s="18">
        <f>'Monthly Data'!G31</f>
        <v>9728</v>
      </c>
      <c r="H31">
        <f>'Monthly Data'!BU31</f>
        <v>30</v>
      </c>
      <c r="I31" s="33">
        <f>'Monthly Data'!CQ31</f>
        <v>0</v>
      </c>
      <c r="J31" s="33">
        <f>'Monthly Data'!CX31</f>
        <v>0</v>
      </c>
      <c r="L31" s="18">
        <f>'Res Predicted Monthly'!$X$8</f>
        <v>-16404845.677784801</v>
      </c>
      <c r="M31" s="18">
        <f ca="1">E31*'Res Predicted Monthly'!$X$9</f>
        <v>339597.14163287729</v>
      </c>
      <c r="N31" s="18">
        <f ca="1">F31*'Res Predicted Monthly'!$X$10</f>
        <v>2476377.6606529527</v>
      </c>
      <c r="O31" s="18">
        <f>G31*'Res Predicted Monthly'!$X$11</f>
        <v>13103949.474595498</v>
      </c>
      <c r="P31" s="18">
        <f>H31*'Res Predicted Monthly'!$X$12</f>
        <v>6303145.7404868407</v>
      </c>
      <c r="Q31" s="18">
        <f>I31*'Res Predicted Monthly'!$X$13</f>
        <v>0</v>
      </c>
      <c r="R31" s="18">
        <f>J31*'Res Predicted Monthly'!$X$14</f>
        <v>0</v>
      </c>
      <c r="S31" s="18">
        <f t="shared" ca="1" si="3"/>
        <v>5818224.339583368</v>
      </c>
      <c r="T31" s="30">
        <f t="shared" ca="1" si="15"/>
        <v>5664581.360285636</v>
      </c>
      <c r="U31" s="35">
        <f t="shared" ca="1" si="16"/>
        <v>36.868468615859847</v>
      </c>
      <c r="AK31" s="33">
        <f t="shared" ref="AK31:AN31" ca="1" si="30">AK19</f>
        <v>45.635303843800436</v>
      </c>
      <c r="AL31" s="33">
        <f t="shared" ca="1" si="30"/>
        <v>57.777121063541692</v>
      </c>
      <c r="AM31" s="33">
        <f t="shared" ca="1" si="30"/>
        <v>141.30183653234096</v>
      </c>
      <c r="AN31" s="33">
        <f t="shared" ca="1" si="30"/>
        <v>184.0835416360639</v>
      </c>
      <c r="AP31" s="18">
        <f ca="1">AK31*'Res Predicted Monthly'!$X$9</f>
        <v>298984.62229679566</v>
      </c>
      <c r="AQ31" s="18">
        <f ca="1">AL31*'Res Predicted Monthly'!$X$9</f>
        <v>378533.04927487596</v>
      </c>
      <c r="AR31" s="18">
        <f ca="1">AM31*'Res Predicted Monthly'!$X$10</f>
        <v>2060899.6185324343</v>
      </c>
      <c r="AS31" s="18">
        <f ca="1">AN31*'Res Predicted Monthly'!$X$10</f>
        <v>2684874.5214223182</v>
      </c>
      <c r="AU31" s="31">
        <f t="shared" ca="1" si="4"/>
        <v>5362133.7781267678</v>
      </c>
      <c r="AV31" s="31">
        <f t="shared" ca="1" si="5"/>
        <v>6065657.1079947315</v>
      </c>
    </row>
    <row r="32" spans="1:48">
      <c r="A32" s="541">
        <f>'Monthly Data'!A32</f>
        <v>43282</v>
      </c>
      <c r="B32">
        <f t="shared" si="13"/>
        <v>2018</v>
      </c>
      <c r="C32">
        <f t="shared" si="14"/>
        <v>7</v>
      </c>
      <c r="D32" s="18">
        <f>'Monthly Data'!F32</f>
        <v>156734.75430821723</v>
      </c>
      <c r="E32" s="33">
        <f t="shared" ca="1" si="8"/>
        <v>6.5670833333333318</v>
      </c>
      <c r="F32" s="33">
        <f t="shared" ca="1" si="8"/>
        <v>265.99625000000003</v>
      </c>
      <c r="G32" s="18">
        <f>'Monthly Data'!G32</f>
        <v>9733</v>
      </c>
      <c r="H32">
        <f>'Monthly Data'!BU32</f>
        <v>31</v>
      </c>
      <c r="I32" s="33">
        <f>'Monthly Data'!CQ32</f>
        <v>0</v>
      </c>
      <c r="J32" s="33">
        <f>'Monthly Data'!CX32</f>
        <v>0</v>
      </c>
      <c r="L32" s="18">
        <f>'Res Predicted Monthly'!$X$8</f>
        <v>-16404845.677784801</v>
      </c>
      <c r="M32" s="18">
        <f ca="1">E32*'Res Predicted Monthly'!$X$9</f>
        <v>43024.95578267052</v>
      </c>
      <c r="N32" s="18">
        <f ca="1">F32*'Res Predicted Monthly'!$X$10</f>
        <v>3879578.5221842378</v>
      </c>
      <c r="O32" s="18">
        <f>G32*'Res Predicted Monthly'!$X$11</f>
        <v>13110684.645994859</v>
      </c>
      <c r="P32" s="18">
        <f>H32*'Res Predicted Monthly'!$X$12</f>
        <v>6513250.5985030681</v>
      </c>
      <c r="Q32" s="18">
        <f>I32*'Res Predicted Monthly'!$X$13</f>
        <v>0</v>
      </c>
      <c r="R32" s="18">
        <f>J32*'Res Predicted Monthly'!$X$14</f>
        <v>0</v>
      </c>
      <c r="S32" s="18">
        <f t="shared" ca="1" si="3"/>
        <v>7141693.0446800347</v>
      </c>
      <c r="T32" s="30">
        <f t="shared" ca="1" si="15"/>
        <v>6984958.2903718175</v>
      </c>
      <c r="U32" s="35">
        <f t="shared" ca="1" si="16"/>
        <v>44.565471909541969</v>
      </c>
      <c r="AK32" s="33">
        <f t="shared" ref="AK32:AN32" ca="1" si="31">AK20</f>
        <v>5.7817239584744504</v>
      </c>
      <c r="AL32" s="33">
        <f t="shared" ca="1" si="31"/>
        <v>7.3200206193025874</v>
      </c>
      <c r="AM32" s="33">
        <f t="shared" ca="1" si="31"/>
        <v>221.36832312221517</v>
      </c>
      <c r="AN32" s="33">
        <f t="shared" ca="1" si="31"/>
        <v>288.39161561107579</v>
      </c>
      <c r="AP32" s="18">
        <f ca="1">AK32*'Res Predicted Monthly'!$X$9</f>
        <v>37879.589009982119</v>
      </c>
      <c r="AQ32" s="18">
        <f ca="1">AL32*'Res Predicted Monthly'!$X$9</f>
        <v>47957.905738021247</v>
      </c>
      <c r="AR32" s="18">
        <f ca="1">AM32*'Res Predicted Monthly'!$X$10</f>
        <v>3228676.313582941</v>
      </c>
      <c r="AS32" s="18">
        <f ca="1">AN32*'Res Predicted Monthly'!$X$10</f>
        <v>4206216.8842708953</v>
      </c>
      <c r="AU32" s="31">
        <f t="shared" ca="1" si="4"/>
        <v>6485645.4693060499</v>
      </c>
      <c r="AV32" s="31">
        <f t="shared" ca="1" si="5"/>
        <v>7473264.3567220429</v>
      </c>
    </row>
    <row r="33" spans="1:48">
      <c r="A33" s="541">
        <f>'Monthly Data'!A33</f>
        <v>43313</v>
      </c>
      <c r="B33">
        <f t="shared" si="13"/>
        <v>2018</v>
      </c>
      <c r="C33">
        <f t="shared" si="14"/>
        <v>8</v>
      </c>
      <c r="D33" s="18">
        <f>'Monthly Data'!F33</f>
        <v>159826.52931870247</v>
      </c>
      <c r="E33" s="33">
        <f t="shared" ca="1" si="8"/>
        <v>23.263124999999995</v>
      </c>
      <c r="F33" s="33">
        <f t="shared" ca="1" si="8"/>
        <v>218.46562499999996</v>
      </c>
      <c r="G33" s="18">
        <f>'Monthly Data'!G33</f>
        <v>9752</v>
      </c>
      <c r="H33">
        <f>'Monthly Data'!BU33</f>
        <v>31</v>
      </c>
      <c r="I33" s="33">
        <f>'Monthly Data'!CQ33</f>
        <v>0</v>
      </c>
      <c r="J33" s="33">
        <f>'Monthly Data'!CX33</f>
        <v>0</v>
      </c>
      <c r="L33" s="18">
        <f>'Res Predicted Monthly'!$X$8</f>
        <v>-16404845.677784801</v>
      </c>
      <c r="M33" s="18">
        <f ca="1">E33*'Res Predicted Monthly'!$X$9</f>
        <v>152410.87613604273</v>
      </c>
      <c r="N33" s="18">
        <f ca="1">F33*'Res Predicted Monthly'!$X$10</f>
        <v>3186340.2081253235</v>
      </c>
      <c r="O33" s="18">
        <f>G33*'Res Predicted Monthly'!$X$11</f>
        <v>13136278.297312427</v>
      </c>
      <c r="P33" s="18">
        <f>H33*'Res Predicted Monthly'!$X$12</f>
        <v>6513250.5985030681</v>
      </c>
      <c r="Q33" s="18">
        <f>I33*'Res Predicted Monthly'!$X$13</f>
        <v>0</v>
      </c>
      <c r="R33" s="18">
        <f>J33*'Res Predicted Monthly'!$X$14</f>
        <v>0</v>
      </c>
      <c r="S33" s="18">
        <f t="shared" ca="1" si="3"/>
        <v>6583434.3022920601</v>
      </c>
      <c r="T33" s="30">
        <f t="shared" ca="1" si="15"/>
        <v>6423607.7729733577</v>
      </c>
      <c r="U33" s="35">
        <f t="shared" ca="1" si="16"/>
        <v>40.191123465894371</v>
      </c>
      <c r="AK33" s="33">
        <f t="shared" ref="AK33:AN33" ca="1" si="32">AK21</f>
        <v>20.481081225021654</v>
      </c>
      <c r="AL33" s="33">
        <f t="shared" ca="1" si="32"/>
        <v>25.930317315309463</v>
      </c>
      <c r="AM33" s="33">
        <f t="shared" ca="1" si="32"/>
        <v>181.81222128543794</v>
      </c>
      <c r="AN33" s="33">
        <f t="shared" ca="1" si="32"/>
        <v>236.85918335026682</v>
      </c>
      <c r="AP33" s="18">
        <f ca="1">AK33*'Res Predicted Monthly'!$X$9</f>
        <v>134184.01584993443</v>
      </c>
      <c r="AQ33" s="18">
        <f ca="1">AL33*'Res Predicted Monthly'!$X$9</f>
        <v>169885.27467878521</v>
      </c>
      <c r="AR33" s="18">
        <f ca="1">AM33*'Res Predicted Monthly'!$X$10</f>
        <v>2651747.1158694639</v>
      </c>
      <c r="AS33" s="18">
        <f ca="1">AN33*'Res Predicted Monthly'!$X$10</f>
        <v>3454611.8620386319</v>
      </c>
      <c r="AU33" s="31">
        <f t="shared" ca="1" si="4"/>
        <v>6030614.3497500923</v>
      </c>
      <c r="AV33" s="31">
        <f t="shared" ca="1" si="5"/>
        <v>6869180.3547481112</v>
      </c>
    </row>
    <row r="34" spans="1:48">
      <c r="A34" s="541">
        <f>'Monthly Data'!A34</f>
        <v>43344</v>
      </c>
      <c r="B34">
        <f t="shared" si="13"/>
        <v>2018</v>
      </c>
      <c r="C34">
        <f t="shared" si="14"/>
        <v>9</v>
      </c>
      <c r="D34" s="18">
        <f>'Monthly Data'!F34</f>
        <v>162918.3043291877</v>
      </c>
      <c r="E34" s="33">
        <f t="shared" ref="E34:F53" ca="1" si="33">E22</f>
        <v>114.73583333333336</v>
      </c>
      <c r="F34" s="33">
        <f t="shared" ca="1" si="33"/>
        <v>95.131249999999994</v>
      </c>
      <c r="G34" s="18">
        <f>'Monthly Data'!G34</f>
        <v>9756</v>
      </c>
      <c r="H34">
        <f>'Monthly Data'!BU34</f>
        <v>30</v>
      </c>
      <c r="I34" s="33">
        <f>'Monthly Data'!CQ34</f>
        <v>0</v>
      </c>
      <c r="J34" s="33">
        <f>'Monthly Data'!CX34</f>
        <v>0</v>
      </c>
      <c r="L34" s="18">
        <f>'Res Predicted Monthly'!$X$8</f>
        <v>-16404845.677784801</v>
      </c>
      <c r="M34" s="18">
        <f ca="1">E34*'Res Predicted Monthly'!$X$9</f>
        <v>751704.20493946178</v>
      </c>
      <c r="N34" s="18">
        <f ca="1">F34*'Res Predicted Monthly'!$X$10</f>
        <v>1387497.5842273687</v>
      </c>
      <c r="O34" s="18">
        <f>G34*'Res Predicted Monthly'!$X$11</f>
        <v>13141666.434431916</v>
      </c>
      <c r="P34" s="18">
        <f>H34*'Res Predicted Monthly'!$X$12</f>
        <v>6303145.7404868407</v>
      </c>
      <c r="Q34" s="18">
        <f>I34*'Res Predicted Monthly'!$X$13</f>
        <v>0</v>
      </c>
      <c r="R34" s="18">
        <f>J34*'Res Predicted Monthly'!$X$14</f>
        <v>0</v>
      </c>
      <c r="S34" s="18">
        <f t="shared" ca="1" si="3"/>
        <v>5179168.2863007868</v>
      </c>
      <c r="T34" s="30">
        <f t="shared" ca="1" si="15"/>
        <v>5016249.9819715992</v>
      </c>
      <c r="U34" s="35">
        <f t="shared" ca="1" si="16"/>
        <v>30.789971713896058</v>
      </c>
      <c r="AK34" s="33">
        <f t="shared" ref="AK34:AN34" ca="1" si="34">AK22</f>
        <v>101.01454219588074</v>
      </c>
      <c r="AL34" s="33">
        <f t="shared" ca="1" si="34"/>
        <v>127.89066669975746</v>
      </c>
      <c r="AM34" s="33">
        <f t="shared" ca="1" si="34"/>
        <v>79.170459316701752</v>
      </c>
      <c r="AN34" s="33">
        <f t="shared" ca="1" si="34"/>
        <v>103.14075812197032</v>
      </c>
      <c r="AP34" s="18">
        <f ca="1">AK34*'Res Predicted Monthly'!$X$9</f>
        <v>661807.68398723053</v>
      </c>
      <c r="AQ34" s="18">
        <f ca="1">AL34*'Res Predicted Monthly'!$X$9</f>
        <v>837889.51662051689</v>
      </c>
      <c r="AR34" s="18">
        <f ca="1">AM34*'Res Predicted Monthly'!$X$10</f>
        <v>1154708.0590667615</v>
      </c>
      <c r="AS34" s="18">
        <f ca="1">AN34*'Res Predicted Monthly'!$X$10</f>
        <v>1504316.9592495966</v>
      </c>
      <c r="AU34" s="31">
        <f t="shared" ca="1" si="4"/>
        <v>4856482.2401879486</v>
      </c>
      <c r="AV34" s="31">
        <f t="shared" ca="1" si="5"/>
        <v>5382172.9730040692</v>
      </c>
    </row>
    <row r="35" spans="1:48">
      <c r="A35" s="541">
        <f>'Monthly Data'!A35</f>
        <v>43374</v>
      </c>
      <c r="B35">
        <f t="shared" si="13"/>
        <v>2018</v>
      </c>
      <c r="C35">
        <f t="shared" si="14"/>
        <v>10</v>
      </c>
      <c r="D35" s="18">
        <f>'Monthly Data'!F35</f>
        <v>166010.07933967293</v>
      </c>
      <c r="E35" s="33">
        <f t="shared" ca="1" si="33"/>
        <v>302.40479166666665</v>
      </c>
      <c r="F35" s="33">
        <f t="shared" ca="1" si="33"/>
        <v>21.813750000000006</v>
      </c>
      <c r="G35" s="18">
        <f>'Monthly Data'!G35</f>
        <v>9769</v>
      </c>
      <c r="H35">
        <f>'Monthly Data'!BU35</f>
        <v>31</v>
      </c>
      <c r="I35" s="33">
        <f>'Monthly Data'!CQ35</f>
        <v>0</v>
      </c>
      <c r="J35" s="33">
        <f>'Monthly Data'!CX35</f>
        <v>0</v>
      </c>
      <c r="L35" s="18">
        <f>'Res Predicted Monthly'!$X$8</f>
        <v>-16404845.677784801</v>
      </c>
      <c r="M35" s="18">
        <f ca="1">E35*'Res Predicted Monthly'!$X$9</f>
        <v>1981237.655975031</v>
      </c>
      <c r="N35" s="18">
        <f ca="1">F35*'Res Predicted Monthly'!$X$10</f>
        <v>318155.44763618446</v>
      </c>
      <c r="O35" s="18">
        <f>G35*'Res Predicted Monthly'!$X$11</f>
        <v>13159177.880070252</v>
      </c>
      <c r="P35" s="18">
        <f>H35*'Res Predicted Monthly'!$X$12</f>
        <v>6513250.5985030681</v>
      </c>
      <c r="Q35" s="18">
        <f>I35*'Res Predicted Monthly'!$X$13</f>
        <v>0</v>
      </c>
      <c r="R35" s="18">
        <f>J35*'Res Predicted Monthly'!$X$14</f>
        <v>0</v>
      </c>
      <c r="S35" s="18">
        <f t="shared" ca="1" si="3"/>
        <v>5566975.9043997359</v>
      </c>
      <c r="T35" s="30">
        <f t="shared" ca="1" si="15"/>
        <v>5400965.825060063</v>
      </c>
      <c r="U35" s="35">
        <f t="shared" ca="1" si="16"/>
        <v>32.533963278272736</v>
      </c>
      <c r="AK35" s="33">
        <f t="shared" ref="AK35:AN35" ca="1" si="35">AK23</f>
        <v>266.24011610481193</v>
      </c>
      <c r="AL35" s="33">
        <f t="shared" ca="1" si="35"/>
        <v>337.07647642295342</v>
      </c>
      <c r="AM35" s="33">
        <f t="shared" ca="1" si="35"/>
        <v>18.153914795818444</v>
      </c>
      <c r="AN35" s="33">
        <f t="shared" ca="1" si="35"/>
        <v>23.650343209861436</v>
      </c>
      <c r="AP35" s="18">
        <f ca="1">AK35*'Res Predicted Monthly'!$X$9</f>
        <v>1744300.8778096722</v>
      </c>
      <c r="AQ35" s="18">
        <f ca="1">AL35*'Res Predicted Monthly'!$X$9</f>
        <v>2208392.9436166673</v>
      </c>
      <c r="AR35" s="18">
        <f ca="1">AM35*'Res Predicted Monthly'!$X$10</f>
        <v>264776.4317557856</v>
      </c>
      <c r="AS35" s="18">
        <f ca="1">AN35*'Res Predicted Monthly'!$X$10</f>
        <v>344942.31989836041</v>
      </c>
      <c r="AU35" s="31">
        <f t="shared" ca="1" si="4"/>
        <v>5276660.1103539784</v>
      </c>
      <c r="AV35" s="31">
        <f t="shared" ca="1" si="5"/>
        <v>5820918.0643035481</v>
      </c>
    </row>
    <row r="36" spans="1:48">
      <c r="A36" s="541">
        <f>'Monthly Data'!A36</f>
        <v>43405</v>
      </c>
      <c r="B36">
        <f t="shared" si="13"/>
        <v>2018</v>
      </c>
      <c r="C36">
        <f t="shared" si="14"/>
        <v>11</v>
      </c>
      <c r="D36" s="18">
        <f>'Monthly Data'!F36</f>
        <v>169101.85435015816</v>
      </c>
      <c r="E36" s="33">
        <f t="shared" ca="1" si="33"/>
        <v>526.09395833333338</v>
      </c>
      <c r="F36" s="33">
        <f t="shared" ca="1" si="33"/>
        <v>2.2795833333333335</v>
      </c>
      <c r="G36" s="18">
        <f>'Monthly Data'!G36</f>
        <v>9802</v>
      </c>
      <c r="H36">
        <f>'Monthly Data'!BU36</f>
        <v>30</v>
      </c>
      <c r="I36" s="33">
        <f>'Monthly Data'!CQ36</f>
        <v>0</v>
      </c>
      <c r="J36" s="33">
        <f>'Monthly Data'!CX36</f>
        <v>0</v>
      </c>
      <c r="L36" s="18">
        <f>'Res Predicted Monthly'!$X$8</f>
        <v>-16404845.677784801</v>
      </c>
      <c r="M36" s="18">
        <f ca="1">E36*'Res Predicted Monthly'!$X$9</f>
        <v>3446761.3925240957</v>
      </c>
      <c r="N36" s="18">
        <f ca="1">F36*'Res Predicted Monthly'!$X$10</f>
        <v>33247.921876827779</v>
      </c>
      <c r="O36" s="18">
        <f>G36*'Res Predicted Monthly'!$X$11</f>
        <v>13203630.011306031</v>
      </c>
      <c r="P36" s="18">
        <f>H36*'Res Predicted Monthly'!$X$12</f>
        <v>6303145.7404868407</v>
      </c>
      <c r="Q36" s="18">
        <f>I36*'Res Predicted Monthly'!$X$13</f>
        <v>0</v>
      </c>
      <c r="R36" s="18">
        <f>J36*'Res Predicted Monthly'!$X$14</f>
        <v>0</v>
      </c>
      <c r="S36" s="18">
        <f t="shared" ca="1" si="3"/>
        <v>6581939.3884089934</v>
      </c>
      <c r="T36" s="30">
        <f t="shared" ca="1" si="15"/>
        <v>6412837.5340588354</v>
      </c>
      <c r="U36" s="35">
        <f t="shared" ca="1" si="16"/>
        <v>37.92292851372175</v>
      </c>
      <c r="AK36" s="33">
        <f t="shared" ref="AK36:AN36" ca="1" si="36">AK24</f>
        <v>463.17823132610772</v>
      </c>
      <c r="AL36" s="33">
        <f t="shared" ca="1" si="36"/>
        <v>586.4123275463005</v>
      </c>
      <c r="AM36" s="33">
        <f t="shared" ca="1" si="36"/>
        <v>1.8971227598785685</v>
      </c>
      <c r="AN36" s="33">
        <f t="shared" ca="1" si="36"/>
        <v>2.4715112352902775</v>
      </c>
      <c r="AP36" s="18">
        <f ca="1">AK36*'Res Predicted Monthly'!$X$9</f>
        <v>3034562.2113776528</v>
      </c>
      <c r="AQ36" s="18">
        <f ca="1">AL36*'Res Predicted Monthly'!$X$9</f>
        <v>3841943.7035354339</v>
      </c>
      <c r="AR36" s="18">
        <f ca="1">AM36*'Res Predicted Monthly'!$X$10</f>
        <v>27669.701032145298</v>
      </c>
      <c r="AS36" s="18">
        <f ca="1">AN36*'Res Predicted Monthly'!$X$10</f>
        <v>36047.207078179461</v>
      </c>
      <c r="AU36" s="31">
        <f t="shared" ca="1" si="4"/>
        <v>6164161.9864178682</v>
      </c>
      <c r="AV36" s="31">
        <f t="shared" ca="1" si="5"/>
        <v>6979920.9846216831</v>
      </c>
    </row>
    <row r="37" spans="1:48">
      <c r="A37" s="541">
        <f>'Monthly Data'!A37</f>
        <v>43435</v>
      </c>
      <c r="B37">
        <f t="shared" si="13"/>
        <v>2018</v>
      </c>
      <c r="C37">
        <f t="shared" si="14"/>
        <v>12</v>
      </c>
      <c r="D37" s="18">
        <f>'Monthly Data'!F37</f>
        <v>81888692.629360646</v>
      </c>
      <c r="E37" s="33">
        <f t="shared" ca="1" si="33"/>
        <v>750.36333333333334</v>
      </c>
      <c r="F37" s="33">
        <f t="shared" ca="1" si="33"/>
        <v>0</v>
      </c>
      <c r="G37" s="18">
        <f>'Monthly Data'!G37</f>
        <v>9809</v>
      </c>
      <c r="H37">
        <f>'Monthly Data'!BU37</f>
        <v>31</v>
      </c>
      <c r="I37" s="33">
        <f>'Monthly Data'!CQ37</f>
        <v>0</v>
      </c>
      <c r="J37" s="33">
        <f>'Monthly Data'!CX37</f>
        <v>0</v>
      </c>
      <c r="L37" s="18">
        <f>'Res Predicted Monthly'!$X$8</f>
        <v>-16404845.677784801</v>
      </c>
      <c r="M37" s="18">
        <f ca="1">E37*'Res Predicted Monthly'!$X$9</f>
        <v>4916086.4266385026</v>
      </c>
      <c r="N37" s="18">
        <f ca="1">F37*'Res Predicted Monthly'!$X$10</f>
        <v>0</v>
      </c>
      <c r="O37" s="18">
        <f>G37*'Res Predicted Monthly'!$X$11</f>
        <v>13213059.251265137</v>
      </c>
      <c r="P37" s="18">
        <f>H37*'Res Predicted Monthly'!$X$12</f>
        <v>6513250.5985030681</v>
      </c>
      <c r="Q37" s="18">
        <f>I37*'Res Predicted Monthly'!$X$13</f>
        <v>0</v>
      </c>
      <c r="R37" s="18">
        <f>J37*'Res Predicted Monthly'!$X$14</f>
        <v>0</v>
      </c>
      <c r="S37" s="18">
        <f t="shared" ca="1" si="3"/>
        <v>8237550.5986219067</v>
      </c>
      <c r="T37" s="30">
        <f t="shared" ca="1" si="15"/>
        <v>-73651142.030738741</v>
      </c>
      <c r="U37" s="35">
        <f t="shared" ca="1" si="16"/>
        <v>0.8994055182208589</v>
      </c>
      <c r="AK37" s="33">
        <f t="shared" ref="AK37:AN37" ca="1" si="37">AK25</f>
        <v>660.62716760013984</v>
      </c>
      <c r="AL37" s="33">
        <f t="shared" ca="1" si="37"/>
        <v>836.39490975983074</v>
      </c>
      <c r="AM37" s="33">
        <f t="shared" ca="1" si="37"/>
        <v>0</v>
      </c>
      <c r="AN37" s="33">
        <f t="shared" ca="1" si="37"/>
        <v>0</v>
      </c>
      <c r="AP37" s="18">
        <f ca="1">AK37*'Res Predicted Monthly'!$X$9</f>
        <v>4328170.2442474803</v>
      </c>
      <c r="AQ37" s="18">
        <f ca="1">AL37*'Res Predicted Monthly'!$X$9</f>
        <v>5479731.5920463055</v>
      </c>
      <c r="AR37" s="18">
        <f ca="1">AM37*'Res Predicted Monthly'!$X$10</f>
        <v>0</v>
      </c>
      <c r="AS37" s="18">
        <f ca="1">AN37*'Res Predicted Monthly'!$X$10</f>
        <v>0</v>
      </c>
      <c r="AU37" s="31">
        <f t="shared" ca="1" si="4"/>
        <v>7649634.4162308844</v>
      </c>
      <c r="AV37" s="31">
        <f t="shared" ca="1" si="5"/>
        <v>8801195.7640297096</v>
      </c>
    </row>
    <row r="38" spans="1:48">
      <c r="A38" s="541">
        <f>'Monthly Data'!A38</f>
        <v>43466</v>
      </c>
      <c r="B38">
        <f t="shared" si="13"/>
        <v>2019</v>
      </c>
      <c r="C38">
        <f t="shared" si="14"/>
        <v>1</v>
      </c>
      <c r="D38" s="18">
        <f>'Monthly Data'!F38</f>
        <v>159020.88139322816</v>
      </c>
      <c r="E38" s="33">
        <f t="shared" ca="1" si="33"/>
        <v>852.55166666666662</v>
      </c>
      <c r="F38" s="33">
        <f t="shared" ca="1" si="33"/>
        <v>0</v>
      </c>
      <c r="G38" s="18">
        <f>'Monthly Data'!G38</f>
        <v>9816</v>
      </c>
      <c r="H38">
        <f>'Monthly Data'!BU38</f>
        <v>31</v>
      </c>
      <c r="I38" s="33">
        <f>'Monthly Data'!CQ38</f>
        <v>0</v>
      </c>
      <c r="J38" s="33">
        <f>'Monthly Data'!CX38</f>
        <v>0</v>
      </c>
      <c r="L38" s="18">
        <f>'Res Predicted Monthly'!$X$8</f>
        <v>-16404845.677784801</v>
      </c>
      <c r="M38" s="18">
        <f ca="1">E38*'Res Predicted Monthly'!$X$9</f>
        <v>5585584.3300463771</v>
      </c>
      <c r="N38" s="18">
        <f ca="1">F38*'Res Predicted Monthly'!$X$10</f>
        <v>0</v>
      </c>
      <c r="O38" s="18">
        <f>G38*'Res Predicted Monthly'!$X$11</f>
        <v>13222488.491224241</v>
      </c>
      <c r="P38" s="18">
        <f>H38*'Res Predicted Monthly'!$X$12</f>
        <v>6513250.5985030681</v>
      </c>
      <c r="Q38" s="18">
        <f>I38*'Res Predicted Monthly'!$X$13</f>
        <v>0</v>
      </c>
      <c r="R38" s="18">
        <f>J38*'Res Predicted Monthly'!$X$14</f>
        <v>0</v>
      </c>
      <c r="S38" s="18">
        <f t="shared" ca="1" si="3"/>
        <v>8916477.7419888861</v>
      </c>
      <c r="T38" s="30">
        <f t="shared" ca="1" si="15"/>
        <v>8757456.8605956584</v>
      </c>
      <c r="U38" s="35">
        <f t="shared" ca="1" si="16"/>
        <v>55.071112572569298</v>
      </c>
      <c r="AK38" s="33">
        <f t="shared" ref="AK38:AN38" ca="1" si="38">AK26</f>
        <v>750.59476891120983</v>
      </c>
      <c r="AL38" s="33">
        <f t="shared" ca="1" si="38"/>
        <v>950.29946511324727</v>
      </c>
      <c r="AM38" s="33">
        <f t="shared" ca="1" si="38"/>
        <v>0</v>
      </c>
      <c r="AN38" s="33">
        <f t="shared" ca="1" si="38"/>
        <v>0</v>
      </c>
      <c r="AP38" s="18">
        <f ca="1">AK38*'Res Predicted Monthly'!$X$9</f>
        <v>4917602.7018247992</v>
      </c>
      <c r="AQ38" s="18">
        <f ca="1">AL38*'Res Predicted Monthly'!$X$9</f>
        <v>6225989.5895122774</v>
      </c>
      <c r="AR38" s="18">
        <f ca="1">AM38*'Res Predicted Monthly'!$X$10</f>
        <v>0</v>
      </c>
      <c r="AS38" s="18">
        <f ca="1">AN38*'Res Predicted Monthly'!$X$10</f>
        <v>0</v>
      </c>
      <c r="AU38" s="31">
        <f t="shared" ca="1" si="4"/>
        <v>8248496.1137673082</v>
      </c>
      <c r="AV38" s="31">
        <f t="shared" ca="1" si="5"/>
        <v>9556883.0014547855</v>
      </c>
    </row>
    <row r="39" spans="1:48">
      <c r="A39" s="541">
        <f>'Monthly Data'!A39</f>
        <v>43497</v>
      </c>
      <c r="B39">
        <f t="shared" si="13"/>
        <v>2019</v>
      </c>
      <c r="C39">
        <f t="shared" si="14"/>
        <v>2</v>
      </c>
      <c r="D39" s="18">
        <f>'Monthly Data'!F39</f>
        <v>159531.81667192865</v>
      </c>
      <c r="E39" s="33">
        <f t="shared" ca="1" si="33"/>
        <v>747.22854166666662</v>
      </c>
      <c r="F39" s="33">
        <f t="shared" ca="1" si="33"/>
        <v>0</v>
      </c>
      <c r="G39" s="18">
        <f>'Monthly Data'!G39</f>
        <v>9816</v>
      </c>
      <c r="H39">
        <f>'Monthly Data'!BU39</f>
        <v>28</v>
      </c>
      <c r="I39" s="33">
        <f>'Monthly Data'!CQ39</f>
        <v>0</v>
      </c>
      <c r="J39" s="33">
        <f>'Monthly Data'!CX39</f>
        <v>0</v>
      </c>
      <c r="L39" s="18">
        <f>'Res Predicted Monthly'!$X$8</f>
        <v>-16404845.677784801</v>
      </c>
      <c r="M39" s="18">
        <f ca="1">E39*'Res Predicted Monthly'!$X$9</f>
        <v>4895548.500438964</v>
      </c>
      <c r="N39" s="18">
        <f ca="1">F39*'Res Predicted Monthly'!$X$10</f>
        <v>0</v>
      </c>
      <c r="O39" s="18">
        <f>G39*'Res Predicted Monthly'!$X$11</f>
        <v>13222488.491224241</v>
      </c>
      <c r="P39" s="18">
        <f>H39*'Res Predicted Monthly'!$X$12</f>
        <v>5882936.0244543841</v>
      </c>
      <c r="Q39" s="18">
        <f>I39*'Res Predicted Monthly'!$X$13</f>
        <v>0</v>
      </c>
      <c r="R39" s="18">
        <f>J39*'Res Predicted Monthly'!$X$14</f>
        <v>0</v>
      </c>
      <c r="S39" s="18">
        <f t="shared" ca="1" si="3"/>
        <v>7596127.3383327881</v>
      </c>
      <c r="T39" s="30">
        <f t="shared" ca="1" si="15"/>
        <v>7436595.5216608597</v>
      </c>
      <c r="U39" s="35">
        <f t="shared" ca="1" si="16"/>
        <v>46.615124661646313</v>
      </c>
      <c r="AK39" s="33">
        <f t="shared" ref="AK39:AN39" ca="1" si="39">AK27</f>
        <v>657.86726656584096</v>
      </c>
      <c r="AL39" s="33">
        <f t="shared" ca="1" si="39"/>
        <v>832.90070411746512</v>
      </c>
      <c r="AM39" s="33">
        <f t="shared" ca="1" si="39"/>
        <v>0</v>
      </c>
      <c r="AN39" s="33">
        <f t="shared" ca="1" si="39"/>
        <v>0</v>
      </c>
      <c r="AP39" s="18">
        <f ca="1">AK39*'Res Predicted Monthly'!$X$9</f>
        <v>4310088.4545186171</v>
      </c>
      <c r="AQ39" s="18">
        <f ca="1">AL39*'Res Predicted Monthly'!$X$9</f>
        <v>5456838.9263639245</v>
      </c>
      <c r="AR39" s="18">
        <f ca="1">AM39*'Res Predicted Monthly'!$X$10</f>
        <v>0</v>
      </c>
      <c r="AS39" s="18">
        <f ca="1">AN39*'Res Predicted Monthly'!$X$10</f>
        <v>0</v>
      </c>
      <c r="AU39" s="31">
        <f t="shared" ca="1" si="4"/>
        <v>7010667.2924124412</v>
      </c>
      <c r="AV39" s="31">
        <f t="shared" ca="1" si="5"/>
        <v>8157417.7642577486</v>
      </c>
    </row>
    <row r="40" spans="1:48">
      <c r="A40" s="541">
        <f>'Monthly Data'!A40</f>
        <v>43525</v>
      </c>
      <c r="B40">
        <f t="shared" si="13"/>
        <v>2019</v>
      </c>
      <c r="C40">
        <f t="shared" si="14"/>
        <v>3</v>
      </c>
      <c r="D40" s="18">
        <f>'Monthly Data'!F40</f>
        <v>160042.75195062911</v>
      </c>
      <c r="E40" s="33">
        <f t="shared" ca="1" si="33"/>
        <v>636.29604166666672</v>
      </c>
      <c r="F40" s="33">
        <f t="shared" ca="1" si="33"/>
        <v>0</v>
      </c>
      <c r="G40" s="18">
        <f>'Monthly Data'!G40</f>
        <v>9831</v>
      </c>
      <c r="H40">
        <f>'Monthly Data'!BU40</f>
        <v>31</v>
      </c>
      <c r="I40" s="33">
        <f>'Monthly Data'!CQ40</f>
        <v>0</v>
      </c>
      <c r="J40" s="33">
        <f>'Monthly Data'!CX40</f>
        <v>0</v>
      </c>
      <c r="L40" s="18">
        <f>'Res Predicted Monthly'!$X$8</f>
        <v>-16404845.677784801</v>
      </c>
      <c r="M40" s="18">
        <f ca="1">E40*'Res Predicted Monthly'!$X$9</f>
        <v>4168762.2446387853</v>
      </c>
      <c r="N40" s="18">
        <f ca="1">F40*'Res Predicted Monthly'!$X$10</f>
        <v>0</v>
      </c>
      <c r="O40" s="18">
        <f>G40*'Res Predicted Monthly'!$X$11</f>
        <v>13242694.005422322</v>
      </c>
      <c r="P40" s="18">
        <f>H40*'Res Predicted Monthly'!$X$12</f>
        <v>6513250.5985030681</v>
      </c>
      <c r="Q40" s="18">
        <f>I40*'Res Predicted Monthly'!$X$13</f>
        <v>0</v>
      </c>
      <c r="R40" s="18">
        <f>J40*'Res Predicted Monthly'!$X$14</f>
        <v>0</v>
      </c>
      <c r="S40" s="18">
        <f t="shared" ca="1" si="3"/>
        <v>7519861.1707793754</v>
      </c>
      <c r="T40" s="30">
        <f t="shared" ca="1" si="15"/>
        <v>7359818.4188287463</v>
      </c>
      <c r="U40" s="35">
        <f t="shared" ca="1" si="16"/>
        <v>45.986577518356746</v>
      </c>
      <c r="AK40" s="33">
        <f t="shared" ref="AK40:AN40" ca="1" si="40">AK28</f>
        <v>560.20121598172079</v>
      </c>
      <c r="AL40" s="33">
        <f t="shared" ca="1" si="40"/>
        <v>709.24943518517148</v>
      </c>
      <c r="AM40" s="33">
        <f t="shared" ca="1" si="40"/>
        <v>0</v>
      </c>
      <c r="AN40" s="33">
        <f t="shared" ca="1" si="40"/>
        <v>0</v>
      </c>
      <c r="AP40" s="18">
        <f ca="1">AK40*'Res Predicted Monthly'!$X$9</f>
        <v>3670218.7750033834</v>
      </c>
      <c r="AQ40" s="18">
        <f ca="1">AL40*'Res Predicted Monthly'!$X$9</f>
        <v>4646724.2821231214</v>
      </c>
      <c r="AR40" s="18">
        <f ca="1">AM40*'Res Predicted Monthly'!$X$10</f>
        <v>0</v>
      </c>
      <c r="AS40" s="18">
        <f ca="1">AN40*'Res Predicted Monthly'!$X$10</f>
        <v>0</v>
      </c>
      <c r="AU40" s="31">
        <f t="shared" ca="1" si="4"/>
        <v>7021317.7011439735</v>
      </c>
      <c r="AV40" s="31">
        <f t="shared" ca="1" si="5"/>
        <v>7997823.208263712</v>
      </c>
    </row>
    <row r="41" spans="1:48">
      <c r="A41" s="541">
        <f>'Monthly Data'!A41</f>
        <v>43556</v>
      </c>
      <c r="B41">
        <f t="shared" si="13"/>
        <v>2019</v>
      </c>
      <c r="C41">
        <f t="shared" si="14"/>
        <v>4</v>
      </c>
      <c r="D41" s="18">
        <f>'Monthly Data'!F41</f>
        <v>160553.68722932957</v>
      </c>
      <c r="E41" s="33">
        <f t="shared" ca="1" si="33"/>
        <v>408.60374999999999</v>
      </c>
      <c r="F41" s="33">
        <f t="shared" ca="1" si="33"/>
        <v>2.8104166666666677</v>
      </c>
      <c r="G41" s="18">
        <f>'Monthly Data'!G41</f>
        <v>9847</v>
      </c>
      <c r="H41">
        <f>'Monthly Data'!BU41</f>
        <v>30</v>
      </c>
      <c r="I41" s="33">
        <f>'Monthly Data'!CQ41</f>
        <v>0</v>
      </c>
      <c r="J41" s="33">
        <f>'Monthly Data'!CX41</f>
        <v>0</v>
      </c>
      <c r="L41" s="18">
        <f>'Res Predicted Monthly'!$X$8</f>
        <v>-16404845.677784801</v>
      </c>
      <c r="M41" s="18">
        <f ca="1">E41*'Res Predicted Monthly'!$X$9</f>
        <v>2677011.6022663582</v>
      </c>
      <c r="N41" s="18">
        <f ca="1">F41*'Res Predicted Monthly'!$X$10</f>
        <v>40990.172374191818</v>
      </c>
      <c r="O41" s="18">
        <f>G41*'Res Predicted Monthly'!$X$11</f>
        <v>13264246.553900274</v>
      </c>
      <c r="P41" s="18">
        <f>H41*'Res Predicted Monthly'!$X$12</f>
        <v>6303145.7404868407</v>
      </c>
      <c r="Q41" s="18">
        <f>I41*'Res Predicted Monthly'!$X$13</f>
        <v>0</v>
      </c>
      <c r="R41" s="18">
        <f>J41*'Res Predicted Monthly'!$X$14</f>
        <v>0</v>
      </c>
      <c r="S41" s="18">
        <f t="shared" ca="1" si="3"/>
        <v>5880548.3912428645</v>
      </c>
      <c r="T41" s="30">
        <f t="shared" ca="1" si="15"/>
        <v>5719994.7040135348</v>
      </c>
      <c r="U41" s="35">
        <f t="shared" ca="1" si="16"/>
        <v>35.626679167095574</v>
      </c>
      <c r="AK41" s="33">
        <f t="shared" ref="AK41:AN41" ca="1" si="41">AK29</f>
        <v>359.73871062458045</v>
      </c>
      <c r="AL41" s="33">
        <f t="shared" ca="1" si="41"/>
        <v>455.4514878686926</v>
      </c>
      <c r="AM41" s="33">
        <f t="shared" ca="1" si="41"/>
        <v>2.33889472041326</v>
      </c>
      <c r="AN41" s="33">
        <f t="shared" ca="1" si="41"/>
        <v>3.0470377046304016</v>
      </c>
      <c r="AP41" s="18">
        <f ca="1">AK41*'Res Predicted Monthly'!$X$9</f>
        <v>2356867.0187837039</v>
      </c>
      <c r="AQ41" s="18">
        <f ca="1">AL41*'Res Predicted Monthly'!$X$9</f>
        <v>2983939.617034757</v>
      </c>
      <c r="AR41" s="18">
        <f ca="1">AM41*'Res Predicted Monthly'!$X$10</f>
        <v>34112.983634037664</v>
      </c>
      <c r="AS41" s="18">
        <f ca="1">AN41*'Res Predicted Monthly'!$X$10</f>
        <v>44441.310864982734</v>
      </c>
      <c r="AU41" s="31">
        <f t="shared" ca="1" si="4"/>
        <v>5553526.619020056</v>
      </c>
      <c r="AV41" s="31">
        <f t="shared" ca="1" si="5"/>
        <v>6190927.5445020543</v>
      </c>
    </row>
    <row r="42" spans="1:48">
      <c r="A42" s="541">
        <f>'Monthly Data'!A42</f>
        <v>43586</v>
      </c>
      <c r="B42">
        <f t="shared" si="13"/>
        <v>2019</v>
      </c>
      <c r="C42">
        <f t="shared" si="14"/>
        <v>5</v>
      </c>
      <c r="D42" s="18">
        <f>'Monthly Data'!F42</f>
        <v>161064.62250803006</v>
      </c>
      <c r="E42" s="33">
        <f t="shared" ca="1" si="33"/>
        <v>178.10395833333331</v>
      </c>
      <c r="F42" s="33">
        <f t="shared" ca="1" si="33"/>
        <v>74.673124999999999</v>
      </c>
      <c r="G42" s="18">
        <f>'Monthly Data'!G42</f>
        <v>9859</v>
      </c>
      <c r="H42">
        <f>'Monthly Data'!BU42</f>
        <v>31</v>
      </c>
      <c r="I42" s="33">
        <f>'Monthly Data'!CQ42</f>
        <v>0</v>
      </c>
      <c r="J42" s="33">
        <f>'Monthly Data'!CX42</f>
        <v>0</v>
      </c>
      <c r="L42" s="18">
        <f>'Res Predicted Monthly'!$X$8</f>
        <v>-16404845.677784801</v>
      </c>
      <c r="M42" s="18">
        <f ca="1">E42*'Res Predicted Monthly'!$X$9</f>
        <v>1166867.3204000143</v>
      </c>
      <c r="N42" s="18">
        <f ca="1">F42*'Res Predicted Monthly'!$X$10</f>
        <v>1089114.045534021</v>
      </c>
      <c r="O42" s="18">
        <f>G42*'Res Predicted Monthly'!$X$11</f>
        <v>13280410.96525874</v>
      </c>
      <c r="P42" s="18">
        <f>H42*'Res Predicted Monthly'!$X$12</f>
        <v>6513250.5985030681</v>
      </c>
      <c r="Q42" s="18">
        <f>I42*'Res Predicted Monthly'!$X$13</f>
        <v>0</v>
      </c>
      <c r="R42" s="18">
        <f>J42*'Res Predicted Monthly'!$X$14</f>
        <v>0</v>
      </c>
      <c r="S42" s="18">
        <f t="shared" ca="1" si="3"/>
        <v>5644797.2519110423</v>
      </c>
      <c r="T42" s="30">
        <f t="shared" ca="1" si="15"/>
        <v>5483732.6294030119</v>
      </c>
      <c r="U42" s="35">
        <f t="shared" ca="1" si="16"/>
        <v>34.046785346233399</v>
      </c>
      <c r="AK42" s="33">
        <f t="shared" ref="AK42:AN42" ca="1" si="42">AK30</f>
        <v>156.80445499574424</v>
      </c>
      <c r="AL42" s="33">
        <f t="shared" ca="1" si="42"/>
        <v>198.52415162176143</v>
      </c>
      <c r="AM42" s="33">
        <f t="shared" ca="1" si="42"/>
        <v>62.144727467193846</v>
      </c>
      <c r="AN42" s="33">
        <f t="shared" ca="1" si="42"/>
        <v>80.960175797507716</v>
      </c>
      <c r="AP42" s="18">
        <f ca="1">AK42*'Res Predicted Monthly'!$X$9</f>
        <v>1027321.3236801189</v>
      </c>
      <c r="AQ42" s="18">
        <f ca="1">AL42*'Res Predicted Monthly'!$X$9</f>
        <v>1300652.4223567233</v>
      </c>
      <c r="AR42" s="18">
        <f ca="1">AM42*'Res Predicted Monthly'!$X$10</f>
        <v>906386.27404979616</v>
      </c>
      <c r="AS42" s="18">
        <f ca="1">AN42*'Res Predicted Monthly'!$X$10</f>
        <v>1180811.2301443012</v>
      </c>
      <c r="AU42" s="31">
        <f t="shared" ca="1" si="4"/>
        <v>5322523.4837069223</v>
      </c>
      <c r="AV42" s="31">
        <f t="shared" ca="1" si="5"/>
        <v>5870279.5384780318</v>
      </c>
    </row>
    <row r="43" spans="1:48">
      <c r="A43" s="541">
        <f>'Monthly Data'!A43</f>
        <v>43617</v>
      </c>
      <c r="B43">
        <f t="shared" si="13"/>
        <v>2019</v>
      </c>
      <c r="C43">
        <f t="shared" si="14"/>
        <v>6</v>
      </c>
      <c r="D43" s="18">
        <f>'Monthly Data'!F43</f>
        <v>161575.55778673053</v>
      </c>
      <c r="E43" s="33">
        <f t="shared" ca="1" si="33"/>
        <v>51.834166666666661</v>
      </c>
      <c r="F43" s="33">
        <f t="shared" ca="1" si="33"/>
        <v>169.78833333333333</v>
      </c>
      <c r="G43" s="18">
        <f>'Monthly Data'!G43</f>
        <v>9857</v>
      </c>
      <c r="H43">
        <f>'Monthly Data'!BU43</f>
        <v>30</v>
      </c>
      <c r="I43" s="33">
        <f>'Monthly Data'!CQ43</f>
        <v>0</v>
      </c>
      <c r="J43" s="33">
        <f>'Monthly Data'!CX43</f>
        <v>0</v>
      </c>
      <c r="L43" s="18">
        <f>'Res Predicted Monthly'!$X$8</f>
        <v>-16404845.677784801</v>
      </c>
      <c r="M43" s="18">
        <f ca="1">E43*'Res Predicted Monthly'!$X$9</f>
        <v>339597.14163287729</v>
      </c>
      <c r="N43" s="18">
        <f ca="1">F43*'Res Predicted Monthly'!$X$10</f>
        <v>2476377.6606529527</v>
      </c>
      <c r="O43" s="18">
        <f>G43*'Res Predicted Monthly'!$X$11</f>
        <v>13277716.896698995</v>
      </c>
      <c r="P43" s="18">
        <f>H43*'Res Predicted Monthly'!$X$12</f>
        <v>6303145.7404868407</v>
      </c>
      <c r="Q43" s="18">
        <f>I43*'Res Predicted Monthly'!$X$13</f>
        <v>0</v>
      </c>
      <c r="R43" s="18">
        <f>J43*'Res Predicted Monthly'!$X$14</f>
        <v>0</v>
      </c>
      <c r="S43" s="18">
        <f t="shared" ca="1" si="3"/>
        <v>5991991.7616868643</v>
      </c>
      <c r="T43" s="30">
        <f t="shared" ca="1" si="15"/>
        <v>5830416.2039001342</v>
      </c>
      <c r="U43" s="35">
        <f t="shared" ca="1" si="16"/>
        <v>36.084766060940439</v>
      </c>
      <c r="AK43" s="33">
        <f t="shared" ref="AK43:AN43" ca="1" si="43">AK31</f>
        <v>45.635303843800436</v>
      </c>
      <c r="AL43" s="33">
        <f t="shared" ca="1" si="43"/>
        <v>57.777121063541692</v>
      </c>
      <c r="AM43" s="33">
        <f t="shared" ca="1" si="43"/>
        <v>141.30183653234096</v>
      </c>
      <c r="AN43" s="33">
        <f t="shared" ca="1" si="43"/>
        <v>184.0835416360639</v>
      </c>
      <c r="AP43" s="18">
        <f ca="1">AK43*'Res Predicted Monthly'!$X$9</f>
        <v>298984.62229679566</v>
      </c>
      <c r="AQ43" s="18">
        <f ca="1">AL43*'Res Predicted Monthly'!$X$9</f>
        <v>378533.04927487596</v>
      </c>
      <c r="AR43" s="18">
        <f ca="1">AM43*'Res Predicted Monthly'!$X$10</f>
        <v>2060899.6185324343</v>
      </c>
      <c r="AS43" s="18">
        <f ca="1">AN43*'Res Predicted Monthly'!$X$10</f>
        <v>2684874.5214223182</v>
      </c>
      <c r="AU43" s="31">
        <f t="shared" ca="1" si="4"/>
        <v>5535901.2002302641</v>
      </c>
      <c r="AV43" s="31">
        <f t="shared" ca="1" si="5"/>
        <v>6239424.5300982278</v>
      </c>
    </row>
    <row r="44" spans="1:48">
      <c r="A44" s="541">
        <f>'Monthly Data'!A44</f>
        <v>43647</v>
      </c>
      <c r="B44">
        <f t="shared" si="13"/>
        <v>2019</v>
      </c>
      <c r="C44">
        <f t="shared" si="14"/>
        <v>7</v>
      </c>
      <c r="D44" s="18">
        <f>'Monthly Data'!F44</f>
        <v>162086.49306543099</v>
      </c>
      <c r="E44" s="33">
        <f t="shared" ca="1" si="33"/>
        <v>6.5670833333333318</v>
      </c>
      <c r="F44" s="33">
        <f t="shared" ca="1" si="33"/>
        <v>265.99625000000003</v>
      </c>
      <c r="G44" s="18">
        <f>'Monthly Data'!G44</f>
        <v>9864</v>
      </c>
      <c r="H44">
        <f>'Monthly Data'!BU44</f>
        <v>31</v>
      </c>
      <c r="I44" s="33">
        <f>'Monthly Data'!CQ44</f>
        <v>0</v>
      </c>
      <c r="J44" s="33">
        <f>'Monthly Data'!CX44</f>
        <v>0</v>
      </c>
      <c r="L44" s="18">
        <f>'Res Predicted Monthly'!$X$8</f>
        <v>-16404845.677784801</v>
      </c>
      <c r="M44" s="18">
        <f ca="1">E44*'Res Predicted Monthly'!$X$9</f>
        <v>43024.95578267052</v>
      </c>
      <c r="N44" s="18">
        <f ca="1">F44*'Res Predicted Monthly'!$X$10</f>
        <v>3879578.5221842378</v>
      </c>
      <c r="O44" s="18">
        <f>G44*'Res Predicted Monthly'!$X$11</f>
        <v>13287146.136658099</v>
      </c>
      <c r="P44" s="18">
        <f>H44*'Res Predicted Monthly'!$X$12</f>
        <v>6513250.5985030681</v>
      </c>
      <c r="Q44" s="18">
        <f>I44*'Res Predicted Monthly'!$X$13</f>
        <v>0</v>
      </c>
      <c r="R44" s="18">
        <f>J44*'Res Predicted Monthly'!$X$14</f>
        <v>0</v>
      </c>
      <c r="S44" s="18">
        <f t="shared" ca="1" si="3"/>
        <v>7318154.5353432745</v>
      </c>
      <c r="T44" s="30">
        <f t="shared" ca="1" si="15"/>
        <v>7156068.0422778437</v>
      </c>
      <c r="U44" s="35">
        <f t="shared" ca="1" si="16"/>
        <v>44.149687657126904</v>
      </c>
      <c r="AK44" s="33">
        <f t="shared" ref="AK44:AN44" ca="1" si="44">AK32</f>
        <v>5.7817239584744504</v>
      </c>
      <c r="AL44" s="33">
        <f t="shared" ca="1" si="44"/>
        <v>7.3200206193025874</v>
      </c>
      <c r="AM44" s="33">
        <f t="shared" ca="1" si="44"/>
        <v>221.36832312221517</v>
      </c>
      <c r="AN44" s="33">
        <f t="shared" ca="1" si="44"/>
        <v>288.39161561107579</v>
      </c>
      <c r="AP44" s="18">
        <f ca="1">AK44*'Res Predicted Monthly'!$X$9</f>
        <v>37879.589009982119</v>
      </c>
      <c r="AQ44" s="18">
        <f ca="1">AL44*'Res Predicted Monthly'!$X$9</f>
        <v>47957.905738021247</v>
      </c>
      <c r="AR44" s="18">
        <f ca="1">AM44*'Res Predicted Monthly'!$X$10</f>
        <v>3228676.313582941</v>
      </c>
      <c r="AS44" s="18">
        <f ca="1">AN44*'Res Predicted Monthly'!$X$10</f>
        <v>4206216.8842708953</v>
      </c>
      <c r="AU44" s="31">
        <f t="shared" ca="1" si="4"/>
        <v>6662106.9599692896</v>
      </c>
      <c r="AV44" s="31">
        <f t="shared" ca="1" si="5"/>
        <v>7649725.8473852826</v>
      </c>
    </row>
    <row r="45" spans="1:48">
      <c r="A45" s="541">
        <f>'Monthly Data'!A45</f>
        <v>43678</v>
      </c>
      <c r="B45">
        <f t="shared" si="13"/>
        <v>2019</v>
      </c>
      <c r="C45">
        <f t="shared" si="14"/>
        <v>8</v>
      </c>
      <c r="D45" s="18">
        <f>'Monthly Data'!F45</f>
        <v>162597.42834413148</v>
      </c>
      <c r="E45" s="33">
        <f t="shared" ca="1" si="33"/>
        <v>23.263124999999995</v>
      </c>
      <c r="F45" s="33">
        <f t="shared" ca="1" si="33"/>
        <v>218.46562499999996</v>
      </c>
      <c r="G45" s="18">
        <f>'Monthly Data'!G45</f>
        <v>9866</v>
      </c>
      <c r="H45">
        <f>'Monthly Data'!BU45</f>
        <v>31</v>
      </c>
      <c r="I45" s="33">
        <f>'Monthly Data'!CQ45</f>
        <v>0</v>
      </c>
      <c r="J45" s="33">
        <f>'Monthly Data'!CX45</f>
        <v>0</v>
      </c>
      <c r="L45" s="18">
        <f>'Res Predicted Monthly'!$X$8</f>
        <v>-16404845.677784801</v>
      </c>
      <c r="M45" s="18">
        <f ca="1">E45*'Res Predicted Monthly'!$X$9</f>
        <v>152410.87613604273</v>
      </c>
      <c r="N45" s="18">
        <f ca="1">F45*'Res Predicted Monthly'!$X$10</f>
        <v>3186340.2081253235</v>
      </c>
      <c r="O45" s="18">
        <f>G45*'Res Predicted Monthly'!$X$11</f>
        <v>13289840.205217844</v>
      </c>
      <c r="P45" s="18">
        <f>H45*'Res Predicted Monthly'!$X$12</f>
        <v>6513250.5985030681</v>
      </c>
      <c r="Q45" s="18">
        <f>I45*'Res Predicted Monthly'!$X$13</f>
        <v>0</v>
      </c>
      <c r="R45" s="18">
        <f>J45*'Res Predicted Monthly'!$X$14</f>
        <v>0</v>
      </c>
      <c r="S45" s="18">
        <f t="shared" ca="1" si="3"/>
        <v>6736996.2101974767</v>
      </c>
      <c r="T45" s="30">
        <f t="shared" ca="1" si="15"/>
        <v>6574398.7818533452</v>
      </c>
      <c r="U45" s="35">
        <f t="shared" ca="1" si="16"/>
        <v>40.433596329327372</v>
      </c>
      <c r="AK45" s="33">
        <f t="shared" ref="AK45:AN45" ca="1" si="45">AK33</f>
        <v>20.481081225021654</v>
      </c>
      <c r="AL45" s="33">
        <f t="shared" ca="1" si="45"/>
        <v>25.930317315309463</v>
      </c>
      <c r="AM45" s="33">
        <f t="shared" ca="1" si="45"/>
        <v>181.81222128543794</v>
      </c>
      <c r="AN45" s="33">
        <f t="shared" ca="1" si="45"/>
        <v>236.85918335026682</v>
      </c>
      <c r="AP45" s="18">
        <f ca="1">AK45*'Res Predicted Monthly'!$X$9</f>
        <v>134184.01584993443</v>
      </c>
      <c r="AQ45" s="18">
        <f ca="1">AL45*'Res Predicted Monthly'!$X$9</f>
        <v>169885.27467878521</v>
      </c>
      <c r="AR45" s="18">
        <f ca="1">AM45*'Res Predicted Monthly'!$X$10</f>
        <v>2651747.1158694639</v>
      </c>
      <c r="AS45" s="18">
        <f ca="1">AN45*'Res Predicted Monthly'!$X$10</f>
        <v>3454611.8620386319</v>
      </c>
      <c r="AU45" s="31">
        <f t="shared" ca="1" si="4"/>
        <v>6184176.2576555088</v>
      </c>
      <c r="AV45" s="31">
        <f t="shared" ca="1" si="5"/>
        <v>7022742.2626535278</v>
      </c>
    </row>
    <row r="46" spans="1:48">
      <c r="A46" s="541">
        <f>'Monthly Data'!A46</f>
        <v>43709</v>
      </c>
      <c r="B46">
        <f t="shared" si="13"/>
        <v>2019</v>
      </c>
      <c r="C46">
        <f t="shared" si="14"/>
        <v>9</v>
      </c>
      <c r="D46" s="18">
        <f>'Monthly Data'!F46</f>
        <v>163108.36362283194</v>
      </c>
      <c r="E46" s="33">
        <f t="shared" ca="1" si="33"/>
        <v>114.73583333333336</v>
      </c>
      <c r="F46" s="33">
        <f t="shared" ca="1" si="33"/>
        <v>95.131249999999994</v>
      </c>
      <c r="G46" s="18">
        <f>'Monthly Data'!G46</f>
        <v>9874</v>
      </c>
      <c r="H46">
        <f>'Monthly Data'!BU46</f>
        <v>30</v>
      </c>
      <c r="I46" s="33">
        <f>'Monthly Data'!CQ46</f>
        <v>0</v>
      </c>
      <c r="J46" s="33">
        <f>'Monthly Data'!CX46</f>
        <v>0</v>
      </c>
      <c r="L46" s="18">
        <f>'Res Predicted Monthly'!$X$8</f>
        <v>-16404845.677784801</v>
      </c>
      <c r="M46" s="18">
        <f ca="1">E46*'Res Predicted Monthly'!$X$9</f>
        <v>751704.20493946178</v>
      </c>
      <c r="N46" s="18">
        <f ca="1">F46*'Res Predicted Monthly'!$X$10</f>
        <v>1387497.5842273687</v>
      </c>
      <c r="O46" s="18">
        <f>G46*'Res Predicted Monthly'!$X$11</f>
        <v>13300616.47945682</v>
      </c>
      <c r="P46" s="18">
        <f>H46*'Res Predicted Monthly'!$X$12</f>
        <v>6303145.7404868407</v>
      </c>
      <c r="Q46" s="18">
        <f>I46*'Res Predicted Monthly'!$X$13</f>
        <v>0</v>
      </c>
      <c r="R46" s="18">
        <f>J46*'Res Predicted Monthly'!$X$14</f>
        <v>0</v>
      </c>
      <c r="S46" s="18">
        <f t="shared" ca="1" si="3"/>
        <v>5338118.3313256903</v>
      </c>
      <c r="T46" s="30">
        <f t="shared" ca="1" si="15"/>
        <v>5175009.9677028582</v>
      </c>
      <c r="U46" s="35">
        <f t="shared" ca="1" si="16"/>
        <v>31.727434772562816</v>
      </c>
      <c r="AK46" s="33">
        <f t="shared" ref="AK46:AN46" ca="1" si="46">AK34</f>
        <v>101.01454219588074</v>
      </c>
      <c r="AL46" s="33">
        <f t="shared" ca="1" si="46"/>
        <v>127.89066669975746</v>
      </c>
      <c r="AM46" s="33">
        <f t="shared" ca="1" si="46"/>
        <v>79.170459316701752</v>
      </c>
      <c r="AN46" s="33">
        <f t="shared" ca="1" si="46"/>
        <v>103.14075812197032</v>
      </c>
      <c r="AP46" s="18">
        <f ca="1">AK46*'Res Predicted Monthly'!$X$9</f>
        <v>661807.68398723053</v>
      </c>
      <c r="AQ46" s="18">
        <f ca="1">AL46*'Res Predicted Monthly'!$X$9</f>
        <v>837889.51662051689</v>
      </c>
      <c r="AR46" s="18">
        <f ca="1">AM46*'Res Predicted Monthly'!$X$10</f>
        <v>1154708.0590667615</v>
      </c>
      <c r="AS46" s="18">
        <f ca="1">AN46*'Res Predicted Monthly'!$X$10</f>
        <v>1504316.9592495966</v>
      </c>
      <c r="AU46" s="31">
        <f t="shared" ca="1" si="4"/>
        <v>5015432.2852128521</v>
      </c>
      <c r="AV46" s="31">
        <f t="shared" ca="1" si="5"/>
        <v>5541123.0180289727</v>
      </c>
    </row>
    <row r="47" spans="1:48">
      <c r="A47" s="541">
        <f>'Monthly Data'!A47</f>
        <v>43739</v>
      </c>
      <c r="B47">
        <f t="shared" si="13"/>
        <v>2019</v>
      </c>
      <c r="C47">
        <f t="shared" si="14"/>
        <v>10</v>
      </c>
      <c r="D47" s="18">
        <f>'Monthly Data'!F47</f>
        <v>163619.2989015324</v>
      </c>
      <c r="E47" s="33">
        <f t="shared" ca="1" si="33"/>
        <v>302.40479166666665</v>
      </c>
      <c r="F47" s="33">
        <f t="shared" ca="1" si="33"/>
        <v>21.813750000000006</v>
      </c>
      <c r="G47" s="18">
        <f>'Monthly Data'!G47</f>
        <v>9881</v>
      </c>
      <c r="H47">
        <f>'Monthly Data'!BU47</f>
        <v>31</v>
      </c>
      <c r="I47" s="33">
        <f>'Monthly Data'!CQ47</f>
        <v>0</v>
      </c>
      <c r="J47" s="33">
        <f>'Monthly Data'!CX47</f>
        <v>0</v>
      </c>
      <c r="L47" s="18">
        <f>'Res Predicted Monthly'!$X$8</f>
        <v>-16404845.677784801</v>
      </c>
      <c r="M47" s="18">
        <f ca="1">E47*'Res Predicted Monthly'!$X$9</f>
        <v>1981237.655975031</v>
      </c>
      <c r="N47" s="18">
        <f ca="1">F47*'Res Predicted Monthly'!$X$10</f>
        <v>318155.44763618446</v>
      </c>
      <c r="O47" s="18">
        <f>G47*'Res Predicted Monthly'!$X$11</f>
        <v>13310045.719415925</v>
      </c>
      <c r="P47" s="18">
        <f>H47*'Res Predicted Monthly'!$X$12</f>
        <v>6513250.5985030681</v>
      </c>
      <c r="Q47" s="18">
        <f>I47*'Res Predicted Monthly'!$X$13</f>
        <v>0</v>
      </c>
      <c r="R47" s="18">
        <f>J47*'Res Predicted Monthly'!$X$14</f>
        <v>0</v>
      </c>
      <c r="S47" s="18">
        <f t="shared" ca="1" si="3"/>
        <v>5717843.743745409</v>
      </c>
      <c r="T47" s="30">
        <f t="shared" ca="1" si="15"/>
        <v>5554224.4448438762</v>
      </c>
      <c r="U47" s="35">
        <f t="shared" ca="1" si="16"/>
        <v>33.946022762183205</v>
      </c>
      <c r="AK47" s="33">
        <f t="shared" ref="AK47:AN47" ca="1" si="47">AK35</f>
        <v>266.24011610481193</v>
      </c>
      <c r="AL47" s="33">
        <f t="shared" ca="1" si="47"/>
        <v>337.07647642295342</v>
      </c>
      <c r="AM47" s="33">
        <f t="shared" ca="1" si="47"/>
        <v>18.153914795818444</v>
      </c>
      <c r="AN47" s="33">
        <f t="shared" ca="1" si="47"/>
        <v>23.650343209861436</v>
      </c>
      <c r="AP47" s="18">
        <f ca="1">AK47*'Res Predicted Monthly'!$X$9</f>
        <v>1744300.8778096722</v>
      </c>
      <c r="AQ47" s="18">
        <f ca="1">AL47*'Res Predicted Monthly'!$X$9</f>
        <v>2208392.9436166673</v>
      </c>
      <c r="AR47" s="18">
        <f ca="1">AM47*'Res Predicted Monthly'!$X$10</f>
        <v>264776.4317557856</v>
      </c>
      <c r="AS47" s="18">
        <f ca="1">AN47*'Res Predicted Monthly'!$X$10</f>
        <v>344942.31989836041</v>
      </c>
      <c r="AU47" s="31">
        <f t="shared" ca="1" si="4"/>
        <v>5427527.9496996514</v>
      </c>
      <c r="AV47" s="31">
        <f t="shared" ca="1" si="5"/>
        <v>5971785.9036492212</v>
      </c>
    </row>
    <row r="48" spans="1:48">
      <c r="A48" s="541">
        <f>'Monthly Data'!A48</f>
        <v>43770</v>
      </c>
      <c r="B48">
        <f t="shared" si="13"/>
        <v>2019</v>
      </c>
      <c r="C48">
        <f t="shared" si="14"/>
        <v>11</v>
      </c>
      <c r="D48" s="18">
        <f>'Monthly Data'!F48</f>
        <v>164130.23418023289</v>
      </c>
      <c r="E48" s="33">
        <f t="shared" ca="1" si="33"/>
        <v>526.09395833333338</v>
      </c>
      <c r="F48" s="33">
        <f t="shared" ca="1" si="33"/>
        <v>2.2795833333333335</v>
      </c>
      <c r="G48" s="18">
        <f>'Monthly Data'!G48</f>
        <v>9888</v>
      </c>
      <c r="H48">
        <f>'Monthly Data'!BU48</f>
        <v>30</v>
      </c>
      <c r="I48" s="33">
        <f>'Monthly Data'!CQ48</f>
        <v>0</v>
      </c>
      <c r="J48" s="33">
        <f>'Monthly Data'!CX48</f>
        <v>0</v>
      </c>
      <c r="L48" s="18">
        <f>'Res Predicted Monthly'!$X$8</f>
        <v>-16404845.677784801</v>
      </c>
      <c r="M48" s="18">
        <f ca="1">E48*'Res Predicted Monthly'!$X$9</f>
        <v>3446761.3925240957</v>
      </c>
      <c r="N48" s="18">
        <f ca="1">F48*'Res Predicted Monthly'!$X$10</f>
        <v>33247.921876827779</v>
      </c>
      <c r="O48" s="18">
        <f>G48*'Res Predicted Monthly'!$X$11</f>
        <v>13319474.959375029</v>
      </c>
      <c r="P48" s="18">
        <f>H48*'Res Predicted Monthly'!$X$12</f>
        <v>6303145.7404868407</v>
      </c>
      <c r="Q48" s="18">
        <f>I48*'Res Predicted Monthly'!$X$13</f>
        <v>0</v>
      </c>
      <c r="R48" s="18">
        <f>J48*'Res Predicted Monthly'!$X$14</f>
        <v>0</v>
      </c>
      <c r="S48" s="18">
        <f t="shared" ca="1" si="3"/>
        <v>6697784.3364779921</v>
      </c>
      <c r="T48" s="30">
        <f t="shared" ca="1" si="15"/>
        <v>6533654.1022977596</v>
      </c>
      <c r="U48" s="35">
        <f t="shared" ca="1" si="16"/>
        <v>39.807742521850635</v>
      </c>
      <c r="AK48" s="33">
        <f t="shared" ref="AK48:AN48" ca="1" si="48">AK36</f>
        <v>463.17823132610772</v>
      </c>
      <c r="AL48" s="33">
        <f t="shared" ca="1" si="48"/>
        <v>586.4123275463005</v>
      </c>
      <c r="AM48" s="33">
        <f t="shared" ca="1" si="48"/>
        <v>1.8971227598785685</v>
      </c>
      <c r="AN48" s="33">
        <f t="shared" ca="1" si="48"/>
        <v>2.4715112352902775</v>
      </c>
      <c r="AP48" s="18">
        <f ca="1">AK48*'Res Predicted Monthly'!$X$9</f>
        <v>3034562.2113776528</v>
      </c>
      <c r="AQ48" s="18">
        <f ca="1">AL48*'Res Predicted Monthly'!$X$9</f>
        <v>3841943.7035354339</v>
      </c>
      <c r="AR48" s="18">
        <f ca="1">AM48*'Res Predicted Monthly'!$X$10</f>
        <v>27669.701032145298</v>
      </c>
      <c r="AS48" s="18">
        <f ca="1">AN48*'Res Predicted Monthly'!$X$10</f>
        <v>36047.207078179461</v>
      </c>
      <c r="AU48" s="31">
        <f t="shared" ca="1" si="4"/>
        <v>6280006.9344868669</v>
      </c>
      <c r="AV48" s="31">
        <f t="shared" ca="1" si="5"/>
        <v>7095765.9326906819</v>
      </c>
    </row>
    <row r="49" spans="1:48">
      <c r="A49" s="541">
        <f>'Monthly Data'!A49</f>
        <v>43800</v>
      </c>
      <c r="B49">
        <f t="shared" si="13"/>
        <v>2019</v>
      </c>
      <c r="C49">
        <f t="shared" si="14"/>
        <v>12</v>
      </c>
      <c r="D49" s="18">
        <f>'Monthly Data'!F49</f>
        <v>86097544.169458941</v>
      </c>
      <c r="E49" s="33">
        <f t="shared" ca="1" si="33"/>
        <v>750.36333333333334</v>
      </c>
      <c r="F49" s="33">
        <f t="shared" ca="1" si="33"/>
        <v>0</v>
      </c>
      <c r="G49" s="18">
        <f>'Monthly Data'!G49</f>
        <v>9888</v>
      </c>
      <c r="H49">
        <f>'Monthly Data'!BU49</f>
        <v>31</v>
      </c>
      <c r="I49" s="33">
        <f>'Monthly Data'!CQ49</f>
        <v>0</v>
      </c>
      <c r="J49" s="33">
        <f>'Monthly Data'!CX49</f>
        <v>0</v>
      </c>
      <c r="L49" s="18">
        <f>'Res Predicted Monthly'!$X$8</f>
        <v>-16404845.677784801</v>
      </c>
      <c r="M49" s="18">
        <f ca="1">E49*'Res Predicted Monthly'!$X$9</f>
        <v>4916086.4266385026</v>
      </c>
      <c r="N49" s="18">
        <f ca="1">F49*'Res Predicted Monthly'!$X$10</f>
        <v>0</v>
      </c>
      <c r="O49" s="18">
        <f>G49*'Res Predicted Monthly'!$X$11</f>
        <v>13319474.959375029</v>
      </c>
      <c r="P49" s="18">
        <f>H49*'Res Predicted Monthly'!$X$12</f>
        <v>6513250.5985030681</v>
      </c>
      <c r="Q49" s="18">
        <f>I49*'Res Predicted Monthly'!$X$13</f>
        <v>0</v>
      </c>
      <c r="R49" s="18">
        <f>J49*'Res Predicted Monthly'!$X$14</f>
        <v>0</v>
      </c>
      <c r="S49" s="18">
        <f t="shared" ca="1" si="3"/>
        <v>8343966.3067317996</v>
      </c>
      <c r="T49" s="30">
        <f t="shared" ca="1" si="15"/>
        <v>-77753577.862727135</v>
      </c>
      <c r="U49" s="35">
        <f t="shared" ca="1" si="16"/>
        <v>0.90308705797334887</v>
      </c>
      <c r="AK49" s="33">
        <f t="shared" ref="AK49:AN49" ca="1" si="49">AK37</f>
        <v>660.62716760013984</v>
      </c>
      <c r="AL49" s="33">
        <f t="shared" ca="1" si="49"/>
        <v>836.39490975983074</v>
      </c>
      <c r="AM49" s="33">
        <f t="shared" ca="1" si="49"/>
        <v>0</v>
      </c>
      <c r="AN49" s="33">
        <f t="shared" ca="1" si="49"/>
        <v>0</v>
      </c>
      <c r="AP49" s="18">
        <f ca="1">AK49*'Res Predicted Monthly'!$X$9</f>
        <v>4328170.2442474803</v>
      </c>
      <c r="AQ49" s="18">
        <f ca="1">AL49*'Res Predicted Monthly'!$X$9</f>
        <v>5479731.5920463055</v>
      </c>
      <c r="AR49" s="18">
        <f ca="1">AM49*'Res Predicted Monthly'!$X$10</f>
        <v>0</v>
      </c>
      <c r="AS49" s="18">
        <f ca="1">AN49*'Res Predicted Monthly'!$X$10</f>
        <v>0</v>
      </c>
      <c r="AU49" s="31">
        <f t="shared" ca="1" si="4"/>
        <v>7756050.1243407773</v>
      </c>
      <c r="AV49" s="31">
        <f t="shared" ca="1" si="5"/>
        <v>8907611.4721396025</v>
      </c>
    </row>
    <row r="50" spans="1:48">
      <c r="A50" s="541">
        <f>'Monthly Data'!A50</f>
        <v>43831</v>
      </c>
      <c r="B50">
        <f t="shared" si="13"/>
        <v>2020</v>
      </c>
      <c r="C50">
        <f t="shared" si="14"/>
        <v>1</v>
      </c>
      <c r="D50" s="18">
        <f>'Monthly Data'!F50</f>
        <v>8414654.1696568504</v>
      </c>
      <c r="E50" s="33">
        <f t="shared" ca="1" si="33"/>
        <v>852.55166666666662</v>
      </c>
      <c r="F50" s="33">
        <f t="shared" ca="1" si="33"/>
        <v>0</v>
      </c>
      <c r="G50" s="18">
        <f>'Monthly Data'!G50</f>
        <v>9912</v>
      </c>
      <c r="H50">
        <f>'Monthly Data'!BU50</f>
        <v>31</v>
      </c>
      <c r="I50" s="33">
        <f>'Monthly Data'!CQ50</f>
        <v>0</v>
      </c>
      <c r="J50" s="33">
        <f>'Monthly Data'!CX50</f>
        <v>0</v>
      </c>
      <c r="L50" s="18">
        <f>'Res Predicted Monthly'!$X$8</f>
        <v>-16404845.677784801</v>
      </c>
      <c r="M50" s="18">
        <f ca="1">E50*'Res Predicted Monthly'!$X$9</f>
        <v>5585584.3300463771</v>
      </c>
      <c r="N50" s="18">
        <f ca="1">F50*'Res Predicted Monthly'!$X$10</f>
        <v>0</v>
      </c>
      <c r="O50" s="18">
        <f>G50*'Res Predicted Monthly'!$X$11</f>
        <v>13351803.782091958</v>
      </c>
      <c r="P50" s="18">
        <f>H50*'Res Predicted Monthly'!$X$12</f>
        <v>6513250.5985030681</v>
      </c>
      <c r="Q50" s="18">
        <f>I50*'Res Predicted Monthly'!$X$13</f>
        <v>0</v>
      </c>
      <c r="R50" s="18">
        <f>J50*'Res Predicted Monthly'!$X$14</f>
        <v>0</v>
      </c>
      <c r="S50" s="18">
        <f t="shared" ca="1" si="3"/>
        <v>9045793.0328566041</v>
      </c>
      <c r="T50" s="30">
        <f t="shared" ref="T50:T81" ca="1" si="50">S50-D50</f>
        <v>631138.86319975369</v>
      </c>
      <c r="U50" s="35">
        <f t="shared" ref="U50:U81" ca="1" si="51">ABS(T50/D50)</f>
        <v>7.5004729900324779E-2</v>
      </c>
      <c r="AK50" s="33">
        <f t="shared" ref="AK50:AN50" ca="1" si="52">AK38</f>
        <v>750.59476891120983</v>
      </c>
      <c r="AL50" s="33">
        <f t="shared" ca="1" si="52"/>
        <v>950.29946511324727</v>
      </c>
      <c r="AM50" s="33">
        <f t="shared" ca="1" si="52"/>
        <v>0</v>
      </c>
      <c r="AN50" s="33">
        <f t="shared" ca="1" si="52"/>
        <v>0</v>
      </c>
      <c r="AP50" s="18">
        <f ca="1">AK50*'Res Predicted Monthly'!$X$9</f>
        <v>4917602.7018247992</v>
      </c>
      <c r="AQ50" s="18">
        <f ca="1">AL50*'Res Predicted Monthly'!$X$9</f>
        <v>6225989.5895122774</v>
      </c>
      <c r="AR50" s="18">
        <f ca="1">AM50*'Res Predicted Monthly'!$X$10</f>
        <v>0</v>
      </c>
      <c r="AS50" s="18">
        <f ca="1">AN50*'Res Predicted Monthly'!$X$10</f>
        <v>0</v>
      </c>
      <c r="AU50" s="31">
        <f t="shared" ca="1" si="4"/>
        <v>8377811.4046350261</v>
      </c>
      <c r="AV50" s="31">
        <f t="shared" ca="1" si="5"/>
        <v>9686198.2923225053</v>
      </c>
    </row>
    <row r="51" spans="1:48">
      <c r="A51" s="541">
        <f>'Monthly Data'!A51</f>
        <v>43862</v>
      </c>
      <c r="B51">
        <f t="shared" si="13"/>
        <v>2020</v>
      </c>
      <c r="C51">
        <f t="shared" si="14"/>
        <v>2</v>
      </c>
      <c r="D51" s="18">
        <f>'Monthly Data'!F51</f>
        <v>7815438.1888876194</v>
      </c>
      <c r="E51" s="33">
        <f t="shared" ca="1" si="33"/>
        <v>747.22854166666662</v>
      </c>
      <c r="F51" s="33">
        <f t="shared" ca="1" si="33"/>
        <v>0</v>
      </c>
      <c r="G51" s="18">
        <f>'Monthly Data'!G51</f>
        <v>9916</v>
      </c>
      <c r="H51">
        <f>'Monthly Data'!BU51</f>
        <v>28</v>
      </c>
      <c r="I51" s="33">
        <f>'Monthly Data'!CQ51</f>
        <v>0</v>
      </c>
      <c r="J51" s="33">
        <f>'Monthly Data'!CX51</f>
        <v>0</v>
      </c>
      <c r="L51" s="18">
        <f>'Res Predicted Monthly'!$X$8</f>
        <v>-16404845.677784801</v>
      </c>
      <c r="M51" s="18">
        <f ca="1">E51*'Res Predicted Monthly'!$X$9</f>
        <v>4895548.500438964</v>
      </c>
      <c r="N51" s="18">
        <f ca="1">F51*'Res Predicted Monthly'!$X$10</f>
        <v>0</v>
      </c>
      <c r="O51" s="18">
        <f>G51*'Res Predicted Monthly'!$X$11</f>
        <v>13357191.919211447</v>
      </c>
      <c r="P51" s="18">
        <f>H51*'Res Predicted Monthly'!$X$12</f>
        <v>5882936.0244543841</v>
      </c>
      <c r="Q51" s="18">
        <f>I51*'Res Predicted Monthly'!$X$13</f>
        <v>0</v>
      </c>
      <c r="R51" s="18">
        <f>J51*'Res Predicted Monthly'!$X$14</f>
        <v>0</v>
      </c>
      <c r="S51" s="18">
        <f t="shared" ca="1" si="3"/>
        <v>7730830.7663199948</v>
      </c>
      <c r="T51" s="30">
        <f t="shared" ca="1" si="50"/>
        <v>-84607.422567624599</v>
      </c>
      <c r="U51" s="35">
        <f t="shared" ca="1" si="51"/>
        <v>1.0825678678890156E-2</v>
      </c>
      <c r="AK51" s="33">
        <f t="shared" ref="AK51:AN51" ca="1" si="53">AK39</f>
        <v>657.86726656584096</v>
      </c>
      <c r="AL51" s="33">
        <f t="shared" ca="1" si="53"/>
        <v>832.90070411746512</v>
      </c>
      <c r="AM51" s="33">
        <f t="shared" ca="1" si="53"/>
        <v>0</v>
      </c>
      <c r="AN51" s="33">
        <f t="shared" ca="1" si="53"/>
        <v>0</v>
      </c>
      <c r="AP51" s="18">
        <f ca="1">AK51*'Res Predicted Monthly'!$X$9</f>
        <v>4310088.4545186171</v>
      </c>
      <c r="AQ51" s="18">
        <f ca="1">AL51*'Res Predicted Monthly'!$X$9</f>
        <v>5456838.9263639245</v>
      </c>
      <c r="AR51" s="18">
        <f ca="1">AM51*'Res Predicted Monthly'!$X$10</f>
        <v>0</v>
      </c>
      <c r="AS51" s="18">
        <f ca="1">AN51*'Res Predicted Monthly'!$X$10</f>
        <v>0</v>
      </c>
      <c r="AU51" s="31">
        <f t="shared" ca="1" si="4"/>
        <v>7145370.720399648</v>
      </c>
      <c r="AV51" s="31">
        <f t="shared" ca="1" si="5"/>
        <v>8292121.1922449553</v>
      </c>
    </row>
    <row r="52" spans="1:48">
      <c r="A52" s="541">
        <f>'Monthly Data'!A52</f>
        <v>43891</v>
      </c>
      <c r="B52">
        <f t="shared" si="13"/>
        <v>2020</v>
      </c>
      <c r="C52">
        <f t="shared" si="14"/>
        <v>3</v>
      </c>
      <c r="D52" s="18">
        <f>'Monthly Data'!F52</f>
        <v>7552050.2081183884</v>
      </c>
      <c r="E52" s="33">
        <f t="shared" ca="1" si="33"/>
        <v>636.29604166666672</v>
      </c>
      <c r="F52" s="33">
        <f t="shared" ca="1" si="33"/>
        <v>0</v>
      </c>
      <c r="G52" s="18">
        <f>'Monthly Data'!G52</f>
        <v>9928</v>
      </c>
      <c r="H52">
        <f>'Monthly Data'!BU52</f>
        <v>31</v>
      </c>
      <c r="I52" s="33">
        <f>'Monthly Data'!CQ52</f>
        <v>298.73749999999995</v>
      </c>
      <c r="J52" s="33">
        <f>'Monthly Data'!CX52</f>
        <v>0</v>
      </c>
      <c r="L52" s="18">
        <f>'Res Predicted Monthly'!$X$8</f>
        <v>-16404845.677784801</v>
      </c>
      <c r="M52" s="18">
        <f ca="1">E52*'Res Predicted Monthly'!$X$9</f>
        <v>4168762.2446387853</v>
      </c>
      <c r="N52" s="18">
        <f ca="1">F52*'Res Predicted Monthly'!$X$10</f>
        <v>0</v>
      </c>
      <c r="O52" s="18">
        <f>G52*'Res Predicted Monthly'!$X$11</f>
        <v>13373356.330569912</v>
      </c>
      <c r="P52" s="18">
        <f>H52*'Res Predicted Monthly'!$X$12</f>
        <v>6513250.5985030681</v>
      </c>
      <c r="Q52" s="18">
        <f>I52*'Res Predicted Monthly'!$X$13</f>
        <v>161564.65680547961</v>
      </c>
      <c r="R52" s="18">
        <f>J52*'Res Predicted Monthly'!$X$14</f>
        <v>0</v>
      </c>
      <c r="S52" s="18">
        <f t="shared" ca="1" si="3"/>
        <v>7812088.1527324449</v>
      </c>
      <c r="T52" s="30">
        <f t="shared" ca="1" si="50"/>
        <v>260037.9446140565</v>
      </c>
      <c r="U52" s="35">
        <f t="shared" ca="1" si="51"/>
        <v>3.443276162736815E-2</v>
      </c>
      <c r="AK52" s="33">
        <f t="shared" ref="AK52:AN52" ca="1" si="54">AK40</f>
        <v>560.20121598172079</v>
      </c>
      <c r="AL52" s="33">
        <f t="shared" ca="1" si="54"/>
        <v>709.24943518517148</v>
      </c>
      <c r="AM52" s="33">
        <f t="shared" ca="1" si="54"/>
        <v>0</v>
      </c>
      <c r="AN52" s="33">
        <f t="shared" ca="1" si="54"/>
        <v>0</v>
      </c>
      <c r="AP52" s="18">
        <f ca="1">AK52*'Res Predicted Monthly'!$X$9</f>
        <v>3670218.7750033834</v>
      </c>
      <c r="AQ52" s="18">
        <f ca="1">AL52*'Res Predicted Monthly'!$X$9</f>
        <v>4646724.2821231214</v>
      </c>
      <c r="AR52" s="18">
        <f ca="1">AM52*'Res Predicted Monthly'!$X$10</f>
        <v>0</v>
      </c>
      <c r="AS52" s="18">
        <f ca="1">AN52*'Res Predicted Monthly'!$X$10</f>
        <v>0</v>
      </c>
      <c r="AU52" s="31">
        <f t="shared" ca="1" si="4"/>
        <v>7313544.6830970431</v>
      </c>
      <c r="AV52" s="31">
        <f t="shared" ca="1" si="5"/>
        <v>8290050.1902167816</v>
      </c>
    </row>
    <row r="53" spans="1:48">
      <c r="A53" s="541">
        <f>'Monthly Data'!A53</f>
        <v>43922</v>
      </c>
      <c r="B53">
        <f t="shared" si="13"/>
        <v>2020</v>
      </c>
      <c r="C53">
        <f t="shared" si="14"/>
        <v>4</v>
      </c>
      <c r="D53" s="18">
        <f>'Monthly Data'!F53</f>
        <v>6718611.2273491574</v>
      </c>
      <c r="E53" s="33">
        <f t="shared" ca="1" si="33"/>
        <v>408.60374999999999</v>
      </c>
      <c r="F53" s="33">
        <f t="shared" ca="1" si="33"/>
        <v>2.8104166666666677</v>
      </c>
      <c r="G53" s="18">
        <f>'Monthly Data'!G53</f>
        <v>9943</v>
      </c>
      <c r="H53">
        <f>'Monthly Data'!BU53</f>
        <v>30</v>
      </c>
      <c r="I53" s="33">
        <f>'Monthly Data'!CQ53</f>
        <v>432.17083333333341</v>
      </c>
      <c r="J53" s="33">
        <f>'Monthly Data'!CX53</f>
        <v>0</v>
      </c>
      <c r="L53" s="18">
        <f>'Res Predicted Monthly'!$X$8</f>
        <v>-16404845.677784801</v>
      </c>
      <c r="M53" s="18">
        <f ca="1">E53*'Res Predicted Monthly'!$X$9</f>
        <v>2677011.6022663582</v>
      </c>
      <c r="N53" s="18">
        <f ca="1">F53*'Res Predicted Monthly'!$X$10</f>
        <v>40990.172374191818</v>
      </c>
      <c r="O53" s="18">
        <f>G53*'Res Predicted Monthly'!$X$11</f>
        <v>13393561.844767993</v>
      </c>
      <c r="P53" s="18">
        <f>H53*'Res Predicted Monthly'!$X$12</f>
        <v>6303145.7404868407</v>
      </c>
      <c r="Q53" s="18">
        <f>I53*'Res Predicted Monthly'!$X$13</f>
        <v>233728.71624365251</v>
      </c>
      <c r="R53" s="18">
        <f>J53*'Res Predicted Monthly'!$X$14</f>
        <v>0</v>
      </c>
      <c r="S53" s="18">
        <f t="shared" ca="1" si="3"/>
        <v>6243592.398354237</v>
      </c>
      <c r="T53" s="30">
        <f t="shared" ca="1" si="50"/>
        <v>-475018.82899492048</v>
      </c>
      <c r="U53" s="35">
        <f t="shared" ca="1" si="51"/>
        <v>7.0701937189233705E-2</v>
      </c>
      <c r="AK53" s="33">
        <f t="shared" ref="AK53:AN53" ca="1" si="55">AK41</f>
        <v>359.73871062458045</v>
      </c>
      <c r="AL53" s="33">
        <f t="shared" ca="1" si="55"/>
        <v>455.4514878686926</v>
      </c>
      <c r="AM53" s="33">
        <f t="shared" ca="1" si="55"/>
        <v>2.33889472041326</v>
      </c>
      <c r="AN53" s="33">
        <f t="shared" ca="1" si="55"/>
        <v>3.0470377046304016</v>
      </c>
      <c r="AP53" s="18">
        <f ca="1">AK53*'Res Predicted Monthly'!$X$9</f>
        <v>2356867.0187837039</v>
      </c>
      <c r="AQ53" s="18">
        <f ca="1">AL53*'Res Predicted Monthly'!$X$9</f>
        <v>2983939.617034757</v>
      </c>
      <c r="AR53" s="18">
        <f ca="1">AM53*'Res Predicted Monthly'!$X$10</f>
        <v>34112.983634037664</v>
      </c>
      <c r="AS53" s="18">
        <f ca="1">AN53*'Res Predicted Monthly'!$X$10</f>
        <v>44441.310864982734</v>
      </c>
      <c r="AU53" s="31">
        <f t="shared" ca="1" si="4"/>
        <v>5916570.6261314284</v>
      </c>
      <c r="AV53" s="31">
        <f t="shared" ca="1" si="5"/>
        <v>6553971.5516134268</v>
      </c>
    </row>
    <row r="54" spans="1:48">
      <c r="A54" s="541">
        <f>'Monthly Data'!A54</f>
        <v>43952</v>
      </c>
      <c r="B54">
        <f t="shared" si="13"/>
        <v>2020</v>
      </c>
      <c r="C54">
        <f t="shared" si="14"/>
        <v>5</v>
      </c>
      <c r="D54" s="18">
        <f>'Monthly Data'!F54</f>
        <v>6484978.2465799265</v>
      </c>
      <c r="E54" s="33">
        <f t="shared" ref="E54:F73" ca="1" si="56">E42</f>
        <v>178.10395833333331</v>
      </c>
      <c r="F54" s="33">
        <f t="shared" ca="1" si="56"/>
        <v>74.673124999999999</v>
      </c>
      <c r="G54" s="18">
        <f>'Monthly Data'!G54</f>
        <v>9945</v>
      </c>
      <c r="H54">
        <f>'Monthly Data'!BU54</f>
        <v>31</v>
      </c>
      <c r="I54" s="33">
        <f>'Monthly Data'!CQ54</f>
        <v>227.03749999999999</v>
      </c>
      <c r="J54" s="33">
        <f>'Monthly Data'!CX54</f>
        <v>84.133333333333326</v>
      </c>
      <c r="L54" s="18">
        <f>'Res Predicted Monthly'!$X$8</f>
        <v>-16404845.677784801</v>
      </c>
      <c r="M54" s="18">
        <f ca="1">E54*'Res Predicted Monthly'!$X$9</f>
        <v>1166867.3204000143</v>
      </c>
      <c r="N54" s="18">
        <f ca="1">F54*'Res Predicted Monthly'!$X$10</f>
        <v>1089114.045534021</v>
      </c>
      <c r="O54" s="18">
        <f>G54*'Res Predicted Monthly'!$X$11</f>
        <v>13396255.913327737</v>
      </c>
      <c r="P54" s="18">
        <f>H54*'Res Predicted Monthly'!$X$12</f>
        <v>6513250.5985030681</v>
      </c>
      <c r="Q54" s="18">
        <f>I54*'Res Predicted Monthly'!$X$13</f>
        <v>122787.51669768301</v>
      </c>
      <c r="R54" s="18">
        <f>J54*'Res Predicted Monthly'!$X$14</f>
        <v>184573.2421622746</v>
      </c>
      <c r="S54" s="18">
        <f t="shared" ca="1" si="3"/>
        <v>6068002.9588399967</v>
      </c>
      <c r="T54" s="30">
        <f t="shared" ca="1" si="50"/>
        <v>-416975.28773992974</v>
      </c>
      <c r="U54" s="35">
        <f t="shared" ca="1" si="51"/>
        <v>6.4298640933735718E-2</v>
      </c>
      <c r="AK54" s="33">
        <f t="shared" ref="AK54:AN54" ca="1" si="57">AK42</f>
        <v>156.80445499574424</v>
      </c>
      <c r="AL54" s="33">
        <f t="shared" ca="1" si="57"/>
        <v>198.52415162176143</v>
      </c>
      <c r="AM54" s="33">
        <f t="shared" ca="1" si="57"/>
        <v>62.144727467193846</v>
      </c>
      <c r="AN54" s="33">
        <f t="shared" ca="1" si="57"/>
        <v>80.960175797507716</v>
      </c>
      <c r="AP54" s="18">
        <f ca="1">AK54*'Res Predicted Monthly'!$X$9</f>
        <v>1027321.3236801189</v>
      </c>
      <c r="AQ54" s="18">
        <f ca="1">AL54*'Res Predicted Monthly'!$X$9</f>
        <v>1300652.4223567233</v>
      </c>
      <c r="AR54" s="18">
        <f ca="1">AM54*'Res Predicted Monthly'!$X$10</f>
        <v>906386.27404979616</v>
      </c>
      <c r="AS54" s="18">
        <f ca="1">AN54*'Res Predicted Monthly'!$X$10</f>
        <v>1180811.2301443012</v>
      </c>
      <c r="AU54" s="31">
        <f t="shared" ca="1" si="4"/>
        <v>5745729.1906358767</v>
      </c>
      <c r="AV54" s="31">
        <f t="shared" ca="1" si="5"/>
        <v>6293485.2454069853</v>
      </c>
    </row>
    <row r="55" spans="1:48">
      <c r="A55" s="541">
        <f>'Monthly Data'!A55</f>
        <v>43983</v>
      </c>
      <c r="B55">
        <f t="shared" si="13"/>
        <v>2020</v>
      </c>
      <c r="C55">
        <f t="shared" si="14"/>
        <v>6</v>
      </c>
      <c r="D55" s="18">
        <f>'Monthly Data'!F55</f>
        <v>6791535.2658106964</v>
      </c>
      <c r="E55" s="33">
        <f t="shared" ca="1" si="56"/>
        <v>51.834166666666661</v>
      </c>
      <c r="F55" s="33">
        <f t="shared" ca="1" si="56"/>
        <v>169.78833333333333</v>
      </c>
      <c r="G55" s="18">
        <f>'Monthly Data'!G55</f>
        <v>9949</v>
      </c>
      <c r="H55">
        <f>'Monthly Data'!BU55</f>
        <v>30</v>
      </c>
      <c r="I55" s="33">
        <f>'Monthly Data'!CQ55</f>
        <v>55.38333333333334</v>
      </c>
      <c r="J55" s="33">
        <f>'Monthly Data'!CX55</f>
        <v>179.51249999999999</v>
      </c>
      <c r="L55" s="18">
        <f>'Res Predicted Monthly'!$X$8</f>
        <v>-16404845.677784801</v>
      </c>
      <c r="M55" s="18">
        <f ca="1">E55*'Res Predicted Monthly'!$X$9</f>
        <v>339597.14163287729</v>
      </c>
      <c r="N55" s="18">
        <f ca="1">F55*'Res Predicted Monthly'!$X$10</f>
        <v>2476377.6606529527</v>
      </c>
      <c r="O55" s="18">
        <f>G55*'Res Predicted Monthly'!$X$11</f>
        <v>13401644.050447226</v>
      </c>
      <c r="P55" s="18">
        <f>H55*'Res Predicted Monthly'!$X$12</f>
        <v>6303145.7404868407</v>
      </c>
      <c r="Q55" s="18">
        <f>I55*'Res Predicted Monthly'!$X$13</f>
        <v>29952.68167787265</v>
      </c>
      <c r="R55" s="18">
        <f>J55*'Res Predicted Monthly'!$X$14</f>
        <v>393817.79873599828</v>
      </c>
      <c r="S55" s="18">
        <f t="shared" ca="1" si="3"/>
        <v>6539689.3958489662</v>
      </c>
      <c r="T55" s="30">
        <f t="shared" ca="1" si="50"/>
        <v>-251845.8699617302</v>
      </c>
      <c r="U55" s="35">
        <f t="shared" ca="1" si="51"/>
        <v>3.708231793031376E-2</v>
      </c>
      <c r="AK55" s="33">
        <f t="shared" ref="AK55:AN55" ca="1" si="58">AK43</f>
        <v>45.635303843800436</v>
      </c>
      <c r="AL55" s="33">
        <f t="shared" ca="1" si="58"/>
        <v>57.777121063541692</v>
      </c>
      <c r="AM55" s="33">
        <f t="shared" ca="1" si="58"/>
        <v>141.30183653234096</v>
      </c>
      <c r="AN55" s="33">
        <f t="shared" ca="1" si="58"/>
        <v>184.0835416360639</v>
      </c>
      <c r="AP55" s="18">
        <f ca="1">AK55*'Res Predicted Monthly'!$X$9</f>
        <v>298984.62229679566</v>
      </c>
      <c r="AQ55" s="18">
        <f ca="1">AL55*'Res Predicted Monthly'!$X$9</f>
        <v>378533.04927487596</v>
      </c>
      <c r="AR55" s="18">
        <f ca="1">AM55*'Res Predicted Monthly'!$X$10</f>
        <v>2060899.6185324343</v>
      </c>
      <c r="AS55" s="18">
        <f ca="1">AN55*'Res Predicted Monthly'!$X$10</f>
        <v>2684874.5214223182</v>
      </c>
      <c r="AU55" s="31">
        <f t="shared" ca="1" si="4"/>
        <v>6083598.834392366</v>
      </c>
      <c r="AV55" s="31">
        <f t="shared" ca="1" si="5"/>
        <v>6787122.1642603297</v>
      </c>
    </row>
    <row r="56" spans="1:48">
      <c r="A56" s="541">
        <f>'Monthly Data'!A56</f>
        <v>44013</v>
      </c>
      <c r="B56">
        <f t="shared" si="13"/>
        <v>2020</v>
      </c>
      <c r="C56">
        <f t="shared" si="14"/>
        <v>7</v>
      </c>
      <c r="D56" s="18">
        <f>'Monthly Data'!F56</f>
        <v>8887832.2850414645</v>
      </c>
      <c r="E56" s="33">
        <f t="shared" ca="1" si="56"/>
        <v>6.5670833333333318</v>
      </c>
      <c r="F56" s="33">
        <f t="shared" ca="1" si="56"/>
        <v>265.99625000000003</v>
      </c>
      <c r="G56" s="18">
        <f>'Monthly Data'!G56</f>
        <v>9955</v>
      </c>
      <c r="H56">
        <f>'Monthly Data'!BU56</f>
        <v>31</v>
      </c>
      <c r="I56" s="33">
        <f>'Monthly Data'!CQ56</f>
        <v>0</v>
      </c>
      <c r="J56" s="33">
        <f>'Monthly Data'!CX56</f>
        <v>321.12500000000011</v>
      </c>
      <c r="L56" s="18">
        <f>'Res Predicted Monthly'!$X$8</f>
        <v>-16404845.677784801</v>
      </c>
      <c r="M56" s="18">
        <f ca="1">E56*'Res Predicted Monthly'!$X$9</f>
        <v>43024.95578267052</v>
      </c>
      <c r="N56" s="18">
        <f ca="1">F56*'Res Predicted Monthly'!$X$10</f>
        <v>3879578.5221842378</v>
      </c>
      <c r="O56" s="18">
        <f>G56*'Res Predicted Monthly'!$X$11</f>
        <v>13409726.256126458</v>
      </c>
      <c r="P56" s="18">
        <f>H56*'Res Predicted Monthly'!$X$12</f>
        <v>6513250.5985030681</v>
      </c>
      <c r="Q56" s="18">
        <f>I56*'Res Predicted Monthly'!$X$13</f>
        <v>0</v>
      </c>
      <c r="R56" s="18">
        <f>J56*'Res Predicted Monthly'!$X$14</f>
        <v>704489.8857689437</v>
      </c>
      <c r="S56" s="18">
        <f t="shared" ca="1" si="3"/>
        <v>8145224.5405805772</v>
      </c>
      <c r="T56" s="30">
        <f t="shared" ca="1" si="50"/>
        <v>-742607.74446088728</v>
      </c>
      <c r="U56" s="35">
        <f t="shared" ca="1" si="51"/>
        <v>8.3553303060266149E-2</v>
      </c>
      <c r="AK56" s="33">
        <f t="shared" ref="AK56:AN56" ca="1" si="59">AK44</f>
        <v>5.7817239584744504</v>
      </c>
      <c r="AL56" s="33">
        <f t="shared" ca="1" si="59"/>
        <v>7.3200206193025874</v>
      </c>
      <c r="AM56" s="33">
        <f t="shared" ca="1" si="59"/>
        <v>221.36832312221517</v>
      </c>
      <c r="AN56" s="33">
        <f t="shared" ca="1" si="59"/>
        <v>288.39161561107579</v>
      </c>
      <c r="AP56" s="18">
        <f ca="1">AK56*'Res Predicted Monthly'!$X$9</f>
        <v>37879.589009982119</v>
      </c>
      <c r="AQ56" s="18">
        <f ca="1">AL56*'Res Predicted Monthly'!$X$9</f>
        <v>47957.905738021247</v>
      </c>
      <c r="AR56" s="18">
        <f ca="1">AM56*'Res Predicted Monthly'!$X$10</f>
        <v>3228676.313582941</v>
      </c>
      <c r="AS56" s="18">
        <f ca="1">AN56*'Res Predicted Monthly'!$X$10</f>
        <v>4206216.8842708953</v>
      </c>
      <c r="AU56" s="31">
        <f t="shared" ca="1" si="4"/>
        <v>7489176.9652065914</v>
      </c>
      <c r="AV56" s="31">
        <f t="shared" ca="1" si="5"/>
        <v>8476795.8526225854</v>
      </c>
    </row>
    <row r="57" spans="1:48">
      <c r="A57" s="541">
        <f>'Monthly Data'!A57</f>
        <v>44044</v>
      </c>
      <c r="B57">
        <f t="shared" si="13"/>
        <v>2020</v>
      </c>
      <c r="C57">
        <f t="shared" si="14"/>
        <v>8</v>
      </c>
      <c r="D57" s="18">
        <f>'Monthly Data'!F57</f>
        <v>6981508.3042722344</v>
      </c>
      <c r="E57" s="33">
        <f t="shared" ca="1" si="56"/>
        <v>23.263124999999995</v>
      </c>
      <c r="F57" s="33">
        <f t="shared" ca="1" si="56"/>
        <v>218.46562499999996</v>
      </c>
      <c r="G57" s="18">
        <f>'Monthly Data'!G57</f>
        <v>9965</v>
      </c>
      <c r="H57">
        <f>'Monthly Data'!BU57</f>
        <v>31</v>
      </c>
      <c r="I57" s="33">
        <f>'Monthly Data'!CQ57</f>
        <v>40.033333333333331</v>
      </c>
      <c r="J57" s="33">
        <f>'Monthly Data'!CX57</f>
        <v>178.70833333333334</v>
      </c>
      <c r="L57" s="18">
        <f>'Res Predicted Monthly'!$X$8</f>
        <v>-16404845.677784801</v>
      </c>
      <c r="M57" s="18">
        <f ca="1">E57*'Res Predicted Monthly'!$X$9</f>
        <v>152410.87613604273</v>
      </c>
      <c r="N57" s="18">
        <f ca="1">F57*'Res Predicted Monthly'!$X$10</f>
        <v>3186340.2081253235</v>
      </c>
      <c r="O57" s="18">
        <f>G57*'Res Predicted Monthly'!$X$11</f>
        <v>13423196.598925179</v>
      </c>
      <c r="P57" s="18">
        <f>H57*'Res Predicted Monthly'!$X$12</f>
        <v>6513250.5985030681</v>
      </c>
      <c r="Q57" s="18">
        <f>I57*'Res Predicted Monthly'!$X$13</f>
        <v>21651.020580875742</v>
      </c>
      <c r="R57" s="18">
        <f>J57*'Res Predicted Monthly'!$X$14</f>
        <v>392053.60322602809</v>
      </c>
      <c r="S57" s="18">
        <f t="shared" ca="1" si="3"/>
        <v>7284057.2277117157</v>
      </c>
      <c r="T57" s="30">
        <f t="shared" ca="1" si="50"/>
        <v>302548.9234394813</v>
      </c>
      <c r="U57" s="35">
        <f t="shared" ca="1" si="51"/>
        <v>4.3335753572668646E-2</v>
      </c>
      <c r="AK57" s="33">
        <f t="shared" ref="AK57:AN57" ca="1" si="60">AK45</f>
        <v>20.481081225021654</v>
      </c>
      <c r="AL57" s="33">
        <f t="shared" ca="1" si="60"/>
        <v>25.930317315309463</v>
      </c>
      <c r="AM57" s="33">
        <f t="shared" ca="1" si="60"/>
        <v>181.81222128543794</v>
      </c>
      <c r="AN57" s="33">
        <f t="shared" ca="1" si="60"/>
        <v>236.85918335026682</v>
      </c>
      <c r="AP57" s="18">
        <f ca="1">AK57*'Res Predicted Monthly'!$X$9</f>
        <v>134184.01584993443</v>
      </c>
      <c r="AQ57" s="18">
        <f ca="1">AL57*'Res Predicted Monthly'!$X$9</f>
        <v>169885.27467878521</v>
      </c>
      <c r="AR57" s="18">
        <f ca="1">AM57*'Res Predicted Monthly'!$X$10</f>
        <v>2651747.1158694639</v>
      </c>
      <c r="AS57" s="18">
        <f ca="1">AN57*'Res Predicted Monthly'!$X$10</f>
        <v>3454611.8620386319</v>
      </c>
      <c r="AU57" s="31">
        <f t="shared" ca="1" si="4"/>
        <v>6731237.2751697479</v>
      </c>
      <c r="AV57" s="31">
        <f t="shared" ca="1" si="5"/>
        <v>7569803.2801677668</v>
      </c>
    </row>
    <row r="58" spans="1:48">
      <c r="A58" s="541">
        <f>'Monthly Data'!A58</f>
        <v>44075</v>
      </c>
      <c r="B58">
        <f t="shared" si="13"/>
        <v>2020</v>
      </c>
      <c r="C58">
        <f t="shared" si="14"/>
        <v>9</v>
      </c>
      <c r="D58" s="18">
        <f>'Monthly Data'!F58</f>
        <v>5593018.3235030035</v>
      </c>
      <c r="E58" s="33">
        <f t="shared" ca="1" si="56"/>
        <v>114.73583333333336</v>
      </c>
      <c r="F58" s="33">
        <f t="shared" ca="1" si="56"/>
        <v>95.131249999999994</v>
      </c>
      <c r="G58" s="18">
        <f>'Monthly Data'!G58</f>
        <v>9980</v>
      </c>
      <c r="H58">
        <f>'Monthly Data'!BU58</f>
        <v>30</v>
      </c>
      <c r="I58" s="33">
        <f>'Monthly Data'!CQ58</f>
        <v>153.40416666666664</v>
      </c>
      <c r="J58" s="33">
        <f>'Monthly Data'!CX58</f>
        <v>68.32916666666668</v>
      </c>
      <c r="L58" s="18">
        <f>'Res Predicted Monthly'!$X$8</f>
        <v>-16404845.677784801</v>
      </c>
      <c r="M58" s="18">
        <f ca="1">E58*'Res Predicted Monthly'!$X$9</f>
        <v>751704.20493946178</v>
      </c>
      <c r="N58" s="18">
        <f ca="1">F58*'Res Predicted Monthly'!$X$10</f>
        <v>1387497.5842273687</v>
      </c>
      <c r="O58" s="18">
        <f>G58*'Res Predicted Monthly'!$X$11</f>
        <v>13443402.11312326</v>
      </c>
      <c r="P58" s="18">
        <f>H58*'Res Predicted Monthly'!$X$12</f>
        <v>6303145.7404868407</v>
      </c>
      <c r="Q58" s="18">
        <f>I58*'Res Predicted Monthly'!$X$13</f>
        <v>82964.781924032271</v>
      </c>
      <c r="R58" s="18">
        <f>J58*'Res Predicted Monthly'!$X$14</f>
        <v>149901.77289120157</v>
      </c>
      <c r="S58" s="18">
        <f t="shared" ca="1" si="3"/>
        <v>5713770.5198073657</v>
      </c>
      <c r="T58" s="30">
        <f t="shared" ca="1" si="50"/>
        <v>120752.19630436227</v>
      </c>
      <c r="U58" s="35">
        <f t="shared" ca="1" si="51"/>
        <v>2.1589808815203934E-2</v>
      </c>
      <c r="AK58" s="33">
        <f t="shared" ref="AK58:AN58" ca="1" si="61">AK46</f>
        <v>101.01454219588074</v>
      </c>
      <c r="AL58" s="33">
        <f t="shared" ca="1" si="61"/>
        <v>127.89066669975746</v>
      </c>
      <c r="AM58" s="33">
        <f t="shared" ca="1" si="61"/>
        <v>79.170459316701752</v>
      </c>
      <c r="AN58" s="33">
        <f t="shared" ca="1" si="61"/>
        <v>103.14075812197032</v>
      </c>
      <c r="AP58" s="18">
        <f ca="1">AK58*'Res Predicted Monthly'!$X$9</f>
        <v>661807.68398723053</v>
      </c>
      <c r="AQ58" s="18">
        <f ca="1">AL58*'Res Predicted Monthly'!$X$9</f>
        <v>837889.51662051689</v>
      </c>
      <c r="AR58" s="18">
        <f ca="1">AM58*'Res Predicted Monthly'!$X$10</f>
        <v>1154708.0590667615</v>
      </c>
      <c r="AS58" s="18">
        <f ca="1">AN58*'Res Predicted Monthly'!$X$10</f>
        <v>1504316.9592495966</v>
      </c>
      <c r="AU58" s="31">
        <f t="shared" ca="1" si="4"/>
        <v>5391084.4736945275</v>
      </c>
      <c r="AV58" s="31">
        <f t="shared" ca="1" si="5"/>
        <v>5916775.2065106481</v>
      </c>
    </row>
    <row r="59" spans="1:48">
      <c r="A59" s="541">
        <f>'Monthly Data'!A59</f>
        <v>44105</v>
      </c>
      <c r="B59">
        <f t="shared" si="13"/>
        <v>2020</v>
      </c>
      <c r="C59">
        <f t="shared" si="14"/>
        <v>10</v>
      </c>
      <c r="D59" s="18">
        <f>'Monthly Data'!F59</f>
        <v>6282108.3427337734</v>
      </c>
      <c r="E59" s="33">
        <f t="shared" ca="1" si="56"/>
        <v>302.40479166666665</v>
      </c>
      <c r="F59" s="33">
        <f t="shared" ca="1" si="56"/>
        <v>21.813750000000006</v>
      </c>
      <c r="G59" s="18">
        <f>'Monthly Data'!G59</f>
        <v>9996</v>
      </c>
      <c r="H59">
        <f>'Monthly Data'!BU59</f>
        <v>31</v>
      </c>
      <c r="I59" s="33">
        <f>'Monthly Data'!CQ59</f>
        <v>370.26666666666665</v>
      </c>
      <c r="J59" s="33">
        <f>'Monthly Data'!CX59</f>
        <v>4.1500000000000021</v>
      </c>
      <c r="L59" s="18">
        <f>'Res Predicted Monthly'!$X$8</f>
        <v>-16404845.677784801</v>
      </c>
      <c r="M59" s="18">
        <f ca="1">E59*'Res Predicted Monthly'!$X$9</f>
        <v>1981237.655975031</v>
      </c>
      <c r="N59" s="18">
        <f ca="1">F59*'Res Predicted Monthly'!$X$10</f>
        <v>318155.44763618446</v>
      </c>
      <c r="O59" s="18">
        <f>G59*'Res Predicted Monthly'!$X$11</f>
        <v>13464954.661601212</v>
      </c>
      <c r="P59" s="18">
        <f>H59*'Res Predicted Monthly'!$X$12</f>
        <v>6513250.5985030681</v>
      </c>
      <c r="Q59" s="18">
        <f>I59*'Res Predicted Monthly'!$X$13</f>
        <v>200249.40600530204</v>
      </c>
      <c r="R59" s="18">
        <f>J59*'Res Predicted Monthly'!$X$14</f>
        <v>9104.3457405717927</v>
      </c>
      <c r="S59" s="18">
        <f t="shared" ca="1" si="3"/>
        <v>6082106.4376765694</v>
      </c>
      <c r="T59" s="30">
        <f t="shared" ca="1" si="50"/>
        <v>-200001.90505720396</v>
      </c>
      <c r="U59" s="35">
        <f t="shared" ca="1" si="51"/>
        <v>3.1836748770583845E-2</v>
      </c>
      <c r="AK59" s="33">
        <f t="shared" ref="AK59:AN59" ca="1" si="62">AK47</f>
        <v>266.24011610481193</v>
      </c>
      <c r="AL59" s="33">
        <f t="shared" ca="1" si="62"/>
        <v>337.07647642295342</v>
      </c>
      <c r="AM59" s="33">
        <f t="shared" ca="1" si="62"/>
        <v>18.153914795818444</v>
      </c>
      <c r="AN59" s="33">
        <f t="shared" ca="1" si="62"/>
        <v>23.650343209861436</v>
      </c>
      <c r="AP59" s="18">
        <f ca="1">AK59*'Res Predicted Monthly'!$X$9</f>
        <v>1744300.8778096722</v>
      </c>
      <c r="AQ59" s="18">
        <f ca="1">AL59*'Res Predicted Monthly'!$X$9</f>
        <v>2208392.9436166673</v>
      </c>
      <c r="AR59" s="18">
        <f ca="1">AM59*'Res Predicted Monthly'!$X$10</f>
        <v>264776.4317557856</v>
      </c>
      <c r="AS59" s="18">
        <f ca="1">AN59*'Res Predicted Monthly'!$X$10</f>
        <v>344942.31989836041</v>
      </c>
      <c r="AU59" s="31">
        <f t="shared" ca="1" si="4"/>
        <v>5791790.6436308119</v>
      </c>
      <c r="AV59" s="31">
        <f t="shared" ca="1" si="5"/>
        <v>6336048.5975803817</v>
      </c>
    </row>
    <row r="60" spans="1:48">
      <c r="A60" s="541">
        <f>'Monthly Data'!A60</f>
        <v>44136</v>
      </c>
      <c r="B60">
        <f t="shared" si="13"/>
        <v>2020</v>
      </c>
      <c r="C60">
        <f t="shared" si="14"/>
        <v>11</v>
      </c>
      <c r="D60" s="18">
        <f>'Monthly Data'!F60</f>
        <v>6779288.3619645424</v>
      </c>
      <c r="E60" s="33">
        <f t="shared" ca="1" si="56"/>
        <v>526.09395833333338</v>
      </c>
      <c r="F60" s="33">
        <f t="shared" ca="1" si="56"/>
        <v>2.2795833333333335</v>
      </c>
      <c r="G60" s="18">
        <f>'Monthly Data'!G60</f>
        <v>10001</v>
      </c>
      <c r="H60">
        <f>'Monthly Data'!BU60</f>
        <v>30</v>
      </c>
      <c r="I60" s="33">
        <f>'Monthly Data'!CQ60</f>
        <v>453.82916666666659</v>
      </c>
      <c r="J60" s="33">
        <f>'Monthly Data'!CX60</f>
        <v>5.0749999999999975</v>
      </c>
      <c r="L60" s="18">
        <f>'Res Predicted Monthly'!$X$8</f>
        <v>-16404845.677784801</v>
      </c>
      <c r="M60" s="18">
        <f ca="1">E60*'Res Predicted Monthly'!$X$9</f>
        <v>3446761.3925240957</v>
      </c>
      <c r="N60" s="18">
        <f ca="1">F60*'Res Predicted Monthly'!$X$10</f>
        <v>33247.921876827779</v>
      </c>
      <c r="O60" s="18">
        <f>G60*'Res Predicted Monthly'!$X$11</f>
        <v>13471689.833000572</v>
      </c>
      <c r="P60" s="18">
        <f>H60*'Res Predicted Monthly'!$X$12</f>
        <v>6303145.7404868407</v>
      </c>
      <c r="Q60" s="18">
        <f>I60*'Res Predicted Monthly'!$X$13</f>
        <v>245442.08062535437</v>
      </c>
      <c r="R60" s="18">
        <f>J60*'Res Predicted Monthly'!$X$14</f>
        <v>11133.627622506458</v>
      </c>
      <c r="S60" s="18">
        <f t="shared" ca="1" si="3"/>
        <v>7106574.918351396</v>
      </c>
      <c r="T60" s="30">
        <f t="shared" ca="1" si="50"/>
        <v>327286.55638685357</v>
      </c>
      <c r="U60" s="35">
        <f t="shared" ca="1" si="51"/>
        <v>4.8277420713228152E-2</v>
      </c>
      <c r="AK60" s="33">
        <f t="shared" ref="AK60:AN60" ca="1" si="63">AK48</f>
        <v>463.17823132610772</v>
      </c>
      <c r="AL60" s="33">
        <f t="shared" ca="1" si="63"/>
        <v>586.4123275463005</v>
      </c>
      <c r="AM60" s="33">
        <f t="shared" ca="1" si="63"/>
        <v>1.8971227598785685</v>
      </c>
      <c r="AN60" s="33">
        <f t="shared" ca="1" si="63"/>
        <v>2.4715112352902775</v>
      </c>
      <c r="AP60" s="18">
        <f ca="1">AK60*'Res Predicted Monthly'!$X$9</f>
        <v>3034562.2113776528</v>
      </c>
      <c r="AQ60" s="18">
        <f ca="1">AL60*'Res Predicted Monthly'!$X$9</f>
        <v>3841943.7035354339</v>
      </c>
      <c r="AR60" s="18">
        <f ca="1">AM60*'Res Predicted Monthly'!$X$10</f>
        <v>27669.701032145298</v>
      </c>
      <c r="AS60" s="18">
        <f ca="1">AN60*'Res Predicted Monthly'!$X$10</f>
        <v>36047.207078179461</v>
      </c>
      <c r="AU60" s="31">
        <f t="shared" ca="1" si="4"/>
        <v>6688797.5163602708</v>
      </c>
      <c r="AV60" s="31">
        <f t="shared" ca="1" si="5"/>
        <v>7504556.5145640858</v>
      </c>
    </row>
    <row r="61" spans="1:48">
      <c r="A61" s="541">
        <f>'Monthly Data'!A61</f>
        <v>44166</v>
      </c>
      <c r="B61">
        <f t="shared" si="13"/>
        <v>2020</v>
      </c>
      <c r="C61">
        <f t="shared" si="14"/>
        <v>12</v>
      </c>
      <c r="D61" s="18">
        <f>'Monthly Data'!F61</f>
        <v>8783121.3811953124</v>
      </c>
      <c r="E61" s="33">
        <f t="shared" ca="1" si="56"/>
        <v>750.36333333333334</v>
      </c>
      <c r="F61" s="33">
        <f t="shared" ca="1" si="56"/>
        <v>0</v>
      </c>
      <c r="G61" s="18">
        <f>'Monthly Data'!G61</f>
        <v>10019</v>
      </c>
      <c r="H61">
        <f>'Monthly Data'!BU61</f>
        <v>31</v>
      </c>
      <c r="I61" s="33">
        <f>'Monthly Data'!CQ61</f>
        <v>713.91666666666674</v>
      </c>
      <c r="J61" s="33">
        <f>'Monthly Data'!CX61</f>
        <v>0</v>
      </c>
      <c r="L61" s="18">
        <f>'Res Predicted Monthly'!$X$8</f>
        <v>-16404845.677784801</v>
      </c>
      <c r="M61" s="18">
        <f ca="1">E61*'Res Predicted Monthly'!$X$9</f>
        <v>4916086.4266385026</v>
      </c>
      <c r="N61" s="18">
        <f ca="1">F61*'Res Predicted Monthly'!$X$10</f>
        <v>0</v>
      </c>
      <c r="O61" s="18">
        <f>G61*'Res Predicted Monthly'!$X$11</f>
        <v>13495936.450038271</v>
      </c>
      <c r="P61" s="18">
        <f>H61*'Res Predicted Monthly'!$X$12</f>
        <v>6513250.5985030681</v>
      </c>
      <c r="Q61" s="18">
        <f>I61*'Res Predicted Monthly'!$X$13</f>
        <v>386103.85786087118</v>
      </c>
      <c r="R61" s="18">
        <f>J61*'Res Predicted Monthly'!$X$14</f>
        <v>0</v>
      </c>
      <c r="S61" s="18">
        <f t="shared" ca="1" si="3"/>
        <v>8906531.6552559119</v>
      </c>
      <c r="T61" s="30">
        <f t="shared" ca="1" si="50"/>
        <v>123410.27406059951</v>
      </c>
      <c r="U61" s="35">
        <f t="shared" ca="1" si="51"/>
        <v>1.4050844649012963E-2</v>
      </c>
      <c r="AK61" s="33">
        <f t="shared" ref="AK61:AN61" ca="1" si="64">AK49</f>
        <v>660.62716760013984</v>
      </c>
      <c r="AL61" s="33">
        <f t="shared" ca="1" si="64"/>
        <v>836.39490975983074</v>
      </c>
      <c r="AM61" s="33">
        <f t="shared" ca="1" si="64"/>
        <v>0</v>
      </c>
      <c r="AN61" s="33">
        <f t="shared" ca="1" si="64"/>
        <v>0</v>
      </c>
      <c r="AP61" s="18">
        <f ca="1">AK61*'Res Predicted Monthly'!$X$9</f>
        <v>4328170.2442474803</v>
      </c>
      <c r="AQ61" s="18">
        <f ca="1">AL61*'Res Predicted Monthly'!$X$9</f>
        <v>5479731.5920463055</v>
      </c>
      <c r="AR61" s="18">
        <f ca="1">AM61*'Res Predicted Monthly'!$X$10</f>
        <v>0</v>
      </c>
      <c r="AS61" s="18">
        <f ca="1">AN61*'Res Predicted Monthly'!$X$10</f>
        <v>0</v>
      </c>
      <c r="AU61" s="31">
        <f t="shared" ca="1" si="4"/>
        <v>8318615.4728648895</v>
      </c>
      <c r="AV61" s="31">
        <f t="shared" ca="1" si="5"/>
        <v>9470176.8206637148</v>
      </c>
    </row>
    <row r="62" spans="1:48">
      <c r="A62" s="541">
        <f>'Monthly Data'!A62</f>
        <v>44197</v>
      </c>
      <c r="B62">
        <f t="shared" si="13"/>
        <v>2021</v>
      </c>
      <c r="C62">
        <f t="shared" si="14"/>
        <v>1</v>
      </c>
      <c r="D62" s="18">
        <f>'Monthly Data'!F62</f>
        <v>8947694.596042579</v>
      </c>
      <c r="E62" s="33">
        <f t="shared" ca="1" si="56"/>
        <v>852.55166666666662</v>
      </c>
      <c r="F62" s="33">
        <f t="shared" ca="1" si="56"/>
        <v>0</v>
      </c>
      <c r="G62" s="18">
        <f>'Monthly Data'!G62</f>
        <v>10021</v>
      </c>
      <c r="H62">
        <f>'Monthly Data'!BU62</f>
        <v>31</v>
      </c>
      <c r="I62" s="33">
        <f>'Monthly Data'!CQ62</f>
        <v>593.23125000000005</v>
      </c>
      <c r="J62" s="33">
        <f>'Monthly Data'!CX62</f>
        <v>0</v>
      </c>
      <c r="L62" s="18">
        <f>'Res Predicted Monthly'!$X$8</f>
        <v>-16404845.677784801</v>
      </c>
      <c r="M62" s="18">
        <f ca="1">E62*'Res Predicted Monthly'!$X$9</f>
        <v>5585584.3300463771</v>
      </c>
      <c r="N62" s="18">
        <f ca="1">F62*'Res Predicted Monthly'!$X$10</f>
        <v>0</v>
      </c>
      <c r="O62" s="18">
        <f>G62*'Res Predicted Monthly'!$X$11</f>
        <v>13498630.518598014</v>
      </c>
      <c r="P62" s="18">
        <f>H62*'Res Predicted Monthly'!$X$12</f>
        <v>6513250.5985030681</v>
      </c>
      <c r="Q62" s="18">
        <f>I62*'Res Predicted Monthly'!$X$13</f>
        <v>320834.18825067388</v>
      </c>
      <c r="R62" s="18">
        <f>J62*'Res Predicted Monthly'!$X$14</f>
        <v>0</v>
      </c>
      <c r="S62" s="18">
        <f t="shared" ca="1" si="3"/>
        <v>9513453.9576133341</v>
      </c>
      <c r="T62" s="30">
        <f t="shared" ca="1" si="50"/>
        <v>565759.36157075502</v>
      </c>
      <c r="U62" s="35">
        <f t="shared" ca="1" si="51"/>
        <v>6.3229623619583675E-2</v>
      </c>
      <c r="AK62" s="33">
        <f t="shared" ref="AK62:AN62" ca="1" si="65">AK50</f>
        <v>750.59476891120983</v>
      </c>
      <c r="AL62" s="33">
        <f t="shared" ca="1" si="65"/>
        <v>950.29946511324727</v>
      </c>
      <c r="AM62" s="33">
        <f t="shared" ca="1" si="65"/>
        <v>0</v>
      </c>
      <c r="AN62" s="33">
        <f t="shared" ca="1" si="65"/>
        <v>0</v>
      </c>
      <c r="AP62" s="18">
        <f ca="1">AK62*'Res Predicted Monthly'!$X$9</f>
        <v>4917602.7018247992</v>
      </c>
      <c r="AQ62" s="18">
        <f ca="1">AL62*'Res Predicted Monthly'!$X$9</f>
        <v>6225989.5895122774</v>
      </c>
      <c r="AR62" s="18">
        <f ca="1">AM62*'Res Predicted Monthly'!$X$10</f>
        <v>0</v>
      </c>
      <c r="AS62" s="18">
        <f ca="1">AN62*'Res Predicted Monthly'!$X$10</f>
        <v>0</v>
      </c>
      <c r="AU62" s="31">
        <f t="shared" ca="1" si="4"/>
        <v>8845472.3293917552</v>
      </c>
      <c r="AV62" s="31">
        <f t="shared" ca="1" si="5"/>
        <v>10153859.217079233</v>
      </c>
    </row>
    <row r="63" spans="1:48">
      <c r="A63" s="541">
        <f>'Monthly Data'!A63</f>
        <v>44228</v>
      </c>
      <c r="B63">
        <f t="shared" si="13"/>
        <v>2021</v>
      </c>
      <c r="C63">
        <f t="shared" si="14"/>
        <v>2</v>
      </c>
      <c r="D63" s="18">
        <f>'Monthly Data'!F63</f>
        <v>8282825.1054581115</v>
      </c>
      <c r="E63" s="33">
        <f t="shared" ca="1" si="56"/>
        <v>747.22854166666662</v>
      </c>
      <c r="F63" s="33">
        <f t="shared" ca="1" si="56"/>
        <v>0</v>
      </c>
      <c r="G63" s="18">
        <f>'Monthly Data'!G63</f>
        <v>10032</v>
      </c>
      <c r="H63">
        <f>'Monthly Data'!BU63</f>
        <v>28</v>
      </c>
      <c r="I63" s="33">
        <f>'Monthly Data'!CQ63</f>
        <v>572.93749999999989</v>
      </c>
      <c r="J63" s="33">
        <f>'Monthly Data'!CX63</f>
        <v>0</v>
      </c>
      <c r="L63" s="18">
        <f>'Res Predicted Monthly'!$X$8</f>
        <v>-16404845.677784801</v>
      </c>
      <c r="M63" s="18">
        <f ca="1">E63*'Res Predicted Monthly'!$X$9</f>
        <v>4895548.500438964</v>
      </c>
      <c r="N63" s="18">
        <f ca="1">F63*'Res Predicted Monthly'!$X$10</f>
        <v>0</v>
      </c>
      <c r="O63" s="18">
        <f>G63*'Res Predicted Monthly'!$X$11</f>
        <v>13513447.895676607</v>
      </c>
      <c r="P63" s="18">
        <f>H63*'Res Predicted Monthly'!$X$12</f>
        <v>5882936.0244543841</v>
      </c>
      <c r="Q63" s="18">
        <f>I63*'Res Predicted Monthly'!$X$13</f>
        <v>309858.82441437535</v>
      </c>
      <c r="R63" s="18">
        <f>J63*'Res Predicted Monthly'!$X$14</f>
        <v>0</v>
      </c>
      <c r="S63" s="18">
        <f t="shared" ca="1" si="3"/>
        <v>8196945.5671995301</v>
      </c>
      <c r="T63" s="30">
        <f t="shared" ca="1" si="50"/>
        <v>-85879.538258581422</v>
      </c>
      <c r="U63" s="35">
        <f t="shared" ca="1" si="51"/>
        <v>1.0368387254970482E-2</v>
      </c>
      <c r="AK63" s="33">
        <f t="shared" ref="AK63:AN63" ca="1" si="66">AK51</f>
        <v>657.86726656584096</v>
      </c>
      <c r="AL63" s="33">
        <f t="shared" ca="1" si="66"/>
        <v>832.90070411746512</v>
      </c>
      <c r="AM63" s="33">
        <f t="shared" ca="1" si="66"/>
        <v>0</v>
      </c>
      <c r="AN63" s="33">
        <f t="shared" ca="1" si="66"/>
        <v>0</v>
      </c>
      <c r="AP63" s="18">
        <f ca="1">AK63*'Res Predicted Monthly'!$X$9</f>
        <v>4310088.4545186171</v>
      </c>
      <c r="AQ63" s="18">
        <f ca="1">AL63*'Res Predicted Monthly'!$X$9</f>
        <v>5456838.9263639245</v>
      </c>
      <c r="AR63" s="18">
        <f ca="1">AM63*'Res Predicted Monthly'!$X$10</f>
        <v>0</v>
      </c>
      <c r="AS63" s="18">
        <f ca="1">AN63*'Res Predicted Monthly'!$X$10</f>
        <v>0</v>
      </c>
      <c r="AU63" s="31">
        <f t="shared" ca="1" si="4"/>
        <v>7611485.5212791832</v>
      </c>
      <c r="AV63" s="31">
        <f t="shared" ca="1" si="5"/>
        <v>8758235.9931244906</v>
      </c>
    </row>
    <row r="64" spans="1:48">
      <c r="A64" s="541">
        <f>'Monthly Data'!A64</f>
        <v>44256</v>
      </c>
      <c r="B64">
        <f t="shared" si="13"/>
        <v>2021</v>
      </c>
      <c r="C64">
        <f t="shared" si="14"/>
        <v>3</v>
      </c>
      <c r="D64" s="18">
        <f>'Monthly Data'!F64</f>
        <v>7841494.614873644</v>
      </c>
      <c r="E64" s="33">
        <f t="shared" ca="1" si="56"/>
        <v>636.29604166666672</v>
      </c>
      <c r="F64" s="33">
        <f t="shared" ca="1" si="56"/>
        <v>0</v>
      </c>
      <c r="G64" s="18">
        <f>'Monthly Data'!G64</f>
        <v>10053</v>
      </c>
      <c r="H64">
        <f>'Monthly Data'!BU64</f>
        <v>31</v>
      </c>
      <c r="I64" s="33">
        <f>'Monthly Data'!CQ64</f>
        <v>442.24062500000014</v>
      </c>
      <c r="J64" s="33">
        <f>'Monthly Data'!CX64</f>
        <v>0</v>
      </c>
      <c r="L64" s="18">
        <f>'Res Predicted Monthly'!$X$8</f>
        <v>-16404845.677784801</v>
      </c>
      <c r="M64" s="18">
        <f ca="1">E64*'Res Predicted Monthly'!$X$9</f>
        <v>4168762.2446387853</v>
      </c>
      <c r="N64" s="18">
        <f ca="1">F64*'Res Predicted Monthly'!$X$10</f>
        <v>0</v>
      </c>
      <c r="O64" s="18">
        <f>G64*'Res Predicted Monthly'!$X$11</f>
        <v>13541735.615553921</v>
      </c>
      <c r="P64" s="18">
        <f>H64*'Res Predicted Monthly'!$X$12</f>
        <v>6513250.5985030681</v>
      </c>
      <c r="Q64" s="18">
        <f>I64*'Res Predicted Monthly'!$X$13</f>
        <v>239174.70958137439</v>
      </c>
      <c r="R64" s="18">
        <f>J64*'Res Predicted Monthly'!$X$14</f>
        <v>0</v>
      </c>
      <c r="S64" s="18">
        <f t="shared" ca="1" si="3"/>
        <v>8058077.4904923486</v>
      </c>
      <c r="T64" s="30">
        <f t="shared" ca="1" si="50"/>
        <v>216582.87561870459</v>
      </c>
      <c r="U64" s="35">
        <f t="shared" ca="1" si="51"/>
        <v>2.7620101301592818E-2</v>
      </c>
      <c r="AK64" s="33">
        <f t="shared" ref="AK64:AN64" ca="1" si="67">AK52</f>
        <v>560.20121598172079</v>
      </c>
      <c r="AL64" s="33">
        <f t="shared" ca="1" si="67"/>
        <v>709.24943518517148</v>
      </c>
      <c r="AM64" s="33">
        <f t="shared" ca="1" si="67"/>
        <v>0</v>
      </c>
      <c r="AN64" s="33">
        <f t="shared" ca="1" si="67"/>
        <v>0</v>
      </c>
      <c r="AP64" s="18">
        <f ca="1">AK64*'Res Predicted Monthly'!$X$9</f>
        <v>3670218.7750033834</v>
      </c>
      <c r="AQ64" s="18">
        <f ca="1">AL64*'Res Predicted Monthly'!$X$9</f>
        <v>4646724.2821231214</v>
      </c>
      <c r="AR64" s="18">
        <f ca="1">AM64*'Res Predicted Monthly'!$X$10</f>
        <v>0</v>
      </c>
      <c r="AS64" s="18">
        <f ca="1">AN64*'Res Predicted Monthly'!$X$10</f>
        <v>0</v>
      </c>
      <c r="AU64" s="31">
        <f t="shared" ca="1" si="4"/>
        <v>7559534.0208569467</v>
      </c>
      <c r="AV64" s="31">
        <f t="shared" ca="1" si="5"/>
        <v>8536039.5279766843</v>
      </c>
    </row>
    <row r="65" spans="1:48">
      <c r="A65" s="541">
        <f>'Monthly Data'!A65</f>
        <v>44287</v>
      </c>
      <c r="B65">
        <f t="shared" si="13"/>
        <v>2021</v>
      </c>
      <c r="C65">
        <f t="shared" si="14"/>
        <v>4</v>
      </c>
      <c r="D65" s="18">
        <f>'Monthly Data'!F65</f>
        <v>6176221.1242891774</v>
      </c>
      <c r="E65" s="33">
        <f t="shared" ca="1" si="56"/>
        <v>408.60374999999999</v>
      </c>
      <c r="F65" s="33">
        <f t="shared" ca="1" si="56"/>
        <v>2.8104166666666677</v>
      </c>
      <c r="G65" s="18">
        <f>'Monthly Data'!G65</f>
        <v>10059</v>
      </c>
      <c r="H65">
        <f>'Monthly Data'!BU65</f>
        <v>30</v>
      </c>
      <c r="I65" s="33">
        <f>'Monthly Data'!CQ65</f>
        <v>240.89687499999999</v>
      </c>
      <c r="J65" s="33">
        <f>'Monthly Data'!CX65</f>
        <v>6.8156250000000007</v>
      </c>
      <c r="L65" s="18">
        <f>'Res Predicted Monthly'!$X$8</f>
        <v>-16404845.677784801</v>
      </c>
      <c r="M65" s="18">
        <f ca="1">E65*'Res Predicted Monthly'!$X$9</f>
        <v>2677011.6022663582</v>
      </c>
      <c r="N65" s="18">
        <f ca="1">F65*'Res Predicted Monthly'!$X$10</f>
        <v>40990.172374191818</v>
      </c>
      <c r="O65" s="18">
        <f>G65*'Res Predicted Monthly'!$X$11</f>
        <v>13549817.821233153</v>
      </c>
      <c r="P65" s="18">
        <f>H65*'Res Predicted Monthly'!$X$12</f>
        <v>6303145.7404868407</v>
      </c>
      <c r="Q65" s="18">
        <f>I65*'Res Predicted Monthly'!$X$13</f>
        <v>130283.01078668571</v>
      </c>
      <c r="R65" s="18">
        <f>J65*'Res Predicted Monthly'!$X$14</f>
        <v>14952.242515201107</v>
      </c>
      <c r="S65" s="18">
        <f t="shared" ca="1" si="3"/>
        <v>6311354.9118776312</v>
      </c>
      <c r="T65" s="30">
        <f t="shared" ca="1" si="50"/>
        <v>135133.78758845385</v>
      </c>
      <c r="U65" s="35">
        <f t="shared" ca="1" si="51"/>
        <v>2.187968741226156E-2</v>
      </c>
      <c r="AK65" s="33">
        <f t="shared" ref="AK65:AN65" ca="1" si="68">AK53</f>
        <v>359.73871062458045</v>
      </c>
      <c r="AL65" s="33">
        <f t="shared" ca="1" si="68"/>
        <v>455.4514878686926</v>
      </c>
      <c r="AM65" s="33">
        <f t="shared" ca="1" si="68"/>
        <v>2.33889472041326</v>
      </c>
      <c r="AN65" s="33">
        <f t="shared" ca="1" si="68"/>
        <v>3.0470377046304016</v>
      </c>
      <c r="AP65" s="18">
        <f ca="1">AK65*'Res Predicted Monthly'!$X$9</f>
        <v>2356867.0187837039</v>
      </c>
      <c r="AQ65" s="18">
        <f ca="1">AL65*'Res Predicted Monthly'!$X$9</f>
        <v>2983939.617034757</v>
      </c>
      <c r="AR65" s="18">
        <f ca="1">AM65*'Res Predicted Monthly'!$X$10</f>
        <v>34112.983634037664</v>
      </c>
      <c r="AS65" s="18">
        <f ca="1">AN65*'Res Predicted Monthly'!$X$10</f>
        <v>44441.310864982734</v>
      </c>
      <c r="AU65" s="31">
        <f t="shared" ca="1" si="4"/>
        <v>5984333.1396548226</v>
      </c>
      <c r="AV65" s="31">
        <f t="shared" ca="1" si="5"/>
        <v>6621734.065136821</v>
      </c>
    </row>
    <row r="66" spans="1:48">
      <c r="A66" s="541">
        <f>'Monthly Data'!A66</f>
        <v>44317</v>
      </c>
      <c r="B66">
        <f t="shared" si="13"/>
        <v>2021</v>
      </c>
      <c r="C66">
        <f t="shared" si="14"/>
        <v>5</v>
      </c>
      <c r="D66" s="18">
        <f>'Monthly Data'!F66</f>
        <v>6246538.6337047098</v>
      </c>
      <c r="E66" s="33">
        <f t="shared" ca="1" si="56"/>
        <v>178.10395833333331</v>
      </c>
      <c r="F66" s="33">
        <f t="shared" ca="1" si="56"/>
        <v>74.673124999999999</v>
      </c>
      <c r="G66" s="18">
        <f>'Monthly Data'!G66</f>
        <v>10066</v>
      </c>
      <c r="H66">
        <f>'Monthly Data'!BU66</f>
        <v>31</v>
      </c>
      <c r="I66" s="33">
        <f>'Monthly Data'!CQ66</f>
        <v>151.25625000000002</v>
      </c>
      <c r="J66" s="33">
        <f>'Monthly Data'!CX66</f>
        <v>59.281250000000014</v>
      </c>
      <c r="L66" s="18">
        <f>'Res Predicted Monthly'!$X$8</f>
        <v>-16404845.677784801</v>
      </c>
      <c r="M66" s="18">
        <f ca="1">E66*'Res Predicted Monthly'!$X$9</f>
        <v>1166867.3204000143</v>
      </c>
      <c r="N66" s="18">
        <f ca="1">F66*'Res Predicted Monthly'!$X$10</f>
        <v>1089114.045534021</v>
      </c>
      <c r="O66" s="18">
        <f>G66*'Res Predicted Monthly'!$X$11</f>
        <v>13559247.061192257</v>
      </c>
      <c r="P66" s="18">
        <f>H66*'Res Predicted Monthly'!$X$12</f>
        <v>6513250.5985030681</v>
      </c>
      <c r="Q66" s="18">
        <f>I66*'Res Predicted Monthly'!$X$13</f>
        <v>81803.135264015495</v>
      </c>
      <c r="R66" s="18">
        <f>J66*'Res Predicted Monthly'!$X$14</f>
        <v>130052.2881766919</v>
      </c>
      <c r="S66" s="18">
        <f t="shared" ca="1" si="3"/>
        <v>6135488.7712852675</v>
      </c>
      <c r="T66" s="30">
        <f t="shared" ca="1" si="50"/>
        <v>-111049.86241944227</v>
      </c>
      <c r="U66" s="35">
        <f t="shared" ca="1" si="51"/>
        <v>1.7777823676659244E-2</v>
      </c>
      <c r="AK66" s="33">
        <f t="shared" ref="AK66:AN66" ca="1" si="69">AK54</f>
        <v>156.80445499574424</v>
      </c>
      <c r="AL66" s="33">
        <f t="shared" ca="1" si="69"/>
        <v>198.52415162176143</v>
      </c>
      <c r="AM66" s="33">
        <f t="shared" ca="1" si="69"/>
        <v>62.144727467193846</v>
      </c>
      <c r="AN66" s="33">
        <f t="shared" ca="1" si="69"/>
        <v>80.960175797507716</v>
      </c>
      <c r="AP66" s="18">
        <f ca="1">AK66*'Res Predicted Monthly'!$X$9</f>
        <v>1027321.3236801189</v>
      </c>
      <c r="AQ66" s="18">
        <f ca="1">AL66*'Res Predicted Monthly'!$X$9</f>
        <v>1300652.4223567233</v>
      </c>
      <c r="AR66" s="18">
        <f ca="1">AM66*'Res Predicted Monthly'!$X$10</f>
        <v>906386.27404979616</v>
      </c>
      <c r="AS66" s="18">
        <f ca="1">AN66*'Res Predicted Monthly'!$X$10</f>
        <v>1180811.2301443012</v>
      </c>
      <c r="AU66" s="31">
        <f t="shared" ca="1" si="4"/>
        <v>5813215.0030811476</v>
      </c>
      <c r="AV66" s="31">
        <f t="shared" ca="1" si="5"/>
        <v>6360971.057852257</v>
      </c>
    </row>
    <row r="67" spans="1:48">
      <c r="A67" s="541">
        <f>'Monthly Data'!A67</f>
        <v>44348</v>
      </c>
      <c r="B67">
        <f t="shared" si="13"/>
        <v>2021</v>
      </c>
      <c r="C67">
        <f t="shared" si="14"/>
        <v>6</v>
      </c>
      <c r="D67" s="18">
        <f>'Monthly Data'!F67</f>
        <v>7011045.1431202432</v>
      </c>
      <c r="E67" s="33">
        <f t="shared" ca="1" si="56"/>
        <v>51.834166666666661</v>
      </c>
      <c r="F67" s="33">
        <f t="shared" ca="1" si="56"/>
        <v>169.78833333333333</v>
      </c>
      <c r="G67" s="18">
        <f>'Monthly Data'!G67</f>
        <v>10064</v>
      </c>
      <c r="H67">
        <f>'Monthly Data'!BU67</f>
        <v>30</v>
      </c>
      <c r="I67" s="33">
        <f>'Monthly Data'!CQ67</f>
        <v>18.871874999999996</v>
      </c>
      <c r="J67" s="33">
        <f>'Monthly Data'!CX67</f>
        <v>162.06874999999997</v>
      </c>
      <c r="L67" s="18">
        <f>'Res Predicted Monthly'!$X$8</f>
        <v>-16404845.677784801</v>
      </c>
      <c r="M67" s="18">
        <f ca="1">E67*'Res Predicted Monthly'!$X$9</f>
        <v>339597.14163287729</v>
      </c>
      <c r="N67" s="18">
        <f ca="1">F67*'Res Predicted Monthly'!$X$10</f>
        <v>2476377.6606529527</v>
      </c>
      <c r="O67" s="18">
        <f>G67*'Res Predicted Monthly'!$X$11</f>
        <v>13556552.992632514</v>
      </c>
      <c r="P67" s="18">
        <f>H67*'Res Predicted Monthly'!$X$12</f>
        <v>6303145.7404868407</v>
      </c>
      <c r="Q67" s="18">
        <f>I67*'Res Predicted Monthly'!$X$13</f>
        <v>10206.378535171882</v>
      </c>
      <c r="R67" s="18">
        <f>J67*'Res Predicted Monthly'!$X$14</f>
        <v>355549.38162464905</v>
      </c>
      <c r="S67" s="18">
        <f t="shared" ref="S67:S130" ca="1" si="70">SUM(L67:R67)</f>
        <v>6636583.6177802049</v>
      </c>
      <c r="T67" s="30">
        <f t="shared" ca="1" si="50"/>
        <v>-374461.52534003835</v>
      </c>
      <c r="U67" s="35">
        <f t="shared" ca="1" si="51"/>
        <v>5.3410228816952884E-2</v>
      </c>
      <c r="AK67" s="33">
        <f t="shared" ref="AK67:AN67" ca="1" si="71">AK55</f>
        <v>45.635303843800436</v>
      </c>
      <c r="AL67" s="33">
        <f t="shared" ca="1" si="71"/>
        <v>57.777121063541692</v>
      </c>
      <c r="AM67" s="33">
        <f t="shared" ca="1" si="71"/>
        <v>141.30183653234096</v>
      </c>
      <c r="AN67" s="33">
        <f t="shared" ca="1" si="71"/>
        <v>184.0835416360639</v>
      </c>
      <c r="AP67" s="18">
        <f ca="1">AK67*'Res Predicted Monthly'!$X$9</f>
        <v>298984.62229679566</v>
      </c>
      <c r="AQ67" s="18">
        <f ca="1">AL67*'Res Predicted Monthly'!$X$9</f>
        <v>378533.04927487596</v>
      </c>
      <c r="AR67" s="18">
        <f ca="1">AM67*'Res Predicted Monthly'!$X$10</f>
        <v>2060899.6185324343</v>
      </c>
      <c r="AS67" s="18">
        <f ca="1">AN67*'Res Predicted Monthly'!$X$10</f>
        <v>2684874.5214223182</v>
      </c>
      <c r="AU67" s="31">
        <f t="shared" ref="AU67:AU130" ca="1" si="72">AP67+AR67-M67-N67+S67</f>
        <v>6180493.0563236047</v>
      </c>
      <c r="AV67" s="31">
        <f t="shared" ref="AV67:AV130" ca="1" si="73">AQ67+AS67-M67-N67+S67</f>
        <v>6884016.3861915693</v>
      </c>
    </row>
    <row r="68" spans="1:48">
      <c r="A68" s="541">
        <f>'Monthly Data'!A68</f>
        <v>44378</v>
      </c>
      <c r="B68">
        <f t="shared" si="13"/>
        <v>2021</v>
      </c>
      <c r="C68">
        <f t="shared" si="14"/>
        <v>7</v>
      </c>
      <c r="D68" s="18">
        <f>'Monthly Data'!F68</f>
        <v>7147666.6525357757</v>
      </c>
      <c r="E68" s="33">
        <f t="shared" ca="1" si="56"/>
        <v>6.5670833333333318</v>
      </c>
      <c r="F68" s="33">
        <f t="shared" ca="1" si="56"/>
        <v>265.99625000000003</v>
      </c>
      <c r="G68" s="18">
        <f>'Monthly Data'!G68</f>
        <v>10086</v>
      </c>
      <c r="H68">
        <f>'Monthly Data'!BU68</f>
        <v>31</v>
      </c>
      <c r="I68" s="33">
        <f>'Monthly Data'!CQ68</f>
        <v>17.593749999999996</v>
      </c>
      <c r="J68" s="33">
        <f>'Monthly Data'!CX68</f>
        <v>154.33125000000004</v>
      </c>
      <c r="L68" s="18">
        <f>'Res Predicted Monthly'!$X$8</f>
        <v>-16404845.677784801</v>
      </c>
      <c r="M68" s="18">
        <f ca="1">E68*'Res Predicted Monthly'!$X$9</f>
        <v>43024.95578267052</v>
      </c>
      <c r="N68" s="18">
        <f ca="1">F68*'Res Predicted Monthly'!$X$10</f>
        <v>3879578.5221842378</v>
      </c>
      <c r="O68" s="18">
        <f>G68*'Res Predicted Monthly'!$X$11</f>
        <v>13586187.746789699</v>
      </c>
      <c r="P68" s="18">
        <f>H68*'Res Predicted Monthly'!$X$12</f>
        <v>6513250.5985030681</v>
      </c>
      <c r="Q68" s="18">
        <f>I68*'Res Predicted Monthly'!$X$13</f>
        <v>9515.1368029504374</v>
      </c>
      <c r="R68" s="18">
        <f>J68*'Res Predicted Monthly'!$X$14</f>
        <v>338574.71290954703</v>
      </c>
      <c r="S68" s="18">
        <f t="shared" ca="1" si="70"/>
        <v>7965285.9951873729</v>
      </c>
      <c r="T68" s="30">
        <f t="shared" ca="1" si="50"/>
        <v>817619.34265159722</v>
      </c>
      <c r="U68" s="35">
        <f t="shared" ca="1" si="51"/>
        <v>0.11438968580907878</v>
      </c>
      <c r="AK68" s="33">
        <f t="shared" ref="AK68:AN68" ca="1" si="74">AK56</f>
        <v>5.7817239584744504</v>
      </c>
      <c r="AL68" s="33">
        <f t="shared" ca="1" si="74"/>
        <v>7.3200206193025874</v>
      </c>
      <c r="AM68" s="33">
        <f t="shared" ca="1" si="74"/>
        <v>221.36832312221517</v>
      </c>
      <c r="AN68" s="33">
        <f t="shared" ca="1" si="74"/>
        <v>288.39161561107579</v>
      </c>
      <c r="AP68" s="18">
        <f ca="1">AK68*'Res Predicted Monthly'!$X$9</f>
        <v>37879.589009982119</v>
      </c>
      <c r="AQ68" s="18">
        <f ca="1">AL68*'Res Predicted Monthly'!$X$9</f>
        <v>47957.905738021247</v>
      </c>
      <c r="AR68" s="18">
        <f ca="1">AM68*'Res Predicted Monthly'!$X$10</f>
        <v>3228676.313582941</v>
      </c>
      <c r="AS68" s="18">
        <f ca="1">AN68*'Res Predicted Monthly'!$X$10</f>
        <v>4206216.8842708953</v>
      </c>
      <c r="AU68" s="31">
        <f t="shared" ca="1" si="72"/>
        <v>7309238.4198133871</v>
      </c>
      <c r="AV68" s="31">
        <f t="shared" ca="1" si="73"/>
        <v>8296857.3072293811</v>
      </c>
    </row>
    <row r="69" spans="1:48">
      <c r="A69" s="541">
        <f>'Monthly Data'!A69</f>
        <v>44409</v>
      </c>
      <c r="B69">
        <f t="shared" si="13"/>
        <v>2021</v>
      </c>
      <c r="C69">
        <f t="shared" si="14"/>
        <v>8</v>
      </c>
      <c r="D69" s="18">
        <f>'Monthly Data'!F69</f>
        <v>8365336.1619513091</v>
      </c>
      <c r="E69" s="33">
        <f t="shared" ca="1" si="56"/>
        <v>23.263124999999995</v>
      </c>
      <c r="F69" s="33">
        <f t="shared" ca="1" si="56"/>
        <v>218.46562499999996</v>
      </c>
      <c r="G69" s="18">
        <f>'Monthly Data'!G69</f>
        <v>10096</v>
      </c>
      <c r="H69">
        <f>'Monthly Data'!BU69</f>
        <v>31</v>
      </c>
      <c r="I69" s="33">
        <f>'Monthly Data'!CQ69</f>
        <v>6.1656250000000039</v>
      </c>
      <c r="J69" s="33">
        <f>'Monthly Data'!CX69</f>
        <v>213.07812499999997</v>
      </c>
      <c r="L69" s="18">
        <f>'Res Predicted Monthly'!$X$8</f>
        <v>-16404845.677784801</v>
      </c>
      <c r="M69" s="18">
        <f ca="1">E69*'Res Predicted Monthly'!$X$9</f>
        <v>152410.87613604273</v>
      </c>
      <c r="N69" s="18">
        <f ca="1">F69*'Res Predicted Monthly'!$X$10</f>
        <v>3186340.2081253235</v>
      </c>
      <c r="O69" s="18">
        <f>G69*'Res Predicted Monthly'!$X$11</f>
        <v>13599658.08958842</v>
      </c>
      <c r="P69" s="18">
        <f>H69*'Res Predicted Monthly'!$X$12</f>
        <v>6513250.5985030681</v>
      </c>
      <c r="Q69" s="18">
        <f>I69*'Res Predicted Monthly'!$X$13</f>
        <v>3334.5230749948901</v>
      </c>
      <c r="R69" s="18">
        <f>J69*'Res Predicted Monthly'!$X$14</f>
        <v>467454.67945849942</v>
      </c>
      <c r="S69" s="18">
        <f t="shared" ca="1" si="70"/>
        <v>7517603.2971015479</v>
      </c>
      <c r="T69" s="30">
        <f t="shared" ca="1" si="50"/>
        <v>-847732.86484976113</v>
      </c>
      <c r="U69" s="35">
        <f t="shared" ca="1" si="51"/>
        <v>0.10133876851304179</v>
      </c>
      <c r="AK69" s="33">
        <f t="shared" ref="AK69:AN69" ca="1" si="75">AK57</f>
        <v>20.481081225021654</v>
      </c>
      <c r="AL69" s="33">
        <f t="shared" ca="1" si="75"/>
        <v>25.930317315309463</v>
      </c>
      <c r="AM69" s="33">
        <f t="shared" ca="1" si="75"/>
        <v>181.81222128543794</v>
      </c>
      <c r="AN69" s="33">
        <f t="shared" ca="1" si="75"/>
        <v>236.85918335026682</v>
      </c>
      <c r="AP69" s="18">
        <f ca="1">AK69*'Res Predicted Monthly'!$X$9</f>
        <v>134184.01584993443</v>
      </c>
      <c r="AQ69" s="18">
        <f ca="1">AL69*'Res Predicted Monthly'!$X$9</f>
        <v>169885.27467878521</v>
      </c>
      <c r="AR69" s="18">
        <f ca="1">AM69*'Res Predicted Monthly'!$X$10</f>
        <v>2651747.1158694639</v>
      </c>
      <c r="AS69" s="18">
        <f ca="1">AN69*'Res Predicted Monthly'!$X$10</f>
        <v>3454611.8620386319</v>
      </c>
      <c r="AU69" s="31">
        <f t="shared" ca="1" si="72"/>
        <v>6964783.3445595801</v>
      </c>
      <c r="AV69" s="31">
        <f t="shared" ca="1" si="73"/>
        <v>7803349.3495575991</v>
      </c>
    </row>
    <row r="70" spans="1:48">
      <c r="A70" s="541">
        <f>'Monthly Data'!A70</f>
        <v>44440</v>
      </c>
      <c r="B70">
        <f t="shared" si="13"/>
        <v>2021</v>
      </c>
      <c r="C70">
        <f t="shared" si="14"/>
        <v>9</v>
      </c>
      <c r="D70" s="18">
        <f>'Monthly Data'!F70</f>
        <v>5638411.6713668425</v>
      </c>
      <c r="E70" s="33">
        <f t="shared" ca="1" si="56"/>
        <v>114.73583333333336</v>
      </c>
      <c r="F70" s="33">
        <f t="shared" ca="1" si="56"/>
        <v>95.131249999999994</v>
      </c>
      <c r="G70" s="18">
        <f>'Monthly Data'!G70</f>
        <v>10107</v>
      </c>
      <c r="H70">
        <f>'Monthly Data'!BU70</f>
        <v>30</v>
      </c>
      <c r="I70" s="33">
        <f>'Monthly Data'!CQ70</f>
        <v>78.806250000000006</v>
      </c>
      <c r="J70" s="33">
        <f>'Monthly Data'!CX70</f>
        <v>62.806249999999984</v>
      </c>
      <c r="L70" s="18">
        <f>'Res Predicted Monthly'!$X$8</f>
        <v>-16404845.677784801</v>
      </c>
      <c r="M70" s="18">
        <f ca="1">E70*'Res Predicted Monthly'!$X$9</f>
        <v>751704.20493946178</v>
      </c>
      <c r="N70" s="18">
        <f ca="1">F70*'Res Predicted Monthly'!$X$10</f>
        <v>1387497.5842273687</v>
      </c>
      <c r="O70" s="18">
        <f>G70*'Res Predicted Monthly'!$X$11</f>
        <v>13614475.466667013</v>
      </c>
      <c r="P70" s="18">
        <f>H70*'Res Predicted Monthly'!$X$12</f>
        <v>6303145.7404868407</v>
      </c>
      <c r="Q70" s="18">
        <f>I70*'Res Predicted Monthly'!$X$13</f>
        <v>42620.376535844443</v>
      </c>
      <c r="R70" s="18">
        <f>J70*'Res Predicted Monthly'!$X$14</f>
        <v>137785.49751055101</v>
      </c>
      <c r="S70" s="18">
        <f t="shared" ca="1" si="70"/>
        <v>5832383.1925822794</v>
      </c>
      <c r="T70" s="30">
        <f t="shared" ca="1" si="50"/>
        <v>193971.52121543698</v>
      </c>
      <c r="U70" s="35">
        <f t="shared" ca="1" si="51"/>
        <v>3.4401801876310166E-2</v>
      </c>
      <c r="AK70" s="33">
        <f t="shared" ref="AK70:AN70" ca="1" si="76">AK58</f>
        <v>101.01454219588074</v>
      </c>
      <c r="AL70" s="33">
        <f t="shared" ca="1" si="76"/>
        <v>127.89066669975746</v>
      </c>
      <c r="AM70" s="33">
        <f t="shared" ca="1" si="76"/>
        <v>79.170459316701752</v>
      </c>
      <c r="AN70" s="33">
        <f t="shared" ca="1" si="76"/>
        <v>103.14075812197032</v>
      </c>
      <c r="AP70" s="18">
        <f ca="1">AK70*'Res Predicted Monthly'!$X$9</f>
        <v>661807.68398723053</v>
      </c>
      <c r="AQ70" s="18">
        <f ca="1">AL70*'Res Predicted Monthly'!$X$9</f>
        <v>837889.51662051689</v>
      </c>
      <c r="AR70" s="18">
        <f ca="1">AM70*'Res Predicted Monthly'!$X$10</f>
        <v>1154708.0590667615</v>
      </c>
      <c r="AS70" s="18">
        <f ca="1">AN70*'Res Predicted Monthly'!$X$10</f>
        <v>1504316.9592495966</v>
      </c>
      <c r="AU70" s="31">
        <f t="shared" ca="1" si="72"/>
        <v>5509697.1464694412</v>
      </c>
      <c r="AV70" s="31">
        <f t="shared" ca="1" si="73"/>
        <v>6035387.8792855628</v>
      </c>
    </row>
    <row r="71" spans="1:48">
      <c r="A71" s="541">
        <f>'Monthly Data'!A71</f>
        <v>44470</v>
      </c>
      <c r="B71">
        <f t="shared" si="13"/>
        <v>2021</v>
      </c>
      <c r="C71">
        <f t="shared" si="14"/>
        <v>10</v>
      </c>
      <c r="D71" s="18">
        <f>'Monthly Data'!F71</f>
        <v>5991389.1807823749</v>
      </c>
      <c r="E71" s="33">
        <f t="shared" ca="1" si="56"/>
        <v>302.40479166666665</v>
      </c>
      <c r="F71" s="33">
        <f t="shared" ca="1" si="56"/>
        <v>21.813750000000006</v>
      </c>
      <c r="G71" s="18">
        <f>'Monthly Data'!G71</f>
        <v>10112</v>
      </c>
      <c r="H71">
        <f>'Monthly Data'!BU71</f>
        <v>31</v>
      </c>
      <c r="I71" s="33">
        <f>'Monthly Data'!CQ71</f>
        <v>174.546875</v>
      </c>
      <c r="J71" s="33">
        <f>'Monthly Data'!CX71</f>
        <v>28.599999999999994</v>
      </c>
      <c r="L71" s="18">
        <f>'Res Predicted Monthly'!$X$8</f>
        <v>-16404845.677784801</v>
      </c>
      <c r="M71" s="18">
        <f ca="1">E71*'Res Predicted Monthly'!$X$9</f>
        <v>1981237.655975031</v>
      </c>
      <c r="N71" s="18">
        <f ca="1">F71*'Res Predicted Monthly'!$X$10</f>
        <v>318155.44763618446</v>
      </c>
      <c r="O71" s="18">
        <f>G71*'Res Predicted Monthly'!$X$11</f>
        <v>13621210.638066374</v>
      </c>
      <c r="P71" s="18">
        <f>H71*'Res Predicted Monthly'!$X$12</f>
        <v>6513250.5985030681</v>
      </c>
      <c r="Q71" s="18">
        <f>I71*'Res Predicted Monthly'!$X$13</f>
        <v>94399.283504226783</v>
      </c>
      <c r="R71" s="18">
        <f>J71*'Res Predicted Monthly'!$X$14</f>
        <v>62743.201971169416</v>
      </c>
      <c r="S71" s="18">
        <f t="shared" ca="1" si="70"/>
        <v>6186151.147871254</v>
      </c>
      <c r="T71" s="30">
        <f t="shared" ca="1" si="50"/>
        <v>194761.96708887909</v>
      </c>
      <c r="U71" s="35">
        <f t="shared" ca="1" si="51"/>
        <v>3.2506979802544966E-2</v>
      </c>
      <c r="AK71" s="33">
        <f t="shared" ref="AK71:AN71" ca="1" si="77">AK59</f>
        <v>266.24011610481193</v>
      </c>
      <c r="AL71" s="33">
        <f t="shared" ca="1" si="77"/>
        <v>337.07647642295342</v>
      </c>
      <c r="AM71" s="33">
        <f t="shared" ca="1" si="77"/>
        <v>18.153914795818444</v>
      </c>
      <c r="AN71" s="33">
        <f t="shared" ca="1" si="77"/>
        <v>23.650343209861436</v>
      </c>
      <c r="AP71" s="18">
        <f ca="1">AK71*'Res Predicted Monthly'!$X$9</f>
        <v>1744300.8778096722</v>
      </c>
      <c r="AQ71" s="18">
        <f ca="1">AL71*'Res Predicted Monthly'!$X$9</f>
        <v>2208392.9436166673</v>
      </c>
      <c r="AR71" s="18">
        <f ca="1">AM71*'Res Predicted Monthly'!$X$10</f>
        <v>264776.4317557856</v>
      </c>
      <c r="AS71" s="18">
        <f ca="1">AN71*'Res Predicted Monthly'!$X$10</f>
        <v>344942.31989836041</v>
      </c>
      <c r="AU71" s="31">
        <f t="shared" ca="1" si="72"/>
        <v>5895835.3538254965</v>
      </c>
      <c r="AV71" s="31">
        <f t="shared" ca="1" si="73"/>
        <v>6440093.3077750662</v>
      </c>
    </row>
    <row r="72" spans="1:48">
      <c r="A72" s="541">
        <f>'Monthly Data'!A72</f>
        <v>44501</v>
      </c>
      <c r="B72">
        <f t="shared" si="13"/>
        <v>2021</v>
      </c>
      <c r="C72">
        <f t="shared" si="14"/>
        <v>11</v>
      </c>
      <c r="D72" s="18">
        <f>'Monthly Data'!F72</f>
        <v>7003129.6901979083</v>
      </c>
      <c r="E72" s="33">
        <f t="shared" ca="1" si="56"/>
        <v>526.09395833333338</v>
      </c>
      <c r="F72" s="33">
        <f t="shared" ca="1" si="56"/>
        <v>2.2795833333333335</v>
      </c>
      <c r="G72" s="18">
        <f>'Monthly Data'!G72</f>
        <v>10114</v>
      </c>
      <c r="H72">
        <f>'Monthly Data'!BU72</f>
        <v>30</v>
      </c>
      <c r="I72" s="33">
        <f>'Monthly Data'!CQ72</f>
        <v>393.24062500000002</v>
      </c>
      <c r="J72" s="33">
        <f>'Monthly Data'!CX72</f>
        <v>0</v>
      </c>
      <c r="L72" s="18">
        <f>'Res Predicted Monthly'!$X$8</f>
        <v>-16404845.677784801</v>
      </c>
      <c r="M72" s="18">
        <f ca="1">E72*'Res Predicted Monthly'!$X$9</f>
        <v>3446761.3925240957</v>
      </c>
      <c r="N72" s="18">
        <f ca="1">F72*'Res Predicted Monthly'!$X$10</f>
        <v>33247.921876827779</v>
      </c>
      <c r="O72" s="18">
        <f>G72*'Res Predicted Monthly'!$X$11</f>
        <v>13623904.706626117</v>
      </c>
      <c r="P72" s="18">
        <f>H72*'Res Predicted Monthly'!$X$12</f>
        <v>6303145.7404868407</v>
      </c>
      <c r="Q72" s="18">
        <f>I72*'Res Predicted Monthly'!$X$13</f>
        <v>212674.29305024416</v>
      </c>
      <c r="R72" s="18">
        <f>J72*'Res Predicted Monthly'!$X$14</f>
        <v>0</v>
      </c>
      <c r="S72" s="18">
        <f t="shared" ca="1" si="70"/>
        <v>7214888.3767793244</v>
      </c>
      <c r="T72" s="30">
        <f t="shared" ca="1" si="50"/>
        <v>211758.68658141606</v>
      </c>
      <c r="U72" s="35">
        <f t="shared" ca="1" si="51"/>
        <v>3.0237721697173332E-2</v>
      </c>
      <c r="AK72" s="33">
        <f t="shared" ref="AK72:AN72" ca="1" si="78">AK60</f>
        <v>463.17823132610772</v>
      </c>
      <c r="AL72" s="33">
        <f t="shared" ca="1" si="78"/>
        <v>586.4123275463005</v>
      </c>
      <c r="AM72" s="33">
        <f t="shared" ca="1" si="78"/>
        <v>1.8971227598785685</v>
      </c>
      <c r="AN72" s="33">
        <f t="shared" ca="1" si="78"/>
        <v>2.4715112352902775</v>
      </c>
      <c r="AP72" s="18">
        <f ca="1">AK72*'Res Predicted Monthly'!$X$9</f>
        <v>3034562.2113776528</v>
      </c>
      <c r="AQ72" s="18">
        <f ca="1">AL72*'Res Predicted Monthly'!$X$9</f>
        <v>3841943.7035354339</v>
      </c>
      <c r="AR72" s="18">
        <f ca="1">AM72*'Res Predicted Monthly'!$X$10</f>
        <v>27669.701032145298</v>
      </c>
      <c r="AS72" s="18">
        <f ca="1">AN72*'Res Predicted Monthly'!$X$10</f>
        <v>36047.207078179461</v>
      </c>
      <c r="AU72" s="31">
        <f t="shared" ca="1" si="72"/>
        <v>6797110.9747881992</v>
      </c>
      <c r="AV72" s="31">
        <f t="shared" ca="1" si="73"/>
        <v>7612869.9729920141</v>
      </c>
    </row>
    <row r="73" spans="1:48">
      <c r="A73" s="541">
        <f>'Monthly Data'!A73</f>
        <v>44531</v>
      </c>
      <c r="B73">
        <f t="shared" si="13"/>
        <v>2021</v>
      </c>
      <c r="C73">
        <f t="shared" si="14"/>
        <v>12</v>
      </c>
      <c r="D73" s="18">
        <f>'Monthly Data'!F73</f>
        <v>8633204.8396134414</v>
      </c>
      <c r="E73" s="33">
        <f t="shared" ca="1" si="56"/>
        <v>750.36333333333334</v>
      </c>
      <c r="F73" s="33">
        <f t="shared" ca="1" si="56"/>
        <v>0</v>
      </c>
      <c r="G73" s="18">
        <f>'Monthly Data'!G73</f>
        <v>10127</v>
      </c>
      <c r="H73">
        <f>'Monthly Data'!BU73</f>
        <v>31</v>
      </c>
      <c r="I73" s="33">
        <f>'Monthly Data'!CQ73</f>
        <v>526.65468749999991</v>
      </c>
      <c r="J73" s="33">
        <f>'Monthly Data'!CX73</f>
        <v>0</v>
      </c>
      <c r="L73" s="18">
        <f>'Res Predicted Monthly'!$X$8</f>
        <v>-16404845.677784801</v>
      </c>
      <c r="M73" s="18">
        <f ca="1">E73*'Res Predicted Monthly'!$X$9</f>
        <v>4916086.4266385026</v>
      </c>
      <c r="N73" s="18">
        <f ca="1">F73*'Res Predicted Monthly'!$X$10</f>
        <v>0</v>
      </c>
      <c r="O73" s="18">
        <f>G73*'Res Predicted Monthly'!$X$11</f>
        <v>13641416.152264453</v>
      </c>
      <c r="P73" s="18">
        <f>H73*'Res Predicted Monthly'!$X$12</f>
        <v>6513250.5985030681</v>
      </c>
      <c r="Q73" s="18">
        <f>I73*'Res Predicted Monthly'!$X$13</f>
        <v>284827.93034331012</v>
      </c>
      <c r="R73" s="18">
        <f>J73*'Res Predicted Monthly'!$X$14</f>
        <v>0</v>
      </c>
      <c r="S73" s="18">
        <f t="shared" ca="1" si="70"/>
        <v>8950735.4299645331</v>
      </c>
      <c r="T73" s="30">
        <f t="shared" ca="1" si="50"/>
        <v>317530.5903510917</v>
      </c>
      <c r="U73" s="35">
        <f t="shared" ca="1" si="51"/>
        <v>3.6780152475254992E-2</v>
      </c>
      <c r="AK73" s="33">
        <f t="shared" ref="AK73:AN73" ca="1" si="79">AK61</f>
        <v>660.62716760013984</v>
      </c>
      <c r="AL73" s="33">
        <f t="shared" ca="1" si="79"/>
        <v>836.39490975983074</v>
      </c>
      <c r="AM73" s="33">
        <f t="shared" ca="1" si="79"/>
        <v>0</v>
      </c>
      <c r="AN73" s="33">
        <f t="shared" ca="1" si="79"/>
        <v>0</v>
      </c>
      <c r="AP73" s="18">
        <f ca="1">AK73*'Res Predicted Monthly'!$X$9</f>
        <v>4328170.2442474803</v>
      </c>
      <c r="AQ73" s="18">
        <f ca="1">AL73*'Res Predicted Monthly'!$X$9</f>
        <v>5479731.5920463055</v>
      </c>
      <c r="AR73" s="18">
        <f ca="1">AM73*'Res Predicted Monthly'!$X$10</f>
        <v>0</v>
      </c>
      <c r="AS73" s="18">
        <f ca="1">AN73*'Res Predicted Monthly'!$X$10</f>
        <v>0</v>
      </c>
      <c r="AU73" s="31">
        <f t="shared" ca="1" si="72"/>
        <v>8362819.2475735107</v>
      </c>
      <c r="AV73" s="31">
        <f t="shared" ca="1" si="73"/>
        <v>9514380.595372336</v>
      </c>
    </row>
    <row r="74" spans="1:48">
      <c r="A74" s="541">
        <f>'Monthly Data'!A74</f>
        <v>44562</v>
      </c>
      <c r="B74">
        <f t="shared" ref="B74:B121" si="80">YEAR(A74)</f>
        <v>2022</v>
      </c>
      <c r="C74">
        <f t="shared" ref="C74:C121" si="81">MONTH(A74)</f>
        <v>1</v>
      </c>
      <c r="D74" s="18">
        <f>'Monthly Data'!F74</f>
        <v>10532825.528697059</v>
      </c>
      <c r="E74" s="33">
        <f t="shared" ref="E74:F93" ca="1" si="82">E62</f>
        <v>852.55166666666662</v>
      </c>
      <c r="F74" s="33">
        <f t="shared" ca="1" si="82"/>
        <v>0</v>
      </c>
      <c r="G74" s="18">
        <f>'Monthly Data'!G74</f>
        <v>10147</v>
      </c>
      <c r="H74">
        <f>'Monthly Data'!BU74</f>
        <v>31</v>
      </c>
      <c r="I74" s="33">
        <f>'Monthly Data'!CQ74</f>
        <v>528.31666666666661</v>
      </c>
      <c r="J74" s="33">
        <f>'Monthly Data'!CX74</f>
        <v>0</v>
      </c>
      <c r="L74" s="18">
        <f>'Res Predicted Monthly'!$X$8</f>
        <v>-16404845.677784801</v>
      </c>
      <c r="M74" s="18">
        <f ca="1">E74*'Res Predicted Monthly'!$X$9</f>
        <v>5585584.3300463771</v>
      </c>
      <c r="N74" s="18">
        <f ca="1">F74*'Res Predicted Monthly'!$X$10</f>
        <v>0</v>
      </c>
      <c r="O74" s="18">
        <f>G74*'Res Predicted Monthly'!$X$11</f>
        <v>13668356.837861896</v>
      </c>
      <c r="P74" s="18">
        <f>H74*'Res Predicted Monthly'!$X$12</f>
        <v>6513250.5985030681</v>
      </c>
      <c r="Q74" s="18">
        <f>I74*'Res Predicted Monthly'!$X$13</f>
        <v>285726.76993887598</v>
      </c>
      <c r="R74" s="18">
        <f>J74*'Res Predicted Monthly'!$X$14</f>
        <v>0</v>
      </c>
      <c r="S74" s="18">
        <f t="shared" ca="1" si="70"/>
        <v>9648072.858565418</v>
      </c>
      <c r="T74" s="30">
        <f t="shared" ca="1" si="50"/>
        <v>-884752.67013164051</v>
      </c>
      <c r="U74" s="35">
        <f t="shared" ca="1" si="51"/>
        <v>8.3999556217949342E-2</v>
      </c>
      <c r="AK74" s="33">
        <f t="shared" ref="AK74:AN74" ca="1" si="83">AK62</f>
        <v>750.59476891120983</v>
      </c>
      <c r="AL74" s="33">
        <f t="shared" ca="1" si="83"/>
        <v>950.29946511324727</v>
      </c>
      <c r="AM74" s="33">
        <f t="shared" ca="1" si="83"/>
        <v>0</v>
      </c>
      <c r="AN74" s="33">
        <f t="shared" ca="1" si="83"/>
        <v>0</v>
      </c>
      <c r="AP74" s="18">
        <f ca="1">AK74*'Res Predicted Monthly'!$X$9</f>
        <v>4917602.7018247992</v>
      </c>
      <c r="AQ74" s="18">
        <f ca="1">AL74*'Res Predicted Monthly'!$X$9</f>
        <v>6225989.5895122774</v>
      </c>
      <c r="AR74" s="18">
        <f ca="1">AM74*'Res Predicted Monthly'!$X$10</f>
        <v>0</v>
      </c>
      <c r="AS74" s="18">
        <f ca="1">AN74*'Res Predicted Monthly'!$X$10</f>
        <v>0</v>
      </c>
      <c r="AU74" s="31">
        <f t="shared" ca="1" si="72"/>
        <v>8980091.230343841</v>
      </c>
      <c r="AV74" s="31">
        <f t="shared" ca="1" si="73"/>
        <v>10288478.118031319</v>
      </c>
    </row>
    <row r="75" spans="1:48">
      <c r="A75" s="541">
        <f>'Monthly Data'!A75</f>
        <v>44593</v>
      </c>
      <c r="B75">
        <f t="shared" si="80"/>
        <v>2022</v>
      </c>
      <c r="C75">
        <f t="shared" si="81"/>
        <v>2</v>
      </c>
      <c r="D75" s="18">
        <f>'Monthly Data'!F75</f>
        <v>8586318.012812933</v>
      </c>
      <c r="E75" s="33">
        <f t="shared" ca="1" si="82"/>
        <v>747.22854166666662</v>
      </c>
      <c r="F75" s="33">
        <f t="shared" ca="1" si="82"/>
        <v>0</v>
      </c>
      <c r="G75" s="18">
        <f>'Monthly Data'!G75</f>
        <v>10147</v>
      </c>
      <c r="H75">
        <f>'Monthly Data'!BU75</f>
        <v>29</v>
      </c>
      <c r="I75" s="33">
        <f>'Monthly Data'!CQ75</f>
        <v>392.88333333333327</v>
      </c>
      <c r="J75" s="33">
        <f>'Monthly Data'!CX75</f>
        <v>0</v>
      </c>
      <c r="L75" s="18">
        <f>'Res Predicted Monthly'!$X$8</f>
        <v>-16404845.677784801</v>
      </c>
      <c r="M75" s="18">
        <f ca="1">E75*'Res Predicted Monthly'!$X$9</f>
        <v>4895548.500438964</v>
      </c>
      <c r="N75" s="18">
        <f ca="1">F75*'Res Predicted Monthly'!$X$10</f>
        <v>0</v>
      </c>
      <c r="O75" s="18">
        <f>G75*'Res Predicted Monthly'!$X$11</f>
        <v>13668356.837861896</v>
      </c>
      <c r="P75" s="18">
        <f>H75*'Res Predicted Monthly'!$X$12</f>
        <v>6093040.8824706124</v>
      </c>
      <c r="Q75" s="18">
        <f>I75*'Res Predicted Monthly'!$X$13</f>
        <v>212481.06084637129</v>
      </c>
      <c r="R75" s="18">
        <f>J75*'Res Predicted Monthly'!$X$14</f>
        <v>0</v>
      </c>
      <c r="S75" s="18">
        <f t="shared" ca="1" si="70"/>
        <v>8464581.6038330421</v>
      </c>
      <c r="T75" s="30">
        <f t="shared" ca="1" si="50"/>
        <v>-121736.40897989087</v>
      </c>
      <c r="U75" s="35">
        <f t="shared" ca="1" si="51"/>
        <v>1.4177952505163413E-2</v>
      </c>
      <c r="AK75" s="33">
        <f t="shared" ref="AK75:AN75" ca="1" si="84">AK63</f>
        <v>657.86726656584096</v>
      </c>
      <c r="AL75" s="33">
        <f t="shared" ca="1" si="84"/>
        <v>832.90070411746512</v>
      </c>
      <c r="AM75" s="33">
        <f t="shared" ca="1" si="84"/>
        <v>0</v>
      </c>
      <c r="AN75" s="33">
        <f t="shared" ca="1" si="84"/>
        <v>0</v>
      </c>
      <c r="AP75" s="18">
        <f ca="1">AK75*'Res Predicted Monthly'!$X$9</f>
        <v>4310088.4545186171</v>
      </c>
      <c r="AQ75" s="18">
        <f ca="1">AL75*'Res Predicted Monthly'!$X$9</f>
        <v>5456838.9263639245</v>
      </c>
      <c r="AR75" s="18">
        <f ca="1">AM75*'Res Predicted Monthly'!$X$10</f>
        <v>0</v>
      </c>
      <c r="AS75" s="18">
        <f ca="1">AN75*'Res Predicted Monthly'!$X$10</f>
        <v>0</v>
      </c>
      <c r="AU75" s="31">
        <f t="shared" ca="1" si="72"/>
        <v>7879121.5579126952</v>
      </c>
      <c r="AV75" s="31">
        <f t="shared" ca="1" si="73"/>
        <v>9025872.0297580026</v>
      </c>
    </row>
    <row r="76" spans="1:48">
      <c r="A76" s="541">
        <f>'Monthly Data'!A76</f>
        <v>44621</v>
      </c>
      <c r="B76">
        <f t="shared" si="80"/>
        <v>2022</v>
      </c>
      <c r="C76">
        <f t="shared" si="81"/>
        <v>3</v>
      </c>
      <c r="D76" s="18">
        <f>'Monthly Data'!F76</f>
        <v>8070371.4969288055</v>
      </c>
      <c r="E76" s="33">
        <f t="shared" ca="1" si="82"/>
        <v>636.29604166666672</v>
      </c>
      <c r="F76" s="33">
        <f t="shared" ca="1" si="82"/>
        <v>0</v>
      </c>
      <c r="G76" s="18">
        <f>'Monthly Data'!G76</f>
        <v>10148</v>
      </c>
      <c r="H76">
        <f>'Monthly Data'!BU76</f>
        <v>31</v>
      </c>
      <c r="I76" s="33">
        <f>'Monthly Data'!CQ76</f>
        <v>321.32916666666665</v>
      </c>
      <c r="J76" s="33">
        <f>'Monthly Data'!CX76</f>
        <v>0</v>
      </c>
      <c r="L76" s="18">
        <f>'Res Predicted Monthly'!$X$8</f>
        <v>-16404845.677784801</v>
      </c>
      <c r="M76" s="18">
        <f ca="1">E76*'Res Predicted Monthly'!$X$9</f>
        <v>4168762.2446387853</v>
      </c>
      <c r="N76" s="18">
        <f ca="1">F76*'Res Predicted Monthly'!$X$10</f>
        <v>0</v>
      </c>
      <c r="O76" s="18">
        <f>G76*'Res Predicted Monthly'!$X$11</f>
        <v>13669703.872141767</v>
      </c>
      <c r="P76" s="18">
        <f>H76*'Res Predicted Monthly'!$X$12</f>
        <v>6513250.5985030681</v>
      </c>
      <c r="Q76" s="18">
        <f>I76*'Res Predicted Monthly'!$X$13</f>
        <v>173782.79102586972</v>
      </c>
      <c r="R76" s="18">
        <f>J76*'Res Predicted Monthly'!$X$14</f>
        <v>0</v>
      </c>
      <c r="S76" s="18">
        <f t="shared" ca="1" si="70"/>
        <v>8120653.8285246901</v>
      </c>
      <c r="T76" s="30">
        <f t="shared" ca="1" si="50"/>
        <v>50282.331595884636</v>
      </c>
      <c r="U76" s="35">
        <f t="shared" ca="1" si="51"/>
        <v>6.2304853766669442E-3</v>
      </c>
      <c r="AK76" s="33">
        <f t="shared" ref="AK76:AN76" ca="1" si="85">AK64</f>
        <v>560.20121598172079</v>
      </c>
      <c r="AL76" s="33">
        <f t="shared" ca="1" si="85"/>
        <v>709.24943518517148</v>
      </c>
      <c r="AM76" s="33">
        <f t="shared" ca="1" si="85"/>
        <v>0</v>
      </c>
      <c r="AN76" s="33">
        <f t="shared" ca="1" si="85"/>
        <v>0</v>
      </c>
      <c r="AP76" s="18">
        <f ca="1">AK76*'Res Predicted Monthly'!$X$9</f>
        <v>3670218.7750033834</v>
      </c>
      <c r="AQ76" s="18">
        <f ca="1">AL76*'Res Predicted Monthly'!$X$9</f>
        <v>4646724.2821231214</v>
      </c>
      <c r="AR76" s="18">
        <f ca="1">AM76*'Res Predicted Monthly'!$X$10</f>
        <v>0</v>
      </c>
      <c r="AS76" s="18">
        <f ca="1">AN76*'Res Predicted Monthly'!$X$10</f>
        <v>0</v>
      </c>
      <c r="AU76" s="31">
        <f t="shared" ca="1" si="72"/>
        <v>7622110.3588892883</v>
      </c>
      <c r="AV76" s="31">
        <f t="shared" ca="1" si="73"/>
        <v>8598615.8660090268</v>
      </c>
    </row>
    <row r="77" spans="1:48">
      <c r="A77" s="541">
        <f>'Monthly Data'!A77</f>
        <v>44652</v>
      </c>
      <c r="B77">
        <f t="shared" si="80"/>
        <v>2022</v>
      </c>
      <c r="C77">
        <f t="shared" si="81"/>
        <v>4</v>
      </c>
      <c r="D77" s="18">
        <f>'Monthly Data'!F77</f>
        <v>6548410.9810446789</v>
      </c>
      <c r="E77" s="33">
        <f t="shared" ca="1" si="82"/>
        <v>408.60374999999999</v>
      </c>
      <c r="F77" s="33">
        <f t="shared" ca="1" si="82"/>
        <v>2.8104166666666677</v>
      </c>
      <c r="G77" s="18">
        <f>'Monthly Data'!G77</f>
        <v>10144</v>
      </c>
      <c r="H77">
        <f>'Monthly Data'!BU77</f>
        <v>30</v>
      </c>
      <c r="I77" s="33">
        <f>'Monthly Data'!CQ77</f>
        <v>200.61041666666677</v>
      </c>
      <c r="J77" s="33">
        <f>'Monthly Data'!CX77</f>
        <v>0</v>
      </c>
      <c r="L77" s="18">
        <f>'Res Predicted Monthly'!$X$8</f>
        <v>-16404845.677784801</v>
      </c>
      <c r="M77" s="18">
        <f ca="1">E77*'Res Predicted Monthly'!$X$9</f>
        <v>2677011.6022663582</v>
      </c>
      <c r="N77" s="18">
        <f ca="1">F77*'Res Predicted Monthly'!$X$10</f>
        <v>40990.172374191818</v>
      </c>
      <c r="O77" s="18">
        <f>G77*'Res Predicted Monthly'!$X$11</f>
        <v>13664315.735022279</v>
      </c>
      <c r="P77" s="18">
        <f>H77*'Res Predicted Monthly'!$X$12</f>
        <v>6303145.7404868407</v>
      </c>
      <c r="Q77" s="18">
        <f>I77*'Res Predicted Monthly'!$X$13</f>
        <v>108495.09392143365</v>
      </c>
      <c r="R77" s="18">
        <f>J77*'Res Predicted Monthly'!$X$14</f>
        <v>0</v>
      </c>
      <c r="S77" s="18">
        <f t="shared" ca="1" si="70"/>
        <v>6389112.6662863027</v>
      </c>
      <c r="T77" s="30">
        <f t="shared" ca="1" si="50"/>
        <v>-159298.31475837622</v>
      </c>
      <c r="U77" s="35">
        <f t="shared" ca="1" si="51"/>
        <v>2.4326254906646541E-2</v>
      </c>
      <c r="AK77" s="33">
        <f t="shared" ref="AK77:AN77" ca="1" si="86">AK65</f>
        <v>359.73871062458045</v>
      </c>
      <c r="AL77" s="33">
        <f t="shared" ca="1" si="86"/>
        <v>455.4514878686926</v>
      </c>
      <c r="AM77" s="33">
        <f t="shared" ca="1" si="86"/>
        <v>2.33889472041326</v>
      </c>
      <c r="AN77" s="33">
        <f t="shared" ca="1" si="86"/>
        <v>3.0470377046304016</v>
      </c>
      <c r="AP77" s="18">
        <f ca="1">AK77*'Res Predicted Monthly'!$X$9</f>
        <v>2356867.0187837039</v>
      </c>
      <c r="AQ77" s="18">
        <f ca="1">AL77*'Res Predicted Monthly'!$X$9</f>
        <v>2983939.617034757</v>
      </c>
      <c r="AR77" s="18">
        <f ca="1">AM77*'Res Predicted Monthly'!$X$10</f>
        <v>34112.983634037664</v>
      </c>
      <c r="AS77" s="18">
        <f ca="1">AN77*'Res Predicted Monthly'!$X$10</f>
        <v>44441.310864982734</v>
      </c>
      <c r="AU77" s="31">
        <f t="shared" ca="1" si="72"/>
        <v>6062090.8940634942</v>
      </c>
      <c r="AV77" s="31">
        <f t="shared" ca="1" si="73"/>
        <v>6699491.8195454925</v>
      </c>
    </row>
    <row r="78" spans="1:48">
      <c r="A78" s="541">
        <f>'Monthly Data'!A78</f>
        <v>44682</v>
      </c>
      <c r="B78">
        <f t="shared" si="80"/>
        <v>2022</v>
      </c>
      <c r="C78">
        <f t="shared" si="81"/>
        <v>5</v>
      </c>
      <c r="D78" s="18">
        <f>'Monthly Data'!F78</f>
        <v>6080494.4651605524</v>
      </c>
      <c r="E78" s="33">
        <f t="shared" ca="1" si="82"/>
        <v>178.10395833333331</v>
      </c>
      <c r="F78" s="33">
        <f t="shared" ca="1" si="82"/>
        <v>74.673124999999999</v>
      </c>
      <c r="G78" s="18">
        <f>'Monthly Data'!G78</f>
        <v>10146</v>
      </c>
      <c r="H78">
        <f>'Monthly Data'!BU78</f>
        <v>31</v>
      </c>
      <c r="I78" s="33">
        <f>'Monthly Data'!CQ78</f>
        <v>63.293749999999989</v>
      </c>
      <c r="J78" s="33">
        <f>'Monthly Data'!CX78</f>
        <v>52.629166666666656</v>
      </c>
      <c r="L78" s="18">
        <f>'Res Predicted Monthly'!$X$8</f>
        <v>-16404845.677784801</v>
      </c>
      <c r="M78" s="18">
        <f ca="1">E78*'Res Predicted Monthly'!$X$9</f>
        <v>1166867.3204000143</v>
      </c>
      <c r="N78" s="18">
        <f ca="1">F78*'Res Predicted Monthly'!$X$10</f>
        <v>1089114.045534021</v>
      </c>
      <c r="O78" s="18">
        <f>G78*'Res Predicted Monthly'!$X$11</f>
        <v>13667009.803582024</v>
      </c>
      <c r="P78" s="18">
        <f>H78*'Res Predicted Monthly'!$X$12</f>
        <v>6513250.5985030681</v>
      </c>
      <c r="Q78" s="18">
        <f>I78*'Res Predicted Monthly'!$X$13</f>
        <v>34230.831404433069</v>
      </c>
      <c r="R78" s="18">
        <f>J78*'Res Predicted Monthly'!$X$14</f>
        <v>115458.82635458055</v>
      </c>
      <c r="S78" s="18">
        <f t="shared" ca="1" si="70"/>
        <v>6181085.7479933398</v>
      </c>
      <c r="T78" s="30">
        <f t="shared" ca="1" si="50"/>
        <v>100591.28283278737</v>
      </c>
      <c r="U78" s="35">
        <f t="shared" ca="1" si="51"/>
        <v>1.6543273480330568E-2</v>
      </c>
      <c r="AK78" s="33">
        <f t="shared" ref="AK78:AN78" ca="1" si="87">AK66</f>
        <v>156.80445499574424</v>
      </c>
      <c r="AL78" s="33">
        <f t="shared" ca="1" si="87"/>
        <v>198.52415162176143</v>
      </c>
      <c r="AM78" s="33">
        <f t="shared" ca="1" si="87"/>
        <v>62.144727467193846</v>
      </c>
      <c r="AN78" s="33">
        <f t="shared" ca="1" si="87"/>
        <v>80.960175797507716</v>
      </c>
      <c r="AP78" s="18">
        <f ca="1">AK78*'Res Predicted Monthly'!$X$9</f>
        <v>1027321.3236801189</v>
      </c>
      <c r="AQ78" s="18">
        <f ca="1">AL78*'Res Predicted Monthly'!$X$9</f>
        <v>1300652.4223567233</v>
      </c>
      <c r="AR78" s="18">
        <f ca="1">AM78*'Res Predicted Monthly'!$X$10</f>
        <v>906386.27404979616</v>
      </c>
      <c r="AS78" s="18">
        <f ca="1">AN78*'Res Predicted Monthly'!$X$10</f>
        <v>1180811.2301443012</v>
      </c>
      <c r="AU78" s="31">
        <f t="shared" ca="1" si="72"/>
        <v>5858811.9797892198</v>
      </c>
      <c r="AV78" s="31">
        <f t="shared" ca="1" si="73"/>
        <v>6406568.0345603283</v>
      </c>
    </row>
    <row r="79" spans="1:48">
      <c r="A79" s="541">
        <f>'Monthly Data'!A79</f>
        <v>44713</v>
      </c>
      <c r="B79">
        <f t="shared" si="80"/>
        <v>2022</v>
      </c>
      <c r="C79">
        <f t="shared" si="81"/>
        <v>6</v>
      </c>
      <c r="D79" s="18">
        <f>'Monthly Data'!F79</f>
        <v>6310089.9492764249</v>
      </c>
      <c r="E79" s="33">
        <f t="shared" ca="1" si="82"/>
        <v>51.834166666666661</v>
      </c>
      <c r="F79" s="33">
        <f t="shared" ca="1" si="82"/>
        <v>169.78833333333333</v>
      </c>
      <c r="G79" s="18">
        <f>'Monthly Data'!G79</f>
        <v>10146</v>
      </c>
      <c r="H79">
        <f>'Monthly Data'!BU79</f>
        <v>30</v>
      </c>
      <c r="I79" s="33">
        <f>'Monthly Data'!CQ79</f>
        <v>27.258333333333333</v>
      </c>
      <c r="J79" s="33">
        <f>'Monthly Data'!CX79</f>
        <v>76.09375</v>
      </c>
      <c r="L79" s="18">
        <f>'Res Predicted Monthly'!$X$8</f>
        <v>-16404845.677784801</v>
      </c>
      <c r="M79" s="18">
        <f ca="1">E79*'Res Predicted Monthly'!$X$9</f>
        <v>339597.14163287729</v>
      </c>
      <c r="N79" s="18">
        <f ca="1">F79*'Res Predicted Monthly'!$X$10</f>
        <v>2476377.6606529527</v>
      </c>
      <c r="O79" s="18">
        <f>G79*'Res Predicted Monthly'!$X$11</f>
        <v>13667009.803582024</v>
      </c>
      <c r="P79" s="18">
        <f>H79*'Res Predicted Monthly'!$X$12</f>
        <v>6303145.7404868407</v>
      </c>
      <c r="Q79" s="18">
        <f>I79*'Res Predicted Monthly'!$X$13</f>
        <v>14741.983413831091</v>
      </c>
      <c r="R79" s="18">
        <f>J79*'Res Predicted Monthly'!$X$14</f>
        <v>166935.85751726132</v>
      </c>
      <c r="S79" s="18">
        <f t="shared" ca="1" si="70"/>
        <v>6562962.509500986</v>
      </c>
      <c r="T79" s="30">
        <f t="shared" ca="1" si="50"/>
        <v>252872.56022456102</v>
      </c>
      <c r="U79" s="35">
        <f t="shared" ca="1" si="51"/>
        <v>4.0074319424488997E-2</v>
      </c>
      <c r="AK79" s="33">
        <f t="shared" ref="AK79:AN79" ca="1" si="88">AK67</f>
        <v>45.635303843800436</v>
      </c>
      <c r="AL79" s="33">
        <f t="shared" ca="1" si="88"/>
        <v>57.777121063541692</v>
      </c>
      <c r="AM79" s="33">
        <f t="shared" ca="1" si="88"/>
        <v>141.30183653234096</v>
      </c>
      <c r="AN79" s="33">
        <f t="shared" ca="1" si="88"/>
        <v>184.0835416360639</v>
      </c>
      <c r="AP79" s="18">
        <f ca="1">AK79*'Res Predicted Monthly'!$X$9</f>
        <v>298984.62229679566</v>
      </c>
      <c r="AQ79" s="18">
        <f ca="1">AL79*'Res Predicted Monthly'!$X$9</f>
        <v>378533.04927487596</v>
      </c>
      <c r="AR79" s="18">
        <f ca="1">AM79*'Res Predicted Monthly'!$X$10</f>
        <v>2060899.6185324343</v>
      </c>
      <c r="AS79" s="18">
        <f ca="1">AN79*'Res Predicted Monthly'!$X$10</f>
        <v>2684874.5214223182</v>
      </c>
      <c r="AU79" s="31">
        <f t="shared" ca="1" si="72"/>
        <v>6106871.9480443858</v>
      </c>
      <c r="AV79" s="31">
        <f t="shared" ca="1" si="73"/>
        <v>6810395.2779123504</v>
      </c>
    </row>
    <row r="80" spans="1:48">
      <c r="A80" s="541">
        <f>'Monthly Data'!A80</f>
        <v>44743</v>
      </c>
      <c r="B80">
        <f t="shared" si="80"/>
        <v>2022</v>
      </c>
      <c r="C80">
        <f t="shared" si="81"/>
        <v>7</v>
      </c>
      <c r="D80" s="18">
        <f>'Monthly Data'!F80</f>
        <v>7465233.4333922984</v>
      </c>
      <c r="E80" s="33">
        <f t="shared" ca="1" si="82"/>
        <v>6.5670833333333318</v>
      </c>
      <c r="F80" s="33">
        <f t="shared" ca="1" si="82"/>
        <v>265.99625000000003</v>
      </c>
      <c r="G80" s="18">
        <f>'Monthly Data'!G80</f>
        <v>10144</v>
      </c>
      <c r="H80">
        <f>'Monthly Data'!BU80</f>
        <v>31</v>
      </c>
      <c r="I80" s="33">
        <f>'Monthly Data'!CQ80</f>
        <v>2.2291666666666687</v>
      </c>
      <c r="J80" s="33">
        <f>'Monthly Data'!CX80</f>
        <v>124.43437499999999</v>
      </c>
      <c r="L80" s="18">
        <f>'Res Predicted Monthly'!$X$8</f>
        <v>-16404845.677784801</v>
      </c>
      <c r="M80" s="18">
        <f ca="1">E80*'Res Predicted Monthly'!$X$9</f>
        <v>43024.95578267052</v>
      </c>
      <c r="N80" s="18">
        <f ca="1">F80*'Res Predicted Monthly'!$X$10</f>
        <v>3879578.5221842378</v>
      </c>
      <c r="O80" s="18">
        <f>G80*'Res Predicted Monthly'!$X$11</f>
        <v>13664315.735022279</v>
      </c>
      <c r="P80" s="18">
        <f>H80*'Res Predicted Monthly'!$X$12</f>
        <v>6513250.5985030681</v>
      </c>
      <c r="Q80" s="18">
        <f>I80*'Res Predicted Monthly'!$X$13</f>
        <v>1205.5886772240356</v>
      </c>
      <c r="R80" s="18">
        <f>J80*'Res Predicted Monthly'!$X$14</f>
        <v>272986.40289444878</v>
      </c>
      <c r="S80" s="18">
        <f t="shared" ca="1" si="70"/>
        <v>7969516.1252791267</v>
      </c>
      <c r="T80" s="30">
        <f t="shared" ca="1" si="50"/>
        <v>504282.69188682828</v>
      </c>
      <c r="U80" s="35">
        <f t="shared" ca="1" si="51"/>
        <v>6.7550826961572413E-2</v>
      </c>
      <c r="AK80" s="33">
        <f t="shared" ref="AK80:AN80" ca="1" si="89">AK68</f>
        <v>5.7817239584744504</v>
      </c>
      <c r="AL80" s="33">
        <f t="shared" ca="1" si="89"/>
        <v>7.3200206193025874</v>
      </c>
      <c r="AM80" s="33">
        <f t="shared" ca="1" si="89"/>
        <v>221.36832312221517</v>
      </c>
      <c r="AN80" s="33">
        <f t="shared" ca="1" si="89"/>
        <v>288.39161561107579</v>
      </c>
      <c r="AP80" s="18">
        <f ca="1">AK80*'Res Predicted Monthly'!$X$9</f>
        <v>37879.589009982119</v>
      </c>
      <c r="AQ80" s="18">
        <f ca="1">AL80*'Res Predicted Monthly'!$X$9</f>
        <v>47957.905738021247</v>
      </c>
      <c r="AR80" s="18">
        <f ca="1">AM80*'Res Predicted Monthly'!$X$10</f>
        <v>3228676.313582941</v>
      </c>
      <c r="AS80" s="18">
        <f ca="1">AN80*'Res Predicted Monthly'!$X$10</f>
        <v>4206216.8842708953</v>
      </c>
      <c r="AU80" s="31">
        <f t="shared" ca="1" si="72"/>
        <v>7313468.5499051418</v>
      </c>
      <c r="AV80" s="31">
        <f t="shared" ca="1" si="73"/>
        <v>8301087.4373211348</v>
      </c>
    </row>
    <row r="81" spans="1:48">
      <c r="A81" s="541">
        <f>'Monthly Data'!A81</f>
        <v>44774</v>
      </c>
      <c r="B81">
        <f t="shared" si="80"/>
        <v>2022</v>
      </c>
      <c r="C81">
        <f t="shared" si="81"/>
        <v>8</v>
      </c>
      <c r="D81" s="18">
        <f>'Monthly Data'!F81</f>
        <v>7425747.9175081719</v>
      </c>
      <c r="E81" s="33">
        <f t="shared" ca="1" si="82"/>
        <v>23.263124999999995</v>
      </c>
      <c r="F81" s="33">
        <f t="shared" ca="1" si="82"/>
        <v>218.46562499999996</v>
      </c>
      <c r="G81" s="18">
        <f>'Monthly Data'!G81</f>
        <v>10153</v>
      </c>
      <c r="H81">
        <f>'Monthly Data'!BU81</f>
        <v>31</v>
      </c>
      <c r="I81" s="33">
        <f>'Monthly Data'!CQ81</f>
        <v>7.7208333333333288</v>
      </c>
      <c r="J81" s="33">
        <f>'Monthly Data'!CX81</f>
        <v>111.87083333333332</v>
      </c>
      <c r="L81" s="18">
        <f>'Res Predicted Monthly'!$X$8</f>
        <v>-16404845.677784801</v>
      </c>
      <c r="M81" s="18">
        <f ca="1">E81*'Res Predicted Monthly'!$X$9</f>
        <v>152410.87613604273</v>
      </c>
      <c r="N81" s="18">
        <f ca="1">F81*'Res Predicted Monthly'!$X$10</f>
        <v>3186340.2081253235</v>
      </c>
      <c r="O81" s="18">
        <f>G81*'Res Predicted Monthly'!$X$11</f>
        <v>13676439.043541128</v>
      </c>
      <c r="P81" s="18">
        <f>H81*'Res Predicted Monthly'!$X$12</f>
        <v>6513250.5985030681</v>
      </c>
      <c r="Q81" s="18">
        <f>I81*'Res Predicted Monthly'!$X$13</f>
        <v>4175.6183530768867</v>
      </c>
      <c r="R81" s="18">
        <f>J81*'Res Predicted Monthly'!$X$14</f>
        <v>245424.27589218062</v>
      </c>
      <c r="S81" s="18">
        <f t="shared" ca="1" si="70"/>
        <v>7373194.9427660182</v>
      </c>
      <c r="T81" s="30">
        <f t="shared" ca="1" si="50"/>
        <v>-52552.974742153659</v>
      </c>
      <c r="U81" s="35">
        <f t="shared" ca="1" si="51"/>
        <v>7.0771288395403342E-3</v>
      </c>
      <c r="AK81" s="33">
        <f t="shared" ref="AK81:AN81" ca="1" si="90">AK69</f>
        <v>20.481081225021654</v>
      </c>
      <c r="AL81" s="33">
        <f t="shared" ca="1" si="90"/>
        <v>25.930317315309463</v>
      </c>
      <c r="AM81" s="33">
        <f t="shared" ca="1" si="90"/>
        <v>181.81222128543794</v>
      </c>
      <c r="AN81" s="33">
        <f t="shared" ca="1" si="90"/>
        <v>236.85918335026682</v>
      </c>
      <c r="AP81" s="18">
        <f ca="1">AK81*'Res Predicted Monthly'!$X$9</f>
        <v>134184.01584993443</v>
      </c>
      <c r="AQ81" s="18">
        <f ca="1">AL81*'Res Predicted Monthly'!$X$9</f>
        <v>169885.27467878521</v>
      </c>
      <c r="AR81" s="18">
        <f ca="1">AM81*'Res Predicted Monthly'!$X$10</f>
        <v>2651747.1158694639</v>
      </c>
      <c r="AS81" s="18">
        <f ca="1">AN81*'Res Predicted Monthly'!$X$10</f>
        <v>3454611.8620386319</v>
      </c>
      <c r="AU81" s="31">
        <f t="shared" ca="1" si="72"/>
        <v>6820374.9902240504</v>
      </c>
      <c r="AV81" s="31">
        <f t="shared" ca="1" si="73"/>
        <v>7658940.9952220693</v>
      </c>
    </row>
    <row r="82" spans="1:48">
      <c r="A82" s="541">
        <f>'Monthly Data'!A82</f>
        <v>44805</v>
      </c>
      <c r="B82">
        <f t="shared" si="80"/>
        <v>2022</v>
      </c>
      <c r="C82">
        <f t="shared" si="81"/>
        <v>9</v>
      </c>
      <c r="D82" s="18">
        <f>'Monthly Data'!F82</f>
        <v>5812994.4016240453</v>
      </c>
      <c r="E82" s="33">
        <f t="shared" ca="1" si="82"/>
        <v>114.73583333333336</v>
      </c>
      <c r="F82" s="33">
        <f t="shared" ca="1" si="82"/>
        <v>95.131249999999994</v>
      </c>
      <c r="G82" s="18">
        <f>'Monthly Data'!G82</f>
        <v>10201</v>
      </c>
      <c r="H82">
        <f>'Monthly Data'!BU82</f>
        <v>30</v>
      </c>
      <c r="I82" s="33">
        <f>'Monthly Data'!CQ82</f>
        <v>65.389583333333348</v>
      </c>
      <c r="J82" s="33">
        <f>'Monthly Data'!CX82</f>
        <v>37.175000000000011</v>
      </c>
      <c r="L82" s="18">
        <f>'Res Predicted Monthly'!$X$8</f>
        <v>-16404845.677784801</v>
      </c>
      <c r="M82" s="18">
        <f ca="1">E82*'Res Predicted Monthly'!$X$9</f>
        <v>751704.20493946178</v>
      </c>
      <c r="N82" s="18">
        <f ca="1">F82*'Res Predicted Monthly'!$X$10</f>
        <v>1387497.5842273687</v>
      </c>
      <c r="O82" s="18">
        <f>G82*'Res Predicted Monthly'!$X$11</f>
        <v>13741096.688974988</v>
      </c>
      <c r="P82" s="18">
        <f>H82*'Res Predicted Monthly'!$X$12</f>
        <v>6303145.7404868407</v>
      </c>
      <c r="Q82" s="18">
        <f>I82*'Res Predicted Monthly'!$X$13</f>
        <v>35364.310104701661</v>
      </c>
      <c r="R82" s="18">
        <f>J82*'Res Predicted Monthly'!$X$14</f>
        <v>81555.193471266582</v>
      </c>
      <c r="S82" s="18">
        <f t="shared" ca="1" si="70"/>
        <v>5895518.0444198269</v>
      </c>
      <c r="T82" s="30">
        <f t="shared" ref="T82:T113" ca="1" si="91">S82-D82</f>
        <v>82523.642795781605</v>
      </c>
      <c r="U82" s="35">
        <f t="shared" ref="U82:U113" ca="1" si="92">ABS(T82/D82)</f>
        <v>1.419640844187395E-2</v>
      </c>
      <c r="AK82" s="33">
        <f t="shared" ref="AK82:AN82" ca="1" si="93">AK70</f>
        <v>101.01454219588074</v>
      </c>
      <c r="AL82" s="33">
        <f t="shared" ca="1" si="93"/>
        <v>127.89066669975746</v>
      </c>
      <c r="AM82" s="33">
        <f t="shared" ca="1" si="93"/>
        <v>79.170459316701752</v>
      </c>
      <c r="AN82" s="33">
        <f t="shared" ca="1" si="93"/>
        <v>103.14075812197032</v>
      </c>
      <c r="AP82" s="18">
        <f ca="1">AK82*'Res Predicted Monthly'!$X$9</f>
        <v>661807.68398723053</v>
      </c>
      <c r="AQ82" s="18">
        <f ca="1">AL82*'Res Predicted Monthly'!$X$9</f>
        <v>837889.51662051689</v>
      </c>
      <c r="AR82" s="18">
        <f ca="1">AM82*'Res Predicted Monthly'!$X$10</f>
        <v>1154708.0590667615</v>
      </c>
      <c r="AS82" s="18">
        <f ca="1">AN82*'Res Predicted Monthly'!$X$10</f>
        <v>1504316.9592495966</v>
      </c>
      <c r="AU82" s="31">
        <f t="shared" ca="1" si="72"/>
        <v>5572831.9983069887</v>
      </c>
      <c r="AV82" s="31">
        <f t="shared" ca="1" si="73"/>
        <v>6098522.7311231103</v>
      </c>
    </row>
    <row r="83" spans="1:48">
      <c r="A83" s="541">
        <f>'Monthly Data'!A83</f>
        <v>44835</v>
      </c>
      <c r="B83">
        <f t="shared" si="80"/>
        <v>2022</v>
      </c>
      <c r="C83">
        <f t="shared" si="81"/>
        <v>10</v>
      </c>
      <c r="D83" s="18">
        <f>'Monthly Data'!F83</f>
        <v>6059998.8857399179</v>
      </c>
      <c r="E83" s="33">
        <f t="shared" ca="1" si="82"/>
        <v>302.40479166666665</v>
      </c>
      <c r="F83" s="33">
        <f t="shared" ca="1" si="82"/>
        <v>21.813750000000006</v>
      </c>
      <c r="G83" s="18">
        <f>'Monthly Data'!G83</f>
        <v>10208</v>
      </c>
      <c r="H83">
        <f>'Monthly Data'!BU83</f>
        <v>31</v>
      </c>
      <c r="I83" s="33">
        <f>'Monthly Data'!CQ83</f>
        <v>162.30416666666665</v>
      </c>
      <c r="J83" s="33">
        <f>'Monthly Data'!CX83</f>
        <v>3.614583333333333</v>
      </c>
      <c r="L83" s="18">
        <f>'Res Predicted Monthly'!$X$8</f>
        <v>-16404845.677784801</v>
      </c>
      <c r="M83" s="18">
        <f ca="1">E83*'Res Predicted Monthly'!$X$9</f>
        <v>1981237.655975031</v>
      </c>
      <c r="N83" s="18">
        <f ca="1">F83*'Res Predicted Monthly'!$X$10</f>
        <v>318155.44763618446</v>
      </c>
      <c r="O83" s="18">
        <f>G83*'Res Predicted Monthly'!$X$11</f>
        <v>13750525.928934092</v>
      </c>
      <c r="P83" s="18">
        <f>H83*'Res Predicted Monthly'!$X$12</f>
        <v>6513250.5985030681</v>
      </c>
      <c r="Q83" s="18">
        <f>I83*'Res Predicted Monthly'!$X$13</f>
        <v>87778.122885808989</v>
      </c>
      <c r="R83" s="18">
        <f>J83*'Res Predicted Monthly'!$X$14</f>
        <v>7929.7388854879773</v>
      </c>
      <c r="S83" s="18">
        <f t="shared" ca="1" si="70"/>
        <v>6254031.8150348729</v>
      </c>
      <c r="T83" s="30">
        <f t="shared" ca="1" si="91"/>
        <v>194032.92929495499</v>
      </c>
      <c r="U83" s="35">
        <f t="shared" ca="1" si="92"/>
        <v>3.2018641084496473E-2</v>
      </c>
      <c r="AK83" s="33">
        <f t="shared" ref="AK83:AN83" ca="1" si="94">AK71</f>
        <v>266.24011610481193</v>
      </c>
      <c r="AL83" s="33">
        <f t="shared" ca="1" si="94"/>
        <v>337.07647642295342</v>
      </c>
      <c r="AM83" s="33">
        <f t="shared" ca="1" si="94"/>
        <v>18.153914795818444</v>
      </c>
      <c r="AN83" s="33">
        <f t="shared" ca="1" si="94"/>
        <v>23.650343209861436</v>
      </c>
      <c r="AP83" s="18">
        <f ca="1">AK83*'Res Predicted Monthly'!$X$9</f>
        <v>1744300.8778096722</v>
      </c>
      <c r="AQ83" s="18">
        <f ca="1">AL83*'Res Predicted Monthly'!$X$9</f>
        <v>2208392.9436166673</v>
      </c>
      <c r="AR83" s="18">
        <f ca="1">AM83*'Res Predicted Monthly'!$X$10</f>
        <v>264776.4317557856</v>
      </c>
      <c r="AS83" s="18">
        <f ca="1">AN83*'Res Predicted Monthly'!$X$10</f>
        <v>344942.31989836041</v>
      </c>
      <c r="AU83" s="31">
        <f t="shared" ca="1" si="72"/>
        <v>5963716.0209891153</v>
      </c>
      <c r="AV83" s="31">
        <f t="shared" ca="1" si="73"/>
        <v>6507973.9749386851</v>
      </c>
    </row>
    <row r="84" spans="1:48">
      <c r="A84" s="541">
        <f>'Monthly Data'!A84</f>
        <v>44866</v>
      </c>
      <c r="B84">
        <f t="shared" si="80"/>
        <v>2022</v>
      </c>
      <c r="C84">
        <f t="shared" si="81"/>
        <v>11</v>
      </c>
      <c r="D84" s="18">
        <f>'Monthly Data'!F84</f>
        <v>6806096.3698557913</v>
      </c>
      <c r="E84" s="33">
        <f t="shared" ca="1" si="82"/>
        <v>526.09395833333338</v>
      </c>
      <c r="F84" s="33">
        <f t="shared" ca="1" si="82"/>
        <v>2.2795833333333335</v>
      </c>
      <c r="G84" s="18">
        <f>'Monthly Data'!G84</f>
        <v>10218</v>
      </c>
      <c r="H84">
        <f>'Monthly Data'!BU84</f>
        <v>30</v>
      </c>
      <c r="I84" s="33">
        <f>'Monthly Data'!CQ84</f>
        <v>225.50625000000002</v>
      </c>
      <c r="J84" s="33">
        <f>'Monthly Data'!CX84</f>
        <v>7.5416666666666687</v>
      </c>
      <c r="L84" s="18">
        <f>'Res Predicted Monthly'!$X$8</f>
        <v>-16404845.677784801</v>
      </c>
      <c r="M84" s="18">
        <f ca="1">E84*'Res Predicted Monthly'!$X$9</f>
        <v>3446761.3925240957</v>
      </c>
      <c r="N84" s="18">
        <f ca="1">F84*'Res Predicted Monthly'!$X$10</f>
        <v>33247.921876827779</v>
      </c>
      <c r="O84" s="18">
        <f>G84*'Res Predicted Monthly'!$X$11</f>
        <v>13763996.271732813</v>
      </c>
      <c r="P84" s="18">
        <f>H84*'Res Predicted Monthly'!$X$12</f>
        <v>6303145.7404868407</v>
      </c>
      <c r="Q84" s="18">
        <f>I84*'Res Predicted Monthly'!$X$13</f>
        <v>121959.3786810852</v>
      </c>
      <c r="R84" s="18">
        <f>J84*'Res Predicted Monthly'!$X$14</f>
        <v>16545.045974332268</v>
      </c>
      <c r="S84" s="18">
        <f t="shared" ca="1" si="70"/>
        <v>7280810.0734911924</v>
      </c>
      <c r="T84" s="30">
        <f t="shared" ca="1" si="91"/>
        <v>474713.70363540109</v>
      </c>
      <c r="U84" s="35">
        <f t="shared" ca="1" si="92"/>
        <v>6.9748307669857373E-2</v>
      </c>
      <c r="AK84" s="33">
        <f t="shared" ref="AK84:AN84" ca="1" si="95">AK72</f>
        <v>463.17823132610772</v>
      </c>
      <c r="AL84" s="33">
        <f t="shared" ca="1" si="95"/>
        <v>586.4123275463005</v>
      </c>
      <c r="AM84" s="33">
        <f t="shared" ca="1" si="95"/>
        <v>1.8971227598785685</v>
      </c>
      <c r="AN84" s="33">
        <f t="shared" ca="1" si="95"/>
        <v>2.4715112352902775</v>
      </c>
      <c r="AP84" s="18">
        <f ca="1">AK84*'Res Predicted Monthly'!$X$9</f>
        <v>3034562.2113776528</v>
      </c>
      <c r="AQ84" s="18">
        <f ca="1">AL84*'Res Predicted Monthly'!$X$9</f>
        <v>3841943.7035354339</v>
      </c>
      <c r="AR84" s="18">
        <f ca="1">AM84*'Res Predicted Monthly'!$X$10</f>
        <v>27669.701032145298</v>
      </c>
      <c r="AS84" s="18">
        <f ca="1">AN84*'Res Predicted Monthly'!$X$10</f>
        <v>36047.207078179461</v>
      </c>
      <c r="AU84" s="31">
        <f t="shared" ca="1" si="72"/>
        <v>6863032.6715000672</v>
      </c>
      <c r="AV84" s="31">
        <f t="shared" ca="1" si="73"/>
        <v>7678791.6697038822</v>
      </c>
    </row>
    <row r="85" spans="1:48">
      <c r="A85" s="541">
        <f>'Monthly Data'!A85</f>
        <v>44896</v>
      </c>
      <c r="B85">
        <f t="shared" si="80"/>
        <v>2022</v>
      </c>
      <c r="C85">
        <f t="shared" si="81"/>
        <v>12</v>
      </c>
      <c r="D85" s="18">
        <f>'Monthly Data'!F85</f>
        <v>8382575.8539716648</v>
      </c>
      <c r="E85" s="33">
        <f t="shared" ca="1" si="82"/>
        <v>750.36333333333334</v>
      </c>
      <c r="F85" s="33">
        <f t="shared" ca="1" si="82"/>
        <v>0</v>
      </c>
      <c r="G85" s="18">
        <f>'Monthly Data'!G85</f>
        <v>10223</v>
      </c>
      <c r="H85">
        <f>'Monthly Data'!BU85</f>
        <v>31</v>
      </c>
      <c r="I85" s="33">
        <f>'Monthly Data'!CQ85</f>
        <v>330.72708333333327</v>
      </c>
      <c r="J85" s="33">
        <f>'Monthly Data'!CX85</f>
        <v>0</v>
      </c>
      <c r="L85" s="18">
        <f>'Res Predicted Monthly'!$X$8</f>
        <v>-16404845.677784801</v>
      </c>
      <c r="M85" s="18">
        <f ca="1">E85*'Res Predicted Monthly'!$X$9</f>
        <v>4916086.4266385026</v>
      </c>
      <c r="N85" s="18">
        <f ca="1">F85*'Res Predicted Monthly'!$X$10</f>
        <v>0</v>
      </c>
      <c r="O85" s="18">
        <f>G85*'Res Predicted Monthly'!$X$11</f>
        <v>13770731.443132173</v>
      </c>
      <c r="P85" s="18">
        <f>H85*'Res Predicted Monthly'!$X$12</f>
        <v>6513250.5985030681</v>
      </c>
      <c r="Q85" s="18">
        <f>I85*'Res Predicted Monthly'!$X$13</f>
        <v>178865.41768283944</v>
      </c>
      <c r="R85" s="18">
        <f>J85*'Res Predicted Monthly'!$X$14</f>
        <v>0</v>
      </c>
      <c r="S85" s="18">
        <f t="shared" ca="1" si="70"/>
        <v>8974088.208171783</v>
      </c>
      <c r="T85" s="30">
        <f t="shared" ca="1" si="91"/>
        <v>591512.35420011822</v>
      </c>
      <c r="U85" s="35">
        <f t="shared" ca="1" si="92"/>
        <v>7.0564509585661503E-2</v>
      </c>
      <c r="AK85" s="33">
        <f t="shared" ref="AK85:AN85" ca="1" si="96">AK73</f>
        <v>660.62716760013984</v>
      </c>
      <c r="AL85" s="33">
        <f t="shared" ca="1" si="96"/>
        <v>836.39490975983074</v>
      </c>
      <c r="AM85" s="33">
        <f t="shared" ca="1" si="96"/>
        <v>0</v>
      </c>
      <c r="AN85" s="33">
        <f t="shared" ca="1" si="96"/>
        <v>0</v>
      </c>
      <c r="AP85" s="18">
        <f ca="1">AK85*'Res Predicted Monthly'!$X$9</f>
        <v>4328170.2442474803</v>
      </c>
      <c r="AQ85" s="18">
        <f ca="1">AL85*'Res Predicted Monthly'!$X$9</f>
        <v>5479731.5920463055</v>
      </c>
      <c r="AR85" s="18">
        <f ca="1">AM85*'Res Predicted Monthly'!$X$10</f>
        <v>0</v>
      </c>
      <c r="AS85" s="18">
        <f ca="1">AN85*'Res Predicted Monthly'!$X$10</f>
        <v>0</v>
      </c>
      <c r="AU85" s="31">
        <f t="shared" ca="1" si="72"/>
        <v>8386172.0257807607</v>
      </c>
      <c r="AV85" s="31">
        <f t="shared" ca="1" si="73"/>
        <v>9537733.3735795859</v>
      </c>
    </row>
    <row r="86" spans="1:48">
      <c r="A86" s="541">
        <f>'Monthly Data'!A86</f>
        <v>44927</v>
      </c>
      <c r="B86">
        <f t="shared" si="80"/>
        <v>2023</v>
      </c>
      <c r="C86">
        <f t="shared" si="81"/>
        <v>1</v>
      </c>
      <c r="D86" s="18">
        <f>'Monthly Data'!F86</f>
        <v>8740554.5448313784</v>
      </c>
      <c r="E86" s="33">
        <f t="shared" ca="1" si="82"/>
        <v>852.55166666666662</v>
      </c>
      <c r="F86" s="33">
        <f t="shared" ca="1" si="82"/>
        <v>0</v>
      </c>
      <c r="G86" s="18">
        <f>'Monthly Data'!G86</f>
        <v>10225</v>
      </c>
      <c r="H86">
        <f>'Monthly Data'!BU86</f>
        <v>31</v>
      </c>
      <c r="I86" s="33">
        <f>'Monthly Data'!CQ86</f>
        <v>189.94583333333335</v>
      </c>
      <c r="J86" s="33">
        <f>'Monthly Data'!CX86</f>
        <v>0</v>
      </c>
      <c r="L86" s="18">
        <f>'Res Predicted Monthly'!$X$8</f>
        <v>-16404845.677784801</v>
      </c>
      <c r="M86" s="18">
        <f ca="1">E86*'Res Predicted Monthly'!$X$9</f>
        <v>5585584.3300463771</v>
      </c>
      <c r="N86" s="18">
        <f ca="1">F86*'Res Predicted Monthly'!$X$10</f>
        <v>0</v>
      </c>
      <c r="O86" s="18">
        <f>G86*'Res Predicted Monthly'!$X$11</f>
        <v>13773425.511691917</v>
      </c>
      <c r="P86" s="18">
        <f>H86*'Res Predicted Monthly'!$X$12</f>
        <v>6513250.5985030681</v>
      </c>
      <c r="Q86" s="18">
        <f>I86*'Res Predicted Monthly'!$X$13</f>
        <v>102727.42248338704</v>
      </c>
      <c r="R86" s="18">
        <f>J86*'Res Predicted Monthly'!$X$14</f>
        <v>0</v>
      </c>
      <c r="S86" s="18">
        <f t="shared" ca="1" si="70"/>
        <v>9570142.1849399488</v>
      </c>
      <c r="T86" s="30">
        <f t="shared" ca="1" si="91"/>
        <v>829587.64010857046</v>
      </c>
      <c r="U86" s="35">
        <f t="shared" ca="1" si="92"/>
        <v>9.491247218394594E-2</v>
      </c>
      <c r="AK86" s="33">
        <f t="shared" ref="AK86:AN86" ca="1" si="97">AK74</f>
        <v>750.59476891120983</v>
      </c>
      <c r="AL86" s="33">
        <f t="shared" ca="1" si="97"/>
        <v>950.29946511324727</v>
      </c>
      <c r="AM86" s="33">
        <f t="shared" ca="1" si="97"/>
        <v>0</v>
      </c>
      <c r="AN86" s="33">
        <f t="shared" ca="1" si="97"/>
        <v>0</v>
      </c>
      <c r="AP86" s="18">
        <f ca="1">AK86*'Res Predicted Monthly'!$X$9</f>
        <v>4917602.7018247992</v>
      </c>
      <c r="AQ86" s="18">
        <f ca="1">AL86*'Res Predicted Monthly'!$X$9</f>
        <v>6225989.5895122774</v>
      </c>
      <c r="AR86" s="18">
        <f ca="1">AM86*'Res Predicted Monthly'!$X$10</f>
        <v>0</v>
      </c>
      <c r="AS86" s="18">
        <f ca="1">AN86*'Res Predicted Monthly'!$X$10</f>
        <v>0</v>
      </c>
      <c r="AU86" s="31">
        <f t="shared" ca="1" si="72"/>
        <v>8902160.5567183718</v>
      </c>
      <c r="AV86" s="31">
        <f t="shared" ca="1" si="73"/>
        <v>10210547.44440585</v>
      </c>
    </row>
    <row r="87" spans="1:48">
      <c r="A87" s="541">
        <f>'Monthly Data'!A87</f>
        <v>44958</v>
      </c>
      <c r="B87">
        <f t="shared" si="80"/>
        <v>2023</v>
      </c>
      <c r="C87">
        <f t="shared" si="81"/>
        <v>2</v>
      </c>
      <c r="D87" s="18">
        <f>'Monthly Data'!F87</f>
        <v>8231333.1919643153</v>
      </c>
      <c r="E87" s="33">
        <f t="shared" ca="1" si="82"/>
        <v>747.22854166666662</v>
      </c>
      <c r="F87" s="33">
        <f t="shared" ca="1" si="82"/>
        <v>0</v>
      </c>
      <c r="G87" s="18">
        <f>'Monthly Data'!G87</f>
        <v>10255</v>
      </c>
      <c r="H87">
        <f>'Monthly Data'!BU87</f>
        <v>28</v>
      </c>
      <c r="I87" s="33">
        <f>'Monthly Data'!CQ87</f>
        <v>184.26458333333332</v>
      </c>
      <c r="J87" s="33">
        <f>'Monthly Data'!CX87</f>
        <v>0</v>
      </c>
      <c r="L87" s="18">
        <f>'Res Predicted Monthly'!$X$8</f>
        <v>-16404845.677784801</v>
      </c>
      <c r="M87" s="18">
        <f ca="1">E87*'Res Predicted Monthly'!$X$9</f>
        <v>4895548.500438964</v>
      </c>
      <c r="N87" s="18">
        <f ca="1">F87*'Res Predicted Monthly'!$X$10</f>
        <v>0</v>
      </c>
      <c r="O87" s="18">
        <f>G87*'Res Predicted Monthly'!$X$11</f>
        <v>13813836.540088078</v>
      </c>
      <c r="P87" s="18">
        <f>H87*'Res Predicted Monthly'!$X$12</f>
        <v>5882936.0244543841</v>
      </c>
      <c r="Q87" s="18">
        <f>I87*'Res Predicted Monthly'!$X$13</f>
        <v>99654.861434050617</v>
      </c>
      <c r="R87" s="18">
        <f>J87*'Res Predicted Monthly'!$X$14</f>
        <v>0</v>
      </c>
      <c r="S87" s="18">
        <f t="shared" ca="1" si="70"/>
        <v>8287130.2486306764</v>
      </c>
      <c r="T87" s="30">
        <f t="shared" ca="1" si="91"/>
        <v>55797.056666361168</v>
      </c>
      <c r="U87" s="35">
        <f t="shared" ca="1" si="92"/>
        <v>6.7786171893554252E-3</v>
      </c>
      <c r="AK87" s="33">
        <f t="shared" ref="AK87:AN87" ca="1" si="98">AK75</f>
        <v>657.86726656584096</v>
      </c>
      <c r="AL87" s="33">
        <f t="shared" ca="1" si="98"/>
        <v>832.90070411746512</v>
      </c>
      <c r="AM87" s="33">
        <f t="shared" ca="1" si="98"/>
        <v>0</v>
      </c>
      <c r="AN87" s="33">
        <f t="shared" ca="1" si="98"/>
        <v>0</v>
      </c>
      <c r="AP87" s="18">
        <f ca="1">AK87*'Res Predicted Monthly'!$X$9</f>
        <v>4310088.4545186171</v>
      </c>
      <c r="AQ87" s="18">
        <f ca="1">AL87*'Res Predicted Monthly'!$X$9</f>
        <v>5456838.9263639245</v>
      </c>
      <c r="AR87" s="18">
        <f ca="1">AM87*'Res Predicted Monthly'!$X$10</f>
        <v>0</v>
      </c>
      <c r="AS87" s="18">
        <f ca="1">AN87*'Res Predicted Monthly'!$X$10</f>
        <v>0</v>
      </c>
      <c r="AU87" s="31">
        <f t="shared" ca="1" si="72"/>
        <v>7701670.2027103296</v>
      </c>
      <c r="AV87" s="31">
        <f t="shared" ca="1" si="73"/>
        <v>8848420.6745556369</v>
      </c>
    </row>
    <row r="88" spans="1:48">
      <c r="A88" s="541">
        <f>'Monthly Data'!A88</f>
        <v>44986</v>
      </c>
      <c r="B88">
        <f t="shared" si="80"/>
        <v>2023</v>
      </c>
      <c r="C88">
        <f t="shared" si="81"/>
        <v>3</v>
      </c>
      <c r="D88" s="18">
        <f>'Monthly Data'!F88</f>
        <v>7931351.8390972503</v>
      </c>
      <c r="E88" s="33">
        <f t="shared" ca="1" si="82"/>
        <v>636.29604166666672</v>
      </c>
      <c r="F88" s="33">
        <f t="shared" ca="1" si="82"/>
        <v>0</v>
      </c>
      <c r="G88" s="18">
        <f>'Monthly Data'!G88</f>
        <v>10268</v>
      </c>
      <c r="H88">
        <f>'Monthly Data'!BU88</f>
        <v>31</v>
      </c>
      <c r="I88" s="33">
        <f>'Monthly Data'!CQ88</f>
        <v>157.02500000000006</v>
      </c>
      <c r="J88" s="33">
        <f>'Monthly Data'!CX88</f>
        <v>0</v>
      </c>
      <c r="L88" s="18">
        <f>'Res Predicted Monthly'!$X$8</f>
        <v>-16404845.677784801</v>
      </c>
      <c r="M88" s="18">
        <f ca="1">E88*'Res Predicted Monthly'!$X$9</f>
        <v>4168762.2446387853</v>
      </c>
      <c r="N88" s="18">
        <f ca="1">F88*'Res Predicted Monthly'!$X$10</f>
        <v>0</v>
      </c>
      <c r="O88" s="18">
        <f>G88*'Res Predicted Monthly'!$X$11</f>
        <v>13831347.985726416</v>
      </c>
      <c r="P88" s="18">
        <f>H88*'Res Predicted Monthly'!$X$12</f>
        <v>6513250.5985030681</v>
      </c>
      <c r="Q88" s="18">
        <f>I88*'Res Predicted Monthly'!$X$13</f>
        <v>84923.018485728928</v>
      </c>
      <c r="R88" s="18">
        <f>J88*'Res Predicted Monthly'!$X$14</f>
        <v>0</v>
      </c>
      <c r="S88" s="18">
        <f t="shared" ca="1" si="70"/>
        <v>8193438.169569198</v>
      </c>
      <c r="T88" s="30">
        <f t="shared" ca="1" si="91"/>
        <v>262086.33047194779</v>
      </c>
      <c r="U88" s="35">
        <f t="shared" ca="1" si="92"/>
        <v>3.3044345502365027E-2</v>
      </c>
      <c r="AK88" s="33">
        <f t="shared" ref="AK88:AN88" ca="1" si="99">AK76</f>
        <v>560.20121598172079</v>
      </c>
      <c r="AL88" s="33">
        <f t="shared" ca="1" si="99"/>
        <v>709.24943518517148</v>
      </c>
      <c r="AM88" s="33">
        <f t="shared" ca="1" si="99"/>
        <v>0</v>
      </c>
      <c r="AN88" s="33">
        <f t="shared" ca="1" si="99"/>
        <v>0</v>
      </c>
      <c r="AP88" s="18">
        <f ca="1">AK88*'Res Predicted Monthly'!$X$9</f>
        <v>3670218.7750033834</v>
      </c>
      <c r="AQ88" s="18">
        <f ca="1">AL88*'Res Predicted Monthly'!$X$9</f>
        <v>4646724.2821231214</v>
      </c>
      <c r="AR88" s="18">
        <f ca="1">AM88*'Res Predicted Monthly'!$X$10</f>
        <v>0</v>
      </c>
      <c r="AS88" s="18">
        <f ca="1">AN88*'Res Predicted Monthly'!$X$10</f>
        <v>0</v>
      </c>
      <c r="AU88" s="31">
        <f t="shared" ca="1" si="72"/>
        <v>7694894.6999337962</v>
      </c>
      <c r="AV88" s="31">
        <f t="shared" ca="1" si="73"/>
        <v>8671400.2070535347</v>
      </c>
    </row>
    <row r="89" spans="1:48">
      <c r="A89" s="541">
        <f>'Monthly Data'!A89</f>
        <v>45017</v>
      </c>
      <c r="B89">
        <f t="shared" si="80"/>
        <v>2023</v>
      </c>
      <c r="C89">
        <f t="shared" si="81"/>
        <v>4</v>
      </c>
      <c r="D89" s="18">
        <f>'Monthly Data'!F89</f>
        <v>6481760.4862301862</v>
      </c>
      <c r="E89" s="33">
        <f t="shared" ca="1" si="82"/>
        <v>408.60374999999999</v>
      </c>
      <c r="F89" s="33">
        <f t="shared" ca="1" si="82"/>
        <v>2.8104166666666677</v>
      </c>
      <c r="G89" s="18">
        <f>'Monthly Data'!G89</f>
        <v>10271</v>
      </c>
      <c r="H89">
        <f>'Monthly Data'!BU89</f>
        <v>30</v>
      </c>
      <c r="I89" s="33">
        <f>'Monthly Data'!CQ89</f>
        <v>90.177083333333343</v>
      </c>
      <c r="J89" s="33">
        <f>'Monthly Data'!CX89</f>
        <v>1.7833333333333354</v>
      </c>
      <c r="L89" s="18">
        <f>'Res Predicted Monthly'!$X$8</f>
        <v>-16404845.677784801</v>
      </c>
      <c r="M89" s="18">
        <f ca="1">E89*'Res Predicted Monthly'!$X$9</f>
        <v>2677011.6022663582</v>
      </c>
      <c r="N89" s="18">
        <f ca="1">F89*'Res Predicted Monthly'!$X$10</f>
        <v>40990.172374191818</v>
      </c>
      <c r="O89" s="18">
        <f>G89*'Res Predicted Monthly'!$X$11</f>
        <v>13835389.088566031</v>
      </c>
      <c r="P89" s="18">
        <f>H89*'Res Predicted Monthly'!$X$12</f>
        <v>6303145.7404868407</v>
      </c>
      <c r="Q89" s="18">
        <f>I89*'Res Predicted Monthly'!$X$13</f>
        <v>48770.005508076953</v>
      </c>
      <c r="R89" s="18">
        <f>J89*'Res Predicted Monthly'!$X$14</f>
        <v>3912.30921382001</v>
      </c>
      <c r="S89" s="18">
        <f t="shared" ca="1" si="70"/>
        <v>6504373.2406305196</v>
      </c>
      <c r="T89" s="30">
        <f t="shared" ca="1" si="91"/>
        <v>22612.75440033339</v>
      </c>
      <c r="U89" s="35">
        <f t="shared" ca="1" si="92"/>
        <v>3.4886747895686351E-3</v>
      </c>
      <c r="AK89" s="33">
        <f t="shared" ref="AK89:AN89" ca="1" si="100">AK77</f>
        <v>359.73871062458045</v>
      </c>
      <c r="AL89" s="33">
        <f t="shared" ca="1" si="100"/>
        <v>455.4514878686926</v>
      </c>
      <c r="AM89" s="33">
        <f t="shared" ca="1" si="100"/>
        <v>2.33889472041326</v>
      </c>
      <c r="AN89" s="33">
        <f t="shared" ca="1" si="100"/>
        <v>3.0470377046304016</v>
      </c>
      <c r="AP89" s="18">
        <f ca="1">AK89*'Res Predicted Monthly'!$X$9</f>
        <v>2356867.0187837039</v>
      </c>
      <c r="AQ89" s="18">
        <f ca="1">AL89*'Res Predicted Monthly'!$X$9</f>
        <v>2983939.617034757</v>
      </c>
      <c r="AR89" s="18">
        <f ca="1">AM89*'Res Predicted Monthly'!$X$10</f>
        <v>34112.983634037664</v>
      </c>
      <c r="AS89" s="18">
        <f ca="1">AN89*'Res Predicted Monthly'!$X$10</f>
        <v>44441.310864982734</v>
      </c>
      <c r="AU89" s="31">
        <f t="shared" ca="1" si="72"/>
        <v>6177351.468407711</v>
      </c>
      <c r="AV89" s="31">
        <f t="shared" ca="1" si="73"/>
        <v>6814752.3938897094</v>
      </c>
    </row>
    <row r="90" spans="1:48">
      <c r="A90" s="541">
        <f>'Monthly Data'!A90</f>
        <v>45047</v>
      </c>
      <c r="B90">
        <f t="shared" si="80"/>
        <v>2023</v>
      </c>
      <c r="C90">
        <f t="shared" si="81"/>
        <v>5</v>
      </c>
      <c r="D90" s="18">
        <f>'Monthly Data'!F90</f>
        <v>5935915.1333631221</v>
      </c>
      <c r="E90" s="33">
        <f t="shared" ca="1" si="82"/>
        <v>178.10395833333331</v>
      </c>
      <c r="F90" s="33">
        <f t="shared" ca="1" si="82"/>
        <v>74.673124999999999</v>
      </c>
      <c r="G90" s="18">
        <f>'Monthly Data'!G90</f>
        <v>10275</v>
      </c>
      <c r="H90">
        <f>'Monthly Data'!BU90</f>
        <v>31</v>
      </c>
      <c r="I90" s="33">
        <f>'Monthly Data'!CQ90</f>
        <v>44.284375000000011</v>
      </c>
      <c r="J90" s="33">
        <f>'Monthly Data'!CX90</f>
        <v>16.168229166666663</v>
      </c>
      <c r="L90" s="18">
        <f>'Res Predicted Monthly'!$X$8</f>
        <v>-16404845.677784801</v>
      </c>
      <c r="M90" s="18">
        <f ca="1">E90*'Res Predicted Monthly'!$X$9</f>
        <v>1166867.3204000143</v>
      </c>
      <c r="N90" s="18">
        <f ca="1">F90*'Res Predicted Monthly'!$X$10</f>
        <v>1089114.045534021</v>
      </c>
      <c r="O90" s="18">
        <f>G90*'Res Predicted Monthly'!$X$11</f>
        <v>13840777.22568552</v>
      </c>
      <c r="P90" s="18">
        <f>H90*'Res Predicted Monthly'!$X$12</f>
        <v>6513250.5985030681</v>
      </c>
      <c r="Q90" s="18">
        <f>I90*'Res Predicted Monthly'!$X$13</f>
        <v>23950.089455525882</v>
      </c>
      <c r="R90" s="18">
        <f>J90*'Res Predicted Monthly'!$X$14</f>
        <v>35470.156227983178</v>
      </c>
      <c r="S90" s="18">
        <f t="shared" ca="1" si="70"/>
        <v>6264583.7580213323</v>
      </c>
      <c r="T90" s="30">
        <f t="shared" ca="1" si="91"/>
        <v>328668.6246582102</v>
      </c>
      <c r="U90" s="35">
        <f t="shared" ca="1" si="92"/>
        <v>5.5369495229288399E-2</v>
      </c>
      <c r="AK90" s="33">
        <f t="shared" ref="AK90:AN90" ca="1" si="101">AK78</f>
        <v>156.80445499574424</v>
      </c>
      <c r="AL90" s="33">
        <f t="shared" ca="1" si="101"/>
        <v>198.52415162176143</v>
      </c>
      <c r="AM90" s="33">
        <f t="shared" ca="1" si="101"/>
        <v>62.144727467193846</v>
      </c>
      <c r="AN90" s="33">
        <f t="shared" ca="1" si="101"/>
        <v>80.960175797507716</v>
      </c>
      <c r="AP90" s="18">
        <f ca="1">AK90*'Res Predicted Monthly'!$X$9</f>
        <v>1027321.3236801189</v>
      </c>
      <c r="AQ90" s="18">
        <f ca="1">AL90*'Res Predicted Monthly'!$X$9</f>
        <v>1300652.4223567233</v>
      </c>
      <c r="AR90" s="18">
        <f ca="1">AM90*'Res Predicted Monthly'!$X$10</f>
        <v>906386.27404979616</v>
      </c>
      <c r="AS90" s="18">
        <f ca="1">AN90*'Res Predicted Monthly'!$X$10</f>
        <v>1180811.2301443012</v>
      </c>
      <c r="AU90" s="31">
        <f t="shared" ca="1" si="72"/>
        <v>5942309.9898172123</v>
      </c>
      <c r="AV90" s="31">
        <f t="shared" ca="1" si="73"/>
        <v>6490066.0445883218</v>
      </c>
    </row>
    <row r="91" spans="1:48">
      <c r="A91" s="541">
        <f>'Monthly Data'!A91</f>
        <v>45078</v>
      </c>
      <c r="B91">
        <f t="shared" si="80"/>
        <v>2023</v>
      </c>
      <c r="C91">
        <f t="shared" si="81"/>
        <v>6</v>
      </c>
      <c r="D91" s="18">
        <f>'Monthly Data'!F91</f>
        <v>6617170.7804960571</v>
      </c>
      <c r="E91" s="33">
        <f t="shared" ca="1" si="82"/>
        <v>51.834166666666661</v>
      </c>
      <c r="F91" s="33">
        <f t="shared" ca="1" si="82"/>
        <v>169.78833333333333</v>
      </c>
      <c r="G91" s="18">
        <f>'Monthly Data'!G91</f>
        <v>10280</v>
      </c>
      <c r="H91">
        <f>'Monthly Data'!BU91</f>
        <v>30</v>
      </c>
      <c r="I91" s="33">
        <f>'Monthly Data'!CQ91</f>
        <v>9.5593749999999975</v>
      </c>
      <c r="J91" s="33">
        <f>'Monthly Data'!CX91</f>
        <v>44.056249999999999</v>
      </c>
      <c r="L91" s="18">
        <f>'Res Predicted Monthly'!$X$8</f>
        <v>-16404845.677784801</v>
      </c>
      <c r="M91" s="18">
        <f ca="1">E91*'Res Predicted Monthly'!$X$9</f>
        <v>339597.14163287729</v>
      </c>
      <c r="N91" s="18">
        <f ca="1">F91*'Res Predicted Monthly'!$X$10</f>
        <v>2476377.6606529527</v>
      </c>
      <c r="O91" s="18">
        <f>G91*'Res Predicted Monthly'!$X$11</f>
        <v>13847512.397084881</v>
      </c>
      <c r="P91" s="18">
        <f>H91*'Res Predicted Monthly'!$X$12</f>
        <v>6303145.7404868407</v>
      </c>
      <c r="Q91" s="18">
        <f>I91*'Res Predicted Monthly'!$X$13</f>
        <v>5169.9473321892337</v>
      </c>
      <c r="R91" s="18">
        <f>J91*'Res Predicted Monthly'!$X$14</f>
        <v>96651.405309172478</v>
      </c>
      <c r="S91" s="18">
        <f t="shared" ca="1" si="70"/>
        <v>6663608.6147141121</v>
      </c>
      <c r="T91" s="30">
        <f t="shared" ca="1" si="91"/>
        <v>46437.83421805501</v>
      </c>
      <c r="U91" s="35">
        <f t="shared" ca="1" si="92"/>
        <v>7.0177778023999843E-3</v>
      </c>
      <c r="AK91" s="33">
        <f t="shared" ref="AK91:AN91" ca="1" si="102">AK79</f>
        <v>45.635303843800436</v>
      </c>
      <c r="AL91" s="33">
        <f t="shared" ca="1" si="102"/>
        <v>57.777121063541692</v>
      </c>
      <c r="AM91" s="33">
        <f t="shared" ca="1" si="102"/>
        <v>141.30183653234096</v>
      </c>
      <c r="AN91" s="33">
        <f t="shared" ca="1" si="102"/>
        <v>184.0835416360639</v>
      </c>
      <c r="AP91" s="18">
        <f ca="1">AK91*'Res Predicted Monthly'!$X$9</f>
        <v>298984.62229679566</v>
      </c>
      <c r="AQ91" s="18">
        <f ca="1">AL91*'Res Predicted Monthly'!$X$9</f>
        <v>378533.04927487596</v>
      </c>
      <c r="AR91" s="18">
        <f ca="1">AM91*'Res Predicted Monthly'!$X$10</f>
        <v>2060899.6185324343</v>
      </c>
      <c r="AS91" s="18">
        <f ca="1">AN91*'Res Predicted Monthly'!$X$10</f>
        <v>2684874.5214223182</v>
      </c>
      <c r="AU91" s="31">
        <f t="shared" ca="1" si="72"/>
        <v>6207518.0532575119</v>
      </c>
      <c r="AV91" s="31">
        <f t="shared" ca="1" si="73"/>
        <v>6911041.3831254765</v>
      </c>
    </row>
    <row r="92" spans="1:48">
      <c r="A92" s="541">
        <f>'Monthly Data'!A92</f>
        <v>45108</v>
      </c>
      <c r="B92">
        <f t="shared" si="80"/>
        <v>2023</v>
      </c>
      <c r="C92">
        <f t="shared" si="81"/>
        <v>7</v>
      </c>
      <c r="D92" s="18">
        <f>'Monthly Data'!F92</f>
        <v>8069819.4276289931</v>
      </c>
      <c r="E92" s="33">
        <f t="shared" ca="1" si="82"/>
        <v>6.5670833333333318</v>
      </c>
      <c r="F92" s="33">
        <f t="shared" ca="1" si="82"/>
        <v>265.99625000000003</v>
      </c>
      <c r="G92" s="18">
        <f>'Monthly Data'!G92</f>
        <v>10278</v>
      </c>
      <c r="H92">
        <f>'Monthly Data'!BU92</f>
        <v>31</v>
      </c>
      <c r="I92" s="33">
        <f>'Monthly Data'!CQ92</f>
        <v>1.6135416666666678</v>
      </c>
      <c r="J92" s="33">
        <f>'Monthly Data'!CX92</f>
        <v>63.90520833333332</v>
      </c>
      <c r="L92" s="18">
        <f>'Res Predicted Monthly'!$X$8</f>
        <v>-16404845.677784801</v>
      </c>
      <c r="M92" s="18">
        <f ca="1">E92*'Res Predicted Monthly'!$X$9</f>
        <v>43024.95578267052</v>
      </c>
      <c r="N92" s="18">
        <f ca="1">F92*'Res Predicted Monthly'!$X$10</f>
        <v>3879578.5221842378</v>
      </c>
      <c r="O92" s="18">
        <f>G92*'Res Predicted Monthly'!$X$11</f>
        <v>13844818.328525137</v>
      </c>
      <c r="P92" s="18">
        <f>H92*'Res Predicted Monthly'!$X$12</f>
        <v>6513250.5985030681</v>
      </c>
      <c r="Q92" s="18">
        <f>I92*'Res Predicted Monthly'!$X$13</f>
        <v>872.64339300001427</v>
      </c>
      <c r="R92" s="18">
        <f>J92*'Res Predicted Monthly'!$X$14</f>
        <v>140196.4123590207</v>
      </c>
      <c r="S92" s="18">
        <f t="shared" ca="1" si="70"/>
        <v>8016895.7829623334</v>
      </c>
      <c r="T92" s="30">
        <f t="shared" ca="1" si="91"/>
        <v>-52923.644666659646</v>
      </c>
      <c r="U92" s="35">
        <f t="shared" ca="1" si="92"/>
        <v>6.5582191945290193E-3</v>
      </c>
      <c r="AK92" s="33">
        <f t="shared" ref="AK92:AN92" ca="1" si="103">AK80</f>
        <v>5.7817239584744504</v>
      </c>
      <c r="AL92" s="33">
        <f t="shared" ca="1" si="103"/>
        <v>7.3200206193025874</v>
      </c>
      <c r="AM92" s="33">
        <f t="shared" ca="1" si="103"/>
        <v>221.36832312221517</v>
      </c>
      <c r="AN92" s="33">
        <f t="shared" ca="1" si="103"/>
        <v>288.39161561107579</v>
      </c>
      <c r="AP92" s="18">
        <f ca="1">AK92*'Res Predicted Monthly'!$X$9</f>
        <v>37879.589009982119</v>
      </c>
      <c r="AQ92" s="18">
        <f ca="1">AL92*'Res Predicted Monthly'!$X$9</f>
        <v>47957.905738021247</v>
      </c>
      <c r="AR92" s="18">
        <f ca="1">AM92*'Res Predicted Monthly'!$X$10</f>
        <v>3228676.313582941</v>
      </c>
      <c r="AS92" s="18">
        <f ca="1">AN92*'Res Predicted Monthly'!$X$10</f>
        <v>4206216.8842708953</v>
      </c>
      <c r="AU92" s="31">
        <f t="shared" ca="1" si="72"/>
        <v>7360848.2075883485</v>
      </c>
      <c r="AV92" s="31">
        <f t="shared" ca="1" si="73"/>
        <v>8348467.0950043416</v>
      </c>
    </row>
    <row r="93" spans="1:48">
      <c r="A93" s="541">
        <f>'Monthly Data'!A93</f>
        <v>45139</v>
      </c>
      <c r="B93">
        <f t="shared" si="80"/>
        <v>2023</v>
      </c>
      <c r="C93">
        <f t="shared" si="81"/>
        <v>8</v>
      </c>
      <c r="D93" s="18">
        <f>'Monthly Data'!F93</f>
        <v>6590759.074761929</v>
      </c>
      <c r="E93" s="33">
        <f t="shared" ca="1" si="82"/>
        <v>23.263124999999995</v>
      </c>
      <c r="F93" s="33">
        <f t="shared" ca="1" si="82"/>
        <v>218.46562499999996</v>
      </c>
      <c r="G93" s="18">
        <f>'Monthly Data'!G93</f>
        <v>10295</v>
      </c>
      <c r="H93">
        <f>'Monthly Data'!BU93</f>
        <v>31</v>
      </c>
      <c r="I93" s="33">
        <f>'Monthly Data'!CQ93</f>
        <v>7.5041666666666647</v>
      </c>
      <c r="J93" s="33">
        <f>'Monthly Data'!CX93</f>
        <v>42.708333333333343</v>
      </c>
      <c r="L93" s="18">
        <f>'Res Predicted Monthly'!$X$8</f>
        <v>-16404845.677784801</v>
      </c>
      <c r="M93" s="18">
        <f ca="1">E93*'Res Predicted Monthly'!$X$9</f>
        <v>152410.87613604273</v>
      </c>
      <c r="N93" s="18">
        <f ca="1">F93*'Res Predicted Monthly'!$X$10</f>
        <v>3186340.2081253235</v>
      </c>
      <c r="O93" s="18">
        <f>G93*'Res Predicted Monthly'!$X$11</f>
        <v>13867717.911282962</v>
      </c>
      <c r="P93" s="18">
        <f>H93*'Res Predicted Monthly'!$X$12</f>
        <v>6513250.5985030681</v>
      </c>
      <c r="Q93" s="18">
        <f>I93*'Res Predicted Monthly'!$X$13</f>
        <v>4058.4396405242719</v>
      </c>
      <c r="R93" s="18">
        <f>J93*'Res Predicted Monthly'!$X$14</f>
        <v>93694.321125362287</v>
      </c>
      <c r="S93" s="18">
        <f t="shared" ca="1" si="70"/>
        <v>7412626.6770284809</v>
      </c>
      <c r="T93" s="30">
        <f t="shared" ca="1" si="91"/>
        <v>821867.60226655193</v>
      </c>
      <c r="U93" s="35">
        <f t="shared" ca="1" si="92"/>
        <v>0.1246999917526555</v>
      </c>
      <c r="AK93" s="33">
        <f t="shared" ref="AK93:AN93" ca="1" si="104">AK81</f>
        <v>20.481081225021654</v>
      </c>
      <c r="AL93" s="33">
        <f t="shared" ca="1" si="104"/>
        <v>25.930317315309463</v>
      </c>
      <c r="AM93" s="33">
        <f t="shared" ca="1" si="104"/>
        <v>181.81222128543794</v>
      </c>
      <c r="AN93" s="33">
        <f t="shared" ca="1" si="104"/>
        <v>236.85918335026682</v>
      </c>
      <c r="AP93" s="18">
        <f ca="1">AK93*'Res Predicted Monthly'!$X$9</f>
        <v>134184.01584993443</v>
      </c>
      <c r="AQ93" s="18">
        <f ca="1">AL93*'Res Predicted Monthly'!$X$9</f>
        <v>169885.27467878521</v>
      </c>
      <c r="AR93" s="18">
        <f ca="1">AM93*'Res Predicted Monthly'!$X$10</f>
        <v>2651747.1158694639</v>
      </c>
      <c r="AS93" s="18">
        <f ca="1">AN93*'Res Predicted Monthly'!$X$10</f>
        <v>3454611.8620386319</v>
      </c>
      <c r="AU93" s="31">
        <f t="shared" ca="1" si="72"/>
        <v>6859806.7244865131</v>
      </c>
      <c r="AV93" s="31">
        <f t="shared" ca="1" si="73"/>
        <v>7698372.729484532</v>
      </c>
    </row>
    <row r="94" spans="1:48">
      <c r="A94" s="541">
        <f>'Monthly Data'!A94</f>
        <v>45170</v>
      </c>
      <c r="B94">
        <f t="shared" si="80"/>
        <v>2023</v>
      </c>
      <c r="C94">
        <f t="shared" si="81"/>
        <v>9</v>
      </c>
      <c r="D94" s="18">
        <f>'Monthly Data'!F94</f>
        <v>6146868.721894864</v>
      </c>
      <c r="E94" s="33">
        <f t="shared" ref="E94:F113" ca="1" si="105">E82</f>
        <v>114.73583333333336</v>
      </c>
      <c r="F94" s="33">
        <f t="shared" ca="1" si="105"/>
        <v>95.131249999999994</v>
      </c>
      <c r="G94" s="18">
        <f>'Monthly Data'!G94</f>
        <v>10291</v>
      </c>
      <c r="H94">
        <f>'Monthly Data'!BU94</f>
        <v>30</v>
      </c>
      <c r="I94" s="33">
        <f>'Monthly Data'!CQ94</f>
        <v>28.235416666666659</v>
      </c>
      <c r="J94" s="33">
        <f>'Monthly Data'!CX94</f>
        <v>25.830208333333346</v>
      </c>
      <c r="L94" s="18">
        <f>'Res Predicted Monthly'!$X$8</f>
        <v>-16404845.677784801</v>
      </c>
      <c r="M94" s="18">
        <f ca="1">E94*'Res Predicted Monthly'!$X$9</f>
        <v>751704.20493946178</v>
      </c>
      <c r="N94" s="18">
        <f ca="1">F94*'Res Predicted Monthly'!$X$10</f>
        <v>1387497.5842273687</v>
      </c>
      <c r="O94" s="18">
        <f>G94*'Res Predicted Monthly'!$X$11</f>
        <v>13862329.774163473</v>
      </c>
      <c r="P94" s="18">
        <f>H94*'Res Predicted Monthly'!$X$12</f>
        <v>6303145.7404868407</v>
      </c>
      <c r="Q94" s="18">
        <f>I94*'Res Predicted Monthly'!$X$13</f>
        <v>15270.414338707789</v>
      </c>
      <c r="R94" s="18">
        <f>J94*'Res Predicted Monthly'!$X$14</f>
        <v>56666.782462088035</v>
      </c>
      <c r="S94" s="18">
        <f t="shared" ca="1" si="70"/>
        <v>5971768.8228331404</v>
      </c>
      <c r="T94" s="30">
        <f t="shared" ca="1" si="91"/>
        <v>-175099.89906172361</v>
      </c>
      <c r="U94" s="35">
        <f t="shared" ca="1" si="92"/>
        <v>2.8486031991870237E-2</v>
      </c>
      <c r="AK94" s="33">
        <f t="shared" ref="AK94:AN94" ca="1" si="106">AK82</f>
        <v>101.01454219588074</v>
      </c>
      <c r="AL94" s="33">
        <f t="shared" ca="1" si="106"/>
        <v>127.89066669975746</v>
      </c>
      <c r="AM94" s="33">
        <f t="shared" ca="1" si="106"/>
        <v>79.170459316701752</v>
      </c>
      <c r="AN94" s="33">
        <f t="shared" ca="1" si="106"/>
        <v>103.14075812197032</v>
      </c>
      <c r="AP94" s="18">
        <f ca="1">AK94*'Res Predicted Monthly'!$X$9</f>
        <v>661807.68398723053</v>
      </c>
      <c r="AQ94" s="18">
        <f ca="1">AL94*'Res Predicted Monthly'!$X$9</f>
        <v>837889.51662051689</v>
      </c>
      <c r="AR94" s="18">
        <f ca="1">AM94*'Res Predicted Monthly'!$X$10</f>
        <v>1154708.0590667615</v>
      </c>
      <c r="AS94" s="18">
        <f ca="1">AN94*'Res Predicted Monthly'!$X$10</f>
        <v>1504316.9592495966</v>
      </c>
      <c r="AU94" s="31">
        <f t="shared" ca="1" si="72"/>
        <v>5649082.7767203022</v>
      </c>
      <c r="AV94" s="31">
        <f t="shared" ca="1" si="73"/>
        <v>6174773.5095364228</v>
      </c>
    </row>
    <row r="95" spans="1:48">
      <c r="A95" s="541">
        <f>'Monthly Data'!A95</f>
        <v>45200</v>
      </c>
      <c r="B95">
        <f t="shared" si="80"/>
        <v>2023</v>
      </c>
      <c r="C95">
        <f t="shared" si="81"/>
        <v>10</v>
      </c>
      <c r="D95" s="18">
        <f>'Monthly Data'!F95</f>
        <v>6311574.3690277999</v>
      </c>
      <c r="E95" s="33">
        <f t="shared" ca="1" si="105"/>
        <v>302.40479166666665</v>
      </c>
      <c r="F95" s="33">
        <f t="shared" ca="1" si="105"/>
        <v>21.813750000000006</v>
      </c>
      <c r="G95" s="18">
        <f>'Monthly Data'!G95</f>
        <v>10304</v>
      </c>
      <c r="H95">
        <f>'Monthly Data'!BU95</f>
        <v>31</v>
      </c>
      <c r="I95" s="33">
        <f>'Monthly Data'!CQ95</f>
        <v>62.737499999999997</v>
      </c>
      <c r="J95" s="33">
        <f>'Monthly Data'!CX95</f>
        <v>11.683333333333334</v>
      </c>
      <c r="L95" s="18">
        <f>'Res Predicted Monthly'!$X$8</f>
        <v>-16404845.677784801</v>
      </c>
      <c r="M95" s="18">
        <f ca="1">E95*'Res Predicted Monthly'!$X$9</f>
        <v>1981237.655975031</v>
      </c>
      <c r="N95" s="18">
        <f ca="1">F95*'Res Predicted Monthly'!$X$10</f>
        <v>318155.44763618446</v>
      </c>
      <c r="O95" s="18">
        <f>G95*'Res Predicted Monthly'!$X$11</f>
        <v>13879841.21980181</v>
      </c>
      <c r="P95" s="18">
        <f>H95*'Res Predicted Monthly'!$X$12</f>
        <v>6513250.5985030681</v>
      </c>
      <c r="Q95" s="18">
        <f>I95*'Res Predicted Monthly'!$X$13</f>
        <v>33929.997594322027</v>
      </c>
      <c r="R95" s="18">
        <f>J95*'Res Predicted Monthly'!$X$14</f>
        <v>25631.109896147886</v>
      </c>
      <c r="S95" s="18">
        <f t="shared" ca="1" si="70"/>
        <v>6347200.3516217628</v>
      </c>
      <c r="T95" s="30">
        <f t="shared" ca="1" si="91"/>
        <v>35625.982593962923</v>
      </c>
      <c r="U95" s="35">
        <f t="shared" ca="1" si="92"/>
        <v>5.6445477009329052E-3</v>
      </c>
      <c r="AK95" s="33">
        <f t="shared" ref="AK95:AN95" ca="1" si="107">AK83</f>
        <v>266.24011610481193</v>
      </c>
      <c r="AL95" s="33">
        <f t="shared" ca="1" si="107"/>
        <v>337.07647642295342</v>
      </c>
      <c r="AM95" s="33">
        <f t="shared" ca="1" si="107"/>
        <v>18.153914795818444</v>
      </c>
      <c r="AN95" s="33">
        <f t="shared" ca="1" si="107"/>
        <v>23.650343209861436</v>
      </c>
      <c r="AP95" s="18">
        <f ca="1">AK95*'Res Predicted Monthly'!$X$9</f>
        <v>1744300.8778096722</v>
      </c>
      <c r="AQ95" s="18">
        <f ca="1">AL95*'Res Predicted Monthly'!$X$9</f>
        <v>2208392.9436166673</v>
      </c>
      <c r="AR95" s="18">
        <f ca="1">AM95*'Res Predicted Monthly'!$X$10</f>
        <v>264776.4317557856</v>
      </c>
      <c r="AS95" s="18">
        <f ca="1">AN95*'Res Predicted Monthly'!$X$10</f>
        <v>344942.31989836041</v>
      </c>
      <c r="AU95" s="31">
        <f t="shared" ca="1" si="72"/>
        <v>6056884.5575760053</v>
      </c>
      <c r="AV95" s="31">
        <f t="shared" ca="1" si="73"/>
        <v>6601142.5115255751</v>
      </c>
    </row>
    <row r="96" spans="1:48">
      <c r="A96" s="541">
        <f>'Monthly Data'!A96</f>
        <v>45231</v>
      </c>
      <c r="B96">
        <f t="shared" si="80"/>
        <v>2023</v>
      </c>
      <c r="C96">
        <f t="shared" si="81"/>
        <v>11</v>
      </c>
      <c r="D96" s="18">
        <f>'Monthly Data'!F96</f>
        <v>7441339.0161607359</v>
      </c>
      <c r="E96" s="33">
        <f t="shared" ca="1" si="105"/>
        <v>526.09395833333338</v>
      </c>
      <c r="F96" s="33">
        <f t="shared" ca="1" si="105"/>
        <v>2.2795833333333335</v>
      </c>
      <c r="G96" s="18">
        <f>'Monthly Data'!G96</f>
        <v>10324</v>
      </c>
      <c r="H96">
        <f>'Monthly Data'!BU96</f>
        <v>30</v>
      </c>
      <c r="I96" s="33">
        <f>'Monthly Data'!CQ96</f>
        <v>139.06822916666667</v>
      </c>
      <c r="J96" s="33">
        <f>'Monthly Data'!CX96</f>
        <v>0</v>
      </c>
      <c r="L96" s="18">
        <f>'Res Predicted Monthly'!$X$8</f>
        <v>-16404845.677784801</v>
      </c>
      <c r="M96" s="18">
        <f ca="1">E96*'Res Predicted Monthly'!$X$9</f>
        <v>3446761.3925240957</v>
      </c>
      <c r="N96" s="18">
        <f ca="1">F96*'Res Predicted Monthly'!$X$10</f>
        <v>33247.921876827779</v>
      </c>
      <c r="O96" s="18">
        <f>G96*'Res Predicted Monthly'!$X$11</f>
        <v>13906781.905399252</v>
      </c>
      <c r="P96" s="18">
        <f>H96*'Res Predicted Monthly'!$X$12</f>
        <v>6303145.7404868407</v>
      </c>
      <c r="Q96" s="18">
        <f>I96*'Res Predicted Monthly'!$X$13</f>
        <v>75211.551003333327</v>
      </c>
      <c r="R96" s="18">
        <f>J96*'Res Predicted Monthly'!$X$14</f>
        <v>0</v>
      </c>
      <c r="S96" s="18">
        <f t="shared" ca="1" si="70"/>
        <v>7360302.8335055476</v>
      </c>
      <c r="T96" s="30">
        <f t="shared" ca="1" si="91"/>
        <v>-81036.182655188255</v>
      </c>
      <c r="U96" s="35">
        <f t="shared" ca="1" si="92"/>
        <v>1.0890000103368203E-2</v>
      </c>
      <c r="AK96" s="33">
        <f t="shared" ref="AK96:AN96" ca="1" si="108">AK84</f>
        <v>463.17823132610772</v>
      </c>
      <c r="AL96" s="33">
        <f t="shared" ca="1" si="108"/>
        <v>586.4123275463005</v>
      </c>
      <c r="AM96" s="33">
        <f t="shared" ca="1" si="108"/>
        <v>1.8971227598785685</v>
      </c>
      <c r="AN96" s="33">
        <f t="shared" ca="1" si="108"/>
        <v>2.4715112352902775</v>
      </c>
      <c r="AP96" s="18">
        <f ca="1">AK96*'Res Predicted Monthly'!$X$9</f>
        <v>3034562.2113776528</v>
      </c>
      <c r="AQ96" s="18">
        <f ca="1">AL96*'Res Predicted Monthly'!$X$9</f>
        <v>3841943.7035354339</v>
      </c>
      <c r="AR96" s="18">
        <f ca="1">AM96*'Res Predicted Monthly'!$X$10</f>
        <v>27669.701032145298</v>
      </c>
      <c r="AS96" s="18">
        <f ca="1">AN96*'Res Predicted Monthly'!$X$10</f>
        <v>36047.207078179461</v>
      </c>
      <c r="AU96" s="31">
        <f t="shared" ca="1" si="72"/>
        <v>6942525.4315144224</v>
      </c>
      <c r="AV96" s="31">
        <f t="shared" ca="1" si="73"/>
        <v>7758284.4297182374</v>
      </c>
    </row>
    <row r="97" spans="1:48">
      <c r="A97" s="541">
        <f>'Monthly Data'!A97</f>
        <v>45261</v>
      </c>
      <c r="B97">
        <f t="shared" si="80"/>
        <v>2023</v>
      </c>
      <c r="C97">
        <f t="shared" si="81"/>
        <v>12</v>
      </c>
      <c r="D97" s="18">
        <f>'Monthly Data'!F97</f>
        <v>8512565.6632936709</v>
      </c>
      <c r="E97" s="33">
        <f t="shared" ca="1" si="105"/>
        <v>750.36333333333334</v>
      </c>
      <c r="F97" s="33">
        <f t="shared" ca="1" si="105"/>
        <v>0</v>
      </c>
      <c r="G97" s="18">
        <f>'Monthly Data'!G97</f>
        <v>10326</v>
      </c>
      <c r="H97">
        <f>'Monthly Data'!BU97</f>
        <v>31</v>
      </c>
      <c r="I97" s="33">
        <f>'Monthly Data'!CQ97</f>
        <v>162.79062500000006</v>
      </c>
      <c r="J97" s="33">
        <f>'Monthly Data'!CX97</f>
        <v>0</v>
      </c>
      <c r="L97" s="18">
        <f>'Res Predicted Monthly'!$X$8</f>
        <v>-16404845.677784801</v>
      </c>
      <c r="M97" s="18">
        <f ca="1">E97*'Res Predicted Monthly'!$X$9</f>
        <v>4916086.4266385026</v>
      </c>
      <c r="N97" s="18">
        <f ca="1">F97*'Res Predicted Monthly'!$X$10</f>
        <v>0</v>
      </c>
      <c r="O97" s="18">
        <f>G97*'Res Predicted Monthly'!$X$11</f>
        <v>13909475.973958995</v>
      </c>
      <c r="P97" s="18">
        <f>H97*'Res Predicted Monthly'!$X$12</f>
        <v>6513250.5985030681</v>
      </c>
      <c r="Q97" s="18">
        <f>I97*'Res Predicted Monthly'!$X$13</f>
        <v>88041.211629857455</v>
      </c>
      <c r="R97" s="18">
        <f>J97*'Res Predicted Monthly'!$X$14</f>
        <v>0</v>
      </c>
      <c r="S97" s="18">
        <f t="shared" ca="1" si="70"/>
        <v>9022008.5329456236</v>
      </c>
      <c r="T97" s="30">
        <f t="shared" ca="1" si="91"/>
        <v>509442.86965195276</v>
      </c>
      <c r="U97" s="35">
        <f t="shared" ca="1" si="92"/>
        <v>5.9845984137153752E-2</v>
      </c>
      <c r="AK97" s="33">
        <f t="shared" ref="AK97:AN97" ca="1" si="109">AK85</f>
        <v>660.62716760013984</v>
      </c>
      <c r="AL97" s="33">
        <f t="shared" ca="1" si="109"/>
        <v>836.39490975983074</v>
      </c>
      <c r="AM97" s="33">
        <f t="shared" ca="1" si="109"/>
        <v>0</v>
      </c>
      <c r="AN97" s="33">
        <f t="shared" ca="1" si="109"/>
        <v>0</v>
      </c>
      <c r="AP97" s="18">
        <f ca="1">AK97*'Res Predicted Monthly'!$X$9</f>
        <v>4328170.2442474803</v>
      </c>
      <c r="AQ97" s="18">
        <f ca="1">AL97*'Res Predicted Monthly'!$X$9</f>
        <v>5479731.5920463055</v>
      </c>
      <c r="AR97" s="18">
        <f ca="1">AM97*'Res Predicted Monthly'!$X$10</f>
        <v>0</v>
      </c>
      <c r="AS97" s="18">
        <f ca="1">AN97*'Res Predicted Monthly'!$X$10</f>
        <v>0</v>
      </c>
      <c r="AU97" s="31">
        <f t="shared" ca="1" si="72"/>
        <v>8434092.3505546004</v>
      </c>
      <c r="AV97" s="31">
        <f t="shared" ca="1" si="73"/>
        <v>9585653.6983534265</v>
      </c>
    </row>
    <row r="98" spans="1:48">
      <c r="A98" s="541">
        <f>'Monthly Data'!A98</f>
        <v>45292</v>
      </c>
      <c r="B98">
        <f t="shared" si="80"/>
        <v>2024</v>
      </c>
      <c r="C98">
        <f t="shared" si="81"/>
        <v>1</v>
      </c>
      <c r="D98" s="18">
        <f>'Monthly Data'!F98</f>
        <v>10058510.850234345</v>
      </c>
      <c r="E98" s="33">
        <f t="shared" ca="1" si="105"/>
        <v>852.55166666666662</v>
      </c>
      <c r="F98" s="33">
        <f t="shared" ca="1" si="105"/>
        <v>0</v>
      </c>
      <c r="G98" s="18">
        <f>'Monthly Data'!G98</f>
        <v>10337</v>
      </c>
      <c r="H98">
        <f>'Monthly Data'!BU98</f>
        <v>31</v>
      </c>
      <c r="I98" s="33">
        <f>'Monthly Data'!CQ98</f>
        <v>191.76979166666669</v>
      </c>
      <c r="J98" s="33">
        <f>'Monthly Data'!CX98</f>
        <v>0</v>
      </c>
      <c r="L98" s="18">
        <f>'Res Predicted Monthly'!$X$8</f>
        <v>-16404845.677784801</v>
      </c>
      <c r="M98" s="18">
        <f ca="1">E98*'Res Predicted Monthly'!$X$9</f>
        <v>5585584.3300463771</v>
      </c>
      <c r="N98" s="18">
        <f ca="1">F98*'Res Predicted Monthly'!$X$10</f>
        <v>0</v>
      </c>
      <c r="O98" s="18">
        <f>G98*'Res Predicted Monthly'!$X$11</f>
        <v>13924293.351037588</v>
      </c>
      <c r="P98" s="18">
        <f>H98*'Res Predicted Monthly'!$X$12</f>
        <v>6513250.5985030681</v>
      </c>
      <c r="Q98" s="18">
        <f>I98*'Res Predicted Monthly'!$X$13</f>
        <v>103713.86443376988</v>
      </c>
      <c r="R98" s="18">
        <f>J98*'Res Predicted Monthly'!$X$14</f>
        <v>0</v>
      </c>
      <c r="S98" s="18">
        <f t="shared" ca="1" si="70"/>
        <v>9721996.4662360027</v>
      </c>
      <c r="T98" s="30">
        <f t="shared" ca="1" si="91"/>
        <v>-336514.38399834186</v>
      </c>
      <c r="U98" s="35">
        <f t="shared" ca="1" si="92"/>
        <v>3.3455686334573242E-2</v>
      </c>
      <c r="AK98" s="33">
        <f t="shared" ref="AK98:AN98" ca="1" si="110">AK86</f>
        <v>750.59476891120983</v>
      </c>
      <c r="AL98" s="33">
        <f t="shared" ca="1" si="110"/>
        <v>950.29946511324727</v>
      </c>
      <c r="AM98" s="33">
        <f t="shared" ca="1" si="110"/>
        <v>0</v>
      </c>
      <c r="AN98" s="33">
        <f t="shared" ca="1" si="110"/>
        <v>0</v>
      </c>
      <c r="AP98" s="18">
        <f ca="1">AK98*'Res Predicted Monthly'!$X$9</f>
        <v>4917602.7018247992</v>
      </c>
      <c r="AQ98" s="18">
        <f ca="1">AL98*'Res Predicted Monthly'!$X$9</f>
        <v>6225989.5895122774</v>
      </c>
      <c r="AR98" s="18">
        <f ca="1">AM98*'Res Predicted Monthly'!$X$10</f>
        <v>0</v>
      </c>
      <c r="AS98" s="18">
        <f ca="1">AN98*'Res Predicted Monthly'!$X$10</f>
        <v>0</v>
      </c>
      <c r="AU98" s="31">
        <f t="shared" ca="1" si="72"/>
        <v>9054014.8380144238</v>
      </c>
      <c r="AV98" s="31">
        <f t="shared" ca="1" si="73"/>
        <v>10362401.725701902</v>
      </c>
    </row>
    <row r="99" spans="1:48">
      <c r="A99" s="541">
        <f>'Monthly Data'!A99</f>
        <v>45323</v>
      </c>
      <c r="B99">
        <f t="shared" si="80"/>
        <v>2024</v>
      </c>
      <c r="C99">
        <f t="shared" si="81"/>
        <v>2</v>
      </c>
      <c r="D99" s="18">
        <f>'Monthly Data'!F99</f>
        <v>7527358.4163905876</v>
      </c>
      <c r="E99" s="33">
        <f t="shared" ca="1" si="105"/>
        <v>747.22854166666662</v>
      </c>
      <c r="F99" s="33">
        <f t="shared" ca="1" si="105"/>
        <v>0</v>
      </c>
      <c r="G99" s="18">
        <f>'Monthly Data'!G99</f>
        <v>10346</v>
      </c>
      <c r="H99">
        <f>'Monthly Data'!BU99</f>
        <v>28</v>
      </c>
      <c r="I99" s="33">
        <f>'Monthly Data'!CQ99</f>
        <v>163.46979166666668</v>
      </c>
      <c r="J99" s="33">
        <f>'Monthly Data'!CX99</f>
        <v>0</v>
      </c>
      <c r="L99" s="18">
        <f>'Res Predicted Monthly'!$X$8</f>
        <v>-16404845.677784801</v>
      </c>
      <c r="M99" s="18">
        <f ca="1">E99*'Res Predicted Monthly'!$X$9</f>
        <v>4895548.500438964</v>
      </c>
      <c r="N99" s="18">
        <f ca="1">F99*'Res Predicted Monthly'!$X$10</f>
        <v>0</v>
      </c>
      <c r="O99" s="18">
        <f>G99*'Res Predicted Monthly'!$X$11</f>
        <v>13936416.659556437</v>
      </c>
      <c r="P99" s="18">
        <f>H99*'Res Predicted Monthly'!$X$12</f>
        <v>5882936.0244543841</v>
      </c>
      <c r="Q99" s="18">
        <f>I99*'Res Predicted Monthly'!$X$13</f>
        <v>88408.521824974276</v>
      </c>
      <c r="R99" s="18">
        <f>J99*'Res Predicted Monthly'!$X$14</f>
        <v>0</v>
      </c>
      <c r="S99" s="18">
        <f t="shared" ca="1" si="70"/>
        <v>8398464.0284899585</v>
      </c>
      <c r="T99" s="30">
        <f t="shared" ca="1" si="91"/>
        <v>871105.61209937092</v>
      </c>
      <c r="U99" s="35">
        <f t="shared" ca="1" si="92"/>
        <v>0.11572527358370045</v>
      </c>
      <c r="AK99" s="33">
        <f t="shared" ref="AK99:AN99" ca="1" si="111">AK87</f>
        <v>657.86726656584096</v>
      </c>
      <c r="AL99" s="33">
        <f t="shared" ca="1" si="111"/>
        <v>832.90070411746512</v>
      </c>
      <c r="AM99" s="33">
        <f t="shared" ca="1" si="111"/>
        <v>0</v>
      </c>
      <c r="AN99" s="33">
        <f t="shared" ca="1" si="111"/>
        <v>0</v>
      </c>
      <c r="AP99" s="18">
        <f ca="1">AK99*'Res Predicted Monthly'!$X$9</f>
        <v>4310088.4545186171</v>
      </c>
      <c r="AQ99" s="18">
        <f ca="1">AL99*'Res Predicted Monthly'!$X$9</f>
        <v>5456838.9263639245</v>
      </c>
      <c r="AR99" s="18">
        <f ca="1">AM99*'Res Predicted Monthly'!$X$10</f>
        <v>0</v>
      </c>
      <c r="AS99" s="18">
        <f ca="1">AN99*'Res Predicted Monthly'!$X$10</f>
        <v>0</v>
      </c>
      <c r="AU99" s="31">
        <f t="shared" ca="1" si="72"/>
        <v>7813003.9825696116</v>
      </c>
      <c r="AV99" s="31">
        <f t="shared" ca="1" si="73"/>
        <v>8959754.454414919</v>
      </c>
    </row>
    <row r="100" spans="1:48">
      <c r="A100" s="541">
        <f>'Monthly Data'!A100</f>
        <v>45352</v>
      </c>
      <c r="B100">
        <f t="shared" si="80"/>
        <v>2024</v>
      </c>
      <c r="C100">
        <f t="shared" si="81"/>
        <v>3</v>
      </c>
      <c r="D100" s="18">
        <f>'Monthly Data'!F100</f>
        <v>8124056.9825468305</v>
      </c>
      <c r="E100" s="33">
        <f t="shared" ca="1" si="105"/>
        <v>636.29604166666672</v>
      </c>
      <c r="F100" s="33">
        <f t="shared" ca="1" si="105"/>
        <v>0</v>
      </c>
      <c r="G100" s="18">
        <f>'Monthly Data'!G100</f>
        <v>10340</v>
      </c>
      <c r="H100">
        <f>'Monthly Data'!BU100</f>
        <v>31</v>
      </c>
      <c r="I100" s="33">
        <f>'Monthly Data'!CQ100</f>
        <v>133.64479166666666</v>
      </c>
      <c r="J100" s="33">
        <f>'Monthly Data'!CX100</f>
        <v>0</v>
      </c>
      <c r="L100" s="18">
        <f>'Res Predicted Monthly'!$X$8</f>
        <v>-16404845.677784801</v>
      </c>
      <c r="M100" s="18">
        <f ca="1">E100*'Res Predicted Monthly'!$X$9</f>
        <v>4168762.2446387853</v>
      </c>
      <c r="N100" s="18">
        <f ca="1">F100*'Res Predicted Monthly'!$X$10</f>
        <v>0</v>
      </c>
      <c r="O100" s="18">
        <f>G100*'Res Predicted Monthly'!$X$11</f>
        <v>13928334.453877205</v>
      </c>
      <c r="P100" s="18">
        <f>H100*'Res Predicted Monthly'!$X$12</f>
        <v>6513250.5985030681</v>
      </c>
      <c r="Q100" s="18">
        <f>I100*'Res Predicted Monthly'!$X$13</f>
        <v>72278.421354750652</v>
      </c>
      <c r="R100" s="18">
        <f>J100*'Res Predicted Monthly'!$X$14</f>
        <v>0</v>
      </c>
      <c r="S100" s="18">
        <f t="shared" ca="1" si="70"/>
        <v>8277780.0405890094</v>
      </c>
      <c r="T100" s="30">
        <f t="shared" ca="1" si="91"/>
        <v>153723.05804217886</v>
      </c>
      <c r="U100" s="35">
        <f t="shared" ca="1" si="92"/>
        <v>1.8921957141909144E-2</v>
      </c>
      <c r="AK100" s="33">
        <f t="shared" ref="AK100:AN100" ca="1" si="112">AK88</f>
        <v>560.20121598172079</v>
      </c>
      <c r="AL100" s="33">
        <f t="shared" ca="1" si="112"/>
        <v>709.24943518517148</v>
      </c>
      <c r="AM100" s="33">
        <f t="shared" ca="1" si="112"/>
        <v>0</v>
      </c>
      <c r="AN100" s="33">
        <f t="shared" ca="1" si="112"/>
        <v>0</v>
      </c>
      <c r="AP100" s="18">
        <f ca="1">AK100*'Res Predicted Monthly'!$X$9</f>
        <v>3670218.7750033834</v>
      </c>
      <c r="AQ100" s="18">
        <f ca="1">AL100*'Res Predicted Monthly'!$X$9</f>
        <v>4646724.2821231214</v>
      </c>
      <c r="AR100" s="18">
        <f ca="1">AM100*'Res Predicted Monthly'!$X$10</f>
        <v>0</v>
      </c>
      <c r="AS100" s="18">
        <f ca="1">AN100*'Res Predicted Monthly'!$X$10</f>
        <v>0</v>
      </c>
      <c r="AU100" s="31">
        <f t="shared" ca="1" si="72"/>
        <v>7779236.5709536076</v>
      </c>
      <c r="AV100" s="31">
        <f t="shared" ca="1" si="73"/>
        <v>8755742.0780733451</v>
      </c>
    </row>
    <row r="101" spans="1:48">
      <c r="A101" s="541">
        <f>'Monthly Data'!A101</f>
        <v>45383</v>
      </c>
      <c r="B101">
        <f t="shared" si="80"/>
        <v>2024</v>
      </c>
      <c r="C101">
        <f t="shared" si="81"/>
        <v>4</v>
      </c>
      <c r="D101" s="18">
        <f>'Monthly Data'!F101</f>
        <v>5757851.5487030726</v>
      </c>
      <c r="E101" s="33">
        <f t="shared" ca="1" si="105"/>
        <v>408.60374999999999</v>
      </c>
      <c r="F101" s="33">
        <f t="shared" ca="1" si="105"/>
        <v>2.8104166666666677</v>
      </c>
      <c r="G101" s="18">
        <f>'Monthly Data'!G101</f>
        <v>10345</v>
      </c>
      <c r="H101">
        <f>'Monthly Data'!BU101</f>
        <v>30</v>
      </c>
      <c r="I101" s="33">
        <f>'Monthly Data'!CQ101</f>
        <v>89.278124999999989</v>
      </c>
      <c r="J101" s="33">
        <f>'Monthly Data'!CX101</f>
        <v>0.18333333333333313</v>
      </c>
      <c r="L101" s="18">
        <f>'Res Predicted Monthly'!$X$8</f>
        <v>-16404845.677784801</v>
      </c>
      <c r="M101" s="18">
        <f ca="1">E101*'Res Predicted Monthly'!$X$9</f>
        <v>2677011.6022663582</v>
      </c>
      <c r="N101" s="18">
        <f ca="1">F101*'Res Predicted Monthly'!$X$10</f>
        <v>40990.172374191818</v>
      </c>
      <c r="O101" s="18">
        <f>G101*'Res Predicted Monthly'!$X$11</f>
        <v>13935069.625276566</v>
      </c>
      <c r="P101" s="18">
        <f>H101*'Res Predicted Monthly'!$X$12</f>
        <v>6303145.7404868407</v>
      </c>
      <c r="Q101" s="18">
        <f>I101*'Res Predicted Monthly'!$X$13</f>
        <v>48283.826522822572</v>
      </c>
      <c r="R101" s="18">
        <f>J101*'Res Predicted Monthly'!$X$14</f>
        <v>402.200012635701</v>
      </c>
      <c r="S101" s="18">
        <f t="shared" ca="1" si="70"/>
        <v>6600057.4891546145</v>
      </c>
      <c r="T101" s="30">
        <f t="shared" ca="1" si="91"/>
        <v>842205.94045154192</v>
      </c>
      <c r="U101" s="35">
        <f t="shared" ca="1" si="92"/>
        <v>0.14627086741082176</v>
      </c>
      <c r="AK101" s="33">
        <f t="shared" ref="AK101:AN101" ca="1" si="113">AK89</f>
        <v>359.73871062458045</v>
      </c>
      <c r="AL101" s="33">
        <f t="shared" ca="1" si="113"/>
        <v>455.4514878686926</v>
      </c>
      <c r="AM101" s="33">
        <f t="shared" ca="1" si="113"/>
        <v>2.33889472041326</v>
      </c>
      <c r="AN101" s="33">
        <f t="shared" ca="1" si="113"/>
        <v>3.0470377046304016</v>
      </c>
      <c r="AP101" s="18">
        <f ca="1">AK101*'Res Predicted Monthly'!$X$9</f>
        <v>2356867.0187837039</v>
      </c>
      <c r="AQ101" s="18">
        <f ca="1">AL101*'Res Predicted Monthly'!$X$9</f>
        <v>2983939.617034757</v>
      </c>
      <c r="AR101" s="18">
        <f ca="1">AM101*'Res Predicted Monthly'!$X$10</f>
        <v>34112.983634037664</v>
      </c>
      <c r="AS101" s="18">
        <f ca="1">AN101*'Res Predicted Monthly'!$X$10</f>
        <v>44441.310864982734</v>
      </c>
      <c r="AU101" s="31">
        <f t="shared" ca="1" si="72"/>
        <v>6273035.7169318059</v>
      </c>
      <c r="AV101" s="31">
        <f t="shared" ca="1" si="73"/>
        <v>6910436.6424138043</v>
      </c>
    </row>
    <row r="102" spans="1:48">
      <c r="A102" s="541">
        <f>'Monthly Data'!A102</f>
        <v>45413</v>
      </c>
      <c r="B102">
        <f t="shared" si="80"/>
        <v>2024</v>
      </c>
      <c r="C102">
        <f t="shared" si="81"/>
        <v>5</v>
      </c>
      <c r="D102" s="18">
        <f>'Monthly Data'!F102</f>
        <v>6393480.1148593156</v>
      </c>
      <c r="E102" s="33">
        <f t="shared" ca="1" si="105"/>
        <v>178.10395833333331</v>
      </c>
      <c r="F102" s="33">
        <f t="shared" ca="1" si="105"/>
        <v>74.673124999999999</v>
      </c>
      <c r="G102" s="18">
        <f>'Monthly Data'!G102</f>
        <v>10345</v>
      </c>
      <c r="H102">
        <f>'Monthly Data'!BU102</f>
        <v>31</v>
      </c>
      <c r="I102" s="33">
        <f>'Monthly Data'!CQ102</f>
        <v>26.821874999999995</v>
      </c>
      <c r="J102" s="33">
        <f>'Monthly Data'!CX102</f>
        <v>24.057291666666671</v>
      </c>
      <c r="L102" s="18">
        <f>'Res Predicted Monthly'!$X$8</f>
        <v>-16404845.677784801</v>
      </c>
      <c r="M102" s="18">
        <f ca="1">E102*'Res Predicted Monthly'!$X$9</f>
        <v>1166867.3204000143</v>
      </c>
      <c r="N102" s="18">
        <f ca="1">F102*'Res Predicted Monthly'!$X$10</f>
        <v>1089114.045534021</v>
      </c>
      <c r="O102" s="18">
        <f>G102*'Res Predicted Monthly'!$X$11</f>
        <v>13935069.625276566</v>
      </c>
      <c r="P102" s="18">
        <f>H102*'Res Predicted Monthly'!$X$12</f>
        <v>6513250.5985030681</v>
      </c>
      <c r="Q102" s="18">
        <f>I102*'Res Predicted Monthly'!$X$13</f>
        <v>14505.935911140961</v>
      </c>
      <c r="R102" s="18">
        <f>J102*'Res Predicted Monthly'!$X$14</f>
        <v>52777.325521713225</v>
      </c>
      <c r="S102" s="18">
        <f t="shared" ca="1" si="70"/>
        <v>6366739.1733617224</v>
      </c>
      <c r="T102" s="30">
        <f t="shared" ca="1" si="91"/>
        <v>-26740.941497593187</v>
      </c>
      <c r="U102" s="35">
        <f t="shared" ca="1" si="92"/>
        <v>4.1825329894189566E-3</v>
      </c>
      <c r="AK102" s="33">
        <f t="shared" ref="AK102:AN102" ca="1" si="114">AK90</f>
        <v>156.80445499574424</v>
      </c>
      <c r="AL102" s="33">
        <f t="shared" ca="1" si="114"/>
        <v>198.52415162176143</v>
      </c>
      <c r="AM102" s="33">
        <f t="shared" ca="1" si="114"/>
        <v>62.144727467193846</v>
      </c>
      <c r="AN102" s="33">
        <f t="shared" ca="1" si="114"/>
        <v>80.960175797507716</v>
      </c>
      <c r="AP102" s="18">
        <f ca="1">AK102*'Res Predicted Monthly'!$X$9</f>
        <v>1027321.3236801189</v>
      </c>
      <c r="AQ102" s="18">
        <f ca="1">AL102*'Res Predicted Monthly'!$X$9</f>
        <v>1300652.4223567233</v>
      </c>
      <c r="AR102" s="18">
        <f ca="1">AM102*'Res Predicted Monthly'!$X$10</f>
        <v>906386.27404979616</v>
      </c>
      <c r="AS102" s="18">
        <f ca="1">AN102*'Res Predicted Monthly'!$X$10</f>
        <v>1180811.2301443012</v>
      </c>
      <c r="AU102" s="31">
        <f t="shared" ca="1" si="72"/>
        <v>6044465.4051576024</v>
      </c>
      <c r="AV102" s="31">
        <f t="shared" ca="1" si="73"/>
        <v>6592221.4599287119</v>
      </c>
    </row>
    <row r="103" spans="1:48">
      <c r="A103" s="541">
        <f>'Monthly Data'!A103</f>
        <v>45444</v>
      </c>
      <c r="B103">
        <f t="shared" si="80"/>
        <v>2024</v>
      </c>
      <c r="C103">
        <f t="shared" si="81"/>
        <v>6</v>
      </c>
      <c r="D103" s="18">
        <f>'Monthly Data'!F103</f>
        <v>6950866.6810155576</v>
      </c>
      <c r="E103" s="33">
        <f t="shared" ca="1" si="105"/>
        <v>51.834166666666661</v>
      </c>
      <c r="F103" s="33">
        <f t="shared" ca="1" si="105"/>
        <v>169.78833333333333</v>
      </c>
      <c r="G103" s="18">
        <f>'Monthly Data'!G103</f>
        <v>10343</v>
      </c>
      <c r="H103">
        <f>'Monthly Data'!BU103</f>
        <v>30</v>
      </c>
      <c r="I103" s="33">
        <f>'Monthly Data'!CQ103</f>
        <v>11.005208333333334</v>
      </c>
      <c r="J103" s="33">
        <f>'Monthly Data'!CX103</f>
        <v>46.820833333333333</v>
      </c>
      <c r="L103" s="18">
        <f>'Res Predicted Monthly'!$X$8</f>
        <v>-16404845.677784801</v>
      </c>
      <c r="M103" s="18">
        <f ca="1">E103*'Res Predicted Monthly'!$X$9</f>
        <v>339597.14163287729</v>
      </c>
      <c r="N103" s="18">
        <f ca="1">F103*'Res Predicted Monthly'!$X$10</f>
        <v>2476377.6606529527</v>
      </c>
      <c r="O103" s="18">
        <f>G103*'Res Predicted Monthly'!$X$11</f>
        <v>13932375.55671682</v>
      </c>
      <c r="P103" s="18">
        <f>H103*'Res Predicted Monthly'!$X$12</f>
        <v>6303145.7404868407</v>
      </c>
      <c r="Q103" s="18">
        <f>I103*'Res Predicted Monthly'!$X$13</f>
        <v>5951.8898947999651</v>
      </c>
      <c r="R103" s="18">
        <f>J103*'Res Predicted Monthly'!$X$14</f>
        <v>102716.3986815313</v>
      </c>
      <c r="S103" s="18">
        <f t="shared" ca="1" si="70"/>
        <v>6755318.7102810219</v>
      </c>
      <c r="T103" s="30">
        <f t="shared" ca="1" si="91"/>
        <v>-195547.97073453572</v>
      </c>
      <c r="U103" s="35">
        <f t="shared" ca="1" si="92"/>
        <v>2.8132890430573636E-2</v>
      </c>
      <c r="AK103" s="33">
        <f t="shared" ref="AK103:AN103" ca="1" si="115">AK91</f>
        <v>45.635303843800436</v>
      </c>
      <c r="AL103" s="33">
        <f t="shared" ca="1" si="115"/>
        <v>57.777121063541692</v>
      </c>
      <c r="AM103" s="33">
        <f t="shared" ca="1" si="115"/>
        <v>141.30183653234096</v>
      </c>
      <c r="AN103" s="33">
        <f t="shared" ca="1" si="115"/>
        <v>184.0835416360639</v>
      </c>
      <c r="AP103" s="18">
        <f ca="1">AK103*'Res Predicted Monthly'!$X$9</f>
        <v>298984.62229679566</v>
      </c>
      <c r="AQ103" s="18">
        <f ca="1">AL103*'Res Predicted Monthly'!$X$9</f>
        <v>378533.04927487596</v>
      </c>
      <c r="AR103" s="18">
        <f ca="1">AM103*'Res Predicted Monthly'!$X$10</f>
        <v>2060899.6185324343</v>
      </c>
      <c r="AS103" s="18">
        <f ca="1">AN103*'Res Predicted Monthly'!$X$10</f>
        <v>2684874.5214223182</v>
      </c>
      <c r="AU103" s="31">
        <f t="shared" ca="1" si="72"/>
        <v>6299228.1488244217</v>
      </c>
      <c r="AV103" s="31">
        <f t="shared" ca="1" si="73"/>
        <v>7002751.4786923863</v>
      </c>
    </row>
    <row r="104" spans="1:48">
      <c r="A104" s="541">
        <f>'Monthly Data'!A104</f>
        <v>45474</v>
      </c>
      <c r="B104">
        <f t="shared" si="80"/>
        <v>2024</v>
      </c>
      <c r="C104">
        <f t="shared" si="81"/>
        <v>7</v>
      </c>
      <c r="D104" s="18">
        <f>'Monthly Data'!F104</f>
        <v>8232160.2471718006</v>
      </c>
      <c r="E104" s="33">
        <f t="shared" ca="1" si="105"/>
        <v>6.5670833333333318</v>
      </c>
      <c r="F104" s="33">
        <f t="shared" ca="1" si="105"/>
        <v>265.99625000000003</v>
      </c>
      <c r="G104" s="18">
        <f>'Monthly Data'!G104</f>
        <v>10353</v>
      </c>
      <c r="H104">
        <f>'Monthly Data'!BU104</f>
        <v>31</v>
      </c>
      <c r="I104" s="33">
        <f>'Monthly Data'!CQ104</f>
        <v>0.56249999999999911</v>
      </c>
      <c r="J104" s="33">
        <f>'Monthly Data'!CX104</f>
        <v>68.535416666666663</v>
      </c>
      <c r="L104" s="18">
        <f>'Res Predicted Monthly'!$X$8</f>
        <v>-16404845.677784801</v>
      </c>
      <c r="M104" s="18">
        <f ca="1">E104*'Res Predicted Monthly'!$X$9</f>
        <v>43024.95578267052</v>
      </c>
      <c r="N104" s="18">
        <f ca="1">F104*'Res Predicted Monthly'!$X$10</f>
        <v>3879578.5221842378</v>
      </c>
      <c r="O104" s="18">
        <f>G104*'Res Predicted Monthly'!$X$11</f>
        <v>13945845.899515541</v>
      </c>
      <c r="P104" s="18">
        <f>H104*'Res Predicted Monthly'!$X$12</f>
        <v>6513250.5985030681</v>
      </c>
      <c r="Q104" s="18">
        <f>I104*'Res Predicted Monthly'!$X$13</f>
        <v>304.21396528083062</v>
      </c>
      <c r="R104" s="18">
        <f>J104*'Res Predicted Monthly'!$X$14</f>
        <v>150354.24790541671</v>
      </c>
      <c r="S104" s="18">
        <f t="shared" ca="1" si="70"/>
        <v>8127512.7600714145</v>
      </c>
      <c r="T104" s="30">
        <f t="shared" ca="1" si="91"/>
        <v>-104647.48710038606</v>
      </c>
      <c r="U104" s="35">
        <f t="shared" ca="1" si="92"/>
        <v>1.2712032316953283E-2</v>
      </c>
      <c r="AK104" s="33">
        <f t="shared" ref="AK104:AN104" ca="1" si="116">AK92</f>
        <v>5.7817239584744504</v>
      </c>
      <c r="AL104" s="33">
        <f t="shared" ca="1" si="116"/>
        <v>7.3200206193025874</v>
      </c>
      <c r="AM104" s="33">
        <f t="shared" ca="1" si="116"/>
        <v>221.36832312221517</v>
      </c>
      <c r="AN104" s="33">
        <f t="shared" ca="1" si="116"/>
        <v>288.39161561107579</v>
      </c>
      <c r="AP104" s="18">
        <f ca="1">AK104*'Res Predicted Monthly'!$X$9</f>
        <v>37879.589009982119</v>
      </c>
      <c r="AQ104" s="18">
        <f ca="1">AL104*'Res Predicted Monthly'!$X$9</f>
        <v>47957.905738021247</v>
      </c>
      <c r="AR104" s="18">
        <f ca="1">AM104*'Res Predicted Monthly'!$X$10</f>
        <v>3228676.313582941</v>
      </c>
      <c r="AS104" s="18">
        <f ca="1">AN104*'Res Predicted Monthly'!$X$10</f>
        <v>4206216.8842708953</v>
      </c>
      <c r="AU104" s="31">
        <f t="shared" ca="1" si="72"/>
        <v>7471465.1846974287</v>
      </c>
      <c r="AV104" s="31">
        <f t="shared" ca="1" si="73"/>
        <v>8459084.0721134227</v>
      </c>
    </row>
    <row r="105" spans="1:48">
      <c r="A105" s="541">
        <f>'Monthly Data'!A105</f>
        <v>45505</v>
      </c>
      <c r="B105">
        <f t="shared" si="80"/>
        <v>2024</v>
      </c>
      <c r="C105">
        <f t="shared" si="81"/>
        <v>8</v>
      </c>
      <c r="D105" s="18">
        <f>'Monthly Data'!F105</f>
        <v>7428027.8133280436</v>
      </c>
      <c r="E105" s="33">
        <f t="shared" ca="1" si="105"/>
        <v>23.263124999999995</v>
      </c>
      <c r="F105" s="33">
        <f t="shared" ca="1" si="105"/>
        <v>218.46562499999996</v>
      </c>
      <c r="G105" s="18">
        <f>'Monthly Data'!G105</f>
        <v>10354</v>
      </c>
      <c r="H105">
        <f>'Monthly Data'!BU105</f>
        <v>31</v>
      </c>
      <c r="I105" s="33">
        <f>'Monthly Data'!CQ105</f>
        <v>7.7208333333333332</v>
      </c>
      <c r="J105" s="33">
        <f>'Monthly Data'!CX105</f>
        <v>53.162500000000001</v>
      </c>
      <c r="L105" s="18">
        <f>'Res Predicted Monthly'!$X$8</f>
        <v>-16404845.677784801</v>
      </c>
      <c r="M105" s="18">
        <f ca="1">E105*'Res Predicted Monthly'!$X$9</f>
        <v>152410.87613604273</v>
      </c>
      <c r="N105" s="18">
        <f ca="1">F105*'Res Predicted Monthly'!$X$10</f>
        <v>3186340.2081253235</v>
      </c>
      <c r="O105" s="18">
        <f>G105*'Res Predicted Monthly'!$X$11</f>
        <v>13947192.933795413</v>
      </c>
      <c r="P105" s="18">
        <f>H105*'Res Predicted Monthly'!$X$12</f>
        <v>6513250.5985030681</v>
      </c>
      <c r="Q105" s="18">
        <f>I105*'Res Predicted Monthly'!$X$13</f>
        <v>4175.6183530768894</v>
      </c>
      <c r="R105" s="18">
        <f>J105*'Res Predicted Monthly'!$X$14</f>
        <v>116628.86275497534</v>
      </c>
      <c r="S105" s="18">
        <f t="shared" ca="1" si="70"/>
        <v>7515153.4198830985</v>
      </c>
      <c r="T105" s="30">
        <f t="shared" ca="1" si="91"/>
        <v>87125.606555054896</v>
      </c>
      <c r="U105" s="35">
        <f t="shared" ca="1" si="92"/>
        <v>1.1729305374803014E-2</v>
      </c>
      <c r="AK105" s="33">
        <f t="shared" ref="AK105:AN105" ca="1" si="117">AK93</f>
        <v>20.481081225021654</v>
      </c>
      <c r="AL105" s="33">
        <f t="shared" ca="1" si="117"/>
        <v>25.930317315309463</v>
      </c>
      <c r="AM105" s="33">
        <f t="shared" ca="1" si="117"/>
        <v>181.81222128543794</v>
      </c>
      <c r="AN105" s="33">
        <f t="shared" ca="1" si="117"/>
        <v>236.85918335026682</v>
      </c>
      <c r="AP105" s="18">
        <f ca="1">AK105*'Res Predicted Monthly'!$X$9</f>
        <v>134184.01584993443</v>
      </c>
      <c r="AQ105" s="18">
        <f ca="1">AL105*'Res Predicted Monthly'!$X$9</f>
        <v>169885.27467878521</v>
      </c>
      <c r="AR105" s="18">
        <f ca="1">AM105*'Res Predicted Monthly'!$X$10</f>
        <v>2651747.1158694639</v>
      </c>
      <c r="AS105" s="18">
        <f ca="1">AN105*'Res Predicted Monthly'!$X$10</f>
        <v>3454611.8620386319</v>
      </c>
      <c r="AU105" s="31">
        <f t="shared" ca="1" si="72"/>
        <v>6962333.4673411306</v>
      </c>
      <c r="AV105" s="31">
        <f t="shared" ca="1" si="73"/>
        <v>7800899.4723391496</v>
      </c>
    </row>
    <row r="106" spans="1:48">
      <c r="A106" s="541">
        <f>'Monthly Data'!A106</f>
        <v>45536</v>
      </c>
      <c r="B106">
        <f t="shared" si="80"/>
        <v>2024</v>
      </c>
      <c r="C106">
        <f t="shared" si="81"/>
        <v>9</v>
      </c>
      <c r="D106" s="18">
        <f>'Monthly Data'!F106</f>
        <v>6258910.3794842856</v>
      </c>
      <c r="E106" s="33">
        <f t="shared" ca="1" si="105"/>
        <v>114.73583333333336</v>
      </c>
      <c r="F106" s="33">
        <f t="shared" ca="1" si="105"/>
        <v>95.131249999999994</v>
      </c>
      <c r="G106" s="18">
        <f>'Monthly Data'!G106</f>
        <v>10358</v>
      </c>
      <c r="H106">
        <f>'Monthly Data'!BU106</f>
        <v>30</v>
      </c>
      <c r="I106" s="33">
        <f>'Monthly Data'!CQ106</f>
        <v>17.673958333333331</v>
      </c>
      <c r="J106" s="33">
        <f>'Monthly Data'!CX106</f>
        <v>31.798958333333328</v>
      </c>
      <c r="L106" s="18">
        <f>'Res Predicted Monthly'!$X$8</f>
        <v>-16404845.677784801</v>
      </c>
      <c r="M106" s="18">
        <f ca="1">E106*'Res Predicted Monthly'!$X$9</f>
        <v>751704.20493946178</v>
      </c>
      <c r="N106" s="18">
        <f ca="1">F106*'Res Predicted Monthly'!$X$10</f>
        <v>1387497.5842273687</v>
      </c>
      <c r="O106" s="18">
        <f>G106*'Res Predicted Monthly'!$X$11</f>
        <v>13952581.070914902</v>
      </c>
      <c r="P106" s="18">
        <f>H106*'Res Predicted Monthly'!$X$12</f>
        <v>6303145.7404868407</v>
      </c>
      <c r="Q106" s="18">
        <f>I106*'Res Predicted Monthly'!$X$13</f>
        <v>9558.5154609627061</v>
      </c>
      <c r="R106" s="18">
        <f>J106*'Res Predicted Monthly'!$X$14</f>
        <v>69761.135146193497</v>
      </c>
      <c r="S106" s="18">
        <f t="shared" ca="1" si="70"/>
        <v>6069402.5733909281</v>
      </c>
      <c r="T106" s="30">
        <f t="shared" ca="1" si="91"/>
        <v>-189507.8060933575</v>
      </c>
      <c r="U106" s="35">
        <f t="shared" ca="1" si="92"/>
        <v>3.027808270182842E-2</v>
      </c>
      <c r="AK106" s="33">
        <f t="shared" ref="AK106:AN106" ca="1" si="118">AK94</f>
        <v>101.01454219588074</v>
      </c>
      <c r="AL106" s="33">
        <f t="shared" ca="1" si="118"/>
        <v>127.89066669975746</v>
      </c>
      <c r="AM106" s="33">
        <f t="shared" ca="1" si="118"/>
        <v>79.170459316701752</v>
      </c>
      <c r="AN106" s="33">
        <f t="shared" ca="1" si="118"/>
        <v>103.14075812197032</v>
      </c>
      <c r="AP106" s="18">
        <f ca="1">AK106*'Res Predicted Monthly'!$X$9</f>
        <v>661807.68398723053</v>
      </c>
      <c r="AQ106" s="18">
        <f ca="1">AL106*'Res Predicted Monthly'!$X$9</f>
        <v>837889.51662051689</v>
      </c>
      <c r="AR106" s="18">
        <f ca="1">AM106*'Res Predicted Monthly'!$X$10</f>
        <v>1154708.0590667615</v>
      </c>
      <c r="AS106" s="18">
        <f ca="1">AN106*'Res Predicted Monthly'!$X$10</f>
        <v>1504316.9592495966</v>
      </c>
      <c r="AU106" s="31">
        <f t="shared" ca="1" si="72"/>
        <v>5746716.5272780899</v>
      </c>
      <c r="AV106" s="31">
        <f t="shared" ca="1" si="73"/>
        <v>6272407.2600942105</v>
      </c>
    </row>
    <row r="107" spans="1:48">
      <c r="A107" s="541">
        <f>'Monthly Data'!A107</f>
        <v>45566</v>
      </c>
      <c r="B107">
        <f t="shared" si="80"/>
        <v>2024</v>
      </c>
      <c r="C107">
        <f t="shared" si="81"/>
        <v>10</v>
      </c>
      <c r="D107" s="18">
        <f>'Monthly Data'!F107</f>
        <v>6160614.9456405286</v>
      </c>
      <c r="E107" s="33">
        <f t="shared" ca="1" si="105"/>
        <v>302.40479166666665</v>
      </c>
      <c r="F107" s="33">
        <f t="shared" ca="1" si="105"/>
        <v>21.813750000000006</v>
      </c>
      <c r="G107" s="18">
        <f>'Monthly Data'!G107</f>
        <v>10359</v>
      </c>
      <c r="H107">
        <f>'Monthly Data'!BU107</f>
        <v>31</v>
      </c>
      <c r="I107" s="33">
        <f>'Monthly Data'!CQ107</f>
        <v>74.820833333333326</v>
      </c>
      <c r="J107" s="33">
        <f>'Monthly Data'!CX107</f>
        <v>5.0364583333333348</v>
      </c>
      <c r="L107" s="18">
        <f>'Res Predicted Monthly'!$X$8</f>
        <v>-16404845.677784801</v>
      </c>
      <c r="M107" s="18">
        <f ca="1">E107*'Res Predicted Monthly'!$X$9</f>
        <v>1981237.655975031</v>
      </c>
      <c r="N107" s="18">
        <f ca="1">F107*'Res Predicted Monthly'!$X$10</f>
        <v>318155.44763618446</v>
      </c>
      <c r="O107" s="18">
        <f>G107*'Res Predicted Monthly'!$X$11</f>
        <v>13953928.105194774</v>
      </c>
      <c r="P107" s="18">
        <f>H107*'Res Predicted Monthly'!$X$12</f>
        <v>6513250.5985030681</v>
      </c>
      <c r="Q107" s="18">
        <f>I107*'Res Predicted Monthly'!$X$13</f>
        <v>40464.96425591025</v>
      </c>
      <c r="R107" s="18">
        <f>J107*'Res Predicted Monthly'!$X$14</f>
        <v>11049.074210759189</v>
      </c>
      <c r="S107" s="18">
        <f t="shared" ca="1" si="70"/>
        <v>6413240.1679909267</v>
      </c>
      <c r="T107" s="30">
        <f t="shared" ca="1" si="91"/>
        <v>252625.22235039808</v>
      </c>
      <c r="U107" s="35">
        <f t="shared" ca="1" si="92"/>
        <v>4.1006494413218395E-2</v>
      </c>
      <c r="AK107" s="33">
        <f t="shared" ref="AK107:AN107" ca="1" si="119">AK95</f>
        <v>266.24011610481193</v>
      </c>
      <c r="AL107" s="33">
        <f t="shared" ca="1" si="119"/>
        <v>337.07647642295342</v>
      </c>
      <c r="AM107" s="33">
        <f t="shared" ca="1" si="119"/>
        <v>18.153914795818444</v>
      </c>
      <c r="AN107" s="33">
        <f t="shared" ca="1" si="119"/>
        <v>23.650343209861436</v>
      </c>
      <c r="AP107" s="18">
        <f ca="1">AK107*'Res Predicted Monthly'!$X$9</f>
        <v>1744300.8778096722</v>
      </c>
      <c r="AQ107" s="18">
        <f ca="1">AL107*'Res Predicted Monthly'!$X$9</f>
        <v>2208392.9436166673</v>
      </c>
      <c r="AR107" s="18">
        <f ca="1">AM107*'Res Predicted Monthly'!$X$10</f>
        <v>264776.4317557856</v>
      </c>
      <c r="AS107" s="18">
        <f ca="1">AN107*'Res Predicted Monthly'!$X$10</f>
        <v>344942.31989836041</v>
      </c>
      <c r="AU107" s="31">
        <f t="shared" ca="1" si="72"/>
        <v>6122924.3739451692</v>
      </c>
      <c r="AV107" s="31">
        <f t="shared" ca="1" si="73"/>
        <v>6667182.3278947389</v>
      </c>
    </row>
    <row r="108" spans="1:48">
      <c r="A108" s="541">
        <f>'Monthly Data'!A108</f>
        <v>45597</v>
      </c>
      <c r="B108">
        <f t="shared" si="80"/>
        <v>2024</v>
      </c>
      <c r="C108">
        <f t="shared" si="81"/>
        <v>11</v>
      </c>
      <c r="D108" s="18">
        <f>'Monthly Data'!F108</f>
        <v>6834550.5117967715</v>
      </c>
      <c r="E108" s="33">
        <f t="shared" ca="1" si="105"/>
        <v>526.09395833333338</v>
      </c>
      <c r="F108" s="33">
        <f t="shared" ca="1" si="105"/>
        <v>2.2795833333333335</v>
      </c>
      <c r="G108" s="18">
        <f>'Monthly Data'!G108</f>
        <v>10364</v>
      </c>
      <c r="H108">
        <f>'Monthly Data'!BU108</f>
        <v>30</v>
      </c>
      <c r="I108" s="33">
        <f>'Monthly Data'!CQ108</f>
        <v>111.61145833333333</v>
      </c>
      <c r="J108" s="33">
        <f>'Monthly Data'!CX108</f>
        <v>0.65937499999999938</v>
      </c>
      <c r="L108" s="18">
        <f>'Res Predicted Monthly'!$X$8</f>
        <v>-16404845.677784801</v>
      </c>
      <c r="M108" s="18">
        <f ca="1">E108*'Res Predicted Monthly'!$X$9</f>
        <v>3446761.3925240957</v>
      </c>
      <c r="N108" s="18">
        <f ca="1">F108*'Res Predicted Monthly'!$X$10</f>
        <v>33247.921876827779</v>
      </c>
      <c r="O108" s="18">
        <f>G108*'Res Predicted Monthly'!$X$11</f>
        <v>13960663.276594134</v>
      </c>
      <c r="P108" s="18">
        <f>H108*'Res Predicted Monthly'!$X$12</f>
        <v>6303145.7404868407</v>
      </c>
      <c r="Q108" s="18">
        <f>I108*'Res Predicted Monthly'!$X$13</f>
        <v>60362.247662861504</v>
      </c>
      <c r="R108" s="18">
        <f>J108*'Res Predicted Monthly'!$X$14</f>
        <v>1446.5489090818112</v>
      </c>
      <c r="S108" s="18">
        <f t="shared" ca="1" si="70"/>
        <v>7400781.4502690407</v>
      </c>
      <c r="T108" s="30">
        <f t="shared" ca="1" si="91"/>
        <v>566230.9384722691</v>
      </c>
      <c r="U108" s="35">
        <f t="shared" ca="1" si="92"/>
        <v>8.2848306921563683E-2</v>
      </c>
      <c r="AK108" s="33">
        <f t="shared" ref="AK108:AN108" ca="1" si="120">AK96</f>
        <v>463.17823132610772</v>
      </c>
      <c r="AL108" s="33">
        <f t="shared" ca="1" si="120"/>
        <v>586.4123275463005</v>
      </c>
      <c r="AM108" s="33">
        <f t="shared" ca="1" si="120"/>
        <v>1.8971227598785685</v>
      </c>
      <c r="AN108" s="33">
        <f t="shared" ca="1" si="120"/>
        <v>2.4715112352902775</v>
      </c>
      <c r="AP108" s="18">
        <f ca="1">AK108*'Res Predicted Monthly'!$X$9</f>
        <v>3034562.2113776528</v>
      </c>
      <c r="AQ108" s="18">
        <f ca="1">AL108*'Res Predicted Monthly'!$X$9</f>
        <v>3841943.7035354339</v>
      </c>
      <c r="AR108" s="18">
        <f ca="1">AM108*'Res Predicted Monthly'!$X$10</f>
        <v>27669.701032145298</v>
      </c>
      <c r="AS108" s="18">
        <f ca="1">AN108*'Res Predicted Monthly'!$X$10</f>
        <v>36047.207078179461</v>
      </c>
      <c r="AU108" s="31">
        <f t="shared" ca="1" si="72"/>
        <v>6983004.0482779155</v>
      </c>
      <c r="AV108" s="31">
        <f t="shared" ca="1" si="73"/>
        <v>7798763.0464817304</v>
      </c>
    </row>
    <row r="109" spans="1:48">
      <c r="A109" s="541">
        <f>'Monthly Data'!A109</f>
        <v>45627</v>
      </c>
      <c r="B109">
        <f t="shared" si="80"/>
        <v>2024</v>
      </c>
      <c r="C109">
        <f t="shared" si="81"/>
        <v>12</v>
      </c>
      <c r="D109" s="18">
        <f>'Monthly Data'!F109</f>
        <v>9082027.0779530145</v>
      </c>
      <c r="E109" s="33">
        <f t="shared" ca="1" si="105"/>
        <v>750.36333333333334</v>
      </c>
      <c r="F109" s="33">
        <f t="shared" ca="1" si="105"/>
        <v>0</v>
      </c>
      <c r="G109" s="18">
        <f>'Monthly Data'!G109</f>
        <v>10367</v>
      </c>
      <c r="H109">
        <f>'Monthly Data'!BU109</f>
        <v>31</v>
      </c>
      <c r="I109" s="33">
        <f>'Monthly Data'!CQ109</f>
        <v>183.66197916666664</v>
      </c>
      <c r="J109" s="33">
        <f>'Monthly Data'!CX109</f>
        <v>0</v>
      </c>
      <c r="L109" s="18">
        <f>'Res Predicted Monthly'!$X$8</f>
        <v>-16404845.677784801</v>
      </c>
      <c r="M109" s="18">
        <f ca="1">E109*'Res Predicted Monthly'!$X$9</f>
        <v>4916086.4266385026</v>
      </c>
      <c r="N109" s="18">
        <f ca="1">F109*'Res Predicted Monthly'!$X$10</f>
        <v>0</v>
      </c>
      <c r="O109" s="18">
        <f>G109*'Res Predicted Monthly'!$X$11</f>
        <v>13964704.379433751</v>
      </c>
      <c r="P109" s="18">
        <f>H109*'Res Predicted Monthly'!$X$12</f>
        <v>6513250.5985030681</v>
      </c>
      <c r="Q109" s="18">
        <f>I109*'Res Predicted Monthly'!$X$13</f>
        <v>99328.95813976365</v>
      </c>
      <c r="R109" s="18">
        <f>J109*'Res Predicted Monthly'!$X$14</f>
        <v>0</v>
      </c>
      <c r="S109" s="18">
        <f t="shared" ca="1" si="70"/>
        <v>9088524.6849302854</v>
      </c>
      <c r="T109" s="30">
        <f t="shared" ca="1" si="91"/>
        <v>6497.6069772709161</v>
      </c>
      <c r="U109" s="35">
        <f t="shared" ca="1" si="92"/>
        <v>7.154357635691395E-4</v>
      </c>
      <c r="AK109" s="33">
        <f t="shared" ref="AK109:AN109" ca="1" si="121">AK97</f>
        <v>660.62716760013984</v>
      </c>
      <c r="AL109" s="33">
        <f t="shared" ca="1" si="121"/>
        <v>836.39490975983074</v>
      </c>
      <c r="AM109" s="33">
        <f t="shared" ca="1" si="121"/>
        <v>0</v>
      </c>
      <c r="AN109" s="33">
        <f t="shared" ca="1" si="121"/>
        <v>0</v>
      </c>
      <c r="AP109" s="18">
        <f ca="1">AK109*'Res Predicted Monthly'!$X$9</f>
        <v>4328170.2442474803</v>
      </c>
      <c r="AQ109" s="18">
        <f ca="1">AL109*'Res Predicted Monthly'!$X$9</f>
        <v>5479731.5920463055</v>
      </c>
      <c r="AR109" s="18">
        <f ca="1">AM109*'Res Predicted Monthly'!$X$10</f>
        <v>0</v>
      </c>
      <c r="AS109" s="18">
        <f ca="1">AN109*'Res Predicted Monthly'!$X$10</f>
        <v>0</v>
      </c>
      <c r="AU109" s="31">
        <f t="shared" ca="1" si="72"/>
        <v>8500608.5025392622</v>
      </c>
      <c r="AV109" s="31">
        <f t="shared" ca="1" si="73"/>
        <v>9652169.8503380883</v>
      </c>
    </row>
    <row r="110" spans="1:48">
      <c r="A110" s="541">
        <f>'Monthly Data'!A110</f>
        <v>45658</v>
      </c>
      <c r="B110">
        <f t="shared" si="80"/>
        <v>2025</v>
      </c>
      <c r="C110">
        <f t="shared" si="81"/>
        <v>1</v>
      </c>
      <c r="D110" s="18">
        <f>'Monthly Data'!F110</f>
        <v>9808318.0739879906</v>
      </c>
      <c r="E110" s="33">
        <f t="shared" ca="1" si="105"/>
        <v>852.55166666666662</v>
      </c>
      <c r="F110" s="33">
        <f t="shared" ca="1" si="105"/>
        <v>0</v>
      </c>
      <c r="G110" s="18">
        <f>'Monthly Data'!G110</f>
        <v>10366</v>
      </c>
      <c r="H110">
        <f>'Monthly Data'!BU110</f>
        <v>31</v>
      </c>
      <c r="I110" s="33">
        <f>'Monthly Data'!CQ110</f>
        <v>217.14322916666666</v>
      </c>
      <c r="J110" s="33">
        <f>'Monthly Data'!CX110</f>
        <v>0</v>
      </c>
      <c r="L110" s="18">
        <f>'Res Predicted Monthly'!$X$8</f>
        <v>-16404845.677784801</v>
      </c>
      <c r="M110" s="18">
        <f ca="1">E110*'Res Predicted Monthly'!$X$9</f>
        <v>5585584.3300463771</v>
      </c>
      <c r="N110" s="18">
        <f ca="1">F110*'Res Predicted Monthly'!$X$10</f>
        <v>0</v>
      </c>
      <c r="O110" s="18">
        <f>G110*'Res Predicted Monthly'!$X$11</f>
        <v>13963357.345153879</v>
      </c>
      <c r="P110" s="18">
        <f>H110*'Res Predicted Monthly'!$X$12</f>
        <v>6513250.5985030681</v>
      </c>
      <c r="Q110" s="18">
        <f>I110*'Res Predicted Monthly'!$X$13</f>
        <v>117436.44938431268</v>
      </c>
      <c r="R110" s="18">
        <f>J110*'Res Predicted Monthly'!$X$14</f>
        <v>0</v>
      </c>
      <c r="S110" s="18">
        <f t="shared" ca="1" si="70"/>
        <v>9774783.0453028381</v>
      </c>
      <c r="T110" s="30">
        <f t="shared" ca="1" si="91"/>
        <v>-33535.028685152531</v>
      </c>
      <c r="U110" s="35">
        <f t="shared" ca="1" si="92"/>
        <v>3.4190396796050715E-3</v>
      </c>
      <c r="AK110" s="33">
        <f t="shared" ref="AK110:AN110" ca="1" si="122">AK98</f>
        <v>750.59476891120983</v>
      </c>
      <c r="AL110" s="33">
        <f t="shared" ca="1" si="122"/>
        <v>950.29946511324727</v>
      </c>
      <c r="AM110" s="33">
        <f t="shared" ca="1" si="122"/>
        <v>0</v>
      </c>
      <c r="AN110" s="33">
        <f t="shared" ca="1" si="122"/>
        <v>0</v>
      </c>
      <c r="AP110" s="18">
        <f ca="1">AK110*'Res Predicted Monthly'!$X$9</f>
        <v>4917602.7018247992</v>
      </c>
      <c r="AQ110" s="18">
        <f ca="1">AL110*'Res Predicted Monthly'!$X$9</f>
        <v>6225989.5895122774</v>
      </c>
      <c r="AR110" s="18">
        <f ca="1">AM110*'Res Predicted Monthly'!$X$10</f>
        <v>0</v>
      </c>
      <c r="AS110" s="18">
        <f ca="1">AN110*'Res Predicted Monthly'!$X$10</f>
        <v>0</v>
      </c>
      <c r="AU110" s="31">
        <f t="shared" ca="1" si="72"/>
        <v>9106801.4170812592</v>
      </c>
      <c r="AV110" s="31">
        <f t="shared" ca="1" si="73"/>
        <v>10415188.304768737</v>
      </c>
    </row>
    <row r="111" spans="1:48">
      <c r="A111" s="541">
        <f>'Monthly Data'!A111</f>
        <v>45689</v>
      </c>
      <c r="B111">
        <f t="shared" si="80"/>
        <v>2025</v>
      </c>
      <c r="C111">
        <f t="shared" si="81"/>
        <v>2</v>
      </c>
      <c r="D111" s="18">
        <f>'Monthly Data'!F111</f>
        <v>8864275.7553072311</v>
      </c>
      <c r="E111" s="33">
        <f t="shared" ca="1" si="105"/>
        <v>747.22854166666662</v>
      </c>
      <c r="F111" s="33">
        <f t="shared" ca="1" si="105"/>
        <v>0</v>
      </c>
      <c r="G111" s="18">
        <f>'Monthly Data'!G111</f>
        <v>10371</v>
      </c>
      <c r="H111">
        <f>'Monthly Data'!BU111</f>
        <v>28</v>
      </c>
      <c r="I111" s="33">
        <f>'Monthly Data'!CQ111</f>
        <v>198.76250000000002</v>
      </c>
      <c r="J111" s="33">
        <f>'Monthly Data'!CX111</f>
        <v>0</v>
      </c>
      <c r="L111" s="18">
        <f>'Res Predicted Monthly'!$X$8</f>
        <v>-16404845.677784801</v>
      </c>
      <c r="M111" s="18">
        <f ca="1">E111*'Res Predicted Monthly'!$X$9</f>
        <v>4895548.500438964</v>
      </c>
      <c r="N111" s="18">
        <f ca="1">F111*'Res Predicted Monthly'!$X$10</f>
        <v>0</v>
      </c>
      <c r="O111" s="18">
        <f>G111*'Res Predicted Monthly'!$X$11</f>
        <v>13970092.51655324</v>
      </c>
      <c r="P111" s="18">
        <f>H111*'Res Predicted Monthly'!$X$12</f>
        <v>5882936.0244543841</v>
      </c>
      <c r="Q111" s="18">
        <f>I111*'Res Predicted Monthly'!$X$13</f>
        <v>107495.69470956658</v>
      </c>
      <c r="R111" s="18">
        <f>J111*'Res Predicted Monthly'!$X$14</f>
        <v>0</v>
      </c>
      <c r="S111" s="18">
        <f t="shared" ca="1" si="70"/>
        <v>8451227.0583713539</v>
      </c>
      <c r="T111" s="30">
        <f t="shared" ca="1" si="91"/>
        <v>-413048.6969358772</v>
      </c>
      <c r="U111" s="35">
        <f t="shared" ca="1" si="92"/>
        <v>4.6597004463514814E-2</v>
      </c>
      <c r="AK111" s="33">
        <f t="shared" ref="AK111:AN111" ca="1" si="123">AK99</f>
        <v>657.86726656584096</v>
      </c>
      <c r="AL111" s="33">
        <f t="shared" ca="1" si="123"/>
        <v>832.90070411746512</v>
      </c>
      <c r="AM111" s="33">
        <f t="shared" ca="1" si="123"/>
        <v>0</v>
      </c>
      <c r="AN111" s="33">
        <f t="shared" ca="1" si="123"/>
        <v>0</v>
      </c>
      <c r="AP111" s="18">
        <f ca="1">AK111*'Res Predicted Monthly'!$X$9</f>
        <v>4310088.4545186171</v>
      </c>
      <c r="AQ111" s="18">
        <f ca="1">AL111*'Res Predicted Monthly'!$X$9</f>
        <v>5456838.9263639245</v>
      </c>
      <c r="AR111" s="18">
        <f ca="1">AM111*'Res Predicted Monthly'!$X$10</f>
        <v>0</v>
      </c>
      <c r="AS111" s="18">
        <f ca="1">AN111*'Res Predicted Monthly'!$X$10</f>
        <v>0</v>
      </c>
      <c r="AU111" s="31">
        <f t="shared" ca="1" si="72"/>
        <v>7865767.012451007</v>
      </c>
      <c r="AV111" s="31">
        <f t="shared" ca="1" si="73"/>
        <v>9012517.4842963144</v>
      </c>
    </row>
    <row r="112" spans="1:48">
      <c r="A112" s="541">
        <f>'Monthly Data'!A112</f>
        <v>45717</v>
      </c>
      <c r="B112">
        <f t="shared" si="80"/>
        <v>2025</v>
      </c>
      <c r="C112">
        <f t="shared" si="81"/>
        <v>3</v>
      </c>
      <c r="D112" s="18">
        <f>'Monthly Data'!F112</f>
        <v>8273577.4366264734</v>
      </c>
      <c r="E112" s="33">
        <f t="shared" ca="1" si="105"/>
        <v>636.29604166666672</v>
      </c>
      <c r="F112" s="33">
        <f t="shared" ca="1" si="105"/>
        <v>0</v>
      </c>
      <c r="G112" s="18">
        <f>'Monthly Data'!G112</f>
        <v>10390</v>
      </c>
      <c r="H112">
        <f>'Monthly Data'!BU112</f>
        <v>31</v>
      </c>
      <c r="I112" s="33">
        <f>'Monthly Data'!CQ112</f>
        <v>155.04583333333341</v>
      </c>
      <c r="J112" s="33">
        <f>'Monthly Data'!CX112</f>
        <v>0</v>
      </c>
      <c r="L112" s="18">
        <f>'Res Predicted Monthly'!$X$8</f>
        <v>-16404845.677784801</v>
      </c>
      <c r="M112" s="18">
        <f ca="1">E112*'Res Predicted Monthly'!$X$9</f>
        <v>4168762.2446387853</v>
      </c>
      <c r="N112" s="18">
        <f ca="1">F112*'Res Predicted Monthly'!$X$10</f>
        <v>0</v>
      </c>
      <c r="O112" s="18">
        <f>G112*'Res Predicted Monthly'!$X$11</f>
        <v>13995686.167870808</v>
      </c>
      <c r="P112" s="18">
        <f>H112*'Res Predicted Monthly'!$X$12</f>
        <v>6513250.5985030681</v>
      </c>
      <c r="Q112" s="18">
        <f>I112*'Res Predicted Monthly'!$X$13</f>
        <v>83852.63601529639</v>
      </c>
      <c r="R112" s="18">
        <f>J112*'Res Predicted Monthly'!$X$14</f>
        <v>0</v>
      </c>
      <c r="S112" s="18">
        <f t="shared" ca="1" si="70"/>
        <v>8356705.9692431577</v>
      </c>
      <c r="T112" s="30">
        <f t="shared" ca="1" si="91"/>
        <v>83128.532616684213</v>
      </c>
      <c r="U112" s="35">
        <f t="shared" ca="1" si="92"/>
        <v>1.0047471393532955E-2</v>
      </c>
      <c r="AK112" s="33">
        <f t="shared" ref="AK112:AN112" ca="1" si="124">AK100</f>
        <v>560.20121598172079</v>
      </c>
      <c r="AL112" s="33">
        <f t="shared" ca="1" si="124"/>
        <v>709.24943518517148</v>
      </c>
      <c r="AM112" s="33">
        <f t="shared" ca="1" si="124"/>
        <v>0</v>
      </c>
      <c r="AN112" s="33">
        <f t="shared" ca="1" si="124"/>
        <v>0</v>
      </c>
      <c r="AP112" s="18">
        <f ca="1">AK112*'Res Predicted Monthly'!$X$9</f>
        <v>3670218.7750033834</v>
      </c>
      <c r="AQ112" s="18">
        <f ca="1">AL112*'Res Predicted Monthly'!$X$9</f>
        <v>4646724.2821231214</v>
      </c>
      <c r="AR112" s="18">
        <f ca="1">AM112*'Res Predicted Monthly'!$X$10</f>
        <v>0</v>
      </c>
      <c r="AS112" s="18">
        <f ca="1">AN112*'Res Predicted Monthly'!$X$10</f>
        <v>0</v>
      </c>
      <c r="AU112" s="31">
        <f t="shared" ca="1" si="72"/>
        <v>7858162.4996077558</v>
      </c>
      <c r="AV112" s="31">
        <f t="shared" ca="1" si="73"/>
        <v>8834668.0067274943</v>
      </c>
    </row>
    <row r="113" spans="1:48">
      <c r="A113" s="541">
        <f>'Monthly Data'!A113</f>
        <v>45748</v>
      </c>
      <c r="B113">
        <f t="shared" si="80"/>
        <v>2025</v>
      </c>
      <c r="C113">
        <f t="shared" si="81"/>
        <v>4</v>
      </c>
      <c r="D113" s="18">
        <f>'Monthly Data'!F113</f>
        <v>6923951.1179457149</v>
      </c>
      <c r="E113" s="33">
        <f t="shared" ca="1" si="105"/>
        <v>408.60374999999999</v>
      </c>
      <c r="F113" s="33">
        <f t="shared" ca="1" si="105"/>
        <v>2.8104166666666677</v>
      </c>
      <c r="G113" s="18">
        <f>'Monthly Data'!G113</f>
        <v>10390</v>
      </c>
      <c r="H113">
        <f>'Monthly Data'!BU113</f>
        <v>30</v>
      </c>
      <c r="I113" s="33">
        <f>'Monthly Data'!CQ113</f>
        <v>104.85885416666667</v>
      </c>
      <c r="J113" s="33">
        <f>'Monthly Data'!CX113</f>
        <v>1.1718749999999996</v>
      </c>
      <c r="L113" s="18">
        <f>'Res Predicted Monthly'!$X$8</f>
        <v>-16404845.677784801</v>
      </c>
      <c r="M113" s="18">
        <f ca="1">E113*'Res Predicted Monthly'!$X$9</f>
        <v>2677011.6022663582</v>
      </c>
      <c r="N113" s="18">
        <f ca="1">F113*'Res Predicted Monthly'!$X$10</f>
        <v>40990.172374191818</v>
      </c>
      <c r="O113" s="18">
        <f>G113*'Res Predicted Monthly'!$X$11</f>
        <v>13995686.167870808</v>
      </c>
      <c r="P113" s="18">
        <f>H113*'Res Predicted Monthly'!$X$12</f>
        <v>6303145.7404868407</v>
      </c>
      <c r="Q113" s="18">
        <f>I113*'Res Predicted Monthly'!$X$13</f>
        <v>56710.27168150412</v>
      </c>
      <c r="R113" s="18">
        <f>J113*'Res Predicted Monthly'!$X$14</f>
        <v>2570.8807625861591</v>
      </c>
      <c r="S113" s="18">
        <f t="shared" ca="1" si="70"/>
        <v>6671269.1576574901</v>
      </c>
      <c r="T113" s="30">
        <f t="shared" ca="1" si="91"/>
        <v>-252681.96028822474</v>
      </c>
      <c r="U113" s="35">
        <f t="shared" ca="1" si="92"/>
        <v>3.6493897195968884E-2</v>
      </c>
      <c r="AK113" s="33">
        <f t="shared" ref="AK113:AN113" ca="1" si="125">AK101</f>
        <v>359.73871062458045</v>
      </c>
      <c r="AL113" s="33">
        <f t="shared" ca="1" si="125"/>
        <v>455.4514878686926</v>
      </c>
      <c r="AM113" s="33">
        <f t="shared" ca="1" si="125"/>
        <v>2.33889472041326</v>
      </c>
      <c r="AN113" s="33">
        <f t="shared" ca="1" si="125"/>
        <v>3.0470377046304016</v>
      </c>
      <c r="AP113" s="18">
        <f ca="1">AK113*'Res Predicted Monthly'!$X$9</f>
        <v>2356867.0187837039</v>
      </c>
      <c r="AQ113" s="18">
        <f ca="1">AL113*'Res Predicted Monthly'!$X$9</f>
        <v>2983939.617034757</v>
      </c>
      <c r="AR113" s="18">
        <f ca="1">AM113*'Res Predicted Monthly'!$X$10</f>
        <v>34112.983634037664</v>
      </c>
      <c r="AS113" s="18">
        <f ca="1">AN113*'Res Predicted Monthly'!$X$10</f>
        <v>44441.310864982734</v>
      </c>
      <c r="AU113" s="31">
        <f t="shared" ca="1" si="72"/>
        <v>6344247.3854346815</v>
      </c>
      <c r="AV113" s="31">
        <f t="shared" ca="1" si="73"/>
        <v>6981648.3109166799</v>
      </c>
    </row>
    <row r="114" spans="1:48">
      <c r="A114" s="541">
        <f>'Monthly Data'!A114</f>
        <v>45778</v>
      </c>
      <c r="B114">
        <f t="shared" si="80"/>
        <v>2025</v>
      </c>
      <c r="C114">
        <f t="shared" si="81"/>
        <v>5</v>
      </c>
      <c r="D114" s="18">
        <f>'Monthly Data'!F114</f>
        <v>6113839.7992649563</v>
      </c>
      <c r="E114" s="33">
        <f t="shared" ref="E114:F133" ca="1" si="126">E102</f>
        <v>178.10395833333331</v>
      </c>
      <c r="F114" s="33">
        <f t="shared" ca="1" si="126"/>
        <v>74.673124999999999</v>
      </c>
      <c r="G114" s="18">
        <f>'Monthly Data'!G114</f>
        <v>10389</v>
      </c>
      <c r="H114">
        <f>'Monthly Data'!BU114</f>
        <v>31</v>
      </c>
      <c r="I114" s="33">
        <f>'Monthly Data'!CQ114</f>
        <v>44.418229166666663</v>
      </c>
      <c r="J114" s="33">
        <f>'Monthly Data'!CX114</f>
        <v>15.505208333333332</v>
      </c>
      <c r="L114" s="18">
        <f>'Res Predicted Monthly'!$X$8</f>
        <v>-16404845.677784801</v>
      </c>
      <c r="M114" s="18">
        <f ca="1">E114*'Res Predicted Monthly'!$X$9</f>
        <v>1166867.3204000143</v>
      </c>
      <c r="N114" s="18">
        <f ca="1">F114*'Res Predicted Monthly'!$X$10</f>
        <v>1089114.045534021</v>
      </c>
      <c r="O114" s="18">
        <f>G114*'Res Predicted Monthly'!$X$11</f>
        <v>13994339.133590937</v>
      </c>
      <c r="P114" s="18">
        <f>H114*'Res Predicted Monthly'!$X$12</f>
        <v>6513250.5985030681</v>
      </c>
      <c r="Q114" s="18">
        <f>I114*'Res Predicted Monthly'!$X$13</f>
        <v>24022.481112078814</v>
      </c>
      <c r="R114" s="18">
        <f>J114*'Res Predicted Monthly'!$X$14</f>
        <v>34015.609023195546</v>
      </c>
      <c r="S114" s="18">
        <f t="shared" ca="1" si="70"/>
        <v>6416763.5103785135</v>
      </c>
      <c r="T114" s="30">
        <f t="shared" ref="T114:T127" ca="1" si="127">S114-D114</f>
        <v>302923.71111355722</v>
      </c>
      <c r="U114" s="35">
        <f t="shared" ref="U114:U121" ca="1" si="128">ABS(T114/D114)</f>
        <v>4.9547211091461145E-2</v>
      </c>
      <c r="AK114" s="33">
        <f t="shared" ref="AK114:AN114" ca="1" si="129">AK102</f>
        <v>156.80445499574424</v>
      </c>
      <c r="AL114" s="33">
        <f t="shared" ca="1" si="129"/>
        <v>198.52415162176143</v>
      </c>
      <c r="AM114" s="33">
        <f t="shared" ca="1" si="129"/>
        <v>62.144727467193846</v>
      </c>
      <c r="AN114" s="33">
        <f t="shared" ca="1" si="129"/>
        <v>80.960175797507716</v>
      </c>
      <c r="AP114" s="18">
        <f ca="1">AK114*'Res Predicted Monthly'!$X$9</f>
        <v>1027321.3236801189</v>
      </c>
      <c r="AQ114" s="18">
        <f ca="1">AL114*'Res Predicted Monthly'!$X$9</f>
        <v>1300652.4223567233</v>
      </c>
      <c r="AR114" s="18">
        <f ca="1">AM114*'Res Predicted Monthly'!$X$10</f>
        <v>906386.27404979616</v>
      </c>
      <c r="AS114" s="18">
        <f ca="1">AN114*'Res Predicted Monthly'!$X$10</f>
        <v>1180811.2301443012</v>
      </c>
      <c r="AU114" s="31">
        <f t="shared" ca="1" si="72"/>
        <v>6094489.7421743935</v>
      </c>
      <c r="AV114" s="31">
        <f t="shared" ca="1" si="73"/>
        <v>6642245.796945503</v>
      </c>
    </row>
    <row r="115" spans="1:48">
      <c r="A115" s="541">
        <f>'Monthly Data'!A115</f>
        <v>45809</v>
      </c>
      <c r="B115">
        <f t="shared" si="80"/>
        <v>2025</v>
      </c>
      <c r="C115">
        <f t="shared" si="81"/>
        <v>6</v>
      </c>
      <c r="D115" s="18">
        <f>'Monthly Data'!F115</f>
        <v>7082189.4805841977</v>
      </c>
      <c r="E115" s="33">
        <f t="shared" ca="1" si="126"/>
        <v>51.834166666666661</v>
      </c>
      <c r="F115" s="33">
        <f t="shared" ca="1" si="126"/>
        <v>169.78833333333333</v>
      </c>
      <c r="G115" s="18">
        <f>'Monthly Data'!G115</f>
        <v>10389</v>
      </c>
      <c r="H115">
        <f>'Monthly Data'!BU115</f>
        <v>30</v>
      </c>
      <c r="I115" s="33">
        <f>'Monthly Data'!CQ115</f>
        <v>11.708333333333334</v>
      </c>
      <c r="J115" s="33">
        <f>'Monthly Data'!CX115</f>
        <v>47.834374999999994</v>
      </c>
      <c r="L115" s="18">
        <f>'Res Predicted Monthly'!$X$8</f>
        <v>-16404845.677784801</v>
      </c>
      <c r="M115" s="18">
        <f ca="1">E115*'Res Predicted Monthly'!$X$9</f>
        <v>339597.14163287729</v>
      </c>
      <c r="N115" s="18">
        <f ca="1">F115*'Res Predicted Monthly'!$X$10</f>
        <v>2476377.6606529527</v>
      </c>
      <c r="O115" s="18">
        <f>G115*'Res Predicted Monthly'!$X$11</f>
        <v>13994339.133590937</v>
      </c>
      <c r="P115" s="18">
        <f>H115*'Res Predicted Monthly'!$X$12</f>
        <v>6303145.7404868407</v>
      </c>
      <c r="Q115" s="18">
        <f>I115*'Res Predicted Monthly'!$X$13</f>
        <v>6332.1573514010033</v>
      </c>
      <c r="R115" s="18">
        <f>J115*'Res Predicted Monthly'!$X$14</f>
        <v>104939.92488775025</v>
      </c>
      <c r="S115" s="18">
        <f t="shared" ca="1" si="70"/>
        <v>6819886.0808179574</v>
      </c>
      <c r="T115" s="30">
        <f t="shared" ca="1" si="127"/>
        <v>-262303.39976624027</v>
      </c>
      <c r="U115" s="35">
        <f t="shared" ca="1" si="128"/>
        <v>3.703704913365341E-2</v>
      </c>
      <c r="AK115" s="33">
        <f t="shared" ref="AK115:AN115" ca="1" si="130">AK103</f>
        <v>45.635303843800436</v>
      </c>
      <c r="AL115" s="33">
        <f t="shared" ca="1" si="130"/>
        <v>57.777121063541692</v>
      </c>
      <c r="AM115" s="33">
        <f t="shared" ca="1" si="130"/>
        <v>141.30183653234096</v>
      </c>
      <c r="AN115" s="33">
        <f t="shared" ca="1" si="130"/>
        <v>184.0835416360639</v>
      </c>
      <c r="AP115" s="18">
        <f ca="1">AK115*'Res Predicted Monthly'!$X$9</f>
        <v>298984.62229679566</v>
      </c>
      <c r="AQ115" s="18">
        <f ca="1">AL115*'Res Predicted Monthly'!$X$9</f>
        <v>378533.04927487596</v>
      </c>
      <c r="AR115" s="18">
        <f ca="1">AM115*'Res Predicted Monthly'!$X$10</f>
        <v>2060899.6185324343</v>
      </c>
      <c r="AS115" s="18">
        <f ca="1">AN115*'Res Predicted Monthly'!$X$10</f>
        <v>2684874.5214223182</v>
      </c>
      <c r="AU115" s="31">
        <f t="shared" ca="1" si="72"/>
        <v>6363795.5193613572</v>
      </c>
      <c r="AV115" s="31">
        <f t="shared" ca="1" si="73"/>
        <v>7067318.8492293209</v>
      </c>
    </row>
    <row r="116" spans="1:48">
      <c r="A116" s="541">
        <f>'Monthly Data'!A116</f>
        <v>45839</v>
      </c>
      <c r="B116">
        <f t="shared" si="80"/>
        <v>2025</v>
      </c>
      <c r="C116">
        <f t="shared" si="81"/>
        <v>7</v>
      </c>
      <c r="D116" s="18">
        <f>'Monthly Data'!F116</f>
        <v>8777773.1619034391</v>
      </c>
      <c r="E116" s="33">
        <f t="shared" ca="1" si="126"/>
        <v>6.5670833333333318</v>
      </c>
      <c r="F116" s="33">
        <f t="shared" ca="1" si="126"/>
        <v>265.99625000000003</v>
      </c>
      <c r="G116" s="18">
        <f>'Monthly Data'!G116</f>
        <v>10393</v>
      </c>
      <c r="H116">
        <f>'Monthly Data'!BU116</f>
        <v>31</v>
      </c>
      <c r="I116" s="33">
        <f>'Monthly Data'!CQ116</f>
        <v>2.0083333333333351</v>
      </c>
      <c r="J116" s="33">
        <f>'Monthly Data'!CX116</f>
        <v>71.460937500000014</v>
      </c>
      <c r="L116" s="18">
        <f>'Res Predicted Monthly'!$X$8</f>
        <v>-16404845.677784801</v>
      </c>
      <c r="M116" s="18">
        <f ca="1">E116*'Res Predicted Monthly'!$X$9</f>
        <v>43024.95578267052</v>
      </c>
      <c r="N116" s="18">
        <f ca="1">F116*'Res Predicted Monthly'!$X$10</f>
        <v>3879578.5221842378</v>
      </c>
      <c r="O116" s="18">
        <f>G116*'Res Predicted Monthly'!$X$11</f>
        <v>13999727.270710425</v>
      </c>
      <c r="P116" s="18">
        <f>H116*'Res Predicted Monthly'!$X$12</f>
        <v>6513250.5985030681</v>
      </c>
      <c r="Q116" s="18">
        <f>I116*'Res Predicted Monthly'!$X$13</f>
        <v>1086.1565278915609</v>
      </c>
      <c r="R116" s="18">
        <f>J116*'Res Predicted Monthly'!$X$14</f>
        <v>156772.30890250407</v>
      </c>
      <c r="S116" s="18">
        <f t="shared" ca="1" si="70"/>
        <v>8188594.1348259971</v>
      </c>
      <c r="T116" s="30">
        <f t="shared" ca="1" si="127"/>
        <v>-589179.02707744204</v>
      </c>
      <c r="U116" s="35">
        <f t="shared" ca="1" si="128"/>
        <v>6.712169660917508E-2</v>
      </c>
      <c r="AK116" s="33">
        <f t="shared" ref="AK116:AN116" ca="1" si="131">AK104</f>
        <v>5.7817239584744504</v>
      </c>
      <c r="AL116" s="33">
        <f t="shared" ca="1" si="131"/>
        <v>7.3200206193025874</v>
      </c>
      <c r="AM116" s="33">
        <f t="shared" ca="1" si="131"/>
        <v>221.36832312221517</v>
      </c>
      <c r="AN116" s="33">
        <f t="shared" ca="1" si="131"/>
        <v>288.39161561107579</v>
      </c>
      <c r="AP116" s="18">
        <f ca="1">AK116*'Res Predicted Monthly'!$X$9</f>
        <v>37879.589009982119</v>
      </c>
      <c r="AQ116" s="18">
        <f ca="1">AL116*'Res Predicted Monthly'!$X$9</f>
        <v>47957.905738021247</v>
      </c>
      <c r="AR116" s="18">
        <f ca="1">AM116*'Res Predicted Monthly'!$X$10</f>
        <v>3228676.313582941</v>
      </c>
      <c r="AS116" s="18">
        <f ca="1">AN116*'Res Predicted Monthly'!$X$10</f>
        <v>4206216.8842708953</v>
      </c>
      <c r="AU116" s="31">
        <f t="shared" ca="1" si="72"/>
        <v>7532546.5594520122</v>
      </c>
      <c r="AV116" s="31">
        <f t="shared" ca="1" si="73"/>
        <v>8520165.4468680061</v>
      </c>
    </row>
    <row r="117" spans="1:48">
      <c r="A117" s="541">
        <f>'Monthly Data'!A117</f>
        <v>45870</v>
      </c>
      <c r="B117">
        <f t="shared" si="80"/>
        <v>2025</v>
      </c>
      <c r="C117">
        <f t="shared" si="81"/>
        <v>8</v>
      </c>
      <c r="D117" s="18">
        <f>'Monthly Data'!F117</f>
        <v>7696904.8432226805</v>
      </c>
      <c r="E117" s="33">
        <f t="shared" ca="1" si="126"/>
        <v>23.263124999999995</v>
      </c>
      <c r="F117" s="33">
        <f t="shared" ca="1" si="126"/>
        <v>218.46562499999996</v>
      </c>
      <c r="G117" s="18">
        <f>'Monthly Data'!G117</f>
        <v>10396</v>
      </c>
      <c r="H117">
        <f>'Monthly Data'!BU117</f>
        <v>31</v>
      </c>
      <c r="I117" s="33">
        <f>'Monthly Data'!CQ117</f>
        <v>8.0901041666666664</v>
      </c>
      <c r="J117" s="33">
        <f>'Monthly Data'!CX117</f>
        <v>54.690104166666657</v>
      </c>
      <c r="L117" s="18">
        <f>'Res Predicted Monthly'!$X$8</f>
        <v>-16404845.677784801</v>
      </c>
      <c r="M117" s="18">
        <f ca="1">E117*'Res Predicted Monthly'!$X$9</f>
        <v>152410.87613604273</v>
      </c>
      <c r="N117" s="18">
        <f ca="1">F117*'Res Predicted Monthly'!$X$10</f>
        <v>3186340.2081253235</v>
      </c>
      <c r="O117" s="18">
        <f>G117*'Res Predicted Monthly'!$X$11</f>
        <v>14003768.373550041</v>
      </c>
      <c r="P117" s="18">
        <f>H117*'Res Predicted Monthly'!$X$12</f>
        <v>6513250.5985030681</v>
      </c>
      <c r="Q117" s="18">
        <f>I117*'Res Predicted Monthly'!$X$13</f>
        <v>4375.3291876918056</v>
      </c>
      <c r="R117" s="18">
        <f>J117*'Res Predicted Monthly'!$X$14</f>
        <v>119980.14865571541</v>
      </c>
      <c r="S117" s="18">
        <f t="shared" ca="1" si="70"/>
        <v>7575279.856373081</v>
      </c>
      <c r="T117" s="30">
        <f t="shared" ca="1" si="127"/>
        <v>-121624.98684959952</v>
      </c>
      <c r="U117" s="35">
        <f t="shared" ca="1" si="128"/>
        <v>1.5801804663947924E-2</v>
      </c>
      <c r="AK117" s="33">
        <f t="shared" ref="AK117:AN117" ca="1" si="132">AK105</f>
        <v>20.481081225021654</v>
      </c>
      <c r="AL117" s="33">
        <f t="shared" ca="1" si="132"/>
        <v>25.930317315309463</v>
      </c>
      <c r="AM117" s="33">
        <f t="shared" ca="1" si="132"/>
        <v>181.81222128543794</v>
      </c>
      <c r="AN117" s="33">
        <f t="shared" ca="1" si="132"/>
        <v>236.85918335026682</v>
      </c>
      <c r="AP117" s="18">
        <f ca="1">AK117*'Res Predicted Monthly'!$X$9</f>
        <v>134184.01584993443</v>
      </c>
      <c r="AQ117" s="18">
        <f ca="1">AL117*'Res Predicted Monthly'!$X$9</f>
        <v>169885.27467878521</v>
      </c>
      <c r="AR117" s="18">
        <f ca="1">AM117*'Res Predicted Monthly'!$X$10</f>
        <v>2651747.1158694639</v>
      </c>
      <c r="AS117" s="18">
        <f ca="1">AN117*'Res Predicted Monthly'!$X$10</f>
        <v>3454611.8620386319</v>
      </c>
      <c r="AU117" s="31">
        <f t="shared" ca="1" si="72"/>
        <v>7022459.9038311131</v>
      </c>
      <c r="AV117" s="31">
        <f t="shared" ca="1" si="73"/>
        <v>7861025.9088291321</v>
      </c>
    </row>
    <row r="118" spans="1:48">
      <c r="A118" s="541">
        <f>'Monthly Data'!A118</f>
        <v>45901</v>
      </c>
      <c r="B118">
        <f t="shared" si="80"/>
        <v>2025</v>
      </c>
      <c r="C118">
        <f t="shared" si="81"/>
        <v>9</v>
      </c>
      <c r="D118" s="18">
        <f>'Monthly Data'!F118</f>
        <v>5759107.5245419219</v>
      </c>
      <c r="E118" s="33">
        <f t="shared" ca="1" si="126"/>
        <v>114.73583333333336</v>
      </c>
      <c r="F118" s="33">
        <f t="shared" ca="1" si="126"/>
        <v>95.131249999999994</v>
      </c>
      <c r="G118" s="18">
        <f>'Monthly Data'!G118</f>
        <v>10397</v>
      </c>
      <c r="H118">
        <f>'Monthly Data'!BU118</f>
        <v>30</v>
      </c>
      <c r="I118" s="33">
        <f>'Monthly Data'!CQ118</f>
        <v>29.789583333333326</v>
      </c>
      <c r="J118" s="33">
        <f>'Monthly Data'!CX118</f>
        <v>18.255208333333336</v>
      </c>
      <c r="L118" s="18">
        <f>'Res Predicted Monthly'!$X$8</f>
        <v>-16404845.677784801</v>
      </c>
      <c r="M118" s="18">
        <f ca="1">E118*'Res Predicted Monthly'!$X$9</f>
        <v>751704.20493946178</v>
      </c>
      <c r="N118" s="18">
        <f ca="1">F118*'Res Predicted Monthly'!$X$10</f>
        <v>1387497.5842273687</v>
      </c>
      <c r="O118" s="18">
        <f>G118*'Res Predicted Monthly'!$X$11</f>
        <v>14005115.407829912</v>
      </c>
      <c r="P118" s="18">
        <f>H118*'Res Predicted Monthly'!$X$12</f>
        <v>6303145.7404868407</v>
      </c>
      <c r="Q118" s="18">
        <f>I118*'Res Predicted Monthly'!$X$13</f>
        <v>16110.946257594826</v>
      </c>
      <c r="R118" s="18">
        <f>J118*'Res Predicted Monthly'!$X$14</f>
        <v>40048.609212731077</v>
      </c>
      <c r="S118" s="18">
        <f t="shared" ca="1" si="70"/>
        <v>6098776.815169109</v>
      </c>
      <c r="T118" s="30">
        <f t="shared" ca="1" si="127"/>
        <v>339669.29062718712</v>
      </c>
      <c r="U118" s="35">
        <f t="shared" ca="1" si="128"/>
        <v>5.8979501455688539E-2</v>
      </c>
      <c r="AK118" s="33">
        <f t="shared" ref="AK118:AN118" ca="1" si="133">AK106</f>
        <v>101.01454219588074</v>
      </c>
      <c r="AL118" s="33">
        <f t="shared" ca="1" si="133"/>
        <v>127.89066669975746</v>
      </c>
      <c r="AM118" s="33">
        <f t="shared" ca="1" si="133"/>
        <v>79.170459316701752</v>
      </c>
      <c r="AN118" s="33">
        <f t="shared" ca="1" si="133"/>
        <v>103.14075812197032</v>
      </c>
      <c r="AP118" s="18">
        <f ca="1">AK118*'Res Predicted Monthly'!$X$9</f>
        <v>661807.68398723053</v>
      </c>
      <c r="AQ118" s="18">
        <f ca="1">AL118*'Res Predicted Monthly'!$X$9</f>
        <v>837889.51662051689</v>
      </c>
      <c r="AR118" s="18">
        <f ca="1">AM118*'Res Predicted Monthly'!$X$10</f>
        <v>1154708.0590667615</v>
      </c>
      <c r="AS118" s="18">
        <f ca="1">AN118*'Res Predicted Monthly'!$X$10</f>
        <v>1504316.9592495966</v>
      </c>
      <c r="AU118" s="31">
        <f t="shared" ca="1" si="72"/>
        <v>5776090.7690562708</v>
      </c>
      <c r="AV118" s="31">
        <f t="shared" ca="1" si="73"/>
        <v>6301781.5018723924</v>
      </c>
    </row>
    <row r="119" spans="1:48">
      <c r="A119" s="541">
        <f>'Monthly Data'!A119</f>
        <v>45931</v>
      </c>
      <c r="B119">
        <f t="shared" si="80"/>
        <v>2025</v>
      </c>
      <c r="C119">
        <f t="shared" si="81"/>
        <v>10</v>
      </c>
      <c r="D119" s="18">
        <f>'Monthly Data'!F119</f>
        <v>6185821.2058611633</v>
      </c>
      <c r="E119" s="33">
        <f t="shared" ca="1" si="126"/>
        <v>302.40479166666665</v>
      </c>
      <c r="F119" s="33">
        <f t="shared" ca="1" si="126"/>
        <v>21.813750000000006</v>
      </c>
      <c r="G119" s="18">
        <f>'Monthly Data'!G119</f>
        <v>10402</v>
      </c>
      <c r="H119">
        <f>'Monthly Data'!BU119</f>
        <v>31</v>
      </c>
      <c r="I119" s="33">
        <f>'Monthly Data'!CQ119</f>
        <v>72.266666666666666</v>
      </c>
      <c r="J119" s="33">
        <f>'Monthly Data'!CX119</f>
        <v>9.4166666666666679</v>
      </c>
      <c r="L119" s="18">
        <f>'Res Predicted Monthly'!$X$8</f>
        <v>-16404845.677784801</v>
      </c>
      <c r="M119" s="18">
        <f ca="1">E119*'Res Predicted Monthly'!$X$9</f>
        <v>1981237.655975031</v>
      </c>
      <c r="N119" s="18">
        <f ca="1">F119*'Res Predicted Monthly'!$X$10</f>
        <v>318155.44763618446</v>
      </c>
      <c r="O119" s="18">
        <f>G119*'Res Predicted Monthly'!$X$11</f>
        <v>14011850.579229273</v>
      </c>
      <c r="P119" s="18">
        <f>H119*'Res Predicted Monthly'!$X$12</f>
        <v>6513250.5985030681</v>
      </c>
      <c r="Q119" s="18">
        <f>I119*'Res Predicted Monthly'!$X$13</f>
        <v>39083.607509857298</v>
      </c>
      <c r="R119" s="18">
        <f>J119*'Res Predicted Monthly'!$X$14</f>
        <v>20658.455194470123</v>
      </c>
      <c r="S119" s="18">
        <f t="shared" ca="1" si="70"/>
        <v>6479390.6662630839</v>
      </c>
      <c r="T119" s="30">
        <f t="shared" ca="1" si="127"/>
        <v>293569.4604019206</v>
      </c>
      <c r="U119" s="35">
        <f t="shared" ca="1" si="128"/>
        <v>4.745844579596948E-2</v>
      </c>
      <c r="AK119" s="33">
        <f t="shared" ref="AK119:AN119" ca="1" si="134">AK107</f>
        <v>266.24011610481193</v>
      </c>
      <c r="AL119" s="33">
        <f t="shared" ca="1" si="134"/>
        <v>337.07647642295342</v>
      </c>
      <c r="AM119" s="33">
        <f t="shared" ca="1" si="134"/>
        <v>18.153914795818444</v>
      </c>
      <c r="AN119" s="33">
        <f t="shared" ca="1" si="134"/>
        <v>23.650343209861436</v>
      </c>
      <c r="AP119" s="18">
        <f ca="1">AK119*'Res Predicted Monthly'!$X$9</f>
        <v>1744300.8778096722</v>
      </c>
      <c r="AQ119" s="18">
        <f ca="1">AL119*'Res Predicted Monthly'!$X$9</f>
        <v>2208392.9436166673</v>
      </c>
      <c r="AR119" s="18">
        <f ca="1">AM119*'Res Predicted Monthly'!$X$10</f>
        <v>264776.4317557856</v>
      </c>
      <c r="AS119" s="18">
        <f ca="1">AN119*'Res Predicted Monthly'!$X$10</f>
        <v>344942.31989836041</v>
      </c>
      <c r="AU119" s="31">
        <f t="shared" ca="1" si="72"/>
        <v>6189074.8722173264</v>
      </c>
      <c r="AV119" s="31">
        <f t="shared" ca="1" si="73"/>
        <v>6733332.8261668961</v>
      </c>
    </row>
    <row r="120" spans="1:48">
      <c r="A120" s="541">
        <f>'Monthly Data'!A120</f>
        <v>45962</v>
      </c>
      <c r="B120">
        <f t="shared" si="80"/>
        <v>2025</v>
      </c>
      <c r="C120">
        <f t="shared" si="81"/>
        <v>11</v>
      </c>
      <c r="D120" s="18">
        <f>'Monthly Data'!F120</f>
        <v>7688916.8871804047</v>
      </c>
      <c r="E120" s="33">
        <f t="shared" ca="1" si="126"/>
        <v>526.09395833333338</v>
      </c>
      <c r="F120" s="33">
        <f t="shared" ca="1" si="126"/>
        <v>2.2795833333333335</v>
      </c>
      <c r="G120" s="18">
        <f>'Monthly Data'!G120</f>
        <v>10407</v>
      </c>
      <c r="H120">
        <f>'Monthly Data'!BU120</f>
        <v>30</v>
      </c>
      <c r="I120" s="33">
        <f>'Monthly Data'!CQ120</f>
        <v>136.80729166666666</v>
      </c>
      <c r="J120" s="33">
        <f>'Monthly Data'!CX120</f>
        <v>0</v>
      </c>
      <c r="L120" s="18">
        <f>'Res Predicted Monthly'!$X$8</f>
        <v>-16404845.677784801</v>
      </c>
      <c r="M120" s="18">
        <f ca="1">E120*'Res Predicted Monthly'!$X$9</f>
        <v>3446761.3925240957</v>
      </c>
      <c r="N120" s="18">
        <f ca="1">F120*'Res Predicted Monthly'!$X$10</f>
        <v>33247.921876827779</v>
      </c>
      <c r="O120" s="18">
        <f>G120*'Res Predicted Monthly'!$X$11</f>
        <v>14018585.750628633</v>
      </c>
      <c r="P120" s="18">
        <f>H120*'Res Predicted Monthly'!$X$12</f>
        <v>6303145.7404868407</v>
      </c>
      <c r="Q120" s="18">
        <f>I120*'Res Predicted Monthly'!$X$13</f>
        <v>73988.779870662867</v>
      </c>
      <c r="R120" s="18">
        <f>J120*'Res Predicted Monthly'!$X$14</f>
        <v>0</v>
      </c>
      <c r="S120" s="18">
        <f t="shared" ca="1" si="70"/>
        <v>7470883.907602259</v>
      </c>
      <c r="T120" s="30">
        <f t="shared" ca="1" si="127"/>
        <v>-218032.97957814578</v>
      </c>
      <c r="U120" s="35">
        <f t="shared" ca="1" si="128"/>
        <v>2.8356787149262638E-2</v>
      </c>
      <c r="AK120" s="33">
        <f t="shared" ref="AK120:AN120" ca="1" si="135">AK108</f>
        <v>463.17823132610772</v>
      </c>
      <c r="AL120" s="33">
        <f t="shared" ca="1" si="135"/>
        <v>586.4123275463005</v>
      </c>
      <c r="AM120" s="33">
        <f t="shared" ca="1" si="135"/>
        <v>1.8971227598785685</v>
      </c>
      <c r="AN120" s="33">
        <f t="shared" ca="1" si="135"/>
        <v>2.4715112352902775</v>
      </c>
      <c r="AP120" s="18">
        <f ca="1">AK120*'Res Predicted Monthly'!$X$9</f>
        <v>3034562.2113776528</v>
      </c>
      <c r="AQ120" s="18">
        <f ca="1">AL120*'Res Predicted Monthly'!$X$9</f>
        <v>3841943.7035354339</v>
      </c>
      <c r="AR120" s="18">
        <f ca="1">AM120*'Res Predicted Monthly'!$X$10</f>
        <v>27669.701032145298</v>
      </c>
      <c r="AS120" s="18">
        <f ca="1">AN120*'Res Predicted Monthly'!$X$10</f>
        <v>36047.207078179461</v>
      </c>
      <c r="AU120" s="31">
        <f t="shared" ca="1" si="72"/>
        <v>7053106.5056111338</v>
      </c>
      <c r="AV120" s="31">
        <f t="shared" ca="1" si="73"/>
        <v>7868865.5038149487</v>
      </c>
    </row>
    <row r="121" spans="1:48">
      <c r="A121" s="541">
        <f>'Monthly Data'!A121</f>
        <v>45992</v>
      </c>
      <c r="B121">
        <f t="shared" si="80"/>
        <v>2025</v>
      </c>
      <c r="C121">
        <f t="shared" si="81"/>
        <v>12</v>
      </c>
      <c r="D121" s="18">
        <f>'Monthly Data'!F121</f>
        <v>9982601.5684996471</v>
      </c>
      <c r="E121" s="33">
        <f t="shared" ca="1" si="126"/>
        <v>750.36333333333334</v>
      </c>
      <c r="F121" s="33">
        <f t="shared" ca="1" si="126"/>
        <v>0</v>
      </c>
      <c r="G121" s="18">
        <f>'Monthly Data'!G121</f>
        <v>10411</v>
      </c>
      <c r="H121">
        <f>'Monthly Data'!BU121</f>
        <v>31</v>
      </c>
      <c r="I121" s="33">
        <f>'Monthly Data'!CQ121</f>
        <v>213.4864583333333</v>
      </c>
      <c r="J121" s="33">
        <f>'Monthly Data'!CX121</f>
        <v>0</v>
      </c>
      <c r="L121" s="18">
        <f>'Res Predicted Monthly'!$X$8</f>
        <v>-16404845.677784801</v>
      </c>
      <c r="M121" s="18">
        <f ca="1">E121*'Res Predicted Monthly'!$X$9</f>
        <v>4916086.4266385026</v>
      </c>
      <c r="N121" s="18">
        <f ca="1">F121*'Res Predicted Monthly'!$X$10</f>
        <v>0</v>
      </c>
      <c r="O121" s="18">
        <f>G121*'Res Predicted Monthly'!$X$11</f>
        <v>14023973.887748122</v>
      </c>
      <c r="P121" s="18">
        <f>H121*'Res Predicted Monthly'!$X$12</f>
        <v>6513250.5985030681</v>
      </c>
      <c r="Q121" s="18">
        <f>I121*'Res Predicted Monthly'!$X$13</f>
        <v>115458.77693038979</v>
      </c>
      <c r="R121" s="18">
        <f>J121*'Res Predicted Monthly'!$X$14</f>
        <v>0</v>
      </c>
      <c r="S121" s="18">
        <f t="shared" ca="1" si="70"/>
        <v>9163924.0120352823</v>
      </c>
      <c r="T121" s="30">
        <f t="shared" ca="1" si="127"/>
        <v>-818677.55646436475</v>
      </c>
      <c r="U121" s="35">
        <f t="shared" ca="1" si="128"/>
        <v>8.2010440950355326E-2</v>
      </c>
      <c r="AK121" s="33">
        <f t="shared" ref="AK121:AN121" ca="1" si="136">AK109</f>
        <v>660.62716760013984</v>
      </c>
      <c r="AL121" s="33">
        <f t="shared" ca="1" si="136"/>
        <v>836.39490975983074</v>
      </c>
      <c r="AM121" s="33">
        <f t="shared" ca="1" si="136"/>
        <v>0</v>
      </c>
      <c r="AN121" s="33">
        <f t="shared" ca="1" si="136"/>
        <v>0</v>
      </c>
      <c r="AP121" s="18">
        <f ca="1">AK121*'Res Predicted Monthly'!$X$9</f>
        <v>4328170.2442474803</v>
      </c>
      <c r="AQ121" s="18">
        <f ca="1">AL121*'Res Predicted Monthly'!$X$9</f>
        <v>5479731.5920463055</v>
      </c>
      <c r="AR121" s="18">
        <f ca="1">AM121*'Res Predicted Monthly'!$X$10</f>
        <v>0</v>
      </c>
      <c r="AS121" s="18">
        <f ca="1">AN121*'Res Predicted Monthly'!$X$10</f>
        <v>0</v>
      </c>
      <c r="AU121" s="31">
        <f t="shared" ca="1" si="72"/>
        <v>8576007.8296442591</v>
      </c>
      <c r="AV121" s="31">
        <f t="shared" ca="1" si="73"/>
        <v>9727569.1774430852</v>
      </c>
    </row>
    <row r="122" spans="1:48">
      <c r="A122" s="541">
        <f t="shared" ref="A122:A135" si="137">EOMONTH(A121,0)+1</f>
        <v>46023</v>
      </c>
      <c r="B122">
        <f t="shared" ref="B122:B127" si="138">YEAR(A122)</f>
        <v>2026</v>
      </c>
      <c r="C122">
        <f t="shared" ref="C122:C127" si="139">MONTH(A122)</f>
        <v>1</v>
      </c>
      <c r="D122" s="30"/>
      <c r="E122" s="33">
        <f t="shared" ca="1" si="126"/>
        <v>852.55166666666662</v>
      </c>
      <c r="F122" s="33">
        <f t="shared" ca="1" si="126"/>
        <v>0</v>
      </c>
      <c r="G122" s="18">
        <f>'Customer Count'!C36</f>
        <v>10447.578743177361</v>
      </c>
      <c r="H122">
        <f>H74</f>
        <v>31</v>
      </c>
      <c r="I122" s="33">
        <f ca="1">E122*0.25</f>
        <v>213.13791666666665</v>
      </c>
      <c r="J122" s="33">
        <f ca="1">F122*0.25</f>
        <v>0</v>
      </c>
      <c r="L122" s="18">
        <f>'Res Predicted Monthly'!$X$8</f>
        <v>-16404845.677784801</v>
      </c>
      <c r="M122" s="18">
        <f ca="1">E122*'Res Predicted Monthly'!$X$9</f>
        <v>5585584.3300463771</v>
      </c>
      <c r="N122" s="18">
        <f ca="1">F122*'Res Predicted Monthly'!$X$10</f>
        <v>0</v>
      </c>
      <c r="O122" s="18">
        <f>G122*'Res Predicted Monthly'!$X$11</f>
        <v>14073246.708722664</v>
      </c>
      <c r="P122" s="18">
        <f>H122*'Res Predicted Monthly'!$X$12</f>
        <v>6513250.5985030681</v>
      </c>
      <c r="Q122" s="18">
        <f ca="1">I122*'Res Predicted Monthly'!$X$13</f>
        <v>115270.27694375468</v>
      </c>
      <c r="R122" s="18">
        <f ca="1">J122*'Res Predicted Monthly'!$X$14</f>
        <v>0</v>
      </c>
      <c r="S122" s="18">
        <f t="shared" ca="1" si="70"/>
        <v>9882506.2364310641</v>
      </c>
      <c r="T122" s="30">
        <f t="shared" ca="1" si="127"/>
        <v>9882506.2364310641</v>
      </c>
      <c r="U122" s="35"/>
      <c r="AK122" s="33">
        <f t="shared" ref="AK122:AN122" ca="1" si="140">AK110</f>
        <v>750.59476891120983</v>
      </c>
      <c r="AL122" s="33">
        <f t="shared" ca="1" si="140"/>
        <v>950.29946511324727</v>
      </c>
      <c r="AM122" s="33">
        <f t="shared" ca="1" si="140"/>
        <v>0</v>
      </c>
      <c r="AN122" s="33">
        <f t="shared" ca="1" si="140"/>
        <v>0</v>
      </c>
      <c r="AP122" s="18">
        <f ca="1">AK122*'Res Predicted Monthly'!$X$9</f>
        <v>4917602.7018247992</v>
      </c>
      <c r="AQ122" s="18">
        <f ca="1">AL122*'Res Predicted Monthly'!$X$9</f>
        <v>6225989.5895122774</v>
      </c>
      <c r="AR122" s="18">
        <f ca="1">AM122*'Res Predicted Monthly'!$X$10</f>
        <v>0</v>
      </c>
      <c r="AS122" s="18">
        <f ca="1">AN122*'Res Predicted Monthly'!$X$10</f>
        <v>0</v>
      </c>
      <c r="AU122" s="31">
        <f t="shared" ca="1" si="72"/>
        <v>9214524.6082094871</v>
      </c>
      <c r="AV122" s="31">
        <f t="shared" ca="1" si="73"/>
        <v>10522911.495896965</v>
      </c>
    </row>
    <row r="123" spans="1:48">
      <c r="A123" s="541">
        <f t="shared" si="137"/>
        <v>46054</v>
      </c>
      <c r="B123">
        <f t="shared" si="138"/>
        <v>2026</v>
      </c>
      <c r="C123">
        <f t="shared" si="139"/>
        <v>2</v>
      </c>
      <c r="D123" s="30"/>
      <c r="E123" s="33">
        <f t="shared" ca="1" si="126"/>
        <v>747.22854166666662</v>
      </c>
      <c r="F123" s="33">
        <f t="shared" ca="1" si="126"/>
        <v>0</v>
      </c>
      <c r="G123" s="18">
        <f>'Customer Count'!C37</f>
        <v>10456.200491328842</v>
      </c>
      <c r="H123">
        <f t="shared" ref="H123:H145" si="141">H75</f>
        <v>29</v>
      </c>
      <c r="I123" s="33">
        <f t="shared" ref="I123:I145" ca="1" si="142">E123*0.25</f>
        <v>186.80713541666665</v>
      </c>
      <c r="J123" s="33">
        <f t="shared" ref="J123:J145" ca="1" si="143">F123*0.25</f>
        <v>0</v>
      </c>
      <c r="L123" s="18">
        <f>'Res Predicted Monthly'!$X$8</f>
        <v>-16404845.677784801</v>
      </c>
      <c r="M123" s="18">
        <f ca="1">E123*'Res Predicted Monthly'!$X$9</f>
        <v>4895548.500438964</v>
      </c>
      <c r="N123" s="18">
        <f ca="1">F123*'Res Predicted Monthly'!$X$10</f>
        <v>0</v>
      </c>
      <c r="O123" s="18">
        <f>G123*'Res Predicted Monthly'!$X$11</f>
        <v>14084860.499035133</v>
      </c>
      <c r="P123" s="18">
        <f>H123*'Res Predicted Monthly'!$X$12</f>
        <v>6093040.8824706124</v>
      </c>
      <c r="Q123" s="18">
        <f ca="1">I123*'Res Predicted Monthly'!$X$13</f>
        <v>101029.93672507972</v>
      </c>
      <c r="R123" s="18">
        <f ca="1">J123*'Res Predicted Monthly'!$X$14</f>
        <v>0</v>
      </c>
      <c r="S123" s="18">
        <f t="shared" ca="1" si="70"/>
        <v>8769634.140884988</v>
      </c>
      <c r="T123" s="30">
        <f t="shared" ca="1" si="127"/>
        <v>8769634.140884988</v>
      </c>
      <c r="U123" s="35"/>
      <c r="AK123" s="33">
        <f t="shared" ref="AK123:AN123" ca="1" si="144">AK111</f>
        <v>657.86726656584096</v>
      </c>
      <c r="AL123" s="33">
        <f t="shared" ca="1" si="144"/>
        <v>832.90070411746512</v>
      </c>
      <c r="AM123" s="33">
        <f t="shared" ca="1" si="144"/>
        <v>0</v>
      </c>
      <c r="AN123" s="33">
        <f t="shared" ca="1" si="144"/>
        <v>0</v>
      </c>
      <c r="AP123" s="18">
        <f ca="1">AK123*'Res Predicted Monthly'!$X$9</f>
        <v>4310088.4545186171</v>
      </c>
      <c r="AQ123" s="18">
        <f ca="1">AL123*'Res Predicted Monthly'!$X$9</f>
        <v>5456838.9263639245</v>
      </c>
      <c r="AR123" s="18">
        <f ca="1">AM123*'Res Predicted Monthly'!$X$10</f>
        <v>0</v>
      </c>
      <c r="AS123" s="18">
        <f ca="1">AN123*'Res Predicted Monthly'!$X$10</f>
        <v>0</v>
      </c>
      <c r="AU123" s="31">
        <f t="shared" ca="1" si="72"/>
        <v>8184174.0949646411</v>
      </c>
      <c r="AV123" s="31">
        <f t="shared" ca="1" si="73"/>
        <v>9330924.5668099485</v>
      </c>
    </row>
    <row r="124" spans="1:48">
      <c r="A124" s="541">
        <f t="shared" si="137"/>
        <v>46082</v>
      </c>
      <c r="B124">
        <f t="shared" si="138"/>
        <v>2026</v>
      </c>
      <c r="C124">
        <f t="shared" si="139"/>
        <v>3</v>
      </c>
      <c r="D124" s="30"/>
      <c r="E124" s="33">
        <f t="shared" ca="1" si="126"/>
        <v>636.29604166666672</v>
      </c>
      <c r="F124" s="33">
        <f t="shared" ca="1" si="126"/>
        <v>0</v>
      </c>
      <c r="G124" s="18">
        <f>'Customer Count'!C38</f>
        <v>10464.829354482088</v>
      </c>
      <c r="H124">
        <f t="shared" si="141"/>
        <v>31</v>
      </c>
      <c r="I124" s="33">
        <f t="shared" ca="1" si="142"/>
        <v>159.07401041666668</v>
      </c>
      <c r="J124" s="33">
        <f t="shared" ca="1" si="143"/>
        <v>0</v>
      </c>
      <c r="L124" s="18">
        <f>'Res Predicted Monthly'!$X$8</f>
        <v>-16404845.677784801</v>
      </c>
      <c r="M124" s="18">
        <f ca="1">E124*'Res Predicted Monthly'!$X$9</f>
        <v>4168762.2446387853</v>
      </c>
      <c r="N124" s="18">
        <f ca="1">F124*'Res Predicted Monthly'!$X$10</f>
        <v>0</v>
      </c>
      <c r="O124" s="18">
        <f>G124*'Res Predicted Monthly'!$X$11</f>
        <v>14096483.873498879</v>
      </c>
      <c r="P124" s="18">
        <f>H124*'Res Predicted Monthly'!$X$12</f>
        <v>6513250.5985030681</v>
      </c>
      <c r="Q124" s="18">
        <f ca="1">I124*'Res Predicted Monthly'!$X$13</f>
        <v>86031.174190183825</v>
      </c>
      <c r="R124" s="18">
        <f ca="1">J124*'Res Predicted Monthly'!$X$14</f>
        <v>0</v>
      </c>
      <c r="S124" s="18">
        <f t="shared" ca="1" si="70"/>
        <v>8459682.2130461168</v>
      </c>
      <c r="T124" s="30">
        <f t="shared" ca="1" si="127"/>
        <v>8459682.2130461168</v>
      </c>
      <c r="U124" s="35"/>
      <c r="AK124" s="33">
        <f t="shared" ref="AK124:AN124" ca="1" si="145">AK112</f>
        <v>560.20121598172079</v>
      </c>
      <c r="AL124" s="33">
        <f t="shared" ca="1" si="145"/>
        <v>709.24943518517148</v>
      </c>
      <c r="AM124" s="33">
        <f t="shared" ca="1" si="145"/>
        <v>0</v>
      </c>
      <c r="AN124" s="33">
        <f t="shared" ca="1" si="145"/>
        <v>0</v>
      </c>
      <c r="AP124" s="18">
        <f ca="1">AK124*'Res Predicted Monthly'!$X$9</f>
        <v>3670218.7750033834</v>
      </c>
      <c r="AQ124" s="18">
        <f ca="1">AL124*'Res Predicted Monthly'!$X$9</f>
        <v>4646724.2821231214</v>
      </c>
      <c r="AR124" s="18">
        <f ca="1">AM124*'Res Predicted Monthly'!$X$10</f>
        <v>0</v>
      </c>
      <c r="AS124" s="18">
        <f ca="1">AN124*'Res Predicted Monthly'!$X$10</f>
        <v>0</v>
      </c>
      <c r="AU124" s="31">
        <f t="shared" ca="1" si="72"/>
        <v>7961138.7434107149</v>
      </c>
      <c r="AV124" s="31">
        <f t="shared" ca="1" si="73"/>
        <v>8937644.2505304534</v>
      </c>
    </row>
    <row r="125" spans="1:48">
      <c r="A125" s="541">
        <f t="shared" si="137"/>
        <v>46113</v>
      </c>
      <c r="B125">
        <f t="shared" si="138"/>
        <v>2026</v>
      </c>
      <c r="C125">
        <f t="shared" si="139"/>
        <v>4</v>
      </c>
      <c r="D125" s="30"/>
      <c r="E125" s="33">
        <f t="shared" ca="1" si="126"/>
        <v>408.60374999999999</v>
      </c>
      <c r="F125" s="33">
        <f t="shared" ca="1" si="126"/>
        <v>2.8104166666666677</v>
      </c>
      <c r="G125" s="18">
        <f>'Customer Count'!C39</f>
        <v>10473.465338508673</v>
      </c>
      <c r="H125">
        <f t="shared" si="141"/>
        <v>30</v>
      </c>
      <c r="I125" s="33">
        <f t="shared" ca="1" si="142"/>
        <v>102.1509375</v>
      </c>
      <c r="J125" s="33">
        <f t="shared" ca="1" si="143"/>
        <v>0.70260416666666692</v>
      </c>
      <c r="L125" s="18">
        <f>'Res Predicted Monthly'!$X$8</f>
        <v>-16404845.677784801</v>
      </c>
      <c r="M125" s="18">
        <f ca="1">E125*'Res Predicted Monthly'!$X$9</f>
        <v>2677011.6022663582</v>
      </c>
      <c r="N125" s="18">
        <f ca="1">F125*'Res Predicted Monthly'!$X$10</f>
        <v>40990.172374191818</v>
      </c>
      <c r="O125" s="18">
        <f>G125*'Res Predicted Monthly'!$X$11</f>
        <v>14108116.840023117</v>
      </c>
      <c r="P125" s="18">
        <f>H125*'Res Predicted Monthly'!$X$12</f>
        <v>6303145.7404868407</v>
      </c>
      <c r="Q125" s="18">
        <f ca="1">I125*'Res Predicted Monthly'!$X$13</f>
        <v>55245.763118274401</v>
      </c>
      <c r="R125" s="18">
        <f ca="1">J125*'Res Predicted Monthly'!$X$14</f>
        <v>1541.3858438794359</v>
      </c>
      <c r="S125" s="18">
        <f t="shared" ca="1" si="70"/>
        <v>6781205.8263278622</v>
      </c>
      <c r="T125" s="30">
        <f t="shared" ca="1" si="127"/>
        <v>6781205.8263278622</v>
      </c>
      <c r="U125" s="35"/>
      <c r="AK125" s="33">
        <f t="shared" ref="AK125:AN125" ca="1" si="146">AK113</f>
        <v>359.73871062458045</v>
      </c>
      <c r="AL125" s="33">
        <f t="shared" ca="1" si="146"/>
        <v>455.4514878686926</v>
      </c>
      <c r="AM125" s="33">
        <f t="shared" ca="1" si="146"/>
        <v>2.33889472041326</v>
      </c>
      <c r="AN125" s="33">
        <f t="shared" ca="1" si="146"/>
        <v>3.0470377046304016</v>
      </c>
      <c r="AP125" s="18">
        <f ca="1">AK125*'Res Predicted Monthly'!$X$9</f>
        <v>2356867.0187837039</v>
      </c>
      <c r="AQ125" s="18">
        <f ca="1">AL125*'Res Predicted Monthly'!$X$9</f>
        <v>2983939.617034757</v>
      </c>
      <c r="AR125" s="18">
        <f ca="1">AM125*'Res Predicted Monthly'!$X$10</f>
        <v>34112.983634037664</v>
      </c>
      <c r="AS125" s="18">
        <f ca="1">AN125*'Res Predicted Monthly'!$X$10</f>
        <v>44441.310864982734</v>
      </c>
      <c r="AU125" s="31">
        <f t="shared" ca="1" si="72"/>
        <v>6454184.0541050537</v>
      </c>
      <c r="AV125" s="31">
        <f t="shared" ca="1" si="73"/>
        <v>7091584.979587052</v>
      </c>
    </row>
    <row r="126" spans="1:48">
      <c r="A126" s="541">
        <f t="shared" si="137"/>
        <v>46143</v>
      </c>
      <c r="B126">
        <f t="shared" si="138"/>
        <v>2026</v>
      </c>
      <c r="C126">
        <f t="shared" si="139"/>
        <v>5</v>
      </c>
      <c r="D126" s="30"/>
      <c r="E126" s="33">
        <f t="shared" ca="1" si="126"/>
        <v>178.10395833333331</v>
      </c>
      <c r="F126" s="33">
        <f t="shared" ca="1" si="126"/>
        <v>74.673124999999999</v>
      </c>
      <c r="G126" s="18">
        <f>'Customer Count'!C40</f>
        <v>10482.10844928502</v>
      </c>
      <c r="H126">
        <f t="shared" si="141"/>
        <v>31</v>
      </c>
      <c r="I126" s="33">
        <f t="shared" ca="1" si="142"/>
        <v>44.525989583333327</v>
      </c>
      <c r="J126" s="33">
        <f t="shared" ca="1" si="143"/>
        <v>18.66828125</v>
      </c>
      <c r="L126" s="18">
        <f>'Res Predicted Monthly'!$X$8</f>
        <v>-16404845.677784801</v>
      </c>
      <c r="M126" s="18">
        <f ca="1">E126*'Res Predicted Monthly'!$X$9</f>
        <v>1166867.3204000143</v>
      </c>
      <c r="N126" s="18">
        <f ca="1">F126*'Res Predicted Monthly'!$X$10</f>
        <v>1089114.045534021</v>
      </c>
      <c r="O126" s="18">
        <f>G126*'Res Predicted Monthly'!$X$11</f>
        <v>14119759.406523589</v>
      </c>
      <c r="P126" s="18">
        <f>H126*'Res Predicted Monthly'!$X$12</f>
        <v>6513250.5985030681</v>
      </c>
      <c r="Q126" s="18">
        <f ca="1">I126*'Res Predicted Monthly'!$X$13</f>
        <v>24080.76062079789</v>
      </c>
      <c r="R126" s="18">
        <f ca="1">J126*'Res Predicted Monthly'!$X$14</f>
        <v>40954.816116200884</v>
      </c>
      <c r="S126" s="18">
        <f t="shared" ca="1" si="70"/>
        <v>6549181.2699128902</v>
      </c>
      <c r="T126" s="30">
        <f t="shared" ca="1" si="127"/>
        <v>6549181.2699128902</v>
      </c>
      <c r="U126" s="35"/>
      <c r="AK126" s="33">
        <f t="shared" ref="AK126:AN126" ca="1" si="147">AK114</f>
        <v>156.80445499574424</v>
      </c>
      <c r="AL126" s="33">
        <f t="shared" ca="1" si="147"/>
        <v>198.52415162176143</v>
      </c>
      <c r="AM126" s="33">
        <f t="shared" ca="1" si="147"/>
        <v>62.144727467193846</v>
      </c>
      <c r="AN126" s="33">
        <f t="shared" ca="1" si="147"/>
        <v>80.960175797507716</v>
      </c>
      <c r="AP126" s="18">
        <f ca="1">AK126*'Res Predicted Monthly'!$X$9</f>
        <v>1027321.3236801189</v>
      </c>
      <c r="AQ126" s="18">
        <f ca="1">AL126*'Res Predicted Monthly'!$X$9</f>
        <v>1300652.4223567233</v>
      </c>
      <c r="AR126" s="18">
        <f ca="1">AM126*'Res Predicted Monthly'!$X$10</f>
        <v>906386.27404979616</v>
      </c>
      <c r="AS126" s="18">
        <f ca="1">AN126*'Res Predicted Monthly'!$X$10</f>
        <v>1180811.2301443012</v>
      </c>
      <c r="AU126" s="31">
        <f t="shared" ca="1" si="72"/>
        <v>6226907.5017087702</v>
      </c>
      <c r="AV126" s="31">
        <f t="shared" ca="1" si="73"/>
        <v>6774663.5564798787</v>
      </c>
    </row>
    <row r="127" spans="1:48">
      <c r="A127" s="541">
        <f t="shared" si="137"/>
        <v>46174</v>
      </c>
      <c r="B127">
        <f t="shared" si="138"/>
        <v>2026</v>
      </c>
      <c r="C127">
        <f t="shared" si="139"/>
        <v>6</v>
      </c>
      <c r="D127" s="30"/>
      <c r="E127" s="33">
        <f t="shared" ca="1" si="126"/>
        <v>51.834166666666661</v>
      </c>
      <c r="F127" s="33">
        <f t="shared" ca="1" si="126"/>
        <v>169.78833333333333</v>
      </c>
      <c r="G127" s="18">
        <f>'Customer Count'!C41</f>
        <v>10490.7586926924</v>
      </c>
      <c r="H127">
        <f t="shared" si="141"/>
        <v>30</v>
      </c>
      <c r="I127" s="33">
        <f t="shared" ca="1" si="142"/>
        <v>12.958541666666665</v>
      </c>
      <c r="J127" s="33">
        <f t="shared" ca="1" si="143"/>
        <v>42.447083333333332</v>
      </c>
      <c r="L127" s="18">
        <f>'Res Predicted Monthly'!$X$8</f>
        <v>-16404845.677784801</v>
      </c>
      <c r="M127" s="18">
        <f ca="1">E127*'Res Predicted Monthly'!$X$9</f>
        <v>339597.14163287729</v>
      </c>
      <c r="N127" s="18">
        <f ca="1">F127*'Res Predicted Monthly'!$X$10</f>
        <v>2476377.6606529527</v>
      </c>
      <c r="O127" s="18">
        <f>G127*'Res Predicted Monthly'!$X$11</f>
        <v>14131411.580922566</v>
      </c>
      <c r="P127" s="18">
        <f>H127*'Res Predicted Monthly'!$X$12</f>
        <v>6303145.7404868407</v>
      </c>
      <c r="Q127" s="18">
        <f ca="1">I127*'Res Predicted Monthly'!$X$13</f>
        <v>7008.3010571973982</v>
      </c>
      <c r="R127" s="18">
        <f ca="1">J127*'Res Predicted Monthly'!$X$14</f>
        <v>93121.186107356392</v>
      </c>
      <c r="S127" s="18">
        <f t="shared" ca="1" si="70"/>
        <v>6945815.9330749894</v>
      </c>
      <c r="T127" s="30">
        <f t="shared" ca="1" si="127"/>
        <v>6945815.9330749894</v>
      </c>
      <c r="U127" s="35"/>
      <c r="AK127" s="33">
        <f t="shared" ref="AK127:AN127" ca="1" si="148">AK115</f>
        <v>45.635303843800436</v>
      </c>
      <c r="AL127" s="33">
        <f t="shared" ca="1" si="148"/>
        <v>57.777121063541692</v>
      </c>
      <c r="AM127" s="33">
        <f t="shared" ca="1" si="148"/>
        <v>141.30183653234096</v>
      </c>
      <c r="AN127" s="33">
        <f t="shared" ca="1" si="148"/>
        <v>184.0835416360639</v>
      </c>
      <c r="AP127" s="18">
        <f ca="1">AK127*'Res Predicted Monthly'!$X$9</f>
        <v>298984.62229679566</v>
      </c>
      <c r="AQ127" s="18">
        <f ca="1">AL127*'Res Predicted Monthly'!$X$9</f>
        <v>378533.04927487596</v>
      </c>
      <c r="AR127" s="18">
        <f ca="1">AM127*'Res Predicted Monthly'!$X$10</f>
        <v>2060899.6185324343</v>
      </c>
      <c r="AS127" s="18">
        <f ca="1">AN127*'Res Predicted Monthly'!$X$10</f>
        <v>2684874.5214223182</v>
      </c>
      <c r="AU127" s="31">
        <f t="shared" ca="1" si="72"/>
        <v>6489725.3716183892</v>
      </c>
      <c r="AV127" s="31">
        <f t="shared" ca="1" si="73"/>
        <v>7193248.7014863528</v>
      </c>
    </row>
    <row r="128" spans="1:48">
      <c r="A128" s="541">
        <f t="shared" si="137"/>
        <v>46204</v>
      </c>
      <c r="B128">
        <f>YEAR(A128)</f>
        <v>2026</v>
      </c>
      <c r="C128">
        <f>MONTH(A128)</f>
        <v>7</v>
      </c>
      <c r="D128" s="30"/>
      <c r="E128" s="33">
        <f t="shared" ca="1" si="126"/>
        <v>6.5670833333333318</v>
      </c>
      <c r="F128" s="33">
        <f t="shared" ca="1" si="126"/>
        <v>265.99625000000003</v>
      </c>
      <c r="G128" s="18">
        <f>'Customer Count'!C42</f>
        <v>10499.416074616936</v>
      </c>
      <c r="H128">
        <f t="shared" si="141"/>
        <v>31</v>
      </c>
      <c r="I128" s="33">
        <f t="shared" ca="1" si="142"/>
        <v>1.641770833333333</v>
      </c>
      <c r="J128" s="33">
        <f t="shared" ca="1" si="143"/>
        <v>66.499062500000008</v>
      </c>
      <c r="L128" s="18">
        <f>'Res Predicted Monthly'!$X$8</f>
        <v>-16404845.677784801</v>
      </c>
      <c r="M128" s="18">
        <f ca="1">E128*'Res Predicted Monthly'!$X$9</f>
        <v>43024.95578267052</v>
      </c>
      <c r="N128" s="18">
        <f ca="1">F128*'Res Predicted Monthly'!$X$10</f>
        <v>3879578.5221842378</v>
      </c>
      <c r="O128" s="18">
        <f>G128*'Res Predicted Monthly'!$X$11</f>
        <v>14143073.371148862</v>
      </c>
      <c r="P128" s="18">
        <f>H128*'Res Predicted Monthly'!$X$12</f>
        <v>6513250.5985030681</v>
      </c>
      <c r="Q128" s="18">
        <f ca="1">I128*'Res Predicted Monthly'!$X$13</f>
        <v>887.91042718355152</v>
      </c>
      <c r="R128" s="18">
        <f ca="1">J128*'Res Predicted Monthly'!$X$14</f>
        <v>145886.85696961256</v>
      </c>
      <c r="S128" s="18">
        <f t="shared" ca="1" si="70"/>
        <v>8320856.5372308344</v>
      </c>
      <c r="T128" s="30">
        <f t="shared" ref="T128:T145" ca="1" si="149">S128-D128</f>
        <v>8320856.5372308344</v>
      </c>
      <c r="U128" s="35"/>
      <c r="AK128" s="33">
        <f t="shared" ref="AK128:AN128" ca="1" si="150">AK116</f>
        <v>5.7817239584744504</v>
      </c>
      <c r="AL128" s="33">
        <f t="shared" ca="1" si="150"/>
        <v>7.3200206193025874</v>
      </c>
      <c r="AM128" s="33">
        <f t="shared" ca="1" si="150"/>
        <v>221.36832312221517</v>
      </c>
      <c r="AN128" s="33">
        <f t="shared" ca="1" si="150"/>
        <v>288.39161561107579</v>
      </c>
      <c r="AP128" s="18">
        <f ca="1">AK128*'Res Predicted Monthly'!$X$9</f>
        <v>37879.589009982119</v>
      </c>
      <c r="AQ128" s="18">
        <f ca="1">AL128*'Res Predicted Monthly'!$X$9</f>
        <v>47957.905738021247</v>
      </c>
      <c r="AR128" s="18">
        <f ca="1">AM128*'Res Predicted Monthly'!$X$10</f>
        <v>3228676.313582941</v>
      </c>
      <c r="AS128" s="18">
        <f ca="1">AN128*'Res Predicted Monthly'!$X$10</f>
        <v>4206216.8842708953</v>
      </c>
      <c r="AU128" s="31">
        <f t="shared" ca="1" si="72"/>
        <v>7664808.9618568495</v>
      </c>
      <c r="AV128" s="31">
        <f t="shared" ca="1" si="73"/>
        <v>8652427.8492728435</v>
      </c>
    </row>
    <row r="129" spans="1:48">
      <c r="A129" s="541">
        <f t="shared" si="137"/>
        <v>46235</v>
      </c>
      <c r="B129">
        <f>YEAR(A129)</f>
        <v>2026</v>
      </c>
      <c r="C129">
        <f>MONTH(A129)</f>
        <v>8</v>
      </c>
      <c r="D129" s="30"/>
      <c r="E129" s="33">
        <f t="shared" ca="1" si="126"/>
        <v>23.263124999999995</v>
      </c>
      <c r="F129" s="33">
        <f t="shared" ca="1" si="126"/>
        <v>218.46562499999996</v>
      </c>
      <c r="G129" s="18">
        <f>'Customer Count'!C43</f>
        <v>10508.080600949612</v>
      </c>
      <c r="H129">
        <f t="shared" si="141"/>
        <v>31</v>
      </c>
      <c r="I129" s="33">
        <f t="shared" ca="1" si="142"/>
        <v>5.8157812499999988</v>
      </c>
      <c r="J129" s="33">
        <f t="shared" ca="1" si="143"/>
        <v>54.61640624999999</v>
      </c>
      <c r="L129" s="18">
        <f>'Res Predicted Monthly'!$X$8</f>
        <v>-16404845.677784801</v>
      </c>
      <c r="M129" s="18">
        <f ca="1">E129*'Res Predicted Monthly'!$X$9</f>
        <v>152410.87613604273</v>
      </c>
      <c r="N129" s="18">
        <f ca="1">F129*'Res Predicted Monthly'!$X$10</f>
        <v>3186340.2081253235</v>
      </c>
      <c r="O129" s="18">
        <f>G129*'Res Predicted Monthly'!$X$11</f>
        <v>14154744.78513783</v>
      </c>
      <c r="P129" s="18">
        <f>H129*'Res Predicted Monthly'!$X$12</f>
        <v>6513250.5985030681</v>
      </c>
      <c r="Q129" s="18">
        <f ca="1">I129*'Res Predicted Monthly'!$X$13</f>
        <v>3145.318889366059</v>
      </c>
      <c r="R129" s="18">
        <f ca="1">J129*'Res Predicted Monthly'!$X$14</f>
        <v>119818.46882109054</v>
      </c>
      <c r="S129" s="18">
        <f t="shared" ca="1" si="70"/>
        <v>7724864.5778279202</v>
      </c>
      <c r="T129" s="30">
        <f t="shared" ca="1" si="149"/>
        <v>7724864.5778279202</v>
      </c>
      <c r="U129" s="35"/>
      <c r="AK129" s="33">
        <f t="shared" ref="AK129:AN129" ca="1" si="151">AK117</f>
        <v>20.481081225021654</v>
      </c>
      <c r="AL129" s="33">
        <f t="shared" ca="1" si="151"/>
        <v>25.930317315309463</v>
      </c>
      <c r="AM129" s="33">
        <f t="shared" ca="1" si="151"/>
        <v>181.81222128543794</v>
      </c>
      <c r="AN129" s="33">
        <f t="shared" ca="1" si="151"/>
        <v>236.85918335026682</v>
      </c>
      <c r="AP129" s="18">
        <f ca="1">AK129*'Res Predicted Monthly'!$X$9</f>
        <v>134184.01584993443</v>
      </c>
      <c r="AQ129" s="18">
        <f ca="1">AL129*'Res Predicted Monthly'!$X$9</f>
        <v>169885.27467878521</v>
      </c>
      <c r="AR129" s="18">
        <f ca="1">AM129*'Res Predicted Monthly'!$X$10</f>
        <v>2651747.1158694639</v>
      </c>
      <c r="AS129" s="18">
        <f ca="1">AN129*'Res Predicted Monthly'!$X$10</f>
        <v>3454611.8620386319</v>
      </c>
      <c r="AU129" s="31">
        <f t="shared" ca="1" si="72"/>
        <v>7172044.6252859524</v>
      </c>
      <c r="AV129" s="31">
        <f t="shared" ca="1" si="73"/>
        <v>8010610.6302839713</v>
      </c>
    </row>
    <row r="130" spans="1:48">
      <c r="A130" s="541">
        <f t="shared" si="137"/>
        <v>46266</v>
      </c>
      <c r="B130">
        <f>YEAR(A130)</f>
        <v>2026</v>
      </c>
      <c r="C130">
        <f>MONTH(A130)</f>
        <v>9</v>
      </c>
      <c r="D130" s="30"/>
      <c r="E130" s="33">
        <f t="shared" ca="1" si="126"/>
        <v>114.73583333333336</v>
      </c>
      <c r="F130" s="33">
        <f t="shared" ca="1" si="126"/>
        <v>95.131249999999994</v>
      </c>
      <c r="G130" s="18">
        <f>'Customer Count'!C44</f>
        <v>10516.752277586271</v>
      </c>
      <c r="H130">
        <f t="shared" si="141"/>
        <v>30</v>
      </c>
      <c r="I130" s="33">
        <f t="shared" ca="1" si="142"/>
        <v>28.68395833333334</v>
      </c>
      <c r="J130" s="33">
        <f t="shared" ca="1" si="143"/>
        <v>23.782812499999999</v>
      </c>
      <c r="L130" s="18">
        <f>'Res Predicted Monthly'!$X$8</f>
        <v>-16404845.677784801</v>
      </c>
      <c r="M130" s="18">
        <f ca="1">E130*'Res Predicted Monthly'!$X$9</f>
        <v>751704.20493946178</v>
      </c>
      <c r="N130" s="18">
        <f ca="1">F130*'Res Predicted Monthly'!$X$10</f>
        <v>1387497.5842273687</v>
      </c>
      <c r="O130" s="18">
        <f>G130*'Res Predicted Monthly'!$X$11</f>
        <v>14166425.830831375</v>
      </c>
      <c r="P130" s="18">
        <f>H130*'Res Predicted Monthly'!$X$12</f>
        <v>6303145.7404868407</v>
      </c>
      <c r="Q130" s="18">
        <f ca="1">I130*'Res Predicted Monthly'!$X$13</f>
        <v>15512.996808059512</v>
      </c>
      <c r="R130" s="18">
        <f ca="1">J130*'Res Predicted Monthly'!$X$14</f>
        <v>52175.168116431916</v>
      </c>
      <c r="S130" s="18">
        <f t="shared" ca="1" si="70"/>
        <v>6271615.8476247368</v>
      </c>
      <c r="T130" s="30">
        <f t="shared" ca="1" si="149"/>
        <v>6271615.8476247368</v>
      </c>
      <c r="U130" s="35"/>
      <c r="AK130" s="33">
        <f t="shared" ref="AK130:AN130" ca="1" si="152">AK118</f>
        <v>101.01454219588074</v>
      </c>
      <c r="AL130" s="33">
        <f t="shared" ca="1" si="152"/>
        <v>127.89066669975746</v>
      </c>
      <c r="AM130" s="33">
        <f t="shared" ca="1" si="152"/>
        <v>79.170459316701752</v>
      </c>
      <c r="AN130" s="33">
        <f t="shared" ca="1" si="152"/>
        <v>103.14075812197032</v>
      </c>
      <c r="AP130" s="18">
        <f ca="1">AK130*'Res Predicted Monthly'!$X$9</f>
        <v>661807.68398723053</v>
      </c>
      <c r="AQ130" s="18">
        <f ca="1">AL130*'Res Predicted Monthly'!$X$9</f>
        <v>837889.51662051689</v>
      </c>
      <c r="AR130" s="18">
        <f ca="1">AM130*'Res Predicted Monthly'!$X$10</f>
        <v>1154708.0590667615</v>
      </c>
      <c r="AS130" s="18">
        <f ca="1">AN130*'Res Predicted Monthly'!$X$10</f>
        <v>1504316.9592495966</v>
      </c>
      <c r="AU130" s="31">
        <f t="shared" ca="1" si="72"/>
        <v>5948929.8015118986</v>
      </c>
      <c r="AV130" s="31">
        <f t="shared" ca="1" si="73"/>
        <v>6474620.5343280192</v>
      </c>
    </row>
    <row r="131" spans="1:48">
      <c r="A131" s="541">
        <f t="shared" si="137"/>
        <v>46296</v>
      </c>
      <c r="B131">
        <f>YEAR(A131)</f>
        <v>2026</v>
      </c>
      <c r="C131">
        <f>MONTH(A131)</f>
        <v>10</v>
      </c>
      <c r="D131" s="30"/>
      <c r="E131" s="33">
        <f t="shared" ca="1" si="126"/>
        <v>302.40479166666665</v>
      </c>
      <c r="F131" s="33">
        <f t="shared" ca="1" si="126"/>
        <v>21.813750000000006</v>
      </c>
      <c r="G131" s="18">
        <f>'Customer Count'!C45</f>
        <v>10525.43111042762</v>
      </c>
      <c r="H131">
        <f t="shared" si="141"/>
        <v>31</v>
      </c>
      <c r="I131" s="33">
        <f t="shared" ca="1" si="142"/>
        <v>75.601197916666663</v>
      </c>
      <c r="J131" s="33">
        <f t="shared" ca="1" si="143"/>
        <v>5.4534375000000015</v>
      </c>
      <c r="L131" s="18">
        <f>'Res Predicted Monthly'!$X$8</f>
        <v>-16404845.677784801</v>
      </c>
      <c r="M131" s="18">
        <f ca="1">E131*'Res Predicted Monthly'!$X$9</f>
        <v>1981237.655975031</v>
      </c>
      <c r="N131" s="18">
        <f ca="1">F131*'Res Predicted Monthly'!$X$10</f>
        <v>318155.44763618446</v>
      </c>
      <c r="O131" s="18">
        <f>G131*'Res Predicted Monthly'!$X$11</f>
        <v>14178116.516177952</v>
      </c>
      <c r="P131" s="18">
        <f>H131*'Res Predicted Monthly'!$X$12</f>
        <v>6513250.5985030681</v>
      </c>
      <c r="Q131" s="18">
        <f ca="1">I131*'Res Predicted Monthly'!$X$13</f>
        <v>40887.004796817913</v>
      </c>
      <c r="R131" s="18">
        <f ca="1">J131*'Res Predicted Monthly'!$X$14</f>
        <v>11963.850716770958</v>
      </c>
      <c r="S131" s="18">
        <f t="shared" ref="S131:S145" ca="1" si="153">SUM(L131:R131)</f>
        <v>6638765.3960210243</v>
      </c>
      <c r="T131" s="30">
        <f t="shared" ca="1" si="149"/>
        <v>6638765.3960210243</v>
      </c>
      <c r="U131" s="35"/>
      <c r="AK131" s="33">
        <f t="shared" ref="AK131:AN131" ca="1" si="154">AK119</f>
        <v>266.24011610481193</v>
      </c>
      <c r="AL131" s="33">
        <f t="shared" ca="1" si="154"/>
        <v>337.07647642295342</v>
      </c>
      <c r="AM131" s="33">
        <f t="shared" ca="1" si="154"/>
        <v>18.153914795818444</v>
      </c>
      <c r="AN131" s="33">
        <f t="shared" ca="1" si="154"/>
        <v>23.650343209861436</v>
      </c>
      <c r="AP131" s="18">
        <f ca="1">AK131*'Res Predicted Monthly'!$X$9</f>
        <v>1744300.8778096722</v>
      </c>
      <c r="AQ131" s="18">
        <f ca="1">AL131*'Res Predicted Monthly'!$X$9</f>
        <v>2208392.9436166673</v>
      </c>
      <c r="AR131" s="18">
        <f ca="1">AM131*'Res Predicted Monthly'!$X$10</f>
        <v>264776.4317557856</v>
      </c>
      <c r="AS131" s="18">
        <f ca="1">AN131*'Res Predicted Monthly'!$X$10</f>
        <v>344942.31989836041</v>
      </c>
      <c r="AU131" s="31">
        <f t="shared" ref="AU131:AU145" ca="1" si="155">AP131+AR131-M131-N131+S131</f>
        <v>6348449.6019752668</v>
      </c>
      <c r="AV131" s="31">
        <f t="shared" ref="AV131:AV145" ca="1" si="156">AQ131+AS131-M131-N131+S131</f>
        <v>6892707.5559248365</v>
      </c>
    </row>
    <row r="132" spans="1:48">
      <c r="A132" s="541">
        <f t="shared" si="137"/>
        <v>46327</v>
      </c>
      <c r="B132">
        <f t="shared" ref="B132:B145" si="157">YEAR(A132)</f>
        <v>2026</v>
      </c>
      <c r="C132">
        <f t="shared" ref="C132:C145" si="158">MONTH(A132)</f>
        <v>11</v>
      </c>
      <c r="D132" s="30"/>
      <c r="E132" s="33">
        <f t="shared" ca="1" si="126"/>
        <v>526.09395833333338</v>
      </c>
      <c r="F132" s="33">
        <f t="shared" ca="1" si="126"/>
        <v>2.2795833333333335</v>
      </c>
      <c r="G132" s="18">
        <f>'Customer Count'!C46</f>
        <v>10534.117105379239</v>
      </c>
      <c r="H132">
        <f t="shared" si="141"/>
        <v>30</v>
      </c>
      <c r="I132" s="33">
        <f t="shared" ca="1" si="142"/>
        <v>131.52348958333334</v>
      </c>
      <c r="J132" s="33">
        <f t="shared" ca="1" si="143"/>
        <v>0.56989583333333338</v>
      </c>
      <c r="L132" s="18">
        <f>'Res Predicted Monthly'!$X$8</f>
        <v>-16404845.677784801</v>
      </c>
      <c r="M132" s="18">
        <f ca="1">E132*'Res Predicted Monthly'!$X$9</f>
        <v>3446761.3925240957</v>
      </c>
      <c r="N132" s="18">
        <f ca="1">F132*'Res Predicted Monthly'!$X$10</f>
        <v>33247.921876827779</v>
      </c>
      <c r="O132" s="18">
        <f>G132*'Res Predicted Monthly'!$X$11</f>
        <v>14189816.849132579</v>
      </c>
      <c r="P132" s="18">
        <f>H132*'Res Predicted Monthly'!$X$12</f>
        <v>6303145.7404868407</v>
      </c>
      <c r="Q132" s="18">
        <f ca="1">I132*'Res Predicted Monthly'!$X$13</f>
        <v>71131.168522165201</v>
      </c>
      <c r="R132" s="18">
        <f ca="1">J132*'Res Predicted Monthly'!$X$14</f>
        <v>1250.2478801874561</v>
      </c>
      <c r="S132" s="18">
        <f t="shared" ca="1" si="153"/>
        <v>7640507.6426378945</v>
      </c>
      <c r="T132" s="30">
        <f t="shared" ca="1" si="149"/>
        <v>7640507.6426378945</v>
      </c>
      <c r="U132" s="35"/>
      <c r="AK132" s="33">
        <f t="shared" ref="AK132:AN132" ca="1" si="159">AK120</f>
        <v>463.17823132610772</v>
      </c>
      <c r="AL132" s="33">
        <f t="shared" ca="1" si="159"/>
        <v>586.4123275463005</v>
      </c>
      <c r="AM132" s="33">
        <f t="shared" ca="1" si="159"/>
        <v>1.8971227598785685</v>
      </c>
      <c r="AN132" s="33">
        <f t="shared" ca="1" si="159"/>
        <v>2.4715112352902775</v>
      </c>
      <c r="AP132" s="18">
        <f ca="1">AK132*'Res Predicted Monthly'!$X$9</f>
        <v>3034562.2113776528</v>
      </c>
      <c r="AQ132" s="18">
        <f ca="1">AL132*'Res Predicted Monthly'!$X$9</f>
        <v>3841943.7035354339</v>
      </c>
      <c r="AR132" s="18">
        <f ca="1">AM132*'Res Predicted Monthly'!$X$10</f>
        <v>27669.701032145298</v>
      </c>
      <c r="AS132" s="18">
        <f ca="1">AN132*'Res Predicted Monthly'!$X$10</f>
        <v>36047.207078179461</v>
      </c>
      <c r="AU132" s="31">
        <f t="shared" ca="1" si="155"/>
        <v>7222730.2406467693</v>
      </c>
      <c r="AV132" s="31">
        <f t="shared" ca="1" si="156"/>
        <v>8038489.2388505843</v>
      </c>
    </row>
    <row r="133" spans="1:48">
      <c r="A133" s="541">
        <f t="shared" si="137"/>
        <v>46357</v>
      </c>
      <c r="B133">
        <f t="shared" si="157"/>
        <v>2026</v>
      </c>
      <c r="C133">
        <f t="shared" si="158"/>
        <v>12</v>
      </c>
      <c r="D133" s="30"/>
      <c r="E133" s="33">
        <f t="shared" ca="1" si="126"/>
        <v>750.36333333333334</v>
      </c>
      <c r="F133" s="33">
        <f t="shared" ca="1" si="126"/>
        <v>0</v>
      </c>
      <c r="G133" s="18">
        <f>'Customer Count'!C47</f>
        <v>10542.810268351579</v>
      </c>
      <c r="H133">
        <f t="shared" si="141"/>
        <v>31</v>
      </c>
      <c r="I133" s="33">
        <f t="shared" ca="1" si="142"/>
        <v>187.59083333333334</v>
      </c>
      <c r="J133" s="33">
        <f t="shared" ca="1" si="143"/>
        <v>0</v>
      </c>
      <c r="L133" s="18">
        <f>'Res Predicted Monthly'!$X$8</f>
        <v>-16404845.677784801</v>
      </c>
      <c r="M133" s="18">
        <f ca="1">E133*'Res Predicted Monthly'!$X$9</f>
        <v>4916086.4266385026</v>
      </c>
      <c r="N133" s="18">
        <f ca="1">F133*'Res Predicted Monthly'!$X$10</f>
        <v>0</v>
      </c>
      <c r="O133" s="18">
        <f>G133*'Res Predicted Monthly'!$X$11</f>
        <v>14201526.837656835</v>
      </c>
      <c r="P133" s="18">
        <f>H133*'Res Predicted Monthly'!$X$12</f>
        <v>6513250.5985030681</v>
      </c>
      <c r="Q133" s="18">
        <f ca="1">I133*'Res Predicted Monthly'!$X$13</f>
        <v>101453.78001541128</v>
      </c>
      <c r="R133" s="18">
        <f ca="1">J133*'Res Predicted Monthly'!$X$14</f>
        <v>0</v>
      </c>
      <c r="S133" s="18">
        <f t="shared" ca="1" si="153"/>
        <v>9327471.9650290161</v>
      </c>
      <c r="T133" s="30">
        <f t="shared" ca="1" si="149"/>
        <v>9327471.9650290161</v>
      </c>
      <c r="U133" s="35"/>
      <c r="AK133" s="33">
        <f t="shared" ref="AK133:AN133" ca="1" si="160">AK121</f>
        <v>660.62716760013984</v>
      </c>
      <c r="AL133" s="33">
        <f t="shared" ca="1" si="160"/>
        <v>836.39490975983074</v>
      </c>
      <c r="AM133" s="33">
        <f t="shared" ca="1" si="160"/>
        <v>0</v>
      </c>
      <c r="AN133" s="33">
        <f t="shared" ca="1" si="160"/>
        <v>0</v>
      </c>
      <c r="AP133" s="18">
        <f ca="1">AK133*'Res Predicted Monthly'!$X$9</f>
        <v>4328170.2442474803</v>
      </c>
      <c r="AQ133" s="18">
        <f ca="1">AL133*'Res Predicted Monthly'!$X$9</f>
        <v>5479731.5920463055</v>
      </c>
      <c r="AR133" s="18">
        <f ca="1">AM133*'Res Predicted Monthly'!$X$10</f>
        <v>0</v>
      </c>
      <c r="AS133" s="18">
        <f ca="1">AN133*'Res Predicted Monthly'!$X$10</f>
        <v>0</v>
      </c>
      <c r="AU133" s="31">
        <f t="shared" ca="1" si="155"/>
        <v>8739555.7826379947</v>
      </c>
      <c r="AV133" s="31">
        <f t="shared" ca="1" si="156"/>
        <v>9891117.130436819</v>
      </c>
    </row>
    <row r="134" spans="1:48">
      <c r="A134" s="541">
        <f t="shared" si="137"/>
        <v>46388</v>
      </c>
      <c r="B134">
        <f t="shared" si="157"/>
        <v>2027</v>
      </c>
      <c r="C134">
        <f t="shared" si="158"/>
        <v>1</v>
      </c>
      <c r="E134" s="33">
        <f t="shared" ref="E134:F145" ca="1" si="161">E122</f>
        <v>852.55166666666662</v>
      </c>
      <c r="F134" s="33">
        <f t="shared" ca="1" si="161"/>
        <v>0</v>
      </c>
      <c r="G134" s="18">
        <f>'Customer Count'!C48</f>
        <v>10551.510605259969</v>
      </c>
      <c r="H134">
        <f t="shared" si="141"/>
        <v>31</v>
      </c>
      <c r="I134" s="33">
        <f t="shared" ca="1" si="142"/>
        <v>213.13791666666665</v>
      </c>
      <c r="J134" s="33">
        <f t="shared" ca="1" si="143"/>
        <v>0</v>
      </c>
      <c r="L134" s="18">
        <f>'Res Predicted Monthly'!$X$8</f>
        <v>-16404845.677784801</v>
      </c>
      <c r="M134" s="18">
        <f ca="1">E134*'Res Predicted Monthly'!$X$9</f>
        <v>5585584.3300463771</v>
      </c>
      <c r="N134" s="18">
        <f ca="1">F134*'Res Predicted Monthly'!$X$10</f>
        <v>0</v>
      </c>
      <c r="O134" s="18">
        <f>G134*'Res Predicted Monthly'!$X$11</f>
        <v>14213246.489718873</v>
      </c>
      <c r="P134" s="18">
        <f>H134*'Res Predicted Monthly'!$X$12</f>
        <v>6513250.5985030681</v>
      </c>
      <c r="Q134" s="18">
        <f ca="1">I134*'Res Predicted Monthly'!$X$13</f>
        <v>115270.27694375468</v>
      </c>
      <c r="R134" s="18">
        <f ca="1">J134*'Res Predicted Monthly'!$X$14</f>
        <v>0</v>
      </c>
      <c r="S134" s="18">
        <f ca="1">SUM(L134:R134)</f>
        <v>10022506.017427273</v>
      </c>
      <c r="T134" s="30">
        <f t="shared" ca="1" si="149"/>
        <v>10022506.017427273</v>
      </c>
      <c r="AK134" s="33">
        <f t="shared" ref="AK134:AN134" ca="1" si="162">AK122</f>
        <v>750.59476891120983</v>
      </c>
      <c r="AL134" s="33">
        <f t="shared" ca="1" si="162"/>
        <v>950.29946511324727</v>
      </c>
      <c r="AM134" s="33">
        <f t="shared" ca="1" si="162"/>
        <v>0</v>
      </c>
      <c r="AN134" s="33">
        <f t="shared" ca="1" si="162"/>
        <v>0</v>
      </c>
      <c r="AP134" s="18">
        <f ca="1">AK134*'Res Predicted Monthly'!$X$9</f>
        <v>4917602.7018247992</v>
      </c>
      <c r="AQ134" s="18">
        <f ca="1">AL134*'Res Predicted Monthly'!$X$9</f>
        <v>6225989.5895122774</v>
      </c>
      <c r="AR134" s="18">
        <f ca="1">AM134*'Res Predicted Monthly'!$X$10</f>
        <v>0</v>
      </c>
      <c r="AS134" s="18">
        <f ca="1">AN134*'Res Predicted Monthly'!$X$10</f>
        <v>0</v>
      </c>
      <c r="AU134" s="31">
        <f t="shared" ca="1" si="155"/>
        <v>9354524.3892056942</v>
      </c>
      <c r="AV134" s="31">
        <f t="shared" ca="1" si="156"/>
        <v>10662911.276893172</v>
      </c>
    </row>
    <row r="135" spans="1:48">
      <c r="A135" s="541">
        <f t="shared" si="137"/>
        <v>46419</v>
      </c>
      <c r="B135">
        <f t="shared" si="157"/>
        <v>2027</v>
      </c>
      <c r="C135">
        <f t="shared" si="158"/>
        <v>2</v>
      </c>
      <c r="E135" s="33">
        <f t="shared" ca="1" si="161"/>
        <v>747.22854166666662</v>
      </c>
      <c r="F135" s="33">
        <f t="shared" ca="1" si="161"/>
        <v>0</v>
      </c>
      <c r="G135" s="18">
        <f>'Customer Count'!C49</f>
        <v>10560.218122024622</v>
      </c>
      <c r="H135">
        <f t="shared" si="141"/>
        <v>28</v>
      </c>
      <c r="I135" s="33">
        <f t="shared" ca="1" si="142"/>
        <v>186.80713541666665</v>
      </c>
      <c r="J135" s="33">
        <f t="shared" ca="1" si="143"/>
        <v>0</v>
      </c>
      <c r="L135" s="18">
        <f>'Res Predicted Monthly'!$X$8</f>
        <v>-16404845.677784801</v>
      </c>
      <c r="M135" s="18">
        <f ca="1">E135*'Res Predicted Monthly'!$X$9</f>
        <v>4895548.500438964</v>
      </c>
      <c r="N135" s="18">
        <f ca="1">F135*'Res Predicted Monthly'!$X$10</f>
        <v>0</v>
      </c>
      <c r="O135" s="18">
        <f>G135*'Res Predicted Monthly'!$X$11</f>
        <v>14224975.813293422</v>
      </c>
      <c r="P135" s="18">
        <f>H135*'Res Predicted Monthly'!$X$12</f>
        <v>5882936.0244543841</v>
      </c>
      <c r="Q135" s="18">
        <f ca="1">I135*'Res Predicted Monthly'!$X$13</f>
        <v>101029.93672507972</v>
      </c>
      <c r="R135" s="18">
        <f ca="1">J135*'Res Predicted Monthly'!$X$14</f>
        <v>0</v>
      </c>
      <c r="S135" s="18">
        <f ca="1">SUM(L135:R135)</f>
        <v>8699644.5971270502</v>
      </c>
      <c r="T135" s="30">
        <f t="shared" ca="1" si="149"/>
        <v>8699644.5971270502</v>
      </c>
      <c r="AK135" s="33">
        <f t="shared" ref="AK135:AN135" ca="1" si="163">AK123</f>
        <v>657.86726656584096</v>
      </c>
      <c r="AL135" s="33">
        <f t="shared" ca="1" si="163"/>
        <v>832.90070411746512</v>
      </c>
      <c r="AM135" s="33">
        <f t="shared" ca="1" si="163"/>
        <v>0</v>
      </c>
      <c r="AN135" s="33">
        <f t="shared" ca="1" si="163"/>
        <v>0</v>
      </c>
      <c r="AP135" s="18">
        <f ca="1">AK135*'Res Predicted Monthly'!$X$9</f>
        <v>4310088.4545186171</v>
      </c>
      <c r="AQ135" s="18">
        <f ca="1">AL135*'Res Predicted Monthly'!$X$9</f>
        <v>5456838.9263639245</v>
      </c>
      <c r="AR135" s="18">
        <f ca="1">AM135*'Res Predicted Monthly'!$X$10</f>
        <v>0</v>
      </c>
      <c r="AS135" s="18">
        <f ca="1">AN135*'Res Predicted Monthly'!$X$10</f>
        <v>0</v>
      </c>
      <c r="AU135" s="31">
        <f t="shared" ca="1" si="155"/>
        <v>8114184.5512067033</v>
      </c>
      <c r="AV135" s="31">
        <f t="shared" ca="1" si="156"/>
        <v>9260935.0230520107</v>
      </c>
    </row>
    <row r="136" spans="1:48">
      <c r="A136" s="541">
        <f t="shared" ref="A136:A145" si="164">EOMONTH(A135,0)+1</f>
        <v>46447</v>
      </c>
      <c r="B136">
        <f t="shared" si="157"/>
        <v>2027</v>
      </c>
      <c r="C136">
        <f t="shared" si="158"/>
        <v>3</v>
      </c>
      <c r="E136" s="33">
        <f t="shared" ca="1" si="161"/>
        <v>636.29604166666672</v>
      </c>
      <c r="F136" s="33">
        <f t="shared" ca="1" si="161"/>
        <v>0</v>
      </c>
      <c r="G136" s="18">
        <f>'Customer Count'!C50</f>
        <v>10568.932824570633</v>
      </c>
      <c r="H136">
        <f t="shared" si="141"/>
        <v>31</v>
      </c>
      <c r="I136" s="33">
        <f t="shared" ca="1" si="142"/>
        <v>159.07401041666668</v>
      </c>
      <c r="J136" s="33">
        <f t="shared" ca="1" si="143"/>
        <v>0</v>
      </c>
      <c r="L136" s="18">
        <f>'Res Predicted Monthly'!$X$8</f>
        <v>-16404845.677784801</v>
      </c>
      <c r="M136" s="18">
        <f ca="1">E136*'Res Predicted Monthly'!$X$9</f>
        <v>4168762.2446387853</v>
      </c>
      <c r="N136" s="18">
        <f ca="1">F136*'Res Predicted Monthly'!$X$10</f>
        <v>0</v>
      </c>
      <c r="O136" s="18">
        <f>G136*'Res Predicted Monthly'!$X$11</f>
        <v>14236714.816361787</v>
      </c>
      <c r="P136" s="18">
        <f>H136*'Res Predicted Monthly'!$X$12</f>
        <v>6513250.5985030681</v>
      </c>
      <c r="Q136" s="18">
        <f ca="1">I136*'Res Predicted Monthly'!$X$13</f>
        <v>86031.174190183825</v>
      </c>
      <c r="R136" s="18">
        <f ca="1">J136*'Res Predicted Monthly'!$X$14</f>
        <v>0</v>
      </c>
      <c r="S136" s="18">
        <f t="shared" ca="1" si="153"/>
        <v>8599913.1559090242</v>
      </c>
      <c r="T136" s="30">
        <f t="shared" ca="1" si="149"/>
        <v>8599913.1559090242</v>
      </c>
      <c r="AK136" s="33">
        <f t="shared" ref="AK136:AN136" ca="1" si="165">AK124</f>
        <v>560.20121598172079</v>
      </c>
      <c r="AL136" s="33">
        <f t="shared" ca="1" si="165"/>
        <v>709.24943518517148</v>
      </c>
      <c r="AM136" s="33">
        <f t="shared" ca="1" si="165"/>
        <v>0</v>
      </c>
      <c r="AN136" s="33">
        <f t="shared" ca="1" si="165"/>
        <v>0</v>
      </c>
      <c r="AP136" s="18">
        <f ca="1">AK136*'Res Predicted Monthly'!$X$9</f>
        <v>3670218.7750033834</v>
      </c>
      <c r="AQ136" s="18">
        <f ca="1">AL136*'Res Predicted Monthly'!$X$9</f>
        <v>4646724.2821231214</v>
      </c>
      <c r="AR136" s="18">
        <f ca="1">AM136*'Res Predicted Monthly'!$X$10</f>
        <v>0</v>
      </c>
      <c r="AS136" s="18">
        <f ca="1">AN136*'Res Predicted Monthly'!$X$10</f>
        <v>0</v>
      </c>
      <c r="AU136" s="31">
        <f t="shared" ca="1" si="155"/>
        <v>8101369.6862736223</v>
      </c>
      <c r="AV136" s="31">
        <f t="shared" ca="1" si="156"/>
        <v>9077875.1933933608</v>
      </c>
    </row>
    <row r="137" spans="1:48">
      <c r="A137" s="541">
        <f t="shared" si="164"/>
        <v>46478</v>
      </c>
      <c r="B137">
        <f t="shared" si="157"/>
        <v>2027</v>
      </c>
      <c r="C137">
        <f t="shared" si="158"/>
        <v>4</v>
      </c>
      <c r="E137" s="33">
        <f t="shared" ca="1" si="161"/>
        <v>408.60374999999999</v>
      </c>
      <c r="F137" s="33">
        <f t="shared" ca="1" si="161"/>
        <v>2.8104166666666677</v>
      </c>
      <c r="G137" s="18">
        <f>'Customer Count'!C51</f>
        <v>10577.654718827987</v>
      </c>
      <c r="H137">
        <f t="shared" si="141"/>
        <v>30</v>
      </c>
      <c r="I137" s="33">
        <f t="shared" ca="1" si="142"/>
        <v>102.1509375</v>
      </c>
      <c r="J137" s="33">
        <f t="shared" ca="1" si="143"/>
        <v>0.70260416666666692</v>
      </c>
      <c r="L137" s="18">
        <f>'Res Predicted Monthly'!$X$8</f>
        <v>-16404845.677784801</v>
      </c>
      <c r="M137" s="18">
        <f ca="1">E137*'Res Predicted Monthly'!$X$9</f>
        <v>2677011.6022663582</v>
      </c>
      <c r="N137" s="18">
        <f ca="1">F137*'Res Predicted Monthly'!$X$10</f>
        <v>40990.172374191818</v>
      </c>
      <c r="O137" s="18">
        <f>G137*'Res Predicted Monthly'!$X$11</f>
        <v>14248463.506911863</v>
      </c>
      <c r="P137" s="18">
        <f>H137*'Res Predicted Monthly'!$X$12</f>
        <v>6303145.7404868407</v>
      </c>
      <c r="Q137" s="18">
        <f ca="1">I137*'Res Predicted Monthly'!$X$13</f>
        <v>55245.763118274401</v>
      </c>
      <c r="R137" s="18">
        <f ca="1">J137*'Res Predicted Monthly'!$X$14</f>
        <v>1541.3858438794359</v>
      </c>
      <c r="S137" s="18">
        <f t="shared" ca="1" si="153"/>
        <v>6921552.4932166077</v>
      </c>
      <c r="T137" s="30">
        <f t="shared" ca="1" si="149"/>
        <v>6921552.4932166077</v>
      </c>
      <c r="AK137" s="33">
        <f t="shared" ref="AK137:AN137" ca="1" si="166">AK125</f>
        <v>359.73871062458045</v>
      </c>
      <c r="AL137" s="33">
        <f t="shared" ca="1" si="166"/>
        <v>455.4514878686926</v>
      </c>
      <c r="AM137" s="33">
        <f t="shared" ca="1" si="166"/>
        <v>2.33889472041326</v>
      </c>
      <c r="AN137" s="33">
        <f t="shared" ca="1" si="166"/>
        <v>3.0470377046304016</v>
      </c>
      <c r="AP137" s="18">
        <f ca="1">AK137*'Res Predicted Monthly'!$X$9</f>
        <v>2356867.0187837039</v>
      </c>
      <c r="AQ137" s="18">
        <f ca="1">AL137*'Res Predicted Monthly'!$X$9</f>
        <v>2983939.617034757</v>
      </c>
      <c r="AR137" s="18">
        <f ca="1">AM137*'Res Predicted Monthly'!$X$10</f>
        <v>34112.983634037664</v>
      </c>
      <c r="AS137" s="18">
        <f ca="1">AN137*'Res Predicted Monthly'!$X$10</f>
        <v>44441.310864982734</v>
      </c>
      <c r="AU137" s="31">
        <f t="shared" ca="1" si="155"/>
        <v>6594530.7209937992</v>
      </c>
      <c r="AV137" s="31">
        <f t="shared" ca="1" si="156"/>
        <v>7231931.6464757975</v>
      </c>
    </row>
    <row r="138" spans="1:48">
      <c r="A138" s="541">
        <f t="shared" si="164"/>
        <v>46508</v>
      </c>
      <c r="B138">
        <f t="shared" si="157"/>
        <v>2027</v>
      </c>
      <c r="C138">
        <f t="shared" si="158"/>
        <v>5</v>
      </c>
      <c r="E138" s="33">
        <f t="shared" ca="1" si="161"/>
        <v>178.10395833333331</v>
      </c>
      <c r="F138" s="33">
        <f t="shared" ca="1" si="161"/>
        <v>74.673124999999999</v>
      </c>
      <c r="G138" s="18">
        <f>'Customer Count'!C52</f>
        <v>10586.383810731566</v>
      </c>
      <c r="H138">
        <f t="shared" si="141"/>
        <v>31</v>
      </c>
      <c r="I138" s="33">
        <f t="shared" ca="1" si="142"/>
        <v>44.525989583333327</v>
      </c>
      <c r="J138" s="33">
        <f t="shared" ca="1" si="143"/>
        <v>18.66828125</v>
      </c>
      <c r="L138" s="18">
        <f>'Res Predicted Monthly'!$X$8</f>
        <v>-16404845.677784801</v>
      </c>
      <c r="M138" s="18">
        <f ca="1">E138*'Res Predicted Monthly'!$X$9</f>
        <v>1166867.3204000143</v>
      </c>
      <c r="N138" s="18">
        <f ca="1">F138*'Res Predicted Monthly'!$X$10</f>
        <v>1089114.045534021</v>
      </c>
      <c r="O138" s="18">
        <f>G138*'Res Predicted Monthly'!$X$11</f>
        <v>14260221.892938137</v>
      </c>
      <c r="P138" s="18">
        <f>H138*'Res Predicted Monthly'!$X$12</f>
        <v>6513250.5985030681</v>
      </c>
      <c r="Q138" s="18">
        <f ca="1">I138*'Res Predicted Monthly'!$X$13</f>
        <v>24080.76062079789</v>
      </c>
      <c r="R138" s="18">
        <f ca="1">J138*'Res Predicted Monthly'!$X$14</f>
        <v>40954.816116200884</v>
      </c>
      <c r="S138" s="18">
        <f t="shared" ca="1" si="153"/>
        <v>6689643.7563274382</v>
      </c>
      <c r="T138" s="30">
        <f t="shared" ca="1" si="149"/>
        <v>6689643.7563274382</v>
      </c>
      <c r="AK138" s="33">
        <f t="shared" ref="AK138:AN138" ca="1" si="167">AK126</f>
        <v>156.80445499574424</v>
      </c>
      <c r="AL138" s="33">
        <f t="shared" ca="1" si="167"/>
        <v>198.52415162176143</v>
      </c>
      <c r="AM138" s="33">
        <f t="shared" ca="1" si="167"/>
        <v>62.144727467193846</v>
      </c>
      <c r="AN138" s="33">
        <f t="shared" ca="1" si="167"/>
        <v>80.960175797507716</v>
      </c>
      <c r="AP138" s="18">
        <f ca="1">AK138*'Res Predicted Monthly'!$X$9</f>
        <v>1027321.3236801189</v>
      </c>
      <c r="AQ138" s="18">
        <f ca="1">AL138*'Res Predicted Monthly'!$X$9</f>
        <v>1300652.4223567233</v>
      </c>
      <c r="AR138" s="18">
        <f ca="1">AM138*'Res Predicted Monthly'!$X$10</f>
        <v>906386.27404979616</v>
      </c>
      <c r="AS138" s="18">
        <f ca="1">AN138*'Res Predicted Monthly'!$X$10</f>
        <v>1180811.2301443012</v>
      </c>
      <c r="AU138" s="31">
        <f t="shared" ca="1" si="155"/>
        <v>6367369.9881233182</v>
      </c>
      <c r="AV138" s="31">
        <f t="shared" ca="1" si="156"/>
        <v>6915126.0428944267</v>
      </c>
    </row>
    <row r="139" spans="1:48">
      <c r="A139" s="541">
        <f t="shared" si="164"/>
        <v>46539</v>
      </c>
      <c r="B139">
        <f t="shared" si="157"/>
        <v>2027</v>
      </c>
      <c r="C139">
        <f t="shared" si="158"/>
        <v>6</v>
      </c>
      <c r="E139" s="33">
        <f t="shared" ca="1" si="161"/>
        <v>51.834166666666661</v>
      </c>
      <c r="F139" s="33">
        <f t="shared" ca="1" si="161"/>
        <v>169.78833333333333</v>
      </c>
      <c r="G139" s="18">
        <f>'Customer Count'!C53</f>
        <v>10595.120106221146</v>
      </c>
      <c r="H139">
        <f t="shared" si="141"/>
        <v>30</v>
      </c>
      <c r="I139" s="33">
        <f t="shared" ca="1" si="142"/>
        <v>12.958541666666665</v>
      </c>
      <c r="J139" s="33">
        <f t="shared" ca="1" si="143"/>
        <v>42.447083333333332</v>
      </c>
      <c r="L139" s="18">
        <f>'Res Predicted Monthly'!$X$8</f>
        <v>-16404845.677784801</v>
      </c>
      <c r="M139" s="18">
        <f ca="1">E139*'Res Predicted Monthly'!$X$9</f>
        <v>339597.14163287729</v>
      </c>
      <c r="N139" s="18">
        <f ca="1">F139*'Res Predicted Monthly'!$X$10</f>
        <v>2476377.6606529527</v>
      </c>
      <c r="O139" s="18">
        <f>G139*'Res Predicted Monthly'!$X$11</f>
        <v>14271989.982441692</v>
      </c>
      <c r="P139" s="18">
        <f>H139*'Res Predicted Monthly'!$X$12</f>
        <v>6303145.7404868407</v>
      </c>
      <c r="Q139" s="18">
        <f ca="1">I139*'Res Predicted Monthly'!$X$13</f>
        <v>7008.3010571973982</v>
      </c>
      <c r="R139" s="18">
        <f ca="1">J139*'Res Predicted Monthly'!$X$14</f>
        <v>93121.186107356392</v>
      </c>
      <c r="S139" s="18">
        <f t="shared" ca="1" si="153"/>
        <v>7086394.3345941147</v>
      </c>
      <c r="T139" s="30">
        <f t="shared" ca="1" si="149"/>
        <v>7086394.3345941147</v>
      </c>
      <c r="AK139" s="33">
        <f t="shared" ref="AK139:AN139" ca="1" si="168">AK127</f>
        <v>45.635303843800436</v>
      </c>
      <c r="AL139" s="33">
        <f t="shared" ca="1" si="168"/>
        <v>57.777121063541692</v>
      </c>
      <c r="AM139" s="33">
        <f t="shared" ca="1" si="168"/>
        <v>141.30183653234096</v>
      </c>
      <c r="AN139" s="33">
        <f t="shared" ca="1" si="168"/>
        <v>184.0835416360639</v>
      </c>
      <c r="AP139" s="18">
        <f ca="1">AK139*'Res Predicted Monthly'!$X$9</f>
        <v>298984.62229679566</v>
      </c>
      <c r="AQ139" s="18">
        <f ca="1">AL139*'Res Predicted Monthly'!$X$9</f>
        <v>378533.04927487596</v>
      </c>
      <c r="AR139" s="18">
        <f ca="1">AM139*'Res Predicted Monthly'!$X$10</f>
        <v>2060899.6185324343</v>
      </c>
      <c r="AS139" s="18">
        <f ca="1">AN139*'Res Predicted Monthly'!$X$10</f>
        <v>2684874.5214223182</v>
      </c>
      <c r="AU139" s="31">
        <f t="shared" ca="1" si="155"/>
        <v>6630303.7731375145</v>
      </c>
      <c r="AV139" s="31">
        <f t="shared" ca="1" si="156"/>
        <v>7333827.1030054782</v>
      </c>
    </row>
    <row r="140" spans="1:48">
      <c r="A140" s="541">
        <f t="shared" si="164"/>
        <v>46569</v>
      </c>
      <c r="B140">
        <f t="shared" si="157"/>
        <v>2027</v>
      </c>
      <c r="C140">
        <f t="shared" si="158"/>
        <v>7</v>
      </c>
      <c r="E140" s="33">
        <f t="shared" ca="1" si="161"/>
        <v>6.5670833333333318</v>
      </c>
      <c r="F140" s="33">
        <f t="shared" ca="1" si="161"/>
        <v>265.99625000000003</v>
      </c>
      <c r="G140" s="18">
        <f>'Customer Count'!C54</f>
        <v>10603.863611241406</v>
      </c>
      <c r="H140">
        <f t="shared" si="141"/>
        <v>31</v>
      </c>
      <c r="I140" s="33">
        <f t="shared" ca="1" si="142"/>
        <v>1.641770833333333</v>
      </c>
      <c r="J140" s="33">
        <f t="shared" ca="1" si="143"/>
        <v>66.499062500000008</v>
      </c>
      <c r="L140" s="18">
        <f>'Res Predicted Monthly'!$X$8</f>
        <v>-16404845.677784801</v>
      </c>
      <c r="M140" s="18">
        <f ca="1">E140*'Res Predicted Monthly'!$X$9</f>
        <v>43024.95578267052</v>
      </c>
      <c r="N140" s="18">
        <f ca="1">F140*'Res Predicted Monthly'!$X$10</f>
        <v>3879578.5221842378</v>
      </c>
      <c r="O140" s="18">
        <f>G140*'Res Predicted Monthly'!$X$11</f>
        <v>14283767.783430217</v>
      </c>
      <c r="P140" s="18">
        <f>H140*'Res Predicted Monthly'!$X$12</f>
        <v>6513250.5985030681</v>
      </c>
      <c r="Q140" s="18">
        <f ca="1">I140*'Res Predicted Monthly'!$X$13</f>
        <v>887.91042718355152</v>
      </c>
      <c r="R140" s="18">
        <f ca="1">J140*'Res Predicted Monthly'!$X$14</f>
        <v>145886.85696961256</v>
      </c>
      <c r="S140" s="18">
        <f t="shared" ca="1" si="153"/>
        <v>8461550.9495121893</v>
      </c>
      <c r="T140" s="30">
        <f t="shared" ca="1" si="149"/>
        <v>8461550.9495121893</v>
      </c>
      <c r="AK140" s="33">
        <f t="shared" ref="AK140:AN140" ca="1" si="169">AK128</f>
        <v>5.7817239584744504</v>
      </c>
      <c r="AL140" s="33">
        <f t="shared" ca="1" si="169"/>
        <v>7.3200206193025874</v>
      </c>
      <c r="AM140" s="33">
        <f t="shared" ca="1" si="169"/>
        <v>221.36832312221517</v>
      </c>
      <c r="AN140" s="33">
        <f t="shared" ca="1" si="169"/>
        <v>288.39161561107579</v>
      </c>
      <c r="AP140" s="18">
        <f ca="1">AK140*'Res Predicted Monthly'!$X$9</f>
        <v>37879.589009982119</v>
      </c>
      <c r="AQ140" s="18">
        <f ca="1">AL140*'Res Predicted Monthly'!$X$9</f>
        <v>47957.905738021247</v>
      </c>
      <c r="AR140" s="18">
        <f ca="1">AM140*'Res Predicted Monthly'!$X$10</f>
        <v>3228676.313582941</v>
      </c>
      <c r="AS140" s="18">
        <f ca="1">AN140*'Res Predicted Monthly'!$X$10</f>
        <v>4206216.8842708953</v>
      </c>
      <c r="AU140" s="31">
        <f t="shared" ca="1" si="155"/>
        <v>7805503.3741382044</v>
      </c>
      <c r="AV140" s="31">
        <f t="shared" ca="1" si="156"/>
        <v>8793122.2615541965</v>
      </c>
    </row>
    <row r="141" spans="1:48">
      <c r="A141" s="541">
        <f t="shared" si="164"/>
        <v>46600</v>
      </c>
      <c r="B141">
        <f t="shared" si="157"/>
        <v>2027</v>
      </c>
      <c r="C141">
        <f t="shared" si="158"/>
        <v>8</v>
      </c>
      <c r="E141" s="33">
        <f t="shared" ca="1" si="161"/>
        <v>23.263124999999995</v>
      </c>
      <c r="F141" s="33">
        <f t="shared" ca="1" si="161"/>
        <v>218.46562499999996</v>
      </c>
      <c r="G141" s="18">
        <f>'Customer Count'!C55</f>
        <v>10612.614331741932</v>
      </c>
      <c r="H141">
        <f t="shared" si="141"/>
        <v>31</v>
      </c>
      <c r="I141" s="33">
        <f t="shared" ca="1" si="142"/>
        <v>5.8157812499999988</v>
      </c>
      <c r="J141" s="33">
        <f t="shared" ca="1" si="143"/>
        <v>54.61640624999999</v>
      </c>
      <c r="L141" s="18">
        <f>'Res Predicted Monthly'!$X$8</f>
        <v>-16404845.677784801</v>
      </c>
      <c r="M141" s="18">
        <f ca="1">E141*'Res Predicted Monthly'!$X$9</f>
        <v>152410.87613604273</v>
      </c>
      <c r="N141" s="18">
        <f ca="1">F141*'Res Predicted Monthly'!$X$10</f>
        <v>3186340.2081253235</v>
      </c>
      <c r="O141" s="18">
        <f>G141*'Res Predicted Monthly'!$X$11</f>
        <v>14295555.303918004</v>
      </c>
      <c r="P141" s="18">
        <f>H141*'Res Predicted Monthly'!$X$12</f>
        <v>6513250.5985030681</v>
      </c>
      <c r="Q141" s="18">
        <f ca="1">I141*'Res Predicted Monthly'!$X$13</f>
        <v>3145.318889366059</v>
      </c>
      <c r="R141" s="18">
        <f ca="1">J141*'Res Predicted Monthly'!$X$14</f>
        <v>119818.46882109054</v>
      </c>
      <c r="S141" s="18">
        <f t="shared" ca="1" si="153"/>
        <v>7865675.0966080939</v>
      </c>
      <c r="T141" s="30">
        <f t="shared" ca="1" si="149"/>
        <v>7865675.0966080939</v>
      </c>
      <c r="AK141" s="33">
        <f t="shared" ref="AK141:AN141" ca="1" si="170">AK129</f>
        <v>20.481081225021654</v>
      </c>
      <c r="AL141" s="33">
        <f t="shared" ca="1" si="170"/>
        <v>25.930317315309463</v>
      </c>
      <c r="AM141" s="33">
        <f t="shared" ca="1" si="170"/>
        <v>181.81222128543794</v>
      </c>
      <c r="AN141" s="33">
        <f t="shared" ca="1" si="170"/>
        <v>236.85918335026682</v>
      </c>
      <c r="AP141" s="18">
        <f ca="1">AK141*'Res Predicted Monthly'!$X$9</f>
        <v>134184.01584993443</v>
      </c>
      <c r="AQ141" s="18">
        <f ca="1">AL141*'Res Predicted Monthly'!$X$9</f>
        <v>169885.27467878521</v>
      </c>
      <c r="AR141" s="18">
        <f ca="1">AM141*'Res Predicted Monthly'!$X$10</f>
        <v>2651747.1158694639</v>
      </c>
      <c r="AS141" s="18">
        <f ca="1">AN141*'Res Predicted Monthly'!$X$10</f>
        <v>3454611.8620386319</v>
      </c>
      <c r="AU141" s="31">
        <f t="shared" ca="1" si="155"/>
        <v>7312855.1440661261</v>
      </c>
      <c r="AV141" s="31">
        <f t="shared" ca="1" si="156"/>
        <v>8151421.1490641451</v>
      </c>
    </row>
    <row r="142" spans="1:48">
      <c r="A142" s="541">
        <f t="shared" si="164"/>
        <v>46631</v>
      </c>
      <c r="B142">
        <f t="shared" si="157"/>
        <v>2027</v>
      </c>
      <c r="C142">
        <f t="shared" si="158"/>
        <v>9</v>
      </c>
      <c r="E142" s="33">
        <f t="shared" ca="1" si="161"/>
        <v>114.73583333333336</v>
      </c>
      <c r="F142" s="33">
        <f t="shared" ca="1" si="161"/>
        <v>95.131249999999994</v>
      </c>
      <c r="G142" s="18">
        <f>'Customer Count'!C56</f>
        <v>10621.372273677218</v>
      </c>
      <c r="H142">
        <f t="shared" si="141"/>
        <v>30</v>
      </c>
      <c r="I142" s="33">
        <f t="shared" ca="1" si="142"/>
        <v>28.68395833333334</v>
      </c>
      <c r="J142" s="33">
        <f t="shared" ca="1" si="143"/>
        <v>23.782812499999999</v>
      </c>
      <c r="L142" s="18">
        <f>'Res Predicted Monthly'!$X$8</f>
        <v>-16404845.677784801</v>
      </c>
      <c r="M142" s="18">
        <f ca="1">E142*'Res Predicted Monthly'!$X$9</f>
        <v>751704.20493946178</v>
      </c>
      <c r="N142" s="18">
        <f ca="1">F142*'Res Predicted Monthly'!$X$10</f>
        <v>1387497.5842273687</v>
      </c>
      <c r="O142" s="18">
        <f>G142*'Res Predicted Monthly'!$X$11</f>
        <v>14307352.551925963</v>
      </c>
      <c r="P142" s="18">
        <f>H142*'Res Predicted Monthly'!$X$12</f>
        <v>6303145.7404868407</v>
      </c>
      <c r="Q142" s="18">
        <f ca="1">I142*'Res Predicted Monthly'!$X$13</f>
        <v>15512.996808059512</v>
      </c>
      <c r="R142" s="18">
        <f ca="1">J142*'Res Predicted Monthly'!$X$14</f>
        <v>52175.168116431916</v>
      </c>
      <c r="S142" s="18">
        <f t="shared" ca="1" si="153"/>
        <v>6412542.5687193247</v>
      </c>
      <c r="T142" s="30">
        <f t="shared" ca="1" si="149"/>
        <v>6412542.5687193247</v>
      </c>
      <c r="AK142" s="33">
        <f t="shared" ref="AK142:AN142" ca="1" si="171">AK130</f>
        <v>101.01454219588074</v>
      </c>
      <c r="AL142" s="33">
        <f t="shared" ca="1" si="171"/>
        <v>127.89066669975746</v>
      </c>
      <c r="AM142" s="33">
        <f t="shared" ca="1" si="171"/>
        <v>79.170459316701752</v>
      </c>
      <c r="AN142" s="33">
        <f t="shared" ca="1" si="171"/>
        <v>103.14075812197032</v>
      </c>
      <c r="AP142" s="18">
        <f ca="1">AK142*'Res Predicted Monthly'!$X$9</f>
        <v>661807.68398723053</v>
      </c>
      <c r="AQ142" s="18">
        <f ca="1">AL142*'Res Predicted Monthly'!$X$9</f>
        <v>837889.51662051689</v>
      </c>
      <c r="AR142" s="18">
        <f ca="1">AM142*'Res Predicted Monthly'!$X$10</f>
        <v>1154708.0590667615</v>
      </c>
      <c r="AS142" s="18">
        <f ca="1">AN142*'Res Predicted Monthly'!$X$10</f>
        <v>1504316.9592495966</v>
      </c>
      <c r="AU142" s="31">
        <f t="shared" ca="1" si="155"/>
        <v>6089856.5226064865</v>
      </c>
      <c r="AV142" s="31">
        <f t="shared" ca="1" si="156"/>
        <v>6615547.2554226071</v>
      </c>
    </row>
    <row r="143" spans="1:48">
      <c r="A143" s="541">
        <f t="shared" si="164"/>
        <v>46661</v>
      </c>
      <c r="B143">
        <f t="shared" si="157"/>
        <v>2027</v>
      </c>
      <c r="C143">
        <f t="shared" si="158"/>
        <v>10</v>
      </c>
      <c r="E143" s="33">
        <f t="shared" ca="1" si="161"/>
        <v>302.40479166666665</v>
      </c>
      <c r="F143" s="33">
        <f t="shared" ca="1" si="161"/>
        <v>21.813750000000006</v>
      </c>
      <c r="G143" s="18">
        <f>'Customer Count'!C57</f>
        <v>10630.137443006673</v>
      </c>
      <c r="H143">
        <f t="shared" si="141"/>
        <v>31</v>
      </c>
      <c r="I143" s="33">
        <f t="shared" ca="1" si="142"/>
        <v>75.601197916666663</v>
      </c>
      <c r="J143" s="33">
        <f t="shared" ca="1" si="143"/>
        <v>5.4534375000000015</v>
      </c>
      <c r="L143" s="18">
        <f>'Res Predicted Monthly'!$X$8</f>
        <v>-16404845.677784801</v>
      </c>
      <c r="M143" s="18">
        <f ca="1">E143*'Res Predicted Monthly'!$X$9</f>
        <v>1981237.655975031</v>
      </c>
      <c r="N143" s="18">
        <f ca="1">F143*'Res Predicted Monthly'!$X$10</f>
        <v>318155.44763618446</v>
      </c>
      <c r="O143" s="18">
        <f>G143*'Res Predicted Monthly'!$X$11</f>
        <v>14319159.535481622</v>
      </c>
      <c r="P143" s="18">
        <f>H143*'Res Predicted Monthly'!$X$12</f>
        <v>6513250.5985030681</v>
      </c>
      <c r="Q143" s="18">
        <f ca="1">I143*'Res Predicted Monthly'!$X$13</f>
        <v>40887.004796817913</v>
      </c>
      <c r="R143" s="18">
        <f ca="1">J143*'Res Predicted Monthly'!$X$14</f>
        <v>11963.850716770958</v>
      </c>
      <c r="S143" s="18">
        <f t="shared" ca="1" si="153"/>
        <v>6779808.4153246945</v>
      </c>
      <c r="T143" s="30">
        <f t="shared" ca="1" si="149"/>
        <v>6779808.4153246945</v>
      </c>
      <c r="AK143" s="33">
        <f t="shared" ref="AK143:AN143" ca="1" si="172">AK131</f>
        <v>266.24011610481193</v>
      </c>
      <c r="AL143" s="33">
        <f t="shared" ca="1" si="172"/>
        <v>337.07647642295342</v>
      </c>
      <c r="AM143" s="33">
        <f t="shared" ca="1" si="172"/>
        <v>18.153914795818444</v>
      </c>
      <c r="AN143" s="33">
        <f t="shared" ca="1" si="172"/>
        <v>23.650343209861436</v>
      </c>
      <c r="AP143" s="18">
        <f ca="1">AK143*'Res Predicted Monthly'!$X$9</f>
        <v>1744300.8778096722</v>
      </c>
      <c r="AQ143" s="18">
        <f ca="1">AL143*'Res Predicted Monthly'!$X$9</f>
        <v>2208392.9436166673</v>
      </c>
      <c r="AR143" s="18">
        <f ca="1">AM143*'Res Predicted Monthly'!$X$10</f>
        <v>264776.4317557856</v>
      </c>
      <c r="AS143" s="18">
        <f ca="1">AN143*'Res Predicted Monthly'!$X$10</f>
        <v>344942.31989836041</v>
      </c>
      <c r="AU143" s="31">
        <f t="shared" ca="1" si="155"/>
        <v>6489492.621278937</v>
      </c>
      <c r="AV143" s="31">
        <f t="shared" ca="1" si="156"/>
        <v>7033750.5752285067</v>
      </c>
    </row>
    <row r="144" spans="1:48">
      <c r="A144" s="541">
        <f t="shared" si="164"/>
        <v>46692</v>
      </c>
      <c r="B144">
        <f t="shared" si="157"/>
        <v>2027</v>
      </c>
      <c r="C144">
        <f t="shared" si="158"/>
        <v>11</v>
      </c>
      <c r="E144" s="33">
        <f t="shared" ca="1" si="161"/>
        <v>526.09395833333338</v>
      </c>
      <c r="F144" s="33">
        <f t="shared" ca="1" si="161"/>
        <v>2.2795833333333335</v>
      </c>
      <c r="G144" s="18">
        <f>'Customer Count'!C58</f>
        <v>10638.909845694625</v>
      </c>
      <c r="H144">
        <f t="shared" si="141"/>
        <v>30</v>
      </c>
      <c r="I144" s="33">
        <f t="shared" ca="1" si="142"/>
        <v>131.52348958333334</v>
      </c>
      <c r="J144" s="33">
        <f t="shared" ca="1" si="143"/>
        <v>0.56989583333333338</v>
      </c>
      <c r="L144" s="18">
        <f>'Res Predicted Monthly'!$X$8</f>
        <v>-16404845.677784801</v>
      </c>
      <c r="M144" s="18">
        <f ca="1">E144*'Res Predicted Monthly'!$X$9</f>
        <v>3446761.3925240957</v>
      </c>
      <c r="N144" s="18">
        <f ca="1">F144*'Res Predicted Monthly'!$X$10</f>
        <v>33247.921876827779</v>
      </c>
      <c r="O144" s="18">
        <f>G144*'Res Predicted Monthly'!$X$11</f>
        <v>14330976.262619136</v>
      </c>
      <c r="P144" s="18">
        <f>H144*'Res Predicted Monthly'!$X$12</f>
        <v>6303145.7404868407</v>
      </c>
      <c r="Q144" s="18">
        <f ca="1">I144*'Res Predicted Monthly'!$X$13</f>
        <v>71131.168522165201</v>
      </c>
      <c r="R144" s="18">
        <f ca="1">J144*'Res Predicted Monthly'!$X$14</f>
        <v>1250.2478801874561</v>
      </c>
      <c r="S144" s="18">
        <f t="shared" ca="1" si="153"/>
        <v>7781667.0561244516</v>
      </c>
      <c r="T144" s="30">
        <f t="shared" ca="1" si="149"/>
        <v>7781667.0561244516</v>
      </c>
      <c r="AK144" s="33">
        <f t="shared" ref="AK144:AN144" ca="1" si="173">AK132</f>
        <v>463.17823132610772</v>
      </c>
      <c r="AL144" s="33">
        <f t="shared" ca="1" si="173"/>
        <v>586.4123275463005</v>
      </c>
      <c r="AM144" s="33">
        <f t="shared" ca="1" si="173"/>
        <v>1.8971227598785685</v>
      </c>
      <c r="AN144" s="33">
        <f t="shared" ca="1" si="173"/>
        <v>2.4715112352902775</v>
      </c>
      <c r="AP144" s="18">
        <f ca="1">AK144*'Res Predicted Monthly'!$X$9</f>
        <v>3034562.2113776528</v>
      </c>
      <c r="AQ144" s="18">
        <f ca="1">AL144*'Res Predicted Monthly'!$X$9</f>
        <v>3841943.7035354339</v>
      </c>
      <c r="AR144" s="18">
        <f ca="1">AM144*'Res Predicted Monthly'!$X$10</f>
        <v>27669.701032145298</v>
      </c>
      <c r="AS144" s="18">
        <f ca="1">AN144*'Res Predicted Monthly'!$X$10</f>
        <v>36047.207078179461</v>
      </c>
      <c r="AU144" s="31">
        <f t="shared" ca="1" si="155"/>
        <v>7363889.6541333264</v>
      </c>
      <c r="AV144" s="31">
        <f t="shared" ca="1" si="156"/>
        <v>8179648.6523371413</v>
      </c>
    </row>
    <row r="145" spans="1:48">
      <c r="A145" s="541">
        <f t="shared" si="164"/>
        <v>46722</v>
      </c>
      <c r="B145">
        <f t="shared" si="157"/>
        <v>2027</v>
      </c>
      <c r="C145">
        <f t="shared" si="158"/>
        <v>12</v>
      </c>
      <c r="E145" s="33">
        <f t="shared" ca="1" si="161"/>
        <v>750.36333333333334</v>
      </c>
      <c r="F145" s="33">
        <f t="shared" ca="1" si="161"/>
        <v>0</v>
      </c>
      <c r="G145" s="18">
        <f>'Customer Count'!C59</f>
        <v>10647.68948771032</v>
      </c>
      <c r="H145">
        <f t="shared" si="141"/>
        <v>31</v>
      </c>
      <c r="I145" s="33">
        <f t="shared" ca="1" si="142"/>
        <v>187.59083333333334</v>
      </c>
      <c r="J145" s="33">
        <f t="shared" ca="1" si="143"/>
        <v>0</v>
      </c>
      <c r="L145" s="18">
        <f>'Res Predicted Monthly'!$X$8</f>
        <v>-16404845.677784801</v>
      </c>
      <c r="M145" s="18">
        <f ca="1">E145*'Res Predicted Monthly'!$X$9</f>
        <v>4916086.4266385026</v>
      </c>
      <c r="N145" s="18">
        <f ca="1">F145*'Res Predicted Monthly'!$X$10</f>
        <v>0</v>
      </c>
      <c r="O145" s="18">
        <f>G145*'Res Predicted Monthly'!$X$11</f>
        <v>14342802.741379283</v>
      </c>
      <c r="P145" s="18">
        <f>H145*'Res Predicted Monthly'!$X$12</f>
        <v>6513250.5985030681</v>
      </c>
      <c r="Q145" s="18">
        <f ca="1">I145*'Res Predicted Monthly'!$X$13</f>
        <v>101453.78001541128</v>
      </c>
      <c r="R145" s="18">
        <f ca="1">J145*'Res Predicted Monthly'!$X$14</f>
        <v>0</v>
      </c>
      <c r="S145" s="18">
        <f t="shared" ca="1" si="153"/>
        <v>9468747.8687514644</v>
      </c>
      <c r="T145" s="30">
        <f t="shared" ca="1" si="149"/>
        <v>9468747.8687514644</v>
      </c>
      <c r="AK145" s="33">
        <f t="shared" ref="AK145:AN145" ca="1" si="174">AK133</f>
        <v>660.62716760013984</v>
      </c>
      <c r="AL145" s="33">
        <f t="shared" ca="1" si="174"/>
        <v>836.39490975983074</v>
      </c>
      <c r="AM145" s="33">
        <f t="shared" ca="1" si="174"/>
        <v>0</v>
      </c>
      <c r="AN145" s="33">
        <f t="shared" ca="1" si="174"/>
        <v>0</v>
      </c>
      <c r="AP145" s="18">
        <f ca="1">AK145*'Res Predicted Monthly'!$X$9</f>
        <v>4328170.2442474803</v>
      </c>
      <c r="AQ145" s="18">
        <f ca="1">AL145*'Res Predicted Monthly'!$X$9</f>
        <v>5479731.5920463055</v>
      </c>
      <c r="AR145" s="18">
        <f ca="1">AM145*'Res Predicted Monthly'!$X$10</f>
        <v>0</v>
      </c>
      <c r="AS145" s="18">
        <f ca="1">AN145*'Res Predicted Monthly'!$X$10</f>
        <v>0</v>
      </c>
      <c r="AU145" s="31">
        <f t="shared" ca="1" si="155"/>
        <v>8880831.6863604411</v>
      </c>
      <c r="AV145" s="31">
        <f t="shared" ca="1" si="156"/>
        <v>10032393.034159267</v>
      </c>
    </row>
    <row r="146" spans="1:48">
      <c r="A146" s="541"/>
    </row>
    <row r="147" spans="1:48">
      <c r="A147" s="541"/>
      <c r="AU147" s="31">
        <f ca="1">SUM(AU122:AU133)-SUM(S122:S133)</f>
        <v>-5684934.1981175393</v>
      </c>
      <c r="AV147" s="31">
        <f ca="1">SUM(AV122:AV133)-SUM(S122:S133)</f>
        <v>4498842.9038383961</v>
      </c>
    </row>
    <row r="148" spans="1:48">
      <c r="A148" s="541"/>
      <c r="AU148" s="31">
        <f ca="1">SUM(AU134:AU145)-SUM(T134:T145)</f>
        <v>-5684934.1981175542</v>
      </c>
      <c r="AV148" s="31">
        <f ca="1">SUM(AV134:AV145)-SUM(T134:T145)</f>
        <v>4498842.9038383961</v>
      </c>
    </row>
    <row r="149" spans="1:48">
      <c r="A149" s="541"/>
    </row>
    <row r="150" spans="1:48">
      <c r="A150" s="541"/>
    </row>
    <row r="151" spans="1:48">
      <c r="A151" s="541"/>
    </row>
    <row r="152" spans="1:48">
      <c r="A152" s="541"/>
    </row>
    <row r="153" spans="1:48">
      <c r="A153" s="541"/>
    </row>
    <row r="154" spans="1:48">
      <c r="A154" s="541"/>
    </row>
    <row r="155" spans="1:48">
      <c r="A155" s="541"/>
    </row>
    <row r="156" spans="1:48">
      <c r="A156" s="541"/>
    </row>
    <row r="157" spans="1:48">
      <c r="A157" s="541"/>
    </row>
    <row r="158" spans="1:48">
      <c r="A158" s="541"/>
    </row>
    <row r="159" spans="1:48">
      <c r="A159" s="541"/>
    </row>
    <row r="160" spans="1:48">
      <c r="A160" s="541"/>
    </row>
    <row r="161" spans="1:1">
      <c r="A161" s="541"/>
    </row>
    <row r="162" spans="1:1">
      <c r="A162" s="541"/>
    </row>
    <row r="163" spans="1:1">
      <c r="A163" s="541"/>
    </row>
    <row r="164" spans="1:1">
      <c r="A164" s="541"/>
    </row>
    <row r="165" spans="1:1">
      <c r="A165" s="541"/>
    </row>
    <row r="166" spans="1:1">
      <c r="A166" s="541"/>
    </row>
    <row r="167" spans="1:1">
      <c r="A167" s="541"/>
    </row>
    <row r="168" spans="1:1">
      <c r="A168" s="541"/>
    </row>
    <row r="169" spans="1:1">
      <c r="A169" s="541"/>
    </row>
    <row r="170" spans="1:1">
      <c r="A170" s="541"/>
    </row>
    <row r="171" spans="1:1">
      <c r="A171" s="541"/>
    </row>
    <row r="172" spans="1:1">
      <c r="A172" s="541"/>
    </row>
    <row r="173" spans="1:1">
      <c r="A173" s="541"/>
    </row>
    <row r="174" spans="1:1">
      <c r="A174" s="541"/>
    </row>
    <row r="175" spans="1:1">
      <c r="A175" s="541"/>
    </row>
    <row r="176" spans="1:1">
      <c r="A176" s="541"/>
    </row>
    <row r="177" spans="1:1">
      <c r="A177" s="541"/>
    </row>
    <row r="178" spans="1:1">
      <c r="A178" s="541"/>
    </row>
    <row r="179" spans="1:1">
      <c r="A179" s="541"/>
    </row>
    <row r="180" spans="1:1">
      <c r="A180" s="541"/>
    </row>
    <row r="181" spans="1:1">
      <c r="A181" s="541"/>
    </row>
    <row r="182" spans="1:1">
      <c r="A182" s="541"/>
    </row>
    <row r="183" spans="1:1">
      <c r="A183" s="541"/>
    </row>
    <row r="184" spans="1:1">
      <c r="A184" s="541"/>
    </row>
    <row r="185" spans="1:1">
      <c r="A185" s="541"/>
    </row>
    <row r="186" spans="1:1">
      <c r="A186" s="541"/>
    </row>
    <row r="187" spans="1:1">
      <c r="A187" s="541"/>
    </row>
    <row r="188" spans="1:1">
      <c r="A188" s="541"/>
    </row>
    <row r="189" spans="1:1">
      <c r="A189" s="541"/>
    </row>
    <row r="190" spans="1:1">
      <c r="A190" s="541"/>
    </row>
    <row r="191" spans="1:1">
      <c r="A191" s="541"/>
    </row>
    <row r="192" spans="1:1">
      <c r="A192" s="541"/>
    </row>
    <row r="193" spans="1:19">
      <c r="A193" s="541"/>
    </row>
    <row r="194" spans="1:19">
      <c r="A194" s="541"/>
      <c r="E194" s="33"/>
      <c r="F194" s="33"/>
      <c r="G194" s="18"/>
      <c r="I194" s="33"/>
      <c r="J194" s="33"/>
      <c r="O194" s="32"/>
      <c r="Q194" s="32"/>
      <c r="R194" s="32"/>
      <c r="S194" s="30"/>
    </row>
    <row r="195" spans="1:19">
      <c r="A195" s="541"/>
    </row>
    <row r="196" spans="1:19">
      <c r="A196" s="541"/>
      <c r="G196" s="18"/>
      <c r="M196" s="18"/>
      <c r="N196" s="18"/>
      <c r="O196" s="18"/>
      <c r="P196" s="18"/>
      <c r="Q196" s="18"/>
      <c r="R196" s="18"/>
      <c r="S196" s="18"/>
    </row>
    <row r="197" spans="1:19">
      <c r="A197" s="541"/>
      <c r="G197" s="18"/>
      <c r="M197" s="18"/>
      <c r="N197" s="18"/>
      <c r="O197" s="18"/>
      <c r="P197" s="18"/>
      <c r="Q197" s="18"/>
      <c r="R197" s="18"/>
      <c r="S197" s="18"/>
    </row>
    <row r="198" spans="1:19">
      <c r="A198" s="541"/>
      <c r="G198" s="18"/>
      <c r="M198" s="18"/>
      <c r="N198" s="18"/>
      <c r="O198" s="18"/>
      <c r="P198" s="18"/>
      <c r="Q198" s="18"/>
      <c r="R198" s="18"/>
      <c r="S198" s="18"/>
    </row>
    <row r="199" spans="1:19">
      <c r="A199" s="541"/>
      <c r="G199" s="18"/>
      <c r="M199" s="18"/>
      <c r="N199" s="18"/>
      <c r="O199" s="18"/>
      <c r="P199" s="18"/>
      <c r="Q199" s="18"/>
      <c r="R199" s="18"/>
      <c r="S199" s="18"/>
    </row>
    <row r="200" spans="1:19">
      <c r="A200" s="541"/>
      <c r="G200" s="18"/>
      <c r="M200" s="18"/>
      <c r="N200" s="18"/>
      <c r="O200" s="18"/>
      <c r="P200" s="18"/>
      <c r="Q200" s="18"/>
      <c r="R200" s="18"/>
      <c r="S200" s="18"/>
    </row>
    <row r="201" spans="1:19">
      <c r="A201" s="541"/>
      <c r="G201" s="18"/>
      <c r="M201" s="18"/>
      <c r="N201" s="18"/>
      <c r="O201" s="18"/>
      <c r="P201" s="18"/>
      <c r="Q201" s="18"/>
      <c r="R201" s="18"/>
      <c r="S201" s="18"/>
    </row>
    <row r="202" spans="1:19">
      <c r="A202" s="541"/>
      <c r="G202" s="18"/>
      <c r="M202" s="18"/>
      <c r="N202" s="18"/>
      <c r="O202" s="18"/>
      <c r="P202" s="18"/>
      <c r="Q202" s="18"/>
      <c r="R202" s="18"/>
      <c r="S202" s="18"/>
    </row>
    <row r="203" spans="1:19">
      <c r="A203" s="541"/>
      <c r="G203" s="18"/>
      <c r="M203" s="18"/>
      <c r="N203" s="18"/>
      <c r="O203" s="18"/>
      <c r="P203" s="18"/>
      <c r="Q203" s="18"/>
      <c r="R203" s="18"/>
      <c r="S203" s="18"/>
    </row>
    <row r="204" spans="1:19">
      <c r="A204" s="541"/>
    </row>
    <row r="205" spans="1:19">
      <c r="A205" s="541"/>
      <c r="L205" s="31"/>
      <c r="M205" s="31"/>
      <c r="N205" s="31"/>
      <c r="O205" s="31"/>
      <c r="P205" s="31"/>
      <c r="Q205" s="31"/>
      <c r="R205" s="31"/>
      <c r="S205" s="31"/>
    </row>
    <row r="206" spans="1:19">
      <c r="A206" s="541"/>
    </row>
    <row r="207" spans="1:19">
      <c r="A207" s="541"/>
    </row>
    <row r="208" spans="1:19">
      <c r="A208" s="541"/>
    </row>
    <row r="209" spans="1:1">
      <c r="A209" s="541"/>
    </row>
    <row r="210" spans="1:1">
      <c r="A210" s="541"/>
    </row>
    <row r="211" spans="1:1">
      <c r="A211" s="541"/>
    </row>
    <row r="212" spans="1:1">
      <c r="A212" s="541"/>
    </row>
    <row r="213" spans="1:1">
      <c r="A213" s="541"/>
    </row>
    <row r="214" spans="1:1">
      <c r="A214" s="541"/>
    </row>
    <row r="215" spans="1:1">
      <c r="A215" s="541"/>
    </row>
    <row r="216" spans="1:1">
      <c r="A216" s="541"/>
    </row>
    <row r="217" spans="1:1">
      <c r="A217" s="541"/>
    </row>
    <row r="218" spans="1:1">
      <c r="A218" s="541"/>
    </row>
    <row r="219" spans="1:1">
      <c r="A219" s="541"/>
    </row>
    <row r="220" spans="1:1">
      <c r="A220" s="541"/>
    </row>
    <row r="221" spans="1:1">
      <c r="A221" s="541"/>
    </row>
    <row r="222" spans="1:1">
      <c r="A222" s="541"/>
    </row>
    <row r="223" spans="1:1">
      <c r="A223" s="541"/>
    </row>
    <row r="224" spans="1:1">
      <c r="A224" s="541"/>
    </row>
    <row r="225" spans="1:1">
      <c r="A225" s="541"/>
    </row>
    <row r="226" spans="1:1">
      <c r="A226" s="541"/>
    </row>
    <row r="227" spans="1:1">
      <c r="A227" s="541"/>
    </row>
    <row r="228" spans="1:1">
      <c r="A228" s="541"/>
    </row>
    <row r="229" spans="1:1">
      <c r="A229" s="541"/>
    </row>
    <row r="230" spans="1:1">
      <c r="A230" s="541"/>
    </row>
    <row r="231" spans="1:1">
      <c r="A231" s="541"/>
    </row>
    <row r="232" spans="1:1">
      <c r="A232" s="541"/>
    </row>
  </sheetData>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5"/>
  <dimension ref="A1:AU204"/>
  <sheetViews>
    <sheetView topLeftCell="V1" workbookViewId="0">
      <pane ySplit="1" topLeftCell="A116" activePane="bottomLeft" state="frozen"/>
      <selection pane="bottomLeft" activeCell="AT147" sqref="AT147:AU148"/>
      <selection activeCell="T31" sqref="T31"/>
    </sheetView>
  </sheetViews>
  <sheetFormatPr defaultColWidth="9.33203125" defaultRowHeight="13.15"/>
  <cols>
    <col min="1" max="1" width="10.33203125" bestFit="1" customWidth="1"/>
    <col min="4" max="4" width="17.5" customWidth="1"/>
    <col min="7" max="7" width="12.83203125" style="18" customWidth="1"/>
    <col min="8" max="8" width="10.6640625" customWidth="1"/>
    <col min="10" max="10" width="12.5" customWidth="1"/>
    <col min="12" max="12" width="14.6640625" bestFit="1" customWidth="1"/>
    <col min="13" max="14" width="12.83203125" bestFit="1" customWidth="1"/>
    <col min="15" max="15" width="13.6640625" bestFit="1" customWidth="1"/>
    <col min="16" max="16" width="12.83203125" bestFit="1" customWidth="1"/>
    <col min="17" max="17" width="12.5" customWidth="1"/>
    <col min="18" max="18" width="15.5" customWidth="1"/>
    <col min="19" max="19" width="14.1640625" bestFit="1" customWidth="1"/>
    <col min="21" max="21" width="13.83203125" bestFit="1" customWidth="1"/>
    <col min="22" max="22" width="14.83203125" bestFit="1" customWidth="1"/>
    <col min="41" max="41" width="12.6640625" bestFit="1" customWidth="1"/>
    <col min="46" max="46" width="10.83203125" bestFit="1" customWidth="1"/>
    <col min="47" max="47" width="10.1640625" bestFit="1" customWidth="1"/>
  </cols>
  <sheetData>
    <row r="1" spans="1:47">
      <c r="A1" s="266" t="str">
        <f>'Monthly Data'!A1</f>
        <v>Date</v>
      </c>
      <c r="B1" s="258" t="s">
        <v>27</v>
      </c>
      <c r="C1" s="258" t="s">
        <v>28</v>
      </c>
      <c r="D1" s="267" t="str">
        <f>'Monthly Data'!J1</f>
        <v>GS_lt_50_NoCDM</v>
      </c>
      <c r="E1" s="268" t="str">
        <f>'Monthly Data'!AQ1</f>
        <v>HDD20</v>
      </c>
      <c r="F1" s="268" t="str">
        <f>'Monthly Data'!AZ1</f>
        <v>CDD12</v>
      </c>
      <c r="G1" s="269" t="str">
        <f>'Monthly Data'!AD1</f>
        <v>ON GDP</v>
      </c>
      <c r="H1" s="268" t="str">
        <f>'Monthly Data'!BU1</f>
        <v>Month Days</v>
      </c>
      <c r="I1" s="267" t="str">
        <f>'Monthly Data'!BX1</f>
        <v>COVID_AM</v>
      </c>
      <c r="J1" s="268"/>
      <c r="L1" s="268" t="s">
        <v>187</v>
      </c>
      <c r="M1" s="268" t="str">
        <f t="shared" ref="M1:R1" si="0">E1</f>
        <v>HDD20</v>
      </c>
      <c r="N1" s="268" t="str">
        <f t="shared" si="0"/>
        <v>CDD12</v>
      </c>
      <c r="O1" s="268" t="str">
        <f t="shared" si="0"/>
        <v>ON GDP</v>
      </c>
      <c r="P1" s="268" t="str">
        <f t="shared" si="0"/>
        <v>Month Days</v>
      </c>
      <c r="Q1" s="268" t="str">
        <f t="shared" si="0"/>
        <v>COVID_AM</v>
      </c>
      <c r="R1" s="268">
        <f t="shared" si="0"/>
        <v>0</v>
      </c>
      <c r="S1" s="258" t="s">
        <v>378</v>
      </c>
      <c r="AJ1" t="s">
        <v>379</v>
      </c>
      <c r="AK1" t="s">
        <v>380</v>
      </c>
      <c r="AL1" t="s">
        <v>381</v>
      </c>
      <c r="AM1" t="s">
        <v>382</v>
      </c>
      <c r="AO1" t="str">
        <f>AJ1</f>
        <v>HDDLow</v>
      </c>
      <c r="AP1" t="str">
        <f>AK1</f>
        <v>HDDHigh</v>
      </c>
      <c r="AQ1" t="str">
        <f>AL1</f>
        <v>CDDLow</v>
      </c>
      <c r="AR1" t="str">
        <f>AM1</f>
        <v>CDDHigh</v>
      </c>
      <c r="AT1" t="s">
        <v>383</v>
      </c>
      <c r="AU1" t="s">
        <v>384</v>
      </c>
    </row>
    <row r="2" spans="1:47">
      <c r="A2" s="541">
        <f>'Monthly Data'!A2</f>
        <v>42370</v>
      </c>
      <c r="B2">
        <f t="shared" ref="B2:B8" si="1">YEAR(A2)</f>
        <v>2016</v>
      </c>
      <c r="C2">
        <f t="shared" ref="C2:C8" si="2">MONTH(A2)</f>
        <v>1</v>
      </c>
      <c r="D2" s="30">
        <f>'Monthly Data'!J2</f>
        <v>17466.899038461539</v>
      </c>
      <c r="E2" s="516">
        <f ca="1">Weather!AA39</f>
        <v>914.55166666666662</v>
      </c>
      <c r="F2" s="33">
        <f ca="1">Weather!CF39</f>
        <v>0</v>
      </c>
      <c r="G2" s="33">
        <f>'Monthly Data'!AD2</f>
        <v>743976.2</v>
      </c>
      <c r="H2" s="8">
        <f>'Monthly Data'!BU2</f>
        <v>31</v>
      </c>
      <c r="I2" s="18">
        <f>'Monthly Data'!BX2</f>
        <v>0</v>
      </c>
      <c r="J2" s="30"/>
      <c r="L2" s="18">
        <f>'GS&lt;50 Predicted Monthly'!$V$8</f>
        <v>-2135516.9462582301</v>
      </c>
      <c r="M2" s="18">
        <f ca="1">E2*'GS&lt;50 Predicted Monthly'!$V$9</f>
        <v>1724724.2906652587</v>
      </c>
      <c r="N2" s="18">
        <f ca="1">F2*'GS&lt;50 Predicted Monthly'!$V$10</f>
        <v>0</v>
      </c>
      <c r="O2" s="18">
        <f>G2*'GS&lt;50 Predicted Monthly'!$V$11</f>
        <v>1792621.7249881153</v>
      </c>
      <c r="P2" s="18">
        <f>H2*'GS&lt;50 Predicted Monthly'!$V$12</f>
        <v>1722828.0010148797</v>
      </c>
      <c r="Q2" s="18">
        <f>I2*'GS&lt;50 Predicted Monthly'!$V$13</f>
        <v>0</v>
      </c>
      <c r="R2" s="18">
        <f>J2*'GS&lt;50 Predicted Monthly'!$V$14</f>
        <v>0</v>
      </c>
      <c r="S2" s="20">
        <f t="shared" ref="S2:S17" ca="1" si="3">SUM(L2:R2)</f>
        <v>3104657.0704100234</v>
      </c>
      <c r="AJ2" s="33">
        <f ca="1">Weather!AD39</f>
        <v>817.22005262600237</v>
      </c>
      <c r="AK2" s="33">
        <f ca="1">Weather!AE39</f>
        <v>1009.7976825258449</v>
      </c>
      <c r="AL2" s="33">
        <f ca="1">Weather!CJ39</f>
        <v>0</v>
      </c>
      <c r="AM2" s="33">
        <f ca="1">Weather!CK39</f>
        <v>0</v>
      </c>
      <c r="AO2" s="18">
        <f ca="1">AJ2*'GS&lt;50 Predicted Monthly'!$V$9</f>
        <v>1541169.6538917692</v>
      </c>
      <c r="AP2" s="18">
        <f ca="1">AK2*'GS&lt;50 Predicted Monthly'!$V$9</f>
        <v>1904345.7632717781</v>
      </c>
      <c r="AQ2" s="18">
        <f ca="1">AL2*'GS&lt;50 Predicted Monthly'!$V$10</f>
        <v>0</v>
      </c>
      <c r="AR2" s="18">
        <f ca="1">AM2*'GS&lt;50 Predicted Monthly'!$V$10</f>
        <v>0</v>
      </c>
      <c r="AT2" s="31">
        <f ca="1">AO2+AQ2-M2-N2+S2</f>
        <v>2921102.433636534</v>
      </c>
      <c r="AU2" s="31">
        <f ca="1">AP2+AR2-M2-N2+S2</f>
        <v>3284278.5430165427</v>
      </c>
    </row>
    <row r="3" spans="1:47">
      <c r="A3" s="541">
        <f>'Monthly Data'!A3</f>
        <v>42401</v>
      </c>
      <c r="B3">
        <f t="shared" si="1"/>
        <v>2016</v>
      </c>
      <c r="C3">
        <f t="shared" si="2"/>
        <v>2</v>
      </c>
      <c r="D3" s="30">
        <f>'Monthly Data'!J3</f>
        <v>19795.81891025641</v>
      </c>
      <c r="E3" s="516">
        <f ca="1">Weather!AA40</f>
        <v>803.82854166666664</v>
      </c>
      <c r="F3" s="33">
        <f ca="1">Weather!CF40</f>
        <v>0</v>
      </c>
      <c r="G3" s="33">
        <f>'Monthly Data'!AD3</f>
        <v>743976.2</v>
      </c>
      <c r="H3" s="8">
        <f>'Monthly Data'!BU3</f>
        <v>28</v>
      </c>
      <c r="I3" s="18">
        <f>'Monthly Data'!BX3</f>
        <v>0</v>
      </c>
      <c r="J3" s="30"/>
      <c r="L3" s="18">
        <f>'GS&lt;50 Predicted Monthly'!$V$8</f>
        <v>-2135516.9462582301</v>
      </c>
      <c r="M3" s="18">
        <f ca="1">E3*'GS&lt;50 Predicted Monthly'!$V$9</f>
        <v>1515915.0235826271</v>
      </c>
      <c r="N3" s="18">
        <f ca="1">F3*'GS&lt;50 Predicted Monthly'!$V$10</f>
        <v>0</v>
      </c>
      <c r="O3" s="18">
        <f>G3*'GS&lt;50 Predicted Monthly'!$V$11</f>
        <v>1792621.7249881153</v>
      </c>
      <c r="P3" s="18">
        <f>H3*'GS&lt;50 Predicted Monthly'!$V$12</f>
        <v>1556102.7105940848</v>
      </c>
      <c r="Q3" s="18">
        <f>I3*'GS&lt;50 Predicted Monthly'!$V$13</f>
        <v>0</v>
      </c>
      <c r="R3" s="18">
        <f>J3*'GS&lt;50 Predicted Monthly'!$V$14</f>
        <v>0</v>
      </c>
      <c r="S3" s="20">
        <f t="shared" ca="1" si="3"/>
        <v>2729122.512906597</v>
      </c>
      <c r="AJ3" s="33">
        <f ca="1">Weather!AD40</f>
        <v>718.28069103781206</v>
      </c>
      <c r="AK3" s="33">
        <f ca="1">Weather!AE40</f>
        <v>887.54329373386554</v>
      </c>
      <c r="AL3" s="33">
        <f ca="1">Weather!CJ40</f>
        <v>0</v>
      </c>
      <c r="AM3" s="33">
        <f ca="1">Weather!CK40</f>
        <v>0</v>
      </c>
      <c r="AO3" s="18">
        <f ca="1">AJ3*'GS&lt;50 Predicted Monthly'!$V$9</f>
        <v>1354583.0164675321</v>
      </c>
      <c r="AP3" s="18">
        <f ca="1">AK3*'GS&lt;50 Predicted Monthly'!$V$9</f>
        <v>1673790.047640664</v>
      </c>
      <c r="AQ3" s="18">
        <f ca="1">AL3*'GS&lt;50 Predicted Monthly'!$V$10</f>
        <v>0</v>
      </c>
      <c r="AR3" s="18">
        <f ca="1">AM3*'GS&lt;50 Predicted Monthly'!$V$10</f>
        <v>0</v>
      </c>
      <c r="AT3" s="31">
        <f t="shared" ref="AT3:AT66" ca="1" si="4">AO3+AQ3-M3-N3+S3</f>
        <v>2567790.5057915021</v>
      </c>
      <c r="AU3" s="31">
        <f t="shared" ref="AU3:AU66" ca="1" si="5">AP3+AR3-M3-N3+S3</f>
        <v>2886997.536964634</v>
      </c>
    </row>
    <row r="4" spans="1:47">
      <c r="A4" s="541">
        <f>'Monthly Data'!A4</f>
        <v>42430</v>
      </c>
      <c r="B4">
        <f t="shared" si="1"/>
        <v>2016</v>
      </c>
      <c r="C4">
        <f t="shared" si="2"/>
        <v>3</v>
      </c>
      <c r="D4" s="30">
        <f>'Monthly Data'!J4</f>
        <v>22124.738782051281</v>
      </c>
      <c r="E4" s="516">
        <f ca="1">Weather!AA41</f>
        <v>698.29604166666672</v>
      </c>
      <c r="F4" s="33">
        <f ca="1">Weather!CF41</f>
        <v>0</v>
      </c>
      <c r="G4" s="33">
        <f>'Monthly Data'!AD4</f>
        <v>743976.2</v>
      </c>
      <c r="H4" s="8">
        <f>'Monthly Data'!BU4</f>
        <v>31</v>
      </c>
      <c r="I4" s="18">
        <f>'Monthly Data'!BX4</f>
        <v>0</v>
      </c>
      <c r="J4" s="30"/>
      <c r="L4" s="18">
        <f>'GS&lt;50 Predicted Monthly'!$V$8</f>
        <v>-2135516.9462582301</v>
      </c>
      <c r="M4" s="18">
        <f ca="1">E4*'GS&lt;50 Predicted Monthly'!$V$9</f>
        <v>1316894.5933120961</v>
      </c>
      <c r="N4" s="18">
        <f ca="1">F4*'GS&lt;50 Predicted Monthly'!$V$10</f>
        <v>0</v>
      </c>
      <c r="O4" s="18">
        <f>G4*'GS&lt;50 Predicted Monthly'!$V$11</f>
        <v>1792621.7249881153</v>
      </c>
      <c r="P4" s="18">
        <f>H4*'GS&lt;50 Predicted Monthly'!$V$12</f>
        <v>1722828.0010148797</v>
      </c>
      <c r="Q4" s="18">
        <f>I4*'GS&lt;50 Predicted Monthly'!$V$13</f>
        <v>0</v>
      </c>
      <c r="R4" s="18">
        <f>J4*'GS&lt;50 Predicted Monthly'!$V$14</f>
        <v>0</v>
      </c>
      <c r="S4" s="20">
        <f t="shared" ca="1" si="3"/>
        <v>2696827.3730568606</v>
      </c>
      <c r="AJ4" s="33">
        <f ca="1">Weather!AD41</f>
        <v>623.97953961343092</v>
      </c>
      <c r="AK4" s="33">
        <f ca="1">Weather!AE41</f>
        <v>771.02010776716202</v>
      </c>
      <c r="AL4" s="33">
        <f ca="1">Weather!CJ41</f>
        <v>0</v>
      </c>
      <c r="AM4" s="33">
        <f ca="1">Weather!CK41</f>
        <v>0</v>
      </c>
      <c r="AO4" s="18">
        <f ca="1">AJ4*'GS&lt;50 Predicted Monthly'!$V$9</f>
        <v>1176743.4340499181</v>
      </c>
      <c r="AP4" s="18">
        <f ca="1">AK4*'GS&lt;50 Predicted Monthly'!$V$9</f>
        <v>1454042.6275796737</v>
      </c>
      <c r="AQ4" s="18">
        <f ca="1">AL4*'GS&lt;50 Predicted Monthly'!$V$10</f>
        <v>0</v>
      </c>
      <c r="AR4" s="18">
        <f ca="1">AM4*'GS&lt;50 Predicted Monthly'!$V$10</f>
        <v>0</v>
      </c>
      <c r="AT4" s="31">
        <f t="shared" ca="1" si="4"/>
        <v>2556676.2137946826</v>
      </c>
      <c r="AU4" s="31">
        <f t="shared" ca="1" si="5"/>
        <v>2833975.407324438</v>
      </c>
    </row>
    <row r="5" spans="1:47">
      <c r="A5" s="541">
        <f>'Monthly Data'!A5</f>
        <v>42461</v>
      </c>
      <c r="B5">
        <f t="shared" si="1"/>
        <v>2016</v>
      </c>
      <c r="C5">
        <f t="shared" si="2"/>
        <v>4</v>
      </c>
      <c r="D5" s="30">
        <f>'Monthly Data'!J5</f>
        <v>24453.658653846152</v>
      </c>
      <c r="E5" s="516">
        <f ca="1">Weather!AA42</f>
        <v>468.60374999999993</v>
      </c>
      <c r="F5" s="33">
        <f ca="1">Weather!CF42</f>
        <v>2.8104166666666677</v>
      </c>
      <c r="G5" s="33">
        <f>'Monthly Data'!AD5</f>
        <v>743976.2</v>
      </c>
      <c r="H5" s="8">
        <f>'Monthly Data'!BU5</f>
        <v>30</v>
      </c>
      <c r="I5" s="18">
        <f>'Monthly Data'!BX5</f>
        <v>0</v>
      </c>
      <c r="J5" s="30"/>
      <c r="L5" s="18">
        <f>'GS&lt;50 Predicted Monthly'!$V$8</f>
        <v>-2135516.9462582301</v>
      </c>
      <c r="M5" s="18">
        <f ca="1">E5*'GS&lt;50 Predicted Monthly'!$V$9</f>
        <v>883725.10791826609</v>
      </c>
      <c r="N5" s="18">
        <f ca="1">F5*'GS&lt;50 Predicted Monthly'!$V$10</f>
        <v>10434.724261170442</v>
      </c>
      <c r="O5" s="18">
        <f>G5*'GS&lt;50 Predicted Monthly'!$V$11</f>
        <v>1792621.7249881153</v>
      </c>
      <c r="P5" s="18">
        <f>H5*'GS&lt;50 Predicted Monthly'!$V$12</f>
        <v>1667252.9042079481</v>
      </c>
      <c r="Q5" s="18">
        <f>I5*'GS&lt;50 Predicted Monthly'!$V$13</f>
        <v>0</v>
      </c>
      <c r="R5" s="18">
        <f>J5*'GS&lt;50 Predicted Monthly'!$V$14</f>
        <v>0</v>
      </c>
      <c r="S5" s="20">
        <f t="shared" ca="1" si="3"/>
        <v>2218517.5151172699</v>
      </c>
      <c r="AJ5" s="33">
        <f ca="1">Weather!AD42</f>
        <v>418.73236383846591</v>
      </c>
      <c r="AK5" s="33">
        <f ca="1">Weather!AE42</f>
        <v>517.40650421381736</v>
      </c>
      <c r="AL5" s="33">
        <f ca="1">Weather!CJ42</f>
        <v>2.33889472041326</v>
      </c>
      <c r="AM5" s="33">
        <f ca="1">Weather!CK42</f>
        <v>3.0470377046304016</v>
      </c>
      <c r="AO5" s="18">
        <f ca="1">AJ5*'GS&lt;50 Predicted Monthly'!$V$9</f>
        <v>789674.22565871268</v>
      </c>
      <c r="AP5" s="18">
        <f ca="1">AK5*'GS&lt;50 Predicted Monthly'!$V$9</f>
        <v>975760.69071997097</v>
      </c>
      <c r="AQ5" s="18">
        <f ca="1">AL5*'GS&lt;50 Predicted Monthly'!$V$10</f>
        <v>8684.0224700084891</v>
      </c>
      <c r="AR5" s="18">
        <f ca="1">AM5*'GS&lt;50 Predicted Monthly'!$V$10</f>
        <v>11313.26846951802</v>
      </c>
      <c r="AT5" s="31">
        <f t="shared" ca="1" si="4"/>
        <v>2122715.9310665545</v>
      </c>
      <c r="AU5" s="31">
        <f t="shared" ca="1" si="5"/>
        <v>2311431.6421273225</v>
      </c>
    </row>
    <row r="6" spans="1:47">
      <c r="A6" s="541">
        <f>'Monthly Data'!A6</f>
        <v>42491</v>
      </c>
      <c r="B6">
        <f t="shared" si="1"/>
        <v>2016</v>
      </c>
      <c r="C6">
        <f t="shared" si="2"/>
        <v>5</v>
      </c>
      <c r="D6" s="30">
        <f>'Monthly Data'!J6</f>
        <v>26782.578525641024</v>
      </c>
      <c r="E6" s="516">
        <f ca="1">Weather!AA43</f>
        <v>232.88687500000006</v>
      </c>
      <c r="F6" s="33">
        <f ca="1">Weather!CF43</f>
        <v>74.673124999999999</v>
      </c>
      <c r="G6" s="33">
        <f>'Monthly Data'!AD6</f>
        <v>743976.2</v>
      </c>
      <c r="H6" s="8">
        <f>'Monthly Data'!BU6</f>
        <v>31</v>
      </c>
      <c r="I6" s="18">
        <f>'Monthly Data'!BX6</f>
        <v>0</v>
      </c>
      <c r="J6" s="30"/>
      <c r="L6" s="18">
        <f>'GS&lt;50 Predicted Monthly'!$V$8</f>
        <v>-2135516.9462582301</v>
      </c>
      <c r="M6" s="18">
        <f ca="1">E6*'GS&lt;50 Predicted Monthly'!$V$9</f>
        <v>439194.04986008507</v>
      </c>
      <c r="N6" s="18">
        <f ca="1">F6*'GS&lt;50 Predicted Monthly'!$V$10</f>
        <v>277251.93859566946</v>
      </c>
      <c r="O6" s="18">
        <f>G6*'GS&lt;50 Predicted Monthly'!$V$11</f>
        <v>1792621.7249881153</v>
      </c>
      <c r="P6" s="18">
        <f>H6*'GS&lt;50 Predicted Monthly'!$V$12</f>
        <v>1722828.0010148797</v>
      </c>
      <c r="Q6" s="18">
        <f>I6*'GS&lt;50 Predicted Monthly'!$V$13</f>
        <v>0</v>
      </c>
      <c r="R6" s="18">
        <f>J6*'GS&lt;50 Predicted Monthly'!$V$14</f>
        <v>0</v>
      </c>
      <c r="S6" s="20">
        <f t="shared" ca="1" si="3"/>
        <v>2096378.7682005195</v>
      </c>
      <c r="AJ6" s="33">
        <f ca="1">Weather!AD43</f>
        <v>208.10177399498693</v>
      </c>
      <c r="AK6" s="33">
        <f ca="1">Weather!AE43</f>
        <v>257.1408868815717</v>
      </c>
      <c r="AL6" s="33">
        <f ca="1">Weather!CJ43</f>
        <v>62.144727467193846</v>
      </c>
      <c r="AM6" s="33">
        <f ca="1">Weather!CK43</f>
        <v>80.960175797507716</v>
      </c>
      <c r="AO6" s="18">
        <f ca="1">AJ6*'GS&lt;50 Predicted Monthly'!$V$9</f>
        <v>392452.60560057929</v>
      </c>
      <c r="AP6" s="18">
        <f ca="1">AK6*'GS&lt;50 Predicted Monthly'!$V$9</f>
        <v>484933.92980661301</v>
      </c>
      <c r="AQ6" s="18">
        <f ca="1">AL6*'GS&lt;50 Predicted Monthly'!$V$10</f>
        <v>230735.57138232855</v>
      </c>
      <c r="AR6" s="18">
        <f ca="1">AM6*'GS&lt;50 Predicted Monthly'!$V$10</f>
        <v>300594.96892496751</v>
      </c>
      <c r="AT6" s="31">
        <f t="shared" ca="1" si="4"/>
        <v>2003120.9567276728</v>
      </c>
      <c r="AU6" s="31">
        <f t="shared" ca="1" si="5"/>
        <v>2165461.6784763453</v>
      </c>
    </row>
    <row r="7" spans="1:47">
      <c r="A7" s="541">
        <f>'Monthly Data'!A7</f>
        <v>42522</v>
      </c>
      <c r="B7">
        <f t="shared" si="1"/>
        <v>2016</v>
      </c>
      <c r="C7">
        <f t="shared" si="2"/>
        <v>6</v>
      </c>
      <c r="D7" s="30">
        <f>'Monthly Data'!J7</f>
        <v>29111.498397435898</v>
      </c>
      <c r="E7" s="516">
        <f ca="1">Weather!AA44</f>
        <v>92.751249999999999</v>
      </c>
      <c r="F7" s="33">
        <f ca="1">Weather!CF44</f>
        <v>169.78833333333333</v>
      </c>
      <c r="G7" s="33">
        <f>'Monthly Data'!AD7</f>
        <v>743976.2</v>
      </c>
      <c r="H7" s="8">
        <f>'Monthly Data'!BU7</f>
        <v>30</v>
      </c>
      <c r="I7" s="18">
        <f>'Monthly Data'!BX7</f>
        <v>0</v>
      </c>
      <c r="J7" s="30"/>
      <c r="L7" s="18">
        <f>'GS&lt;50 Predicted Monthly'!$V$8</f>
        <v>-2135516.9462582301</v>
      </c>
      <c r="M7" s="18">
        <f ca="1">E7*'GS&lt;50 Predicted Monthly'!$V$9</f>
        <v>174916.67195536545</v>
      </c>
      <c r="N7" s="18">
        <f ca="1">F7*'GS&lt;50 Predicted Monthly'!$V$10</f>
        <v>630402.76629101019</v>
      </c>
      <c r="O7" s="18">
        <f>G7*'GS&lt;50 Predicted Monthly'!$V$11</f>
        <v>1792621.7249881153</v>
      </c>
      <c r="P7" s="18">
        <f>H7*'GS&lt;50 Predicted Monthly'!$V$12</f>
        <v>1667252.9042079481</v>
      </c>
      <c r="Q7" s="18">
        <f>I7*'GS&lt;50 Predicted Monthly'!$V$13</f>
        <v>0</v>
      </c>
      <c r="R7" s="18">
        <f>J7*'GS&lt;50 Predicted Monthly'!$V$14</f>
        <v>0</v>
      </c>
      <c r="S7" s="20">
        <f t="shared" ca="1" si="3"/>
        <v>2129677.1211842089</v>
      </c>
      <c r="AJ7" s="33">
        <f ca="1">Weather!AD44</f>
        <v>82.880152285321046</v>
      </c>
      <c r="AK7" s="33">
        <f ca="1">Weather!AE44</f>
        <v>102.41083223077457</v>
      </c>
      <c r="AL7" s="33">
        <f ca="1">Weather!CJ44</f>
        <v>141.30183653234096</v>
      </c>
      <c r="AM7" s="33">
        <f ca="1">Weather!CK44</f>
        <v>184.0835416360639</v>
      </c>
      <c r="AO7" s="18">
        <f ca="1">AJ7*'GS&lt;50 Predicted Monthly'!$V$9</f>
        <v>156301.07851810337</v>
      </c>
      <c r="AP7" s="18">
        <f ca="1">AK7*'GS&lt;50 Predicted Monthly'!$V$9</f>
        <v>193133.37497862687</v>
      </c>
      <c r="AQ7" s="18">
        <f ca="1">AL7*'GS&lt;50 Predicted Monthly'!$V$10</f>
        <v>524635.97988861345</v>
      </c>
      <c r="AR7" s="18">
        <f ca="1">AM7*'GS&lt;50 Predicted Monthly'!$V$10</f>
        <v>683479.08008611342</v>
      </c>
      <c r="AT7" s="31">
        <f t="shared" ca="1" si="4"/>
        <v>2005294.7413445502</v>
      </c>
      <c r="AU7" s="31">
        <f t="shared" ca="1" si="5"/>
        <v>2200970.1380025735</v>
      </c>
    </row>
    <row r="8" spans="1:47">
      <c r="A8" s="541">
        <f>'Monthly Data'!A8</f>
        <v>42552</v>
      </c>
      <c r="B8">
        <f t="shared" si="1"/>
        <v>2016</v>
      </c>
      <c r="C8">
        <f t="shared" si="2"/>
        <v>7</v>
      </c>
      <c r="D8" s="30">
        <f>'Monthly Data'!J8</f>
        <v>31440.41826923077</v>
      </c>
      <c r="E8" s="516">
        <f ca="1">Weather!AA45</f>
        <v>25.464999999999996</v>
      </c>
      <c r="F8" s="33">
        <f ca="1">Weather!CF45</f>
        <v>265.99625000000003</v>
      </c>
      <c r="G8" s="33">
        <f>'Monthly Data'!AD8</f>
        <v>743976.2</v>
      </c>
      <c r="H8" s="8">
        <f>'Monthly Data'!BU8</f>
        <v>31</v>
      </c>
      <c r="I8" s="18">
        <f>'Monthly Data'!BX8</f>
        <v>0</v>
      </c>
      <c r="J8" s="30"/>
      <c r="L8" s="18">
        <f>'GS&lt;50 Predicted Monthly'!$V$8</f>
        <v>-2135516.9462582301</v>
      </c>
      <c r="M8" s="18">
        <f ca="1">E8*'GS&lt;50 Predicted Monthly'!$V$9</f>
        <v>48023.644439760981</v>
      </c>
      <c r="N8" s="18">
        <f ca="1">F8*'GS&lt;50 Predicted Monthly'!$V$10</f>
        <v>987610.68284845934</v>
      </c>
      <c r="O8" s="18">
        <f>G8*'GS&lt;50 Predicted Monthly'!$V$11</f>
        <v>1792621.7249881153</v>
      </c>
      <c r="P8" s="18">
        <f>H8*'GS&lt;50 Predicted Monthly'!$V$12</f>
        <v>1722828.0010148797</v>
      </c>
      <c r="Q8" s="18">
        <f>I8*'GS&lt;50 Predicted Monthly'!$V$13</f>
        <v>0</v>
      </c>
      <c r="R8" s="18">
        <f>J8*'GS&lt;50 Predicted Monthly'!$V$14</f>
        <v>0</v>
      </c>
      <c r="S8" s="20">
        <f t="shared" ca="1" si="3"/>
        <v>2415567.1070329854</v>
      </c>
      <c r="AJ8" s="33">
        <f ca="1">Weather!AD45</f>
        <v>22.754874763905612</v>
      </c>
      <c r="AK8" s="33">
        <f ca="1">Weather!AE45</f>
        <v>28.117053330889604</v>
      </c>
      <c r="AL8" s="33">
        <f ca="1">Weather!CJ45</f>
        <v>221.36832312221517</v>
      </c>
      <c r="AM8" s="33">
        <f ca="1">Weather!CK45</f>
        <v>288.39161561107579</v>
      </c>
      <c r="AO8" s="18">
        <f ca="1">AJ8*'GS&lt;50 Predicted Monthly'!$V$9</f>
        <v>42912.704297392243</v>
      </c>
      <c r="AP8" s="18">
        <f ca="1">AK8*'GS&lt;50 Predicted Monthly'!$V$9</f>
        <v>53025.068598328675</v>
      </c>
      <c r="AQ8" s="18">
        <f ca="1">AL8*'GS&lt;50 Predicted Monthly'!$V$10</f>
        <v>821912.7929801615</v>
      </c>
      <c r="AR8" s="18">
        <f ca="1">AM8*'GS&lt;50 Predicted Monthly'!$V$10</f>
        <v>1070761.8638286251</v>
      </c>
      <c r="AT8" s="31">
        <f t="shared" ca="1" si="4"/>
        <v>2244758.2770223189</v>
      </c>
      <c r="AU8" s="31">
        <f t="shared" ca="1" si="5"/>
        <v>2503719.7121717185</v>
      </c>
    </row>
    <row r="9" spans="1:47">
      <c r="A9" s="541">
        <f>'Monthly Data'!A9</f>
        <v>42583</v>
      </c>
      <c r="B9">
        <f t="shared" ref="B9:B17" si="6">YEAR(A9)</f>
        <v>2016</v>
      </c>
      <c r="C9">
        <f t="shared" ref="C9:C17" si="7">MONTH(A9)</f>
        <v>8</v>
      </c>
      <c r="D9" s="30">
        <f>'Monthly Data'!J9</f>
        <v>33769.338141025641</v>
      </c>
      <c r="E9" s="516">
        <f ca="1">Weather!AA46</f>
        <v>54.974791666666668</v>
      </c>
      <c r="F9" s="33">
        <f ca="1">Weather!CF46</f>
        <v>218.46562499999996</v>
      </c>
      <c r="G9" s="33">
        <f>'Monthly Data'!AD9</f>
        <v>743976.2</v>
      </c>
      <c r="H9" s="8">
        <f>'Monthly Data'!BU9</f>
        <v>31</v>
      </c>
      <c r="I9" s="18">
        <f>'Monthly Data'!BX9</f>
        <v>0</v>
      </c>
      <c r="J9" s="30"/>
      <c r="L9" s="18">
        <f>'GS&lt;50 Predicted Monthly'!$V$8</f>
        <v>-2135516.9462582301</v>
      </c>
      <c r="M9" s="18">
        <f ca="1">E9*'GS&lt;50 Predicted Monthly'!$V$9</f>
        <v>103675.23456312333</v>
      </c>
      <c r="N9" s="18">
        <f ca="1">F9*'GS&lt;50 Predicted Monthly'!$V$10</f>
        <v>811135.43925963389</v>
      </c>
      <c r="O9" s="18">
        <f>G9*'GS&lt;50 Predicted Monthly'!$V$11</f>
        <v>1792621.7249881153</v>
      </c>
      <c r="P9" s="18">
        <f>H9*'GS&lt;50 Predicted Monthly'!$V$12</f>
        <v>1722828.0010148797</v>
      </c>
      <c r="Q9" s="18">
        <f>I9*'GS&lt;50 Predicted Monthly'!$V$13</f>
        <v>0</v>
      </c>
      <c r="R9" s="18">
        <f>J9*'GS&lt;50 Predicted Monthly'!$V$14</f>
        <v>0</v>
      </c>
      <c r="S9" s="20">
        <f t="shared" ca="1" si="3"/>
        <v>2294743.4535675221</v>
      </c>
      <c r="AJ9" s="33">
        <f ca="1">Weather!AD46</f>
        <v>49.124072238240799</v>
      </c>
      <c r="AK9" s="33">
        <f ca="1">Weather!AE46</f>
        <v>60.700143300459935</v>
      </c>
      <c r="AL9" s="33">
        <f ca="1">Weather!CJ46</f>
        <v>181.81222128543794</v>
      </c>
      <c r="AM9" s="33">
        <f ca="1">Weather!CK46</f>
        <v>236.85918335026682</v>
      </c>
      <c r="AO9" s="18">
        <f ca="1">AJ9*'GS&lt;50 Predicted Monthly'!$V$9</f>
        <v>92641.546381402324</v>
      </c>
      <c r="AP9" s="18">
        <f ca="1">AK9*'GS&lt;50 Predicted Monthly'!$V$9</f>
        <v>114472.49555483322</v>
      </c>
      <c r="AQ9" s="18">
        <f ca="1">AL9*'GS&lt;50 Predicted Monthly'!$V$10</f>
        <v>675045.9527677797</v>
      </c>
      <c r="AR9" s="18">
        <f ca="1">AM9*'GS&lt;50 Predicted Monthly'!$V$10</f>
        <v>879428.41227079486</v>
      </c>
      <c r="AT9" s="31">
        <f t="shared" ca="1" si="4"/>
        <v>2147620.2788939467</v>
      </c>
      <c r="AU9" s="31">
        <f t="shared" ca="1" si="5"/>
        <v>2373833.6875703931</v>
      </c>
    </row>
    <row r="10" spans="1:47">
      <c r="A10" s="541">
        <f>'Monthly Data'!A10</f>
        <v>42614</v>
      </c>
      <c r="B10">
        <f t="shared" si="6"/>
        <v>2016</v>
      </c>
      <c r="C10">
        <f t="shared" si="7"/>
        <v>9</v>
      </c>
      <c r="D10" s="30">
        <f>'Monthly Data'!J10</f>
        <v>36098.258012820515</v>
      </c>
      <c r="E10" s="516">
        <f ca="1">Weather!AA47</f>
        <v>166.50624999999999</v>
      </c>
      <c r="F10" s="33">
        <f ca="1">Weather!CF47</f>
        <v>95.131249999999994</v>
      </c>
      <c r="G10" s="33">
        <f>'Monthly Data'!AD10</f>
        <v>743976.2</v>
      </c>
      <c r="H10" s="8">
        <f>'Monthly Data'!BU10</f>
        <v>30</v>
      </c>
      <c r="I10" s="18">
        <f>'Monthly Data'!BX10</f>
        <v>0</v>
      </c>
      <c r="J10" s="30"/>
      <c r="L10" s="18">
        <f>'GS&lt;50 Predicted Monthly'!$V$8</f>
        <v>-2135516.9462582301</v>
      </c>
      <c r="M10" s="18">
        <f ca="1">E10*'GS&lt;50 Predicted Monthly'!$V$9</f>
        <v>314008.9121145868</v>
      </c>
      <c r="N10" s="18">
        <f ca="1">F10*'GS&lt;50 Predicted Monthly'!$V$10</f>
        <v>353210.38838978927</v>
      </c>
      <c r="O10" s="18">
        <f>G10*'GS&lt;50 Predicted Monthly'!$V$11</f>
        <v>1792621.7249881153</v>
      </c>
      <c r="P10" s="18">
        <f>H10*'GS&lt;50 Predicted Monthly'!$V$12</f>
        <v>1667252.9042079481</v>
      </c>
      <c r="Q10" s="18">
        <f>I10*'GS&lt;50 Predicted Monthly'!$V$13</f>
        <v>0</v>
      </c>
      <c r="R10" s="18">
        <f>J10*'GS&lt;50 Predicted Monthly'!$V$14</f>
        <v>0</v>
      </c>
      <c r="S10" s="20">
        <f t="shared" ca="1" si="3"/>
        <v>1991576.9834422092</v>
      </c>
      <c r="AJ10" s="33">
        <f ca="1">Weather!AD47</f>
        <v>148.78573988445157</v>
      </c>
      <c r="AK10" s="33">
        <f ca="1">Weather!AE47</f>
        <v>183.84704932952829</v>
      </c>
      <c r="AL10" s="33">
        <f ca="1">Weather!CJ47</f>
        <v>79.170459316701752</v>
      </c>
      <c r="AM10" s="33">
        <f ca="1">Weather!CK47</f>
        <v>103.14075812197032</v>
      </c>
      <c r="AO10" s="18">
        <f ca="1">AJ10*'GS&lt;50 Predicted Monthly'!$V$9</f>
        <v>280590.35813538847</v>
      </c>
      <c r="AP10" s="18">
        <f ca="1">AK10*'GS&lt;50 Predicted Monthly'!$V$9</f>
        <v>346711.3814372851</v>
      </c>
      <c r="AQ10" s="18">
        <f ca="1">AL10*'GS&lt;50 Predicted Monthly'!$V$10</f>
        <v>293949.9763143051</v>
      </c>
      <c r="AR10" s="18">
        <f ca="1">AM10*'GS&lt;50 Predicted Monthly'!$V$10</f>
        <v>382948.68652602012</v>
      </c>
      <c r="AT10" s="31">
        <f t="shared" ca="1" si="4"/>
        <v>1898898.0173875266</v>
      </c>
      <c r="AU10" s="31">
        <f t="shared" ca="1" si="5"/>
        <v>2054017.7509011384</v>
      </c>
    </row>
    <row r="11" spans="1:47">
      <c r="A11" s="541">
        <f>'Monthly Data'!A11</f>
        <v>42644</v>
      </c>
      <c r="B11">
        <f t="shared" si="6"/>
        <v>2016</v>
      </c>
      <c r="C11">
        <f t="shared" si="7"/>
        <v>10</v>
      </c>
      <c r="D11" s="30">
        <f>'Monthly Data'!J11</f>
        <v>38427.177884615383</v>
      </c>
      <c r="E11" s="516">
        <f ca="1">Weather!AA48</f>
        <v>363.47645833333326</v>
      </c>
      <c r="F11" s="33">
        <f ca="1">Weather!CF48</f>
        <v>21.813750000000006</v>
      </c>
      <c r="G11" s="33">
        <f>'Monthly Data'!AD11</f>
        <v>743976.2</v>
      </c>
      <c r="H11" s="8">
        <f>'Monthly Data'!BU11</f>
        <v>31</v>
      </c>
      <c r="I11" s="18">
        <f>'Monthly Data'!BX11</f>
        <v>0</v>
      </c>
      <c r="J11" s="30"/>
      <c r="L11" s="18">
        <f>'GS&lt;50 Predicted Monthly'!$V$8</f>
        <v>-2135516.9462582301</v>
      </c>
      <c r="M11" s="18">
        <f ca="1">E11*'GS&lt;50 Predicted Monthly'!$V$9</f>
        <v>685468.84732863132</v>
      </c>
      <c r="N11" s="18">
        <f ca="1">F11*'GS&lt;50 Predicted Monthly'!$V$10</f>
        <v>80991.715232773335</v>
      </c>
      <c r="O11" s="18">
        <f>G11*'GS&lt;50 Predicted Monthly'!$V$11</f>
        <v>1792621.7249881153</v>
      </c>
      <c r="P11" s="18">
        <f>H11*'GS&lt;50 Predicted Monthly'!$V$12</f>
        <v>1722828.0010148797</v>
      </c>
      <c r="Q11" s="18">
        <f>I11*'GS&lt;50 Predicted Monthly'!$V$13</f>
        <v>0</v>
      </c>
      <c r="R11" s="18">
        <f>J11*'GS&lt;50 Predicted Monthly'!$V$14</f>
        <v>0</v>
      </c>
      <c r="S11" s="20">
        <f t="shared" ca="1" si="3"/>
        <v>2146393.3423061692</v>
      </c>
      <c r="AJ11" s="33">
        <f ca="1">Weather!AD48</f>
        <v>324.79329624987065</v>
      </c>
      <c r="AK11" s="33">
        <f ca="1">Weather!AE48</f>
        <v>401.33072701673694</v>
      </c>
      <c r="AL11" s="33">
        <f ca="1">Weather!CJ48</f>
        <v>18.153914795818444</v>
      </c>
      <c r="AM11" s="33">
        <f ca="1">Weather!CK48</f>
        <v>23.650343209861436</v>
      </c>
      <c r="AO11" s="18">
        <f ca="1">AJ11*'GS&lt;50 Predicted Monthly'!$V$9</f>
        <v>612517.48578526394</v>
      </c>
      <c r="AP11" s="18">
        <f ca="1">AK11*'GS&lt;50 Predicted Monthly'!$V$9</f>
        <v>756857.0248184785</v>
      </c>
      <c r="AQ11" s="18">
        <f ca="1">AL11*'GS&lt;50 Predicted Monthly'!$V$10</f>
        <v>67403.206578555153</v>
      </c>
      <c r="AR11" s="18">
        <f ca="1">AM11*'GS&lt;50 Predicted Monthly'!$V$10</f>
        <v>87810.755253473209</v>
      </c>
      <c r="AT11" s="31">
        <f t="shared" ca="1" si="4"/>
        <v>2059853.4721085837</v>
      </c>
      <c r="AU11" s="31">
        <f t="shared" ca="1" si="5"/>
        <v>2224600.5598167162</v>
      </c>
    </row>
    <row r="12" spans="1:47">
      <c r="A12" s="541">
        <f>'Monthly Data'!A12</f>
        <v>42675</v>
      </c>
      <c r="B12">
        <f t="shared" si="6"/>
        <v>2016</v>
      </c>
      <c r="C12">
        <f t="shared" si="7"/>
        <v>11</v>
      </c>
      <c r="D12" s="30">
        <f>'Monthly Data'!J12</f>
        <v>40756.097756410258</v>
      </c>
      <c r="E12" s="516">
        <f ca="1">Weather!AA49</f>
        <v>586.00395833333334</v>
      </c>
      <c r="F12" s="33">
        <f ca="1">Weather!CF49</f>
        <v>2.2795833333333335</v>
      </c>
      <c r="G12" s="33">
        <f>'Monthly Data'!AD12</f>
        <v>743976.2</v>
      </c>
      <c r="H12" s="8">
        <f>'Monthly Data'!BU12</f>
        <v>30</v>
      </c>
      <c r="I12" s="18">
        <f>'Monthly Data'!BX12</f>
        <v>0</v>
      </c>
      <c r="J12" s="30"/>
      <c r="L12" s="18">
        <f>'GS&lt;50 Predicted Monthly'!$V$8</f>
        <v>-2135516.9462582301</v>
      </c>
      <c r="M12" s="18">
        <f ca="1">E12*'GS&lt;50 Predicted Monthly'!$V$9</f>
        <v>1105126.4769406053</v>
      </c>
      <c r="N12" s="18">
        <f ca="1">F12*'GS&lt;50 Predicted Monthly'!$V$10</f>
        <v>8463.8067357840573</v>
      </c>
      <c r="O12" s="18">
        <f>G12*'GS&lt;50 Predicted Monthly'!$V$11</f>
        <v>1792621.7249881153</v>
      </c>
      <c r="P12" s="18">
        <f>H12*'GS&lt;50 Predicted Monthly'!$V$12</f>
        <v>1667252.9042079481</v>
      </c>
      <c r="Q12" s="18">
        <f>I12*'GS&lt;50 Predicted Monthly'!$V$13</f>
        <v>0</v>
      </c>
      <c r="R12" s="18">
        <f>J12*'GS&lt;50 Predicted Monthly'!$V$14</f>
        <v>0</v>
      </c>
      <c r="S12" s="20">
        <f t="shared" ca="1" si="3"/>
        <v>2437947.9666142226</v>
      </c>
      <c r="AJ12" s="33">
        <f ca="1">Weather!AD49</f>
        <v>523.63819685953126</v>
      </c>
      <c r="AK12" s="33">
        <f ca="1">Weather!AE49</f>
        <v>647.03336142041019</v>
      </c>
      <c r="AL12" s="33">
        <f ca="1">Weather!CJ49</f>
        <v>1.8971227598785685</v>
      </c>
      <c r="AM12" s="33">
        <f ca="1">Weather!CK49</f>
        <v>2.4715112352902775</v>
      </c>
      <c r="AO12" s="18">
        <f ca="1">AJ12*'GS&lt;50 Predicted Monthly'!$V$9</f>
        <v>987512.84433770669</v>
      </c>
      <c r="AP12" s="18">
        <f ca="1">AK12*'GS&lt;50 Predicted Monthly'!$V$9</f>
        <v>1220219.913195254</v>
      </c>
      <c r="AQ12" s="18">
        <f ca="1">AL12*'GS&lt;50 Predicted Monthly'!$V$10</f>
        <v>7043.7786409809405</v>
      </c>
      <c r="AR12" s="18">
        <f ca="1">AM12*'GS&lt;50 Predicted Monthly'!$V$10</f>
        <v>9176.4109409537541</v>
      </c>
      <c r="AT12" s="31">
        <f t="shared" ca="1" si="4"/>
        <v>2318914.3059165208</v>
      </c>
      <c r="AU12" s="31">
        <f t="shared" ca="1" si="5"/>
        <v>2553754.0070740408</v>
      </c>
    </row>
    <row r="13" spans="1:47">
      <c r="A13" s="541">
        <f>'Monthly Data'!A13</f>
        <v>42705</v>
      </c>
      <c r="B13">
        <f t="shared" si="6"/>
        <v>2016</v>
      </c>
      <c r="C13">
        <f t="shared" si="7"/>
        <v>12</v>
      </c>
      <c r="D13" s="30">
        <f>'Monthly Data'!J13</f>
        <v>29557146.017628204</v>
      </c>
      <c r="E13" s="516">
        <f ca="1">Weather!AA50</f>
        <v>812.36333333333334</v>
      </c>
      <c r="F13" s="33">
        <f ca="1">Weather!CF50</f>
        <v>0</v>
      </c>
      <c r="G13" s="33">
        <f>'Monthly Data'!AD13</f>
        <v>743976.2</v>
      </c>
      <c r="H13" s="8">
        <f>'Monthly Data'!BU13</f>
        <v>31</v>
      </c>
      <c r="I13" s="18">
        <f>'Monthly Data'!BX13</f>
        <v>0</v>
      </c>
      <c r="J13" s="30"/>
      <c r="L13" s="18">
        <f>'GS&lt;50 Predicted Monthly'!$V$8</f>
        <v>-2135516.9462582301</v>
      </c>
      <c r="M13" s="18">
        <f ca="1">E13*'GS&lt;50 Predicted Monthly'!$V$9</f>
        <v>1532010.5193755757</v>
      </c>
      <c r="N13" s="18">
        <f ca="1">F13*'GS&lt;50 Predicted Monthly'!$V$10</f>
        <v>0</v>
      </c>
      <c r="O13" s="18">
        <f>G13*'GS&lt;50 Predicted Monthly'!$V$11</f>
        <v>1792621.7249881153</v>
      </c>
      <c r="P13" s="18">
        <f>H13*'GS&lt;50 Predicted Monthly'!$V$12</f>
        <v>1722828.0010148797</v>
      </c>
      <c r="Q13" s="18">
        <f>I13*'GS&lt;50 Predicted Monthly'!$V$13</f>
        <v>0</v>
      </c>
      <c r="R13" s="18">
        <f>J13*'GS&lt;50 Predicted Monthly'!$V$14</f>
        <v>0</v>
      </c>
      <c r="S13" s="20">
        <f t="shared" ca="1" si="3"/>
        <v>2911943.2991203405</v>
      </c>
      <c r="AJ13" s="33">
        <f ca="1">Weather!AD50</f>
        <v>725.90716327464804</v>
      </c>
      <c r="AK13" s="33">
        <f ca="1">Weather!AE50</f>
        <v>896.96694158227319</v>
      </c>
      <c r="AL13" s="33">
        <f ca="1">Weather!CJ50</f>
        <v>0</v>
      </c>
      <c r="AM13" s="33">
        <f ca="1">Weather!CK50</f>
        <v>0</v>
      </c>
      <c r="AO13" s="18">
        <f ca="1">AJ13*'GS&lt;50 Predicted Monthly'!$V$9</f>
        <v>1368965.5411497045</v>
      </c>
      <c r="AP13" s="18">
        <f ca="1">AK13*'GS&lt;50 Predicted Monthly'!$V$9</f>
        <v>1691561.809415549</v>
      </c>
      <c r="AQ13" s="18">
        <f ca="1">AL13*'GS&lt;50 Predicted Monthly'!$V$10</f>
        <v>0</v>
      </c>
      <c r="AR13" s="18">
        <f ca="1">AM13*'GS&lt;50 Predicted Monthly'!$V$10</f>
        <v>0</v>
      </c>
      <c r="AT13" s="31">
        <f t="shared" ca="1" si="4"/>
        <v>2748898.3208944695</v>
      </c>
      <c r="AU13" s="31">
        <f t="shared" ca="1" si="5"/>
        <v>3071494.5891603138</v>
      </c>
    </row>
    <row r="14" spans="1:47">
      <c r="A14" s="541">
        <f>'Monthly Data'!A14</f>
        <v>42736</v>
      </c>
      <c r="B14">
        <f t="shared" si="6"/>
        <v>2017</v>
      </c>
      <c r="C14">
        <f t="shared" si="7"/>
        <v>1</v>
      </c>
      <c r="D14" s="30">
        <f>'Monthly Data'!J14</f>
        <v>63199.167467948719</v>
      </c>
      <c r="E14" s="33">
        <f t="shared" ref="E14:F33" ca="1" si="8">E2</f>
        <v>914.55166666666662</v>
      </c>
      <c r="F14" s="33">
        <f t="shared" ca="1" si="8"/>
        <v>0</v>
      </c>
      <c r="G14" s="33">
        <f>'Monthly Data'!AD14</f>
        <v>764464.8</v>
      </c>
      <c r="H14" s="8">
        <f>'Monthly Data'!BU14</f>
        <v>31</v>
      </c>
      <c r="I14" s="18">
        <f>'Monthly Data'!BX14</f>
        <v>0</v>
      </c>
      <c r="J14" s="30"/>
      <c r="L14" s="18">
        <f>'GS&lt;50 Predicted Monthly'!$V$8</f>
        <v>-2135516.9462582301</v>
      </c>
      <c r="M14" s="18">
        <f ca="1">E14*'GS&lt;50 Predicted Monthly'!$V$9</f>
        <v>1724724.2906652587</v>
      </c>
      <c r="N14" s="18">
        <f ca="1">F14*'GS&lt;50 Predicted Monthly'!$V$10</f>
        <v>0</v>
      </c>
      <c r="O14" s="18">
        <f>G14*'GS&lt;50 Predicted Monthly'!$V$11</f>
        <v>1841989.3115783741</v>
      </c>
      <c r="P14" s="18">
        <f>H14*'GS&lt;50 Predicted Monthly'!$V$12</f>
        <v>1722828.0010148797</v>
      </c>
      <c r="Q14" s="18">
        <f>I14*'GS&lt;50 Predicted Monthly'!$V$13</f>
        <v>0</v>
      </c>
      <c r="R14" s="18">
        <f>J14*'GS&lt;50 Predicted Monthly'!$V$14</f>
        <v>0</v>
      </c>
      <c r="S14" s="20">
        <f t="shared" ca="1" si="3"/>
        <v>3154024.6570002823</v>
      </c>
      <c r="AJ14" s="33">
        <f t="shared" ref="AJ14" ca="1" si="9">AJ2</f>
        <v>817.22005262600237</v>
      </c>
      <c r="AK14" s="33">
        <f t="shared" ref="AK14" ca="1" si="10">AK2</f>
        <v>1009.7976825258449</v>
      </c>
      <c r="AL14" s="33">
        <f t="shared" ref="AL14:AM14" ca="1" si="11">AL2</f>
        <v>0</v>
      </c>
      <c r="AM14" s="33">
        <f t="shared" ca="1" si="11"/>
        <v>0</v>
      </c>
      <c r="AO14" s="18">
        <f ca="1">AJ14*'GS&lt;50 Predicted Monthly'!$V$9</f>
        <v>1541169.6538917692</v>
      </c>
      <c r="AP14" s="18">
        <f ca="1">AK14*'GS&lt;50 Predicted Monthly'!$V$9</f>
        <v>1904345.7632717781</v>
      </c>
      <c r="AQ14" s="18">
        <f ca="1">AL14*'GS&lt;50 Predicted Monthly'!$V$10</f>
        <v>0</v>
      </c>
      <c r="AR14" s="18">
        <f ca="1">AM14*'GS&lt;50 Predicted Monthly'!$V$10</f>
        <v>0</v>
      </c>
      <c r="AT14" s="31">
        <f t="shared" ca="1" si="4"/>
        <v>2970470.0202267929</v>
      </c>
      <c r="AU14" s="31">
        <f t="shared" ca="1" si="5"/>
        <v>3333646.129606802</v>
      </c>
    </row>
    <row r="15" spans="1:47">
      <c r="A15" s="541">
        <f>'Monthly Data'!A15</f>
        <v>42767</v>
      </c>
      <c r="B15">
        <f t="shared" si="6"/>
        <v>2017</v>
      </c>
      <c r="C15">
        <f t="shared" si="7"/>
        <v>2</v>
      </c>
      <c r="D15" s="30">
        <f>'Monthly Data'!J15</f>
        <v>67588.928685897437</v>
      </c>
      <c r="E15" s="33">
        <f t="shared" ca="1" si="8"/>
        <v>803.82854166666664</v>
      </c>
      <c r="F15" s="33">
        <f t="shared" ca="1" si="8"/>
        <v>0</v>
      </c>
      <c r="G15" s="33">
        <f>'Monthly Data'!AD15</f>
        <v>764464.8</v>
      </c>
      <c r="H15" s="8">
        <f>'Monthly Data'!BU15</f>
        <v>28</v>
      </c>
      <c r="I15" s="18">
        <f>'Monthly Data'!BX15</f>
        <v>0</v>
      </c>
      <c r="J15" s="30"/>
      <c r="L15" s="18">
        <f>'GS&lt;50 Predicted Monthly'!$V$8</f>
        <v>-2135516.9462582301</v>
      </c>
      <c r="M15" s="18">
        <f ca="1">E15*'GS&lt;50 Predicted Monthly'!$V$9</f>
        <v>1515915.0235826271</v>
      </c>
      <c r="N15" s="18">
        <f ca="1">F15*'GS&lt;50 Predicted Monthly'!$V$10</f>
        <v>0</v>
      </c>
      <c r="O15" s="18">
        <f>G15*'GS&lt;50 Predicted Monthly'!$V$11</f>
        <v>1841989.3115783741</v>
      </c>
      <c r="P15" s="18">
        <f>H15*'GS&lt;50 Predicted Monthly'!$V$12</f>
        <v>1556102.7105940848</v>
      </c>
      <c r="Q15" s="18">
        <f>I15*'GS&lt;50 Predicted Monthly'!$V$13</f>
        <v>0</v>
      </c>
      <c r="R15" s="18">
        <f>J15*'GS&lt;50 Predicted Monthly'!$V$14</f>
        <v>0</v>
      </c>
      <c r="S15" s="20">
        <f t="shared" ca="1" si="3"/>
        <v>2778490.0994968559</v>
      </c>
      <c r="AJ15" s="33">
        <f t="shared" ref="AJ15" ca="1" si="12">AJ3</f>
        <v>718.28069103781206</v>
      </c>
      <c r="AK15" s="33">
        <f t="shared" ref="AK15" ca="1" si="13">AK3</f>
        <v>887.54329373386554</v>
      </c>
      <c r="AL15" s="33">
        <f t="shared" ref="AL15:AM30" ca="1" si="14">AL3</f>
        <v>0</v>
      </c>
      <c r="AM15" s="33">
        <f t="shared" ca="1" si="14"/>
        <v>0</v>
      </c>
      <c r="AO15" s="18">
        <f ca="1">AJ15*'GS&lt;50 Predicted Monthly'!$V$9</f>
        <v>1354583.0164675321</v>
      </c>
      <c r="AP15" s="18">
        <f ca="1">AK15*'GS&lt;50 Predicted Monthly'!$V$9</f>
        <v>1673790.047640664</v>
      </c>
      <c r="AQ15" s="18">
        <f ca="1">AL15*'GS&lt;50 Predicted Monthly'!$V$10</f>
        <v>0</v>
      </c>
      <c r="AR15" s="18">
        <f ca="1">AM15*'GS&lt;50 Predicted Monthly'!$V$10</f>
        <v>0</v>
      </c>
      <c r="AT15" s="31">
        <f t="shared" ca="1" si="4"/>
        <v>2617158.0923817609</v>
      </c>
      <c r="AU15" s="31">
        <f t="shared" ca="1" si="5"/>
        <v>2936365.1235548928</v>
      </c>
    </row>
    <row r="16" spans="1:47">
      <c r="A16" s="541">
        <f>'Monthly Data'!A16</f>
        <v>42795</v>
      </c>
      <c r="B16">
        <f t="shared" si="6"/>
        <v>2017</v>
      </c>
      <c r="C16">
        <f t="shared" si="7"/>
        <v>3</v>
      </c>
      <c r="D16" s="30">
        <f>'Monthly Data'!J16</f>
        <v>71978.689903846156</v>
      </c>
      <c r="E16" s="33">
        <f t="shared" ca="1" si="8"/>
        <v>698.29604166666672</v>
      </c>
      <c r="F16" s="33">
        <f t="shared" ca="1" si="8"/>
        <v>0</v>
      </c>
      <c r="G16" s="33">
        <f>'Monthly Data'!AD16</f>
        <v>764464.8</v>
      </c>
      <c r="H16" s="8">
        <f>'Monthly Data'!BU16</f>
        <v>31</v>
      </c>
      <c r="I16" s="18">
        <f>'Monthly Data'!BX16</f>
        <v>0</v>
      </c>
      <c r="J16" s="30"/>
      <c r="L16" s="18">
        <f>'GS&lt;50 Predicted Monthly'!$V$8</f>
        <v>-2135516.9462582301</v>
      </c>
      <c r="M16" s="18">
        <f ca="1">E16*'GS&lt;50 Predicted Monthly'!$V$9</f>
        <v>1316894.5933120961</v>
      </c>
      <c r="N16" s="18">
        <f ca="1">F16*'GS&lt;50 Predicted Monthly'!$V$10</f>
        <v>0</v>
      </c>
      <c r="O16" s="18">
        <f>G16*'GS&lt;50 Predicted Monthly'!$V$11</f>
        <v>1841989.3115783741</v>
      </c>
      <c r="P16" s="18">
        <f>H16*'GS&lt;50 Predicted Monthly'!$V$12</f>
        <v>1722828.0010148797</v>
      </c>
      <c r="Q16" s="18">
        <f>I16*'GS&lt;50 Predicted Monthly'!$V$13</f>
        <v>0</v>
      </c>
      <c r="R16" s="18">
        <f>J16*'GS&lt;50 Predicted Monthly'!$V$14</f>
        <v>0</v>
      </c>
      <c r="S16" s="20">
        <f t="shared" ca="1" si="3"/>
        <v>2746194.95964712</v>
      </c>
      <c r="AJ16" s="33">
        <f t="shared" ref="AJ16" ca="1" si="15">AJ4</f>
        <v>623.97953961343092</v>
      </c>
      <c r="AK16" s="33">
        <f t="shared" ref="AK16" ca="1" si="16">AK4</f>
        <v>771.02010776716202</v>
      </c>
      <c r="AL16" s="33">
        <f t="shared" ca="1" si="14"/>
        <v>0</v>
      </c>
      <c r="AM16" s="33">
        <f t="shared" ca="1" si="14"/>
        <v>0</v>
      </c>
      <c r="AO16" s="18">
        <f ca="1">AJ16*'GS&lt;50 Predicted Monthly'!$V$9</f>
        <v>1176743.4340499181</v>
      </c>
      <c r="AP16" s="18">
        <f ca="1">AK16*'GS&lt;50 Predicted Monthly'!$V$9</f>
        <v>1454042.6275796737</v>
      </c>
      <c r="AQ16" s="18">
        <f ca="1">AL16*'GS&lt;50 Predicted Monthly'!$V$10</f>
        <v>0</v>
      </c>
      <c r="AR16" s="18">
        <f ca="1">AM16*'GS&lt;50 Predicted Monthly'!$V$10</f>
        <v>0</v>
      </c>
      <c r="AT16" s="31">
        <f t="shared" ca="1" si="4"/>
        <v>2606043.800384942</v>
      </c>
      <c r="AU16" s="31">
        <f t="shared" ca="1" si="5"/>
        <v>2883342.9939146973</v>
      </c>
    </row>
    <row r="17" spans="1:47">
      <c r="A17" s="541">
        <f>'Monthly Data'!A17</f>
        <v>42826</v>
      </c>
      <c r="B17">
        <f t="shared" si="6"/>
        <v>2017</v>
      </c>
      <c r="C17">
        <f t="shared" si="7"/>
        <v>4</v>
      </c>
      <c r="D17" s="30">
        <f>'Monthly Data'!J17</f>
        <v>76368.451121794875</v>
      </c>
      <c r="E17" s="33">
        <f t="shared" ca="1" si="8"/>
        <v>468.60374999999993</v>
      </c>
      <c r="F17" s="33">
        <f t="shared" ca="1" si="8"/>
        <v>2.8104166666666677</v>
      </c>
      <c r="G17" s="33">
        <f>'Monthly Data'!AD17</f>
        <v>764464.8</v>
      </c>
      <c r="H17" s="8">
        <f>'Monthly Data'!BU17</f>
        <v>30</v>
      </c>
      <c r="I17" s="18">
        <f>'Monthly Data'!BX17</f>
        <v>0</v>
      </c>
      <c r="J17" s="30"/>
      <c r="L17" s="18">
        <f>'GS&lt;50 Predicted Monthly'!$V$8</f>
        <v>-2135516.9462582301</v>
      </c>
      <c r="M17" s="18">
        <f ca="1">E17*'GS&lt;50 Predicted Monthly'!$V$9</f>
        <v>883725.10791826609</v>
      </c>
      <c r="N17" s="18">
        <f ca="1">F17*'GS&lt;50 Predicted Monthly'!$V$10</f>
        <v>10434.724261170442</v>
      </c>
      <c r="O17" s="18">
        <f>G17*'GS&lt;50 Predicted Monthly'!$V$11</f>
        <v>1841989.3115783741</v>
      </c>
      <c r="P17" s="18">
        <f>H17*'GS&lt;50 Predicted Monthly'!$V$12</f>
        <v>1667252.9042079481</v>
      </c>
      <c r="Q17" s="18">
        <f>I17*'GS&lt;50 Predicted Monthly'!$V$13</f>
        <v>0</v>
      </c>
      <c r="R17" s="18">
        <f>J17*'GS&lt;50 Predicted Monthly'!$V$14</f>
        <v>0</v>
      </c>
      <c r="S17" s="20">
        <f t="shared" ca="1" si="3"/>
        <v>2267885.1017075288</v>
      </c>
      <c r="AJ17" s="33">
        <f t="shared" ref="AJ17" ca="1" si="17">AJ5</f>
        <v>418.73236383846591</v>
      </c>
      <c r="AK17" s="33">
        <f t="shared" ref="AK17" ca="1" si="18">AK5</f>
        <v>517.40650421381736</v>
      </c>
      <c r="AL17" s="33">
        <f t="shared" ca="1" si="14"/>
        <v>2.33889472041326</v>
      </c>
      <c r="AM17" s="33">
        <f t="shared" ca="1" si="14"/>
        <v>3.0470377046304016</v>
      </c>
      <c r="AO17" s="18">
        <f ca="1">AJ17*'GS&lt;50 Predicted Monthly'!$V$9</f>
        <v>789674.22565871268</v>
      </c>
      <c r="AP17" s="18">
        <f ca="1">AK17*'GS&lt;50 Predicted Monthly'!$V$9</f>
        <v>975760.69071997097</v>
      </c>
      <c r="AQ17" s="18">
        <f ca="1">AL17*'GS&lt;50 Predicted Monthly'!$V$10</f>
        <v>8684.0224700084891</v>
      </c>
      <c r="AR17" s="18">
        <f ca="1">AM17*'GS&lt;50 Predicted Monthly'!$V$10</f>
        <v>11313.26846951802</v>
      </c>
      <c r="AT17" s="31">
        <f t="shared" ca="1" si="4"/>
        <v>2172083.5176568134</v>
      </c>
      <c r="AU17" s="31">
        <f t="shared" ca="1" si="5"/>
        <v>2360799.2287175814</v>
      </c>
    </row>
    <row r="18" spans="1:47">
      <c r="A18" s="541">
        <f>'Monthly Data'!A18</f>
        <v>42856</v>
      </c>
      <c r="B18">
        <f t="shared" ref="B18:B81" si="19">YEAR(A18)</f>
        <v>2017</v>
      </c>
      <c r="C18">
        <f t="shared" ref="C18:C81" si="20">MONTH(A18)</f>
        <v>5</v>
      </c>
      <c r="D18" s="30">
        <f>'Monthly Data'!J18</f>
        <v>80758.212339743593</v>
      </c>
      <c r="E18" s="33">
        <f t="shared" ca="1" si="8"/>
        <v>232.88687500000006</v>
      </c>
      <c r="F18" s="33">
        <f t="shared" ca="1" si="8"/>
        <v>74.673124999999999</v>
      </c>
      <c r="G18" s="33">
        <f>'Monthly Data'!AD18</f>
        <v>764464.8</v>
      </c>
      <c r="H18" s="8">
        <f>'Monthly Data'!BU18</f>
        <v>31</v>
      </c>
      <c r="I18" s="18">
        <f>'Monthly Data'!BX18</f>
        <v>0</v>
      </c>
      <c r="J18" s="30"/>
      <c r="L18" s="18">
        <f>'GS&lt;50 Predicted Monthly'!$V$8</f>
        <v>-2135516.9462582301</v>
      </c>
      <c r="M18" s="18">
        <f ca="1">E18*'GS&lt;50 Predicted Monthly'!$V$9</f>
        <v>439194.04986008507</v>
      </c>
      <c r="N18" s="18">
        <f ca="1">F18*'GS&lt;50 Predicted Monthly'!$V$10</f>
        <v>277251.93859566946</v>
      </c>
      <c r="O18" s="18">
        <f>G18*'GS&lt;50 Predicted Monthly'!$V$11</f>
        <v>1841989.3115783741</v>
      </c>
      <c r="P18" s="18">
        <f>H18*'GS&lt;50 Predicted Monthly'!$V$12</f>
        <v>1722828.0010148797</v>
      </c>
      <c r="Q18" s="18">
        <f>I18*'GS&lt;50 Predicted Monthly'!$V$13</f>
        <v>0</v>
      </c>
      <c r="R18" s="18">
        <f>J18*'GS&lt;50 Predicted Monthly'!$V$14</f>
        <v>0</v>
      </c>
      <c r="S18" s="20">
        <f t="shared" ref="S18:S81" ca="1" si="21">SUM(L18:R18)</f>
        <v>2145746.3547907784</v>
      </c>
      <c r="AJ18" s="33">
        <f t="shared" ref="AJ18" ca="1" si="22">AJ6</f>
        <v>208.10177399498693</v>
      </c>
      <c r="AK18" s="33">
        <f t="shared" ref="AK18" ca="1" si="23">AK6</f>
        <v>257.1408868815717</v>
      </c>
      <c r="AL18" s="33">
        <f t="shared" ca="1" si="14"/>
        <v>62.144727467193846</v>
      </c>
      <c r="AM18" s="33">
        <f t="shared" ca="1" si="14"/>
        <v>80.960175797507716</v>
      </c>
      <c r="AO18" s="18">
        <f ca="1">AJ18*'GS&lt;50 Predicted Monthly'!$V$9</f>
        <v>392452.60560057929</v>
      </c>
      <c r="AP18" s="18">
        <f ca="1">AK18*'GS&lt;50 Predicted Monthly'!$V$9</f>
        <v>484933.92980661301</v>
      </c>
      <c r="AQ18" s="18">
        <f ca="1">AL18*'GS&lt;50 Predicted Monthly'!$V$10</f>
        <v>230735.57138232855</v>
      </c>
      <c r="AR18" s="18">
        <f ca="1">AM18*'GS&lt;50 Predicted Monthly'!$V$10</f>
        <v>300594.96892496751</v>
      </c>
      <c r="AT18" s="31">
        <f t="shared" ca="1" si="4"/>
        <v>2052488.5433179317</v>
      </c>
      <c r="AU18" s="31">
        <f t="shared" ca="1" si="5"/>
        <v>2214829.2650666041</v>
      </c>
    </row>
    <row r="19" spans="1:47">
      <c r="A19" s="541">
        <f>'Monthly Data'!A19</f>
        <v>42887</v>
      </c>
      <c r="B19">
        <f t="shared" si="19"/>
        <v>2017</v>
      </c>
      <c r="C19">
        <f t="shared" si="20"/>
        <v>6</v>
      </c>
      <c r="D19" s="30">
        <f>'Monthly Data'!J19</f>
        <v>85147.973557692312</v>
      </c>
      <c r="E19" s="33">
        <f t="shared" ca="1" si="8"/>
        <v>92.751249999999999</v>
      </c>
      <c r="F19" s="33">
        <f t="shared" ca="1" si="8"/>
        <v>169.78833333333333</v>
      </c>
      <c r="G19" s="33">
        <f>'Monthly Data'!AD19</f>
        <v>764464.8</v>
      </c>
      <c r="H19" s="8">
        <f>'Monthly Data'!BU19</f>
        <v>30</v>
      </c>
      <c r="I19" s="18">
        <f>'Monthly Data'!BX19</f>
        <v>0</v>
      </c>
      <c r="J19" s="30"/>
      <c r="L19" s="18">
        <f>'GS&lt;50 Predicted Monthly'!$V$8</f>
        <v>-2135516.9462582301</v>
      </c>
      <c r="M19" s="18">
        <f ca="1">E19*'GS&lt;50 Predicted Monthly'!$V$9</f>
        <v>174916.67195536545</v>
      </c>
      <c r="N19" s="18">
        <f ca="1">F19*'GS&lt;50 Predicted Monthly'!$V$10</f>
        <v>630402.76629101019</v>
      </c>
      <c r="O19" s="18">
        <f>G19*'GS&lt;50 Predicted Monthly'!$V$11</f>
        <v>1841989.3115783741</v>
      </c>
      <c r="P19" s="18">
        <f>H19*'GS&lt;50 Predicted Monthly'!$V$12</f>
        <v>1667252.9042079481</v>
      </c>
      <c r="Q19" s="18">
        <f>I19*'GS&lt;50 Predicted Monthly'!$V$13</f>
        <v>0</v>
      </c>
      <c r="R19" s="18">
        <f>J19*'GS&lt;50 Predicted Monthly'!$V$14</f>
        <v>0</v>
      </c>
      <c r="S19" s="20">
        <f t="shared" ca="1" si="21"/>
        <v>2179044.7077744678</v>
      </c>
      <c r="AJ19" s="33">
        <f t="shared" ref="AJ19" ca="1" si="24">AJ7</f>
        <v>82.880152285321046</v>
      </c>
      <c r="AK19" s="33">
        <f t="shared" ref="AK19" ca="1" si="25">AK7</f>
        <v>102.41083223077457</v>
      </c>
      <c r="AL19" s="33">
        <f t="shared" ca="1" si="14"/>
        <v>141.30183653234096</v>
      </c>
      <c r="AM19" s="33">
        <f t="shared" ca="1" si="14"/>
        <v>184.0835416360639</v>
      </c>
      <c r="AO19" s="18">
        <f ca="1">AJ19*'GS&lt;50 Predicted Monthly'!$V$9</f>
        <v>156301.07851810337</v>
      </c>
      <c r="AP19" s="18">
        <f ca="1">AK19*'GS&lt;50 Predicted Monthly'!$V$9</f>
        <v>193133.37497862687</v>
      </c>
      <c r="AQ19" s="18">
        <f ca="1">AL19*'GS&lt;50 Predicted Monthly'!$V$10</f>
        <v>524635.97988861345</v>
      </c>
      <c r="AR19" s="18">
        <f ca="1">AM19*'GS&lt;50 Predicted Monthly'!$V$10</f>
        <v>683479.08008611342</v>
      </c>
      <c r="AT19" s="31">
        <f t="shared" ca="1" si="4"/>
        <v>2054662.327934809</v>
      </c>
      <c r="AU19" s="31">
        <f t="shared" ca="1" si="5"/>
        <v>2250337.7245928324</v>
      </c>
    </row>
    <row r="20" spans="1:47">
      <c r="A20" s="541">
        <f>'Monthly Data'!A20</f>
        <v>42917</v>
      </c>
      <c r="B20">
        <f t="shared" si="19"/>
        <v>2017</v>
      </c>
      <c r="C20">
        <f t="shared" si="20"/>
        <v>7</v>
      </c>
      <c r="D20" s="30">
        <f>'Monthly Data'!J20</f>
        <v>89537.734775641031</v>
      </c>
      <c r="E20" s="33">
        <f t="shared" ca="1" si="8"/>
        <v>25.464999999999996</v>
      </c>
      <c r="F20" s="33">
        <f t="shared" ca="1" si="8"/>
        <v>265.99625000000003</v>
      </c>
      <c r="G20" s="33">
        <f>'Monthly Data'!AD20</f>
        <v>764464.8</v>
      </c>
      <c r="H20" s="8">
        <f>'Monthly Data'!BU20</f>
        <v>31</v>
      </c>
      <c r="I20" s="18">
        <f>'Monthly Data'!BX20</f>
        <v>0</v>
      </c>
      <c r="J20" s="30"/>
      <c r="L20" s="18">
        <f>'GS&lt;50 Predicted Monthly'!$V$8</f>
        <v>-2135516.9462582301</v>
      </c>
      <c r="M20" s="18">
        <f ca="1">E20*'GS&lt;50 Predicted Monthly'!$V$9</f>
        <v>48023.644439760981</v>
      </c>
      <c r="N20" s="18">
        <f ca="1">F20*'GS&lt;50 Predicted Monthly'!$V$10</f>
        <v>987610.68284845934</v>
      </c>
      <c r="O20" s="18">
        <f>G20*'GS&lt;50 Predicted Monthly'!$V$11</f>
        <v>1841989.3115783741</v>
      </c>
      <c r="P20" s="18">
        <f>H20*'GS&lt;50 Predicted Monthly'!$V$12</f>
        <v>1722828.0010148797</v>
      </c>
      <c r="Q20" s="18">
        <f>I20*'GS&lt;50 Predicted Monthly'!$V$13</f>
        <v>0</v>
      </c>
      <c r="R20" s="18">
        <f>J20*'GS&lt;50 Predicted Monthly'!$V$14</f>
        <v>0</v>
      </c>
      <c r="S20" s="20">
        <f t="shared" ca="1" si="21"/>
        <v>2464934.6936232438</v>
      </c>
      <c r="AJ20" s="33">
        <f t="shared" ref="AJ20" ca="1" si="26">AJ8</f>
        <v>22.754874763905612</v>
      </c>
      <c r="AK20" s="33">
        <f t="shared" ref="AK20" ca="1" si="27">AK8</f>
        <v>28.117053330889604</v>
      </c>
      <c r="AL20" s="33">
        <f t="shared" ca="1" si="14"/>
        <v>221.36832312221517</v>
      </c>
      <c r="AM20" s="33">
        <f t="shared" ca="1" si="14"/>
        <v>288.39161561107579</v>
      </c>
      <c r="AO20" s="18">
        <f ca="1">AJ20*'GS&lt;50 Predicted Monthly'!$V$9</f>
        <v>42912.704297392243</v>
      </c>
      <c r="AP20" s="18">
        <f ca="1">AK20*'GS&lt;50 Predicted Monthly'!$V$9</f>
        <v>53025.068598328675</v>
      </c>
      <c r="AQ20" s="18">
        <f ca="1">AL20*'GS&lt;50 Predicted Monthly'!$V$10</f>
        <v>821912.7929801615</v>
      </c>
      <c r="AR20" s="18">
        <f ca="1">AM20*'GS&lt;50 Predicted Monthly'!$V$10</f>
        <v>1070761.8638286251</v>
      </c>
      <c r="AT20" s="31">
        <f t="shared" ca="1" si="4"/>
        <v>2294125.8636125773</v>
      </c>
      <c r="AU20" s="31">
        <f t="shared" ca="1" si="5"/>
        <v>2553087.2987619769</v>
      </c>
    </row>
    <row r="21" spans="1:47">
      <c r="A21" s="541">
        <f>'Monthly Data'!A21</f>
        <v>42948</v>
      </c>
      <c r="B21">
        <f t="shared" si="19"/>
        <v>2017</v>
      </c>
      <c r="C21">
        <f t="shared" si="20"/>
        <v>8</v>
      </c>
      <c r="D21" s="30">
        <f>'Monthly Data'!J21</f>
        <v>93927.49599358975</v>
      </c>
      <c r="E21" s="33">
        <f t="shared" ca="1" si="8"/>
        <v>54.974791666666668</v>
      </c>
      <c r="F21" s="33">
        <f t="shared" ca="1" si="8"/>
        <v>218.46562499999996</v>
      </c>
      <c r="G21" s="33">
        <f>'Monthly Data'!AD21</f>
        <v>764464.8</v>
      </c>
      <c r="H21" s="8">
        <f>'Monthly Data'!BU21</f>
        <v>31</v>
      </c>
      <c r="I21" s="18">
        <f>'Monthly Data'!BX21</f>
        <v>0</v>
      </c>
      <c r="J21" s="30"/>
      <c r="L21" s="18">
        <f>'GS&lt;50 Predicted Monthly'!$V$8</f>
        <v>-2135516.9462582301</v>
      </c>
      <c r="M21" s="18">
        <f ca="1">E21*'GS&lt;50 Predicted Monthly'!$V$9</f>
        <v>103675.23456312333</v>
      </c>
      <c r="N21" s="18">
        <f ca="1">F21*'GS&lt;50 Predicted Monthly'!$V$10</f>
        <v>811135.43925963389</v>
      </c>
      <c r="O21" s="18">
        <f>G21*'GS&lt;50 Predicted Monthly'!$V$11</f>
        <v>1841989.3115783741</v>
      </c>
      <c r="P21" s="18">
        <f>H21*'GS&lt;50 Predicted Monthly'!$V$12</f>
        <v>1722828.0010148797</v>
      </c>
      <c r="Q21" s="18">
        <f>I21*'GS&lt;50 Predicted Monthly'!$V$13</f>
        <v>0</v>
      </c>
      <c r="R21" s="18">
        <f>J21*'GS&lt;50 Predicted Monthly'!$V$14</f>
        <v>0</v>
      </c>
      <c r="S21" s="20">
        <f t="shared" ca="1" si="21"/>
        <v>2344111.040157781</v>
      </c>
      <c r="AJ21" s="33">
        <f t="shared" ref="AJ21" ca="1" si="28">AJ9</f>
        <v>49.124072238240799</v>
      </c>
      <c r="AK21" s="33">
        <f t="shared" ref="AK21" ca="1" si="29">AK9</f>
        <v>60.700143300459935</v>
      </c>
      <c r="AL21" s="33">
        <f t="shared" ca="1" si="14"/>
        <v>181.81222128543794</v>
      </c>
      <c r="AM21" s="33">
        <f t="shared" ca="1" si="14"/>
        <v>236.85918335026682</v>
      </c>
      <c r="AO21" s="18">
        <f ca="1">AJ21*'GS&lt;50 Predicted Monthly'!$V$9</f>
        <v>92641.546381402324</v>
      </c>
      <c r="AP21" s="18">
        <f ca="1">AK21*'GS&lt;50 Predicted Monthly'!$V$9</f>
        <v>114472.49555483322</v>
      </c>
      <c r="AQ21" s="18">
        <f ca="1">AL21*'GS&lt;50 Predicted Monthly'!$V$10</f>
        <v>675045.9527677797</v>
      </c>
      <c r="AR21" s="18">
        <f ca="1">AM21*'GS&lt;50 Predicted Monthly'!$V$10</f>
        <v>879428.41227079486</v>
      </c>
      <c r="AT21" s="31">
        <f t="shared" ca="1" si="4"/>
        <v>2196987.865484206</v>
      </c>
      <c r="AU21" s="31">
        <f t="shared" ca="1" si="5"/>
        <v>2423201.274160652</v>
      </c>
    </row>
    <row r="22" spans="1:47">
      <c r="A22" s="541">
        <f>'Monthly Data'!A22</f>
        <v>42979</v>
      </c>
      <c r="B22">
        <f t="shared" si="19"/>
        <v>2017</v>
      </c>
      <c r="C22">
        <f t="shared" si="20"/>
        <v>9</v>
      </c>
      <c r="D22" s="30">
        <f>'Monthly Data'!J22</f>
        <v>98317.257211538468</v>
      </c>
      <c r="E22" s="33">
        <f t="shared" ca="1" si="8"/>
        <v>166.50624999999999</v>
      </c>
      <c r="F22" s="33">
        <f t="shared" ca="1" si="8"/>
        <v>95.131249999999994</v>
      </c>
      <c r="G22" s="33">
        <f>'Monthly Data'!AD22</f>
        <v>764464.8</v>
      </c>
      <c r="H22" s="8">
        <f>'Monthly Data'!BU22</f>
        <v>30</v>
      </c>
      <c r="I22" s="18">
        <f>'Monthly Data'!BX22</f>
        <v>0</v>
      </c>
      <c r="J22" s="30"/>
      <c r="L22" s="18">
        <f>'GS&lt;50 Predicted Monthly'!$V$8</f>
        <v>-2135516.9462582301</v>
      </c>
      <c r="M22" s="18">
        <f ca="1">E22*'GS&lt;50 Predicted Monthly'!$V$9</f>
        <v>314008.9121145868</v>
      </c>
      <c r="N22" s="18">
        <f ca="1">F22*'GS&lt;50 Predicted Monthly'!$V$10</f>
        <v>353210.38838978927</v>
      </c>
      <c r="O22" s="18">
        <f>G22*'GS&lt;50 Predicted Monthly'!$V$11</f>
        <v>1841989.3115783741</v>
      </c>
      <c r="P22" s="18">
        <f>H22*'GS&lt;50 Predicted Monthly'!$V$12</f>
        <v>1667252.9042079481</v>
      </c>
      <c r="Q22" s="18">
        <f>I22*'GS&lt;50 Predicted Monthly'!$V$13</f>
        <v>0</v>
      </c>
      <c r="R22" s="18">
        <f>J22*'GS&lt;50 Predicted Monthly'!$V$14</f>
        <v>0</v>
      </c>
      <c r="S22" s="20">
        <f t="shared" ca="1" si="21"/>
        <v>2040944.5700324681</v>
      </c>
      <c r="AJ22" s="33">
        <f t="shared" ref="AJ22" ca="1" si="30">AJ10</f>
        <v>148.78573988445157</v>
      </c>
      <c r="AK22" s="33">
        <f t="shared" ref="AK22" ca="1" si="31">AK10</f>
        <v>183.84704932952829</v>
      </c>
      <c r="AL22" s="33">
        <f t="shared" ca="1" si="14"/>
        <v>79.170459316701752</v>
      </c>
      <c r="AM22" s="33">
        <f t="shared" ca="1" si="14"/>
        <v>103.14075812197032</v>
      </c>
      <c r="AO22" s="18">
        <f ca="1">AJ22*'GS&lt;50 Predicted Monthly'!$V$9</f>
        <v>280590.35813538847</v>
      </c>
      <c r="AP22" s="18">
        <f ca="1">AK22*'GS&lt;50 Predicted Monthly'!$V$9</f>
        <v>346711.3814372851</v>
      </c>
      <c r="AQ22" s="18">
        <f ca="1">AL22*'GS&lt;50 Predicted Monthly'!$V$10</f>
        <v>293949.9763143051</v>
      </c>
      <c r="AR22" s="18">
        <f ca="1">AM22*'GS&lt;50 Predicted Monthly'!$V$10</f>
        <v>382948.68652602012</v>
      </c>
      <c r="AT22" s="31">
        <f t="shared" ca="1" si="4"/>
        <v>1948265.6039777854</v>
      </c>
      <c r="AU22" s="31">
        <f t="shared" ca="1" si="5"/>
        <v>2103385.3374913973</v>
      </c>
    </row>
    <row r="23" spans="1:47">
      <c r="A23" s="541">
        <f>'Monthly Data'!A23</f>
        <v>43009</v>
      </c>
      <c r="B23">
        <f t="shared" si="19"/>
        <v>2017</v>
      </c>
      <c r="C23">
        <f t="shared" si="20"/>
        <v>10</v>
      </c>
      <c r="D23" s="30">
        <f>'Monthly Data'!J23</f>
        <v>102707.01842948719</v>
      </c>
      <c r="E23" s="33">
        <f t="shared" ca="1" si="8"/>
        <v>363.47645833333326</v>
      </c>
      <c r="F23" s="33">
        <f t="shared" ca="1" si="8"/>
        <v>21.813750000000006</v>
      </c>
      <c r="G23" s="33">
        <f>'Monthly Data'!AD23</f>
        <v>764464.8</v>
      </c>
      <c r="H23" s="8">
        <f>'Monthly Data'!BU23</f>
        <v>31</v>
      </c>
      <c r="I23" s="18">
        <f>'Monthly Data'!BX23</f>
        <v>0</v>
      </c>
      <c r="J23" s="30"/>
      <c r="L23" s="18">
        <f>'GS&lt;50 Predicted Monthly'!$V$8</f>
        <v>-2135516.9462582301</v>
      </c>
      <c r="M23" s="18">
        <f ca="1">E23*'GS&lt;50 Predicted Monthly'!$V$9</f>
        <v>685468.84732863132</v>
      </c>
      <c r="N23" s="18">
        <f ca="1">F23*'GS&lt;50 Predicted Monthly'!$V$10</f>
        <v>80991.715232773335</v>
      </c>
      <c r="O23" s="18">
        <f>G23*'GS&lt;50 Predicted Monthly'!$V$11</f>
        <v>1841989.3115783741</v>
      </c>
      <c r="P23" s="18">
        <f>H23*'GS&lt;50 Predicted Monthly'!$V$12</f>
        <v>1722828.0010148797</v>
      </c>
      <c r="Q23" s="18">
        <f>I23*'GS&lt;50 Predicted Monthly'!$V$13</f>
        <v>0</v>
      </c>
      <c r="R23" s="18">
        <f>J23*'GS&lt;50 Predicted Monthly'!$V$14</f>
        <v>0</v>
      </c>
      <c r="S23" s="20">
        <f t="shared" ca="1" si="21"/>
        <v>2195760.9288964281</v>
      </c>
      <c r="AJ23" s="33">
        <f t="shared" ref="AJ23" ca="1" si="32">AJ11</f>
        <v>324.79329624987065</v>
      </c>
      <c r="AK23" s="33">
        <f t="shared" ref="AK23" ca="1" si="33">AK11</f>
        <v>401.33072701673694</v>
      </c>
      <c r="AL23" s="33">
        <f t="shared" ca="1" si="14"/>
        <v>18.153914795818444</v>
      </c>
      <c r="AM23" s="33">
        <f t="shared" ca="1" si="14"/>
        <v>23.650343209861436</v>
      </c>
      <c r="AO23" s="18">
        <f ca="1">AJ23*'GS&lt;50 Predicted Monthly'!$V$9</f>
        <v>612517.48578526394</v>
      </c>
      <c r="AP23" s="18">
        <f ca="1">AK23*'GS&lt;50 Predicted Monthly'!$V$9</f>
        <v>756857.0248184785</v>
      </c>
      <c r="AQ23" s="18">
        <f ca="1">AL23*'GS&lt;50 Predicted Monthly'!$V$10</f>
        <v>67403.206578555153</v>
      </c>
      <c r="AR23" s="18">
        <f ca="1">AM23*'GS&lt;50 Predicted Monthly'!$V$10</f>
        <v>87810.755253473209</v>
      </c>
      <c r="AT23" s="31">
        <f t="shared" ca="1" si="4"/>
        <v>2109221.0586988423</v>
      </c>
      <c r="AU23" s="31">
        <f t="shared" ca="1" si="5"/>
        <v>2273968.1464069751</v>
      </c>
    </row>
    <row r="24" spans="1:47">
      <c r="A24" s="541">
        <f>'Monthly Data'!A24</f>
        <v>43040</v>
      </c>
      <c r="B24">
        <f t="shared" si="19"/>
        <v>2017</v>
      </c>
      <c r="C24">
        <f t="shared" si="20"/>
        <v>11</v>
      </c>
      <c r="D24" s="30">
        <f>'Monthly Data'!J24</f>
        <v>107096.77964743591</v>
      </c>
      <c r="E24" s="33">
        <f t="shared" ca="1" si="8"/>
        <v>586.00395833333334</v>
      </c>
      <c r="F24" s="33">
        <f t="shared" ca="1" si="8"/>
        <v>2.2795833333333335</v>
      </c>
      <c r="G24" s="33">
        <f>'Monthly Data'!AD24</f>
        <v>764464.8</v>
      </c>
      <c r="H24" s="8">
        <f>'Monthly Data'!BU24</f>
        <v>30</v>
      </c>
      <c r="I24" s="18">
        <f>'Monthly Data'!BX24</f>
        <v>0</v>
      </c>
      <c r="J24" s="30"/>
      <c r="L24" s="18">
        <f>'GS&lt;50 Predicted Monthly'!$V$8</f>
        <v>-2135516.9462582301</v>
      </c>
      <c r="M24" s="18">
        <f ca="1">E24*'GS&lt;50 Predicted Monthly'!$V$9</f>
        <v>1105126.4769406053</v>
      </c>
      <c r="N24" s="18">
        <f ca="1">F24*'GS&lt;50 Predicted Monthly'!$V$10</f>
        <v>8463.8067357840573</v>
      </c>
      <c r="O24" s="18">
        <f>G24*'GS&lt;50 Predicted Monthly'!$V$11</f>
        <v>1841989.3115783741</v>
      </c>
      <c r="P24" s="18">
        <f>H24*'GS&lt;50 Predicted Monthly'!$V$12</f>
        <v>1667252.9042079481</v>
      </c>
      <c r="Q24" s="18">
        <f>I24*'GS&lt;50 Predicted Monthly'!$V$13</f>
        <v>0</v>
      </c>
      <c r="R24" s="18">
        <f>J24*'GS&lt;50 Predicted Monthly'!$V$14</f>
        <v>0</v>
      </c>
      <c r="S24" s="20">
        <f t="shared" ca="1" si="21"/>
        <v>2487315.5532044815</v>
      </c>
      <c r="AJ24" s="33">
        <f t="shared" ref="AJ24" ca="1" si="34">AJ12</f>
        <v>523.63819685953126</v>
      </c>
      <c r="AK24" s="33">
        <f t="shared" ref="AK24" ca="1" si="35">AK12</f>
        <v>647.03336142041019</v>
      </c>
      <c r="AL24" s="33">
        <f t="shared" ca="1" si="14"/>
        <v>1.8971227598785685</v>
      </c>
      <c r="AM24" s="33">
        <f t="shared" ca="1" si="14"/>
        <v>2.4715112352902775</v>
      </c>
      <c r="AO24" s="18">
        <f ca="1">AJ24*'GS&lt;50 Predicted Monthly'!$V$9</f>
        <v>987512.84433770669</v>
      </c>
      <c r="AP24" s="18">
        <f ca="1">AK24*'GS&lt;50 Predicted Monthly'!$V$9</f>
        <v>1220219.913195254</v>
      </c>
      <c r="AQ24" s="18">
        <f ca="1">AL24*'GS&lt;50 Predicted Monthly'!$V$10</f>
        <v>7043.7786409809405</v>
      </c>
      <c r="AR24" s="18">
        <f ca="1">AM24*'GS&lt;50 Predicted Monthly'!$V$10</f>
        <v>9176.4109409537541</v>
      </c>
      <c r="AT24" s="31">
        <f t="shared" ca="1" si="4"/>
        <v>2368281.8925067796</v>
      </c>
      <c r="AU24" s="31">
        <f t="shared" ca="1" si="5"/>
        <v>2603121.5936642997</v>
      </c>
    </row>
    <row r="25" spans="1:47">
      <c r="A25" s="541">
        <f>'Monthly Data'!A25</f>
        <v>43070</v>
      </c>
      <c r="B25">
        <f t="shared" si="19"/>
        <v>2017</v>
      </c>
      <c r="C25">
        <f t="shared" si="20"/>
        <v>12</v>
      </c>
      <c r="D25" s="30">
        <f>'Monthly Data'!J25</f>
        <v>28984020.540865384</v>
      </c>
      <c r="E25" s="33">
        <f t="shared" ca="1" si="8"/>
        <v>812.36333333333334</v>
      </c>
      <c r="F25" s="33">
        <f t="shared" ca="1" si="8"/>
        <v>0</v>
      </c>
      <c r="G25" s="33">
        <f>'Monthly Data'!AD25</f>
        <v>764464.8</v>
      </c>
      <c r="H25" s="8">
        <f>'Monthly Data'!BU25</f>
        <v>31</v>
      </c>
      <c r="I25" s="18">
        <f>'Monthly Data'!BX25</f>
        <v>0</v>
      </c>
      <c r="J25" s="30"/>
      <c r="L25" s="18">
        <f>'GS&lt;50 Predicted Monthly'!$V$8</f>
        <v>-2135516.9462582301</v>
      </c>
      <c r="M25" s="18">
        <f ca="1">E25*'GS&lt;50 Predicted Monthly'!$V$9</f>
        <v>1532010.5193755757</v>
      </c>
      <c r="N25" s="18">
        <f ca="1">F25*'GS&lt;50 Predicted Monthly'!$V$10</f>
        <v>0</v>
      </c>
      <c r="O25" s="18">
        <f>G25*'GS&lt;50 Predicted Monthly'!$V$11</f>
        <v>1841989.3115783741</v>
      </c>
      <c r="P25" s="18">
        <f>H25*'GS&lt;50 Predicted Monthly'!$V$12</f>
        <v>1722828.0010148797</v>
      </c>
      <c r="Q25" s="18">
        <f>I25*'GS&lt;50 Predicted Monthly'!$V$13</f>
        <v>0</v>
      </c>
      <c r="R25" s="18">
        <f>J25*'GS&lt;50 Predicted Monthly'!$V$14</f>
        <v>0</v>
      </c>
      <c r="S25" s="20">
        <f t="shared" ca="1" si="21"/>
        <v>2961310.8857105994</v>
      </c>
      <c r="AJ25" s="33">
        <f t="shared" ref="AJ25" ca="1" si="36">AJ13</f>
        <v>725.90716327464804</v>
      </c>
      <c r="AK25" s="33">
        <f t="shared" ref="AK25" ca="1" si="37">AK13</f>
        <v>896.96694158227319</v>
      </c>
      <c r="AL25" s="33">
        <f t="shared" ca="1" si="14"/>
        <v>0</v>
      </c>
      <c r="AM25" s="33">
        <f t="shared" ca="1" si="14"/>
        <v>0</v>
      </c>
      <c r="AO25" s="18">
        <f ca="1">AJ25*'GS&lt;50 Predicted Monthly'!$V$9</f>
        <v>1368965.5411497045</v>
      </c>
      <c r="AP25" s="18">
        <f ca="1">AK25*'GS&lt;50 Predicted Monthly'!$V$9</f>
        <v>1691561.809415549</v>
      </c>
      <c r="AQ25" s="18">
        <f ca="1">AL25*'GS&lt;50 Predicted Monthly'!$V$10</f>
        <v>0</v>
      </c>
      <c r="AR25" s="18">
        <f ca="1">AM25*'GS&lt;50 Predicted Monthly'!$V$10</f>
        <v>0</v>
      </c>
      <c r="AT25" s="31">
        <f t="shared" ca="1" si="4"/>
        <v>2798265.9074847279</v>
      </c>
      <c r="AU25" s="31">
        <f t="shared" ca="1" si="5"/>
        <v>3120862.1757505727</v>
      </c>
    </row>
    <row r="26" spans="1:47">
      <c r="A26" s="541">
        <f>'Monthly Data'!A26</f>
        <v>43101</v>
      </c>
      <c r="B26">
        <f t="shared" si="19"/>
        <v>2018</v>
      </c>
      <c r="C26">
        <f t="shared" si="20"/>
        <v>1</v>
      </c>
      <c r="D26" s="30">
        <f>'Monthly Data'!J26</f>
        <v>116499.30518896331</v>
      </c>
      <c r="E26" s="33">
        <f t="shared" ca="1" si="8"/>
        <v>914.55166666666662</v>
      </c>
      <c r="F26" s="33">
        <f t="shared" ca="1" si="8"/>
        <v>0</v>
      </c>
      <c r="G26" s="33">
        <f>'Monthly Data'!AD26</f>
        <v>789531.6</v>
      </c>
      <c r="H26" s="8">
        <f>'Monthly Data'!BU26</f>
        <v>31</v>
      </c>
      <c r="I26" s="18">
        <f>'Monthly Data'!BX26</f>
        <v>0</v>
      </c>
      <c r="J26" s="30"/>
      <c r="L26" s="18">
        <f>'GS&lt;50 Predicted Monthly'!$V$8</f>
        <v>-2135516.9462582301</v>
      </c>
      <c r="M26" s="18">
        <f ca="1">E26*'GS&lt;50 Predicted Monthly'!$V$9</f>
        <v>1724724.2906652587</v>
      </c>
      <c r="N26" s="18">
        <f ca="1">F26*'GS&lt;50 Predicted Monthly'!$V$10</f>
        <v>0</v>
      </c>
      <c r="O26" s="18">
        <f>G26*'GS&lt;50 Predicted Monthly'!$V$11</f>
        <v>1902388.139196693</v>
      </c>
      <c r="P26" s="18">
        <f>H26*'GS&lt;50 Predicted Monthly'!$V$12</f>
        <v>1722828.0010148797</v>
      </c>
      <c r="Q26" s="18">
        <f>I26*'GS&lt;50 Predicted Monthly'!$V$13</f>
        <v>0</v>
      </c>
      <c r="R26" s="18">
        <f>J26*'GS&lt;50 Predicted Monthly'!$V$14</f>
        <v>0</v>
      </c>
      <c r="S26" s="20">
        <f t="shared" ca="1" si="21"/>
        <v>3214423.4846186014</v>
      </c>
      <c r="AJ26" s="33">
        <f t="shared" ref="AJ26" ca="1" si="38">AJ14</f>
        <v>817.22005262600237</v>
      </c>
      <c r="AK26" s="33">
        <f t="shared" ref="AK26" ca="1" si="39">AK14</f>
        <v>1009.7976825258449</v>
      </c>
      <c r="AL26" s="33">
        <f t="shared" ca="1" si="14"/>
        <v>0</v>
      </c>
      <c r="AM26" s="33">
        <f t="shared" ca="1" si="14"/>
        <v>0</v>
      </c>
      <c r="AO26" s="18">
        <f ca="1">AJ26*'GS&lt;50 Predicted Monthly'!$V$9</f>
        <v>1541169.6538917692</v>
      </c>
      <c r="AP26" s="18">
        <f ca="1">AK26*'GS&lt;50 Predicted Monthly'!$V$9</f>
        <v>1904345.7632717781</v>
      </c>
      <c r="AQ26" s="18">
        <f ca="1">AL26*'GS&lt;50 Predicted Monthly'!$V$10</f>
        <v>0</v>
      </c>
      <c r="AR26" s="18">
        <f ca="1">AM26*'GS&lt;50 Predicted Monthly'!$V$10</f>
        <v>0</v>
      </c>
      <c r="AT26" s="31">
        <f t="shared" ca="1" si="4"/>
        <v>3030868.847845112</v>
      </c>
      <c r="AU26" s="31">
        <f t="shared" ca="1" si="5"/>
        <v>3394044.9572251206</v>
      </c>
    </row>
    <row r="27" spans="1:47">
      <c r="A27" s="541">
        <f>'Monthly Data'!A27</f>
        <v>43132</v>
      </c>
      <c r="B27">
        <f t="shared" si="19"/>
        <v>2018</v>
      </c>
      <c r="C27">
        <f t="shared" si="20"/>
        <v>2</v>
      </c>
      <c r="D27" s="30">
        <f>'Monthly Data'!J27</f>
        <v>120386.83199193618</v>
      </c>
      <c r="E27" s="33">
        <f t="shared" ca="1" si="8"/>
        <v>803.82854166666664</v>
      </c>
      <c r="F27" s="33">
        <f t="shared" ca="1" si="8"/>
        <v>0</v>
      </c>
      <c r="G27" s="33">
        <f>'Monthly Data'!AD27</f>
        <v>789531.6</v>
      </c>
      <c r="H27" s="8">
        <f>'Monthly Data'!BU27</f>
        <v>29</v>
      </c>
      <c r="I27" s="18">
        <f>'Monthly Data'!BX27</f>
        <v>0</v>
      </c>
      <c r="J27" s="30"/>
      <c r="L27" s="18">
        <f>'GS&lt;50 Predicted Monthly'!$V$8</f>
        <v>-2135516.9462582301</v>
      </c>
      <c r="M27" s="18">
        <f ca="1">E27*'GS&lt;50 Predicted Monthly'!$V$9</f>
        <v>1515915.0235826271</v>
      </c>
      <c r="N27" s="18">
        <f ca="1">F27*'GS&lt;50 Predicted Monthly'!$V$10</f>
        <v>0</v>
      </c>
      <c r="O27" s="18">
        <f>G27*'GS&lt;50 Predicted Monthly'!$V$11</f>
        <v>1902388.139196693</v>
      </c>
      <c r="P27" s="18">
        <f>H27*'GS&lt;50 Predicted Monthly'!$V$12</f>
        <v>1611677.8074010164</v>
      </c>
      <c r="Q27" s="18">
        <f>I27*'GS&lt;50 Predicted Monthly'!$V$13</f>
        <v>0</v>
      </c>
      <c r="R27" s="18">
        <f>J27*'GS&lt;50 Predicted Monthly'!$V$14</f>
        <v>0</v>
      </c>
      <c r="S27" s="20">
        <f t="shared" ca="1" si="21"/>
        <v>2894464.0239221063</v>
      </c>
      <c r="AJ27" s="33">
        <f t="shared" ref="AJ27" ca="1" si="40">AJ15</f>
        <v>718.28069103781206</v>
      </c>
      <c r="AK27" s="33">
        <f t="shared" ref="AK27" ca="1" si="41">AK15</f>
        <v>887.54329373386554</v>
      </c>
      <c r="AL27" s="33">
        <f t="shared" ca="1" si="14"/>
        <v>0</v>
      </c>
      <c r="AM27" s="33">
        <f t="shared" ca="1" si="14"/>
        <v>0</v>
      </c>
      <c r="AO27" s="18">
        <f ca="1">AJ27*'GS&lt;50 Predicted Monthly'!$V$9</f>
        <v>1354583.0164675321</v>
      </c>
      <c r="AP27" s="18">
        <f ca="1">AK27*'GS&lt;50 Predicted Monthly'!$V$9</f>
        <v>1673790.047640664</v>
      </c>
      <c r="AQ27" s="18">
        <f ca="1">AL27*'GS&lt;50 Predicted Monthly'!$V$10</f>
        <v>0</v>
      </c>
      <c r="AR27" s="18">
        <f ca="1">AM27*'GS&lt;50 Predicted Monthly'!$V$10</f>
        <v>0</v>
      </c>
      <c r="AT27" s="31">
        <f t="shared" ca="1" si="4"/>
        <v>2733132.0168070113</v>
      </c>
      <c r="AU27" s="31">
        <f t="shared" ca="1" si="5"/>
        <v>3052339.0479801432</v>
      </c>
    </row>
    <row r="28" spans="1:47">
      <c r="A28" s="541">
        <f>'Monthly Data'!A28</f>
        <v>43160</v>
      </c>
      <c r="B28">
        <f t="shared" si="19"/>
        <v>2018</v>
      </c>
      <c r="C28">
        <f t="shared" si="20"/>
        <v>3</v>
      </c>
      <c r="D28" s="30">
        <f>'Monthly Data'!J28</f>
        <v>124274.35879490906</v>
      </c>
      <c r="E28" s="33">
        <f t="shared" ca="1" si="8"/>
        <v>698.29604166666672</v>
      </c>
      <c r="F28" s="33">
        <f t="shared" ca="1" si="8"/>
        <v>0</v>
      </c>
      <c r="G28" s="33">
        <f>'Monthly Data'!AD28</f>
        <v>789531.6</v>
      </c>
      <c r="H28" s="8">
        <f>'Monthly Data'!BU28</f>
        <v>31</v>
      </c>
      <c r="I28" s="18">
        <f>'Monthly Data'!BX28</f>
        <v>0</v>
      </c>
      <c r="J28" s="30"/>
      <c r="L28" s="18">
        <f>'GS&lt;50 Predicted Monthly'!$V$8</f>
        <v>-2135516.9462582301</v>
      </c>
      <c r="M28" s="18">
        <f ca="1">E28*'GS&lt;50 Predicted Monthly'!$V$9</f>
        <v>1316894.5933120961</v>
      </c>
      <c r="N28" s="18">
        <f ca="1">F28*'GS&lt;50 Predicted Monthly'!$V$10</f>
        <v>0</v>
      </c>
      <c r="O28" s="18">
        <f>G28*'GS&lt;50 Predicted Monthly'!$V$11</f>
        <v>1902388.139196693</v>
      </c>
      <c r="P28" s="18">
        <f>H28*'GS&lt;50 Predicted Monthly'!$V$12</f>
        <v>1722828.0010148797</v>
      </c>
      <c r="Q28" s="18">
        <f>I28*'GS&lt;50 Predicted Monthly'!$V$13</f>
        <v>0</v>
      </c>
      <c r="R28" s="18">
        <f>J28*'GS&lt;50 Predicted Monthly'!$V$14</f>
        <v>0</v>
      </c>
      <c r="S28" s="20">
        <f t="shared" ca="1" si="21"/>
        <v>2806593.7872654386</v>
      </c>
      <c r="AJ28" s="33">
        <f t="shared" ref="AJ28" ca="1" si="42">AJ16</f>
        <v>623.97953961343092</v>
      </c>
      <c r="AK28" s="33">
        <f t="shared" ref="AK28" ca="1" si="43">AK16</f>
        <v>771.02010776716202</v>
      </c>
      <c r="AL28" s="33">
        <f t="shared" ca="1" si="14"/>
        <v>0</v>
      </c>
      <c r="AM28" s="33">
        <f t="shared" ca="1" si="14"/>
        <v>0</v>
      </c>
      <c r="AO28" s="18">
        <f ca="1">AJ28*'GS&lt;50 Predicted Monthly'!$V$9</f>
        <v>1176743.4340499181</v>
      </c>
      <c r="AP28" s="18">
        <f ca="1">AK28*'GS&lt;50 Predicted Monthly'!$V$9</f>
        <v>1454042.6275796737</v>
      </c>
      <c r="AQ28" s="18">
        <f ca="1">AL28*'GS&lt;50 Predicted Monthly'!$V$10</f>
        <v>0</v>
      </c>
      <c r="AR28" s="18">
        <f ca="1">AM28*'GS&lt;50 Predicted Monthly'!$V$10</f>
        <v>0</v>
      </c>
      <c r="AT28" s="31">
        <f t="shared" ca="1" si="4"/>
        <v>2666442.6280032606</v>
      </c>
      <c r="AU28" s="31">
        <f t="shared" ca="1" si="5"/>
        <v>2943741.8215330159</v>
      </c>
    </row>
    <row r="29" spans="1:47">
      <c r="A29" s="541">
        <f>'Monthly Data'!A29</f>
        <v>43191</v>
      </c>
      <c r="B29">
        <f t="shared" si="19"/>
        <v>2018</v>
      </c>
      <c r="C29">
        <f t="shared" si="20"/>
        <v>4</v>
      </c>
      <c r="D29" s="30">
        <f>'Monthly Data'!J29</f>
        <v>128161.88559788195</v>
      </c>
      <c r="E29" s="33">
        <f t="shared" ca="1" si="8"/>
        <v>468.60374999999993</v>
      </c>
      <c r="F29" s="33">
        <f t="shared" ca="1" si="8"/>
        <v>2.8104166666666677</v>
      </c>
      <c r="G29" s="33">
        <f>'Monthly Data'!AD29</f>
        <v>789531.6</v>
      </c>
      <c r="H29" s="8">
        <f>'Monthly Data'!BU29</f>
        <v>30</v>
      </c>
      <c r="I29" s="18">
        <f>'Monthly Data'!BX29</f>
        <v>0</v>
      </c>
      <c r="J29" s="30"/>
      <c r="L29" s="18">
        <f>'GS&lt;50 Predicted Monthly'!$V$8</f>
        <v>-2135516.9462582301</v>
      </c>
      <c r="M29" s="18">
        <f ca="1">E29*'GS&lt;50 Predicted Monthly'!$V$9</f>
        <v>883725.10791826609</v>
      </c>
      <c r="N29" s="18">
        <f ca="1">F29*'GS&lt;50 Predicted Monthly'!$V$10</f>
        <v>10434.724261170442</v>
      </c>
      <c r="O29" s="18">
        <f>G29*'GS&lt;50 Predicted Monthly'!$V$11</f>
        <v>1902388.139196693</v>
      </c>
      <c r="P29" s="18">
        <f>H29*'GS&lt;50 Predicted Monthly'!$V$12</f>
        <v>1667252.9042079481</v>
      </c>
      <c r="Q29" s="18">
        <f>I29*'GS&lt;50 Predicted Monthly'!$V$13</f>
        <v>0</v>
      </c>
      <c r="R29" s="18">
        <f>J29*'GS&lt;50 Predicted Monthly'!$V$14</f>
        <v>0</v>
      </c>
      <c r="S29" s="20">
        <f t="shared" ca="1" si="21"/>
        <v>2328283.9293258479</v>
      </c>
      <c r="AJ29" s="33">
        <f t="shared" ref="AJ29" ca="1" si="44">AJ17</f>
        <v>418.73236383846591</v>
      </c>
      <c r="AK29" s="33">
        <f t="shared" ref="AK29" ca="1" si="45">AK17</f>
        <v>517.40650421381736</v>
      </c>
      <c r="AL29" s="33">
        <f t="shared" ca="1" si="14"/>
        <v>2.33889472041326</v>
      </c>
      <c r="AM29" s="33">
        <f t="shared" ca="1" si="14"/>
        <v>3.0470377046304016</v>
      </c>
      <c r="AO29" s="18">
        <f ca="1">AJ29*'GS&lt;50 Predicted Monthly'!$V$9</f>
        <v>789674.22565871268</v>
      </c>
      <c r="AP29" s="18">
        <f ca="1">AK29*'GS&lt;50 Predicted Monthly'!$V$9</f>
        <v>975760.69071997097</v>
      </c>
      <c r="AQ29" s="18">
        <f ca="1">AL29*'GS&lt;50 Predicted Monthly'!$V$10</f>
        <v>8684.0224700084891</v>
      </c>
      <c r="AR29" s="18">
        <f ca="1">AM29*'GS&lt;50 Predicted Monthly'!$V$10</f>
        <v>11313.26846951802</v>
      </c>
      <c r="AT29" s="31">
        <f t="shared" ca="1" si="4"/>
        <v>2232482.3452751325</v>
      </c>
      <c r="AU29" s="31">
        <f t="shared" ca="1" si="5"/>
        <v>2421198.0563359004</v>
      </c>
    </row>
    <row r="30" spans="1:47">
      <c r="A30" s="541">
        <f>'Monthly Data'!A30</f>
        <v>43221</v>
      </c>
      <c r="B30">
        <f t="shared" si="19"/>
        <v>2018</v>
      </c>
      <c r="C30">
        <f t="shared" si="20"/>
        <v>5</v>
      </c>
      <c r="D30" s="30">
        <f>'Monthly Data'!J30</f>
        <v>132049.41240085484</v>
      </c>
      <c r="E30" s="33">
        <f t="shared" ca="1" si="8"/>
        <v>232.88687500000006</v>
      </c>
      <c r="F30" s="33">
        <f t="shared" ca="1" si="8"/>
        <v>74.673124999999999</v>
      </c>
      <c r="G30" s="33">
        <f>'Monthly Data'!AD30</f>
        <v>789531.6</v>
      </c>
      <c r="H30" s="8">
        <f>'Monthly Data'!BU30</f>
        <v>31</v>
      </c>
      <c r="I30" s="18">
        <f>'Monthly Data'!BX30</f>
        <v>0</v>
      </c>
      <c r="J30" s="30"/>
      <c r="L30" s="18">
        <f>'GS&lt;50 Predicted Monthly'!$V$8</f>
        <v>-2135516.9462582301</v>
      </c>
      <c r="M30" s="18">
        <f ca="1">E30*'GS&lt;50 Predicted Monthly'!$V$9</f>
        <v>439194.04986008507</v>
      </c>
      <c r="N30" s="18">
        <f ca="1">F30*'GS&lt;50 Predicted Monthly'!$V$10</f>
        <v>277251.93859566946</v>
      </c>
      <c r="O30" s="18">
        <f>G30*'GS&lt;50 Predicted Monthly'!$V$11</f>
        <v>1902388.139196693</v>
      </c>
      <c r="P30" s="18">
        <f>H30*'GS&lt;50 Predicted Monthly'!$V$12</f>
        <v>1722828.0010148797</v>
      </c>
      <c r="Q30" s="18">
        <f>I30*'GS&lt;50 Predicted Monthly'!$V$13</f>
        <v>0</v>
      </c>
      <c r="R30" s="18">
        <f>J30*'GS&lt;50 Predicted Monthly'!$V$14</f>
        <v>0</v>
      </c>
      <c r="S30" s="20">
        <f t="shared" ca="1" si="21"/>
        <v>2206145.1824090974</v>
      </c>
      <c r="AJ30" s="33">
        <f t="shared" ref="AJ30" ca="1" si="46">AJ18</f>
        <v>208.10177399498693</v>
      </c>
      <c r="AK30" s="33">
        <f t="shared" ref="AK30" ca="1" si="47">AK18</f>
        <v>257.1408868815717</v>
      </c>
      <c r="AL30" s="33">
        <f t="shared" ca="1" si="14"/>
        <v>62.144727467193846</v>
      </c>
      <c r="AM30" s="33">
        <f t="shared" ca="1" si="14"/>
        <v>80.960175797507716</v>
      </c>
      <c r="AO30" s="18">
        <f ca="1">AJ30*'GS&lt;50 Predicted Monthly'!$V$9</f>
        <v>392452.60560057929</v>
      </c>
      <c r="AP30" s="18">
        <f ca="1">AK30*'GS&lt;50 Predicted Monthly'!$V$9</f>
        <v>484933.92980661301</v>
      </c>
      <c r="AQ30" s="18">
        <f ca="1">AL30*'GS&lt;50 Predicted Monthly'!$V$10</f>
        <v>230735.57138232855</v>
      </c>
      <c r="AR30" s="18">
        <f ca="1">AM30*'GS&lt;50 Predicted Monthly'!$V$10</f>
        <v>300594.96892496751</v>
      </c>
      <c r="AT30" s="31">
        <f t="shared" ca="1" si="4"/>
        <v>2112887.3709362508</v>
      </c>
      <c r="AU30" s="31">
        <f t="shared" ca="1" si="5"/>
        <v>2275228.0926849232</v>
      </c>
    </row>
    <row r="31" spans="1:47">
      <c r="A31" s="541">
        <f>'Monthly Data'!A31</f>
        <v>43252</v>
      </c>
      <c r="B31">
        <f t="shared" si="19"/>
        <v>2018</v>
      </c>
      <c r="C31">
        <f t="shared" si="20"/>
        <v>6</v>
      </c>
      <c r="D31" s="30">
        <f>'Monthly Data'!J31</f>
        <v>135936.9392038277</v>
      </c>
      <c r="E31" s="33">
        <f t="shared" ca="1" si="8"/>
        <v>92.751249999999999</v>
      </c>
      <c r="F31" s="33">
        <f t="shared" ca="1" si="8"/>
        <v>169.78833333333333</v>
      </c>
      <c r="G31" s="33">
        <f>'Monthly Data'!AD31</f>
        <v>789531.6</v>
      </c>
      <c r="H31" s="8">
        <f>'Monthly Data'!BU31</f>
        <v>30</v>
      </c>
      <c r="I31" s="18">
        <f>'Monthly Data'!BX31</f>
        <v>0</v>
      </c>
      <c r="J31" s="30"/>
      <c r="L31" s="18">
        <f>'GS&lt;50 Predicted Monthly'!$V$8</f>
        <v>-2135516.9462582301</v>
      </c>
      <c r="M31" s="18">
        <f ca="1">E31*'GS&lt;50 Predicted Monthly'!$V$9</f>
        <v>174916.67195536545</v>
      </c>
      <c r="N31" s="18">
        <f ca="1">F31*'GS&lt;50 Predicted Monthly'!$V$10</f>
        <v>630402.76629101019</v>
      </c>
      <c r="O31" s="18">
        <f>G31*'GS&lt;50 Predicted Monthly'!$V$11</f>
        <v>1902388.139196693</v>
      </c>
      <c r="P31" s="18">
        <f>H31*'GS&lt;50 Predicted Monthly'!$V$12</f>
        <v>1667252.9042079481</v>
      </c>
      <c r="Q31" s="18">
        <f>I31*'GS&lt;50 Predicted Monthly'!$V$13</f>
        <v>0</v>
      </c>
      <c r="R31" s="18">
        <f>J31*'GS&lt;50 Predicted Monthly'!$V$14</f>
        <v>0</v>
      </c>
      <c r="S31" s="20">
        <f t="shared" ca="1" si="21"/>
        <v>2239443.5353927864</v>
      </c>
      <c r="AJ31" s="33">
        <f t="shared" ref="AJ31" ca="1" si="48">AJ19</f>
        <v>82.880152285321046</v>
      </c>
      <c r="AK31" s="33">
        <f t="shared" ref="AK31" ca="1" si="49">AK19</f>
        <v>102.41083223077457</v>
      </c>
      <c r="AL31" s="33">
        <f t="shared" ref="AL31:AM46" ca="1" si="50">AL19</f>
        <v>141.30183653234096</v>
      </c>
      <c r="AM31" s="33">
        <f t="shared" ca="1" si="50"/>
        <v>184.0835416360639</v>
      </c>
      <c r="AO31" s="18">
        <f ca="1">AJ31*'GS&lt;50 Predicted Monthly'!$V$9</f>
        <v>156301.07851810337</v>
      </c>
      <c r="AP31" s="18">
        <f ca="1">AK31*'GS&lt;50 Predicted Monthly'!$V$9</f>
        <v>193133.37497862687</v>
      </c>
      <c r="AQ31" s="18">
        <f ca="1">AL31*'GS&lt;50 Predicted Monthly'!$V$10</f>
        <v>524635.97988861345</v>
      </c>
      <c r="AR31" s="18">
        <f ca="1">AM31*'GS&lt;50 Predicted Monthly'!$V$10</f>
        <v>683479.08008611342</v>
      </c>
      <c r="AT31" s="31">
        <f t="shared" ca="1" si="4"/>
        <v>2115061.1555531276</v>
      </c>
      <c r="AU31" s="31">
        <f t="shared" ca="1" si="5"/>
        <v>2310736.552211151</v>
      </c>
    </row>
    <row r="32" spans="1:47">
      <c r="A32" s="541">
        <f>'Monthly Data'!A32</f>
        <v>43282</v>
      </c>
      <c r="B32">
        <f t="shared" si="19"/>
        <v>2018</v>
      </c>
      <c r="C32">
        <f t="shared" si="20"/>
        <v>7</v>
      </c>
      <c r="D32" s="30">
        <f>'Monthly Data'!J32</f>
        <v>139824.46600680059</v>
      </c>
      <c r="E32" s="33">
        <f t="shared" ca="1" si="8"/>
        <v>25.464999999999996</v>
      </c>
      <c r="F32" s="33">
        <f t="shared" ca="1" si="8"/>
        <v>265.99625000000003</v>
      </c>
      <c r="G32" s="33">
        <f>'Monthly Data'!AD32</f>
        <v>789531.6</v>
      </c>
      <c r="H32" s="8">
        <f>'Monthly Data'!BU32</f>
        <v>31</v>
      </c>
      <c r="I32" s="18">
        <f>'Monthly Data'!BX32</f>
        <v>0</v>
      </c>
      <c r="J32" s="30"/>
      <c r="L32" s="18">
        <f>'GS&lt;50 Predicted Monthly'!$V$8</f>
        <v>-2135516.9462582301</v>
      </c>
      <c r="M32" s="18">
        <f ca="1">E32*'GS&lt;50 Predicted Monthly'!$V$9</f>
        <v>48023.644439760981</v>
      </c>
      <c r="N32" s="18">
        <f ca="1">F32*'GS&lt;50 Predicted Monthly'!$V$10</f>
        <v>987610.68284845934</v>
      </c>
      <c r="O32" s="18">
        <f>G32*'GS&lt;50 Predicted Monthly'!$V$11</f>
        <v>1902388.139196693</v>
      </c>
      <c r="P32" s="18">
        <f>H32*'GS&lt;50 Predicted Monthly'!$V$12</f>
        <v>1722828.0010148797</v>
      </c>
      <c r="Q32" s="18">
        <f>I32*'GS&lt;50 Predicted Monthly'!$V$13</f>
        <v>0</v>
      </c>
      <c r="R32" s="18">
        <f>J32*'GS&lt;50 Predicted Monthly'!$V$14</f>
        <v>0</v>
      </c>
      <c r="S32" s="20">
        <f t="shared" ca="1" si="21"/>
        <v>2525333.5212415629</v>
      </c>
      <c r="AJ32" s="33">
        <f t="shared" ref="AJ32" ca="1" si="51">AJ20</f>
        <v>22.754874763905612</v>
      </c>
      <c r="AK32" s="33">
        <f t="shared" ref="AK32" ca="1" si="52">AK20</f>
        <v>28.117053330889604</v>
      </c>
      <c r="AL32" s="33">
        <f t="shared" ca="1" si="50"/>
        <v>221.36832312221517</v>
      </c>
      <c r="AM32" s="33">
        <f t="shared" ca="1" si="50"/>
        <v>288.39161561107579</v>
      </c>
      <c r="AO32" s="18">
        <f ca="1">AJ32*'GS&lt;50 Predicted Monthly'!$V$9</f>
        <v>42912.704297392243</v>
      </c>
      <c r="AP32" s="18">
        <f ca="1">AK32*'GS&lt;50 Predicted Monthly'!$V$9</f>
        <v>53025.068598328675</v>
      </c>
      <c r="AQ32" s="18">
        <f ca="1">AL32*'GS&lt;50 Predicted Monthly'!$V$10</f>
        <v>821912.7929801615</v>
      </c>
      <c r="AR32" s="18">
        <f ca="1">AM32*'GS&lt;50 Predicted Monthly'!$V$10</f>
        <v>1070761.8638286251</v>
      </c>
      <c r="AT32" s="31">
        <f t="shared" ca="1" si="4"/>
        <v>2354524.6912308964</v>
      </c>
      <c r="AU32" s="31">
        <f t="shared" ca="1" si="5"/>
        <v>2613486.1263802964</v>
      </c>
    </row>
    <row r="33" spans="1:47">
      <c r="A33" s="541">
        <f>'Monthly Data'!A33</f>
        <v>43313</v>
      </c>
      <c r="B33">
        <f t="shared" si="19"/>
        <v>2018</v>
      </c>
      <c r="C33">
        <f t="shared" si="20"/>
        <v>8</v>
      </c>
      <c r="D33" s="30">
        <f>'Monthly Data'!J33</f>
        <v>143711.99280977348</v>
      </c>
      <c r="E33" s="33">
        <f t="shared" ca="1" si="8"/>
        <v>54.974791666666668</v>
      </c>
      <c r="F33" s="33">
        <f t="shared" ca="1" si="8"/>
        <v>218.46562499999996</v>
      </c>
      <c r="G33" s="33">
        <f>'Monthly Data'!AD33</f>
        <v>789531.6</v>
      </c>
      <c r="H33" s="8">
        <f>'Monthly Data'!BU33</f>
        <v>31</v>
      </c>
      <c r="I33" s="18">
        <f>'Monthly Data'!BX33</f>
        <v>0</v>
      </c>
      <c r="J33" s="30"/>
      <c r="L33" s="18">
        <f>'GS&lt;50 Predicted Monthly'!$V$8</f>
        <v>-2135516.9462582301</v>
      </c>
      <c r="M33" s="18">
        <f ca="1">E33*'GS&lt;50 Predicted Monthly'!$V$9</f>
        <v>103675.23456312333</v>
      </c>
      <c r="N33" s="18">
        <f ca="1">F33*'GS&lt;50 Predicted Monthly'!$V$10</f>
        <v>811135.43925963389</v>
      </c>
      <c r="O33" s="18">
        <f>G33*'GS&lt;50 Predicted Monthly'!$V$11</f>
        <v>1902388.139196693</v>
      </c>
      <c r="P33" s="18">
        <f>H33*'GS&lt;50 Predicted Monthly'!$V$12</f>
        <v>1722828.0010148797</v>
      </c>
      <c r="Q33" s="18">
        <f>I33*'GS&lt;50 Predicted Monthly'!$V$13</f>
        <v>0</v>
      </c>
      <c r="R33" s="18">
        <f>J33*'GS&lt;50 Predicted Monthly'!$V$14</f>
        <v>0</v>
      </c>
      <c r="S33" s="20">
        <f t="shared" ca="1" si="21"/>
        <v>2404509.8677760996</v>
      </c>
      <c r="AJ33" s="33">
        <f t="shared" ref="AJ33" ca="1" si="53">AJ21</f>
        <v>49.124072238240799</v>
      </c>
      <c r="AK33" s="33">
        <f t="shared" ref="AK33" ca="1" si="54">AK21</f>
        <v>60.700143300459935</v>
      </c>
      <c r="AL33" s="33">
        <f t="shared" ca="1" si="50"/>
        <v>181.81222128543794</v>
      </c>
      <c r="AM33" s="33">
        <f t="shared" ca="1" si="50"/>
        <v>236.85918335026682</v>
      </c>
      <c r="AO33" s="18">
        <f ca="1">AJ33*'GS&lt;50 Predicted Monthly'!$V$9</f>
        <v>92641.546381402324</v>
      </c>
      <c r="AP33" s="18">
        <f ca="1">AK33*'GS&lt;50 Predicted Monthly'!$V$9</f>
        <v>114472.49555483322</v>
      </c>
      <c r="AQ33" s="18">
        <f ca="1">AL33*'GS&lt;50 Predicted Monthly'!$V$10</f>
        <v>675045.9527677797</v>
      </c>
      <c r="AR33" s="18">
        <f ca="1">AM33*'GS&lt;50 Predicted Monthly'!$V$10</f>
        <v>879428.41227079486</v>
      </c>
      <c r="AT33" s="31">
        <f t="shared" ca="1" si="4"/>
        <v>2257386.6931025246</v>
      </c>
      <c r="AU33" s="31">
        <f t="shared" ca="1" si="5"/>
        <v>2483600.1017789706</v>
      </c>
    </row>
    <row r="34" spans="1:47">
      <c r="A34" s="541">
        <f>'Monthly Data'!A34</f>
        <v>43344</v>
      </c>
      <c r="B34">
        <f t="shared" si="19"/>
        <v>2018</v>
      </c>
      <c r="C34">
        <f t="shared" si="20"/>
        <v>9</v>
      </c>
      <c r="D34" s="30">
        <f>'Monthly Data'!J34</f>
        <v>147599.51961274637</v>
      </c>
      <c r="E34" s="33">
        <f t="shared" ref="E34:F53" ca="1" si="55">E22</f>
        <v>166.50624999999999</v>
      </c>
      <c r="F34" s="33">
        <f t="shared" ca="1" si="55"/>
        <v>95.131249999999994</v>
      </c>
      <c r="G34" s="33">
        <f>'Monthly Data'!AD34</f>
        <v>789531.6</v>
      </c>
      <c r="H34" s="8">
        <f>'Monthly Data'!BU34</f>
        <v>30</v>
      </c>
      <c r="I34" s="18">
        <f>'Monthly Data'!BX34</f>
        <v>0</v>
      </c>
      <c r="J34" s="30"/>
      <c r="L34" s="18">
        <f>'GS&lt;50 Predicted Monthly'!$V$8</f>
        <v>-2135516.9462582301</v>
      </c>
      <c r="M34" s="18">
        <f ca="1">E34*'GS&lt;50 Predicted Monthly'!$V$9</f>
        <v>314008.9121145868</v>
      </c>
      <c r="N34" s="18">
        <f ca="1">F34*'GS&lt;50 Predicted Monthly'!$V$10</f>
        <v>353210.38838978927</v>
      </c>
      <c r="O34" s="18">
        <f>G34*'GS&lt;50 Predicted Monthly'!$V$11</f>
        <v>1902388.139196693</v>
      </c>
      <c r="P34" s="18">
        <f>H34*'GS&lt;50 Predicted Monthly'!$V$12</f>
        <v>1667252.9042079481</v>
      </c>
      <c r="Q34" s="18">
        <f>I34*'GS&lt;50 Predicted Monthly'!$V$13</f>
        <v>0</v>
      </c>
      <c r="R34" s="18">
        <f>J34*'GS&lt;50 Predicted Monthly'!$V$14</f>
        <v>0</v>
      </c>
      <c r="S34" s="20">
        <f t="shared" ca="1" si="21"/>
        <v>2101343.3976507867</v>
      </c>
      <c r="AJ34" s="33">
        <f t="shared" ref="AJ34" ca="1" si="56">AJ22</f>
        <v>148.78573988445157</v>
      </c>
      <c r="AK34" s="33">
        <f t="shared" ref="AK34" ca="1" si="57">AK22</f>
        <v>183.84704932952829</v>
      </c>
      <c r="AL34" s="33">
        <f t="shared" ca="1" si="50"/>
        <v>79.170459316701752</v>
      </c>
      <c r="AM34" s="33">
        <f t="shared" ca="1" si="50"/>
        <v>103.14075812197032</v>
      </c>
      <c r="AO34" s="18">
        <f ca="1">AJ34*'GS&lt;50 Predicted Monthly'!$V$9</f>
        <v>280590.35813538847</v>
      </c>
      <c r="AP34" s="18">
        <f ca="1">AK34*'GS&lt;50 Predicted Monthly'!$V$9</f>
        <v>346711.3814372851</v>
      </c>
      <c r="AQ34" s="18">
        <f ca="1">AL34*'GS&lt;50 Predicted Monthly'!$V$10</f>
        <v>293949.9763143051</v>
      </c>
      <c r="AR34" s="18">
        <f ca="1">AM34*'GS&lt;50 Predicted Monthly'!$V$10</f>
        <v>382948.68652602012</v>
      </c>
      <c r="AT34" s="31">
        <f t="shared" ca="1" si="4"/>
        <v>2008664.4315961041</v>
      </c>
      <c r="AU34" s="31">
        <f t="shared" ca="1" si="5"/>
        <v>2163784.1651097159</v>
      </c>
    </row>
    <row r="35" spans="1:47">
      <c r="A35" s="541">
        <f>'Monthly Data'!A35</f>
        <v>43374</v>
      </c>
      <c r="B35">
        <f t="shared" si="19"/>
        <v>2018</v>
      </c>
      <c r="C35">
        <f t="shared" si="20"/>
        <v>10</v>
      </c>
      <c r="D35" s="30">
        <f>'Monthly Data'!J35</f>
        <v>151487.04641571926</v>
      </c>
      <c r="E35" s="33">
        <f t="shared" ca="1" si="55"/>
        <v>363.47645833333326</v>
      </c>
      <c r="F35" s="33">
        <f t="shared" ca="1" si="55"/>
        <v>21.813750000000006</v>
      </c>
      <c r="G35" s="33">
        <f>'Monthly Data'!AD35</f>
        <v>789531.6</v>
      </c>
      <c r="H35" s="8">
        <f>'Monthly Data'!BU35</f>
        <v>31</v>
      </c>
      <c r="I35" s="18">
        <f>'Monthly Data'!BX35</f>
        <v>0</v>
      </c>
      <c r="J35" s="30"/>
      <c r="L35" s="18">
        <f>'GS&lt;50 Predicted Monthly'!$V$8</f>
        <v>-2135516.9462582301</v>
      </c>
      <c r="M35" s="18">
        <f ca="1">E35*'GS&lt;50 Predicted Monthly'!$V$9</f>
        <v>685468.84732863132</v>
      </c>
      <c r="N35" s="18">
        <f ca="1">F35*'GS&lt;50 Predicted Monthly'!$V$10</f>
        <v>80991.715232773335</v>
      </c>
      <c r="O35" s="18">
        <f>G35*'GS&lt;50 Predicted Monthly'!$V$11</f>
        <v>1902388.139196693</v>
      </c>
      <c r="P35" s="18">
        <f>H35*'GS&lt;50 Predicted Monthly'!$V$12</f>
        <v>1722828.0010148797</v>
      </c>
      <c r="Q35" s="18">
        <f>I35*'GS&lt;50 Predicted Monthly'!$V$13</f>
        <v>0</v>
      </c>
      <c r="R35" s="18">
        <f>J35*'GS&lt;50 Predicted Monthly'!$V$14</f>
        <v>0</v>
      </c>
      <c r="S35" s="20">
        <f t="shared" ca="1" si="21"/>
        <v>2256159.7565147467</v>
      </c>
      <c r="AJ35" s="33">
        <f t="shared" ref="AJ35" ca="1" si="58">AJ23</f>
        <v>324.79329624987065</v>
      </c>
      <c r="AK35" s="33">
        <f t="shared" ref="AK35" ca="1" si="59">AK23</f>
        <v>401.33072701673694</v>
      </c>
      <c r="AL35" s="33">
        <f t="shared" ca="1" si="50"/>
        <v>18.153914795818444</v>
      </c>
      <c r="AM35" s="33">
        <f t="shared" ca="1" si="50"/>
        <v>23.650343209861436</v>
      </c>
      <c r="AO35" s="18">
        <f ca="1">AJ35*'GS&lt;50 Predicted Monthly'!$V$9</f>
        <v>612517.48578526394</v>
      </c>
      <c r="AP35" s="18">
        <f ca="1">AK35*'GS&lt;50 Predicted Monthly'!$V$9</f>
        <v>756857.0248184785</v>
      </c>
      <c r="AQ35" s="18">
        <f ca="1">AL35*'GS&lt;50 Predicted Monthly'!$V$10</f>
        <v>67403.206578555153</v>
      </c>
      <c r="AR35" s="18">
        <f ca="1">AM35*'GS&lt;50 Predicted Monthly'!$V$10</f>
        <v>87810.755253473209</v>
      </c>
      <c r="AT35" s="31">
        <f t="shared" ca="1" si="4"/>
        <v>2169619.8863171609</v>
      </c>
      <c r="AU35" s="31">
        <f t="shared" ca="1" si="5"/>
        <v>2334366.9740252937</v>
      </c>
    </row>
    <row r="36" spans="1:47">
      <c r="A36" s="541">
        <f>'Monthly Data'!A36</f>
        <v>43405</v>
      </c>
      <c r="B36">
        <f t="shared" si="19"/>
        <v>2018</v>
      </c>
      <c r="C36">
        <f t="shared" si="20"/>
        <v>11</v>
      </c>
      <c r="D36" s="30">
        <f>'Monthly Data'!J36</f>
        <v>155374.57321869212</v>
      </c>
      <c r="E36" s="33">
        <f t="shared" ca="1" si="55"/>
        <v>586.00395833333334</v>
      </c>
      <c r="F36" s="33">
        <f t="shared" ca="1" si="55"/>
        <v>2.2795833333333335</v>
      </c>
      <c r="G36" s="33">
        <f>'Monthly Data'!AD36</f>
        <v>789531.6</v>
      </c>
      <c r="H36" s="8">
        <f>'Monthly Data'!BU36</f>
        <v>30</v>
      </c>
      <c r="I36" s="18">
        <f>'Monthly Data'!BX36</f>
        <v>0</v>
      </c>
      <c r="J36" s="30"/>
      <c r="L36" s="18">
        <f>'GS&lt;50 Predicted Monthly'!$V$8</f>
        <v>-2135516.9462582301</v>
      </c>
      <c r="M36" s="18">
        <f ca="1">E36*'GS&lt;50 Predicted Monthly'!$V$9</f>
        <v>1105126.4769406053</v>
      </c>
      <c r="N36" s="18">
        <f ca="1">F36*'GS&lt;50 Predicted Monthly'!$V$10</f>
        <v>8463.8067357840573</v>
      </c>
      <c r="O36" s="18">
        <f>G36*'GS&lt;50 Predicted Monthly'!$V$11</f>
        <v>1902388.139196693</v>
      </c>
      <c r="P36" s="18">
        <f>H36*'GS&lt;50 Predicted Monthly'!$V$12</f>
        <v>1667252.9042079481</v>
      </c>
      <c r="Q36" s="18">
        <f>I36*'GS&lt;50 Predicted Monthly'!$V$13</f>
        <v>0</v>
      </c>
      <c r="R36" s="18">
        <f>J36*'GS&lt;50 Predicted Monthly'!$V$14</f>
        <v>0</v>
      </c>
      <c r="S36" s="20">
        <f t="shared" ca="1" si="21"/>
        <v>2547714.3808228001</v>
      </c>
      <c r="AJ36" s="33">
        <f t="shared" ref="AJ36" ca="1" si="60">AJ24</f>
        <v>523.63819685953126</v>
      </c>
      <c r="AK36" s="33">
        <f t="shared" ref="AK36" ca="1" si="61">AK24</f>
        <v>647.03336142041019</v>
      </c>
      <c r="AL36" s="33">
        <f t="shared" ca="1" si="50"/>
        <v>1.8971227598785685</v>
      </c>
      <c r="AM36" s="33">
        <f t="shared" ca="1" si="50"/>
        <v>2.4715112352902775</v>
      </c>
      <c r="AO36" s="18">
        <f ca="1">AJ36*'GS&lt;50 Predicted Monthly'!$V$9</f>
        <v>987512.84433770669</v>
      </c>
      <c r="AP36" s="18">
        <f ca="1">AK36*'GS&lt;50 Predicted Monthly'!$V$9</f>
        <v>1220219.913195254</v>
      </c>
      <c r="AQ36" s="18">
        <f ca="1">AL36*'GS&lt;50 Predicted Monthly'!$V$10</f>
        <v>7043.7786409809405</v>
      </c>
      <c r="AR36" s="18">
        <f ca="1">AM36*'GS&lt;50 Predicted Monthly'!$V$10</f>
        <v>9176.4109409537541</v>
      </c>
      <c r="AT36" s="31">
        <f t="shared" ca="1" si="4"/>
        <v>2428680.7201250982</v>
      </c>
      <c r="AU36" s="31">
        <f t="shared" ca="1" si="5"/>
        <v>2663520.4212826183</v>
      </c>
    </row>
    <row r="37" spans="1:47">
      <c r="A37" s="541">
        <f>'Monthly Data'!A37</f>
        <v>43435</v>
      </c>
      <c r="B37">
        <f t="shared" si="19"/>
        <v>2018</v>
      </c>
      <c r="C37">
        <f t="shared" si="20"/>
        <v>12</v>
      </c>
      <c r="D37" s="30">
        <f>'Monthly Data'!J37</f>
        <v>30219324.100021664</v>
      </c>
      <c r="E37" s="33">
        <f t="shared" ca="1" si="55"/>
        <v>812.36333333333334</v>
      </c>
      <c r="F37" s="33">
        <f t="shared" ca="1" si="55"/>
        <v>0</v>
      </c>
      <c r="G37" s="33">
        <f>'Monthly Data'!AD37</f>
        <v>789531.6</v>
      </c>
      <c r="H37" s="8">
        <f>'Monthly Data'!BU37</f>
        <v>31</v>
      </c>
      <c r="I37" s="18">
        <f>'Monthly Data'!BX37</f>
        <v>0</v>
      </c>
      <c r="J37" s="30"/>
      <c r="L37" s="18">
        <f>'GS&lt;50 Predicted Monthly'!$V$8</f>
        <v>-2135516.9462582301</v>
      </c>
      <c r="M37" s="18">
        <f ca="1">E37*'GS&lt;50 Predicted Monthly'!$V$9</f>
        <v>1532010.5193755757</v>
      </c>
      <c r="N37" s="18">
        <f ca="1">F37*'GS&lt;50 Predicted Monthly'!$V$10</f>
        <v>0</v>
      </c>
      <c r="O37" s="18">
        <f>G37*'GS&lt;50 Predicted Monthly'!$V$11</f>
        <v>1902388.139196693</v>
      </c>
      <c r="P37" s="18">
        <f>H37*'GS&lt;50 Predicted Monthly'!$V$12</f>
        <v>1722828.0010148797</v>
      </c>
      <c r="Q37" s="18">
        <f>I37*'GS&lt;50 Predicted Monthly'!$V$13</f>
        <v>0</v>
      </c>
      <c r="R37" s="18">
        <f>J37*'GS&lt;50 Predicted Monthly'!$V$14</f>
        <v>0</v>
      </c>
      <c r="S37" s="20">
        <f t="shared" ca="1" si="21"/>
        <v>3021709.7133289184</v>
      </c>
      <c r="AJ37" s="33">
        <f t="shared" ref="AJ37" ca="1" si="62">AJ25</f>
        <v>725.90716327464804</v>
      </c>
      <c r="AK37" s="33">
        <f t="shared" ref="AK37" ca="1" si="63">AK25</f>
        <v>896.96694158227319</v>
      </c>
      <c r="AL37" s="33">
        <f t="shared" ca="1" si="50"/>
        <v>0</v>
      </c>
      <c r="AM37" s="33">
        <f t="shared" ca="1" si="50"/>
        <v>0</v>
      </c>
      <c r="AO37" s="18">
        <f ca="1">AJ37*'GS&lt;50 Predicted Monthly'!$V$9</f>
        <v>1368965.5411497045</v>
      </c>
      <c r="AP37" s="18">
        <f ca="1">AK37*'GS&lt;50 Predicted Monthly'!$V$9</f>
        <v>1691561.809415549</v>
      </c>
      <c r="AQ37" s="18">
        <f ca="1">AL37*'GS&lt;50 Predicted Monthly'!$V$10</f>
        <v>0</v>
      </c>
      <c r="AR37" s="18">
        <f ca="1">AM37*'GS&lt;50 Predicted Monthly'!$V$10</f>
        <v>0</v>
      </c>
      <c r="AT37" s="31">
        <f t="shared" ca="1" si="4"/>
        <v>2858664.7351030475</v>
      </c>
      <c r="AU37" s="31">
        <f t="shared" ca="1" si="5"/>
        <v>3181261.0033688918</v>
      </c>
    </row>
    <row r="38" spans="1:47">
      <c r="A38" s="541">
        <f>'Monthly Data'!A38</f>
        <v>43466</v>
      </c>
      <c r="B38">
        <f t="shared" si="19"/>
        <v>2019</v>
      </c>
      <c r="C38">
        <f t="shared" si="20"/>
        <v>1</v>
      </c>
      <c r="D38" s="30">
        <f>'Monthly Data'!J38</f>
        <v>151405.07528035509</v>
      </c>
      <c r="E38" s="33">
        <f t="shared" ca="1" si="55"/>
        <v>914.55166666666662</v>
      </c>
      <c r="F38" s="33">
        <f t="shared" ca="1" si="55"/>
        <v>0</v>
      </c>
      <c r="G38" s="33">
        <f>'Monthly Data'!AD38</f>
        <v>807274.5</v>
      </c>
      <c r="H38" s="8">
        <f>'Monthly Data'!BU38</f>
        <v>31</v>
      </c>
      <c r="I38" s="18">
        <f>'Monthly Data'!BX38</f>
        <v>0</v>
      </c>
      <c r="J38" s="30"/>
      <c r="L38" s="18">
        <f>'GS&lt;50 Predicted Monthly'!$V$8</f>
        <v>-2135516.9462582301</v>
      </c>
      <c r="M38" s="18">
        <f ca="1">E38*'GS&lt;50 Predicted Monthly'!$V$9</f>
        <v>1724724.2906652587</v>
      </c>
      <c r="N38" s="18">
        <f ca="1">F38*'GS&lt;50 Predicted Monthly'!$V$10</f>
        <v>0</v>
      </c>
      <c r="O38" s="18">
        <f>G38*'GS&lt;50 Predicted Monthly'!$V$11</f>
        <v>1945139.9207782699</v>
      </c>
      <c r="P38" s="18">
        <f>H38*'GS&lt;50 Predicted Monthly'!$V$12</f>
        <v>1722828.0010148797</v>
      </c>
      <c r="Q38" s="18">
        <f>I38*'GS&lt;50 Predicted Monthly'!$V$13</f>
        <v>0</v>
      </c>
      <c r="R38" s="18">
        <f>J38*'GS&lt;50 Predicted Monthly'!$V$14</f>
        <v>0</v>
      </c>
      <c r="S38" s="20">
        <f t="shared" ca="1" si="21"/>
        <v>3257175.2662001783</v>
      </c>
      <c r="AJ38" s="33">
        <f t="shared" ref="AJ38" ca="1" si="64">AJ26</f>
        <v>817.22005262600237</v>
      </c>
      <c r="AK38" s="33">
        <f t="shared" ref="AK38" ca="1" si="65">AK26</f>
        <v>1009.7976825258449</v>
      </c>
      <c r="AL38" s="33">
        <f t="shared" ca="1" si="50"/>
        <v>0</v>
      </c>
      <c r="AM38" s="33">
        <f t="shared" ca="1" si="50"/>
        <v>0</v>
      </c>
      <c r="AO38" s="18">
        <f ca="1">AJ38*'GS&lt;50 Predicted Monthly'!$V$9</f>
        <v>1541169.6538917692</v>
      </c>
      <c r="AP38" s="18">
        <f ca="1">AK38*'GS&lt;50 Predicted Monthly'!$V$9</f>
        <v>1904345.7632717781</v>
      </c>
      <c r="AQ38" s="18">
        <f ca="1">AL38*'GS&lt;50 Predicted Monthly'!$V$10</f>
        <v>0</v>
      </c>
      <c r="AR38" s="18">
        <f ca="1">AM38*'GS&lt;50 Predicted Monthly'!$V$10</f>
        <v>0</v>
      </c>
      <c r="AT38" s="31">
        <f t="shared" ca="1" si="4"/>
        <v>3073620.6294266889</v>
      </c>
      <c r="AU38" s="31">
        <f t="shared" ca="1" si="5"/>
        <v>3436796.7388066975</v>
      </c>
    </row>
    <row r="39" spans="1:47">
      <c r="A39" s="541">
        <f>'Monthly Data'!A39</f>
        <v>43497</v>
      </c>
      <c r="B39">
        <f t="shared" si="19"/>
        <v>2019</v>
      </c>
      <c r="C39">
        <f t="shared" si="20"/>
        <v>2</v>
      </c>
      <c r="D39" s="30">
        <f>'Monthly Data'!J39</f>
        <v>153208.32497036053</v>
      </c>
      <c r="E39" s="33">
        <f t="shared" ca="1" si="55"/>
        <v>803.82854166666664</v>
      </c>
      <c r="F39" s="33">
        <f t="shared" ca="1" si="55"/>
        <v>0</v>
      </c>
      <c r="G39" s="33">
        <f>'Monthly Data'!AD39</f>
        <v>807274.5</v>
      </c>
      <c r="H39" s="8">
        <f>'Monthly Data'!BU39</f>
        <v>28</v>
      </c>
      <c r="I39" s="18">
        <f>'Monthly Data'!BX39</f>
        <v>0</v>
      </c>
      <c r="J39" s="30"/>
      <c r="L39" s="18">
        <f>'GS&lt;50 Predicted Monthly'!$V$8</f>
        <v>-2135516.9462582301</v>
      </c>
      <c r="M39" s="18">
        <f ca="1">E39*'GS&lt;50 Predicted Monthly'!$V$9</f>
        <v>1515915.0235826271</v>
      </c>
      <c r="N39" s="18">
        <f ca="1">F39*'GS&lt;50 Predicted Monthly'!$V$10</f>
        <v>0</v>
      </c>
      <c r="O39" s="18">
        <f>G39*'GS&lt;50 Predicted Monthly'!$V$11</f>
        <v>1945139.9207782699</v>
      </c>
      <c r="P39" s="18">
        <f>H39*'GS&lt;50 Predicted Monthly'!$V$12</f>
        <v>1556102.7105940848</v>
      </c>
      <c r="Q39" s="18">
        <f>I39*'GS&lt;50 Predicted Monthly'!$V$13</f>
        <v>0</v>
      </c>
      <c r="R39" s="18">
        <f>J39*'GS&lt;50 Predicted Monthly'!$V$14</f>
        <v>0</v>
      </c>
      <c r="S39" s="20">
        <f t="shared" ca="1" si="21"/>
        <v>2881640.7086967519</v>
      </c>
      <c r="AJ39" s="33">
        <f t="shared" ref="AJ39" ca="1" si="66">AJ27</f>
        <v>718.28069103781206</v>
      </c>
      <c r="AK39" s="33">
        <f t="shared" ref="AK39" ca="1" si="67">AK27</f>
        <v>887.54329373386554</v>
      </c>
      <c r="AL39" s="33">
        <f t="shared" ca="1" si="50"/>
        <v>0</v>
      </c>
      <c r="AM39" s="33">
        <f t="shared" ca="1" si="50"/>
        <v>0</v>
      </c>
      <c r="AO39" s="18">
        <f ca="1">AJ39*'GS&lt;50 Predicted Monthly'!$V$9</f>
        <v>1354583.0164675321</v>
      </c>
      <c r="AP39" s="18">
        <f ca="1">AK39*'GS&lt;50 Predicted Monthly'!$V$9</f>
        <v>1673790.047640664</v>
      </c>
      <c r="AQ39" s="18">
        <f ca="1">AL39*'GS&lt;50 Predicted Monthly'!$V$10</f>
        <v>0</v>
      </c>
      <c r="AR39" s="18">
        <f ca="1">AM39*'GS&lt;50 Predicted Monthly'!$V$10</f>
        <v>0</v>
      </c>
      <c r="AT39" s="31">
        <f t="shared" ca="1" si="4"/>
        <v>2720308.7015816569</v>
      </c>
      <c r="AU39" s="31">
        <f t="shared" ca="1" si="5"/>
        <v>3039515.7327547888</v>
      </c>
    </row>
    <row r="40" spans="1:47">
      <c r="A40" s="541">
        <f>'Monthly Data'!A40</f>
        <v>43525</v>
      </c>
      <c r="B40">
        <f t="shared" si="19"/>
        <v>2019</v>
      </c>
      <c r="C40">
        <f t="shared" si="20"/>
        <v>3</v>
      </c>
      <c r="D40" s="30">
        <f>'Monthly Data'!J40</f>
        <v>155011.57466036599</v>
      </c>
      <c r="E40" s="33">
        <f t="shared" ca="1" si="55"/>
        <v>698.29604166666672</v>
      </c>
      <c r="F40" s="33">
        <f t="shared" ca="1" si="55"/>
        <v>0</v>
      </c>
      <c r="G40" s="33">
        <f>'Monthly Data'!AD40</f>
        <v>807274.5</v>
      </c>
      <c r="H40" s="8">
        <f>'Monthly Data'!BU40</f>
        <v>31</v>
      </c>
      <c r="I40" s="18">
        <f>'Monthly Data'!BX40</f>
        <v>0</v>
      </c>
      <c r="J40" s="30"/>
      <c r="L40" s="18">
        <f>'GS&lt;50 Predicted Monthly'!$V$8</f>
        <v>-2135516.9462582301</v>
      </c>
      <c r="M40" s="18">
        <f ca="1">E40*'GS&lt;50 Predicted Monthly'!$V$9</f>
        <v>1316894.5933120961</v>
      </c>
      <c r="N40" s="18">
        <f ca="1">F40*'GS&lt;50 Predicted Monthly'!$V$10</f>
        <v>0</v>
      </c>
      <c r="O40" s="18">
        <f>G40*'GS&lt;50 Predicted Monthly'!$V$11</f>
        <v>1945139.9207782699</v>
      </c>
      <c r="P40" s="18">
        <f>H40*'GS&lt;50 Predicted Monthly'!$V$12</f>
        <v>1722828.0010148797</v>
      </c>
      <c r="Q40" s="18">
        <f>I40*'GS&lt;50 Predicted Monthly'!$V$13</f>
        <v>0</v>
      </c>
      <c r="R40" s="18">
        <f>J40*'GS&lt;50 Predicted Monthly'!$V$14</f>
        <v>0</v>
      </c>
      <c r="S40" s="20">
        <f t="shared" ca="1" si="21"/>
        <v>2849345.5688470155</v>
      </c>
      <c r="AJ40" s="33">
        <f t="shared" ref="AJ40" ca="1" si="68">AJ28</f>
        <v>623.97953961343092</v>
      </c>
      <c r="AK40" s="33">
        <f t="shared" ref="AK40" ca="1" si="69">AK28</f>
        <v>771.02010776716202</v>
      </c>
      <c r="AL40" s="33">
        <f t="shared" ca="1" si="50"/>
        <v>0</v>
      </c>
      <c r="AM40" s="33">
        <f t="shared" ca="1" si="50"/>
        <v>0</v>
      </c>
      <c r="AO40" s="18">
        <f ca="1">AJ40*'GS&lt;50 Predicted Monthly'!$V$9</f>
        <v>1176743.4340499181</v>
      </c>
      <c r="AP40" s="18">
        <f ca="1">AK40*'GS&lt;50 Predicted Monthly'!$V$9</f>
        <v>1454042.6275796737</v>
      </c>
      <c r="AQ40" s="18">
        <f ca="1">AL40*'GS&lt;50 Predicted Monthly'!$V$10</f>
        <v>0</v>
      </c>
      <c r="AR40" s="18">
        <f ca="1">AM40*'GS&lt;50 Predicted Monthly'!$V$10</f>
        <v>0</v>
      </c>
      <c r="AT40" s="31">
        <f t="shared" ca="1" si="4"/>
        <v>2709194.4095848375</v>
      </c>
      <c r="AU40" s="31">
        <f t="shared" ca="1" si="5"/>
        <v>2986493.6031145928</v>
      </c>
    </row>
    <row r="41" spans="1:47">
      <c r="A41" s="541">
        <f>'Monthly Data'!A41</f>
        <v>43556</v>
      </c>
      <c r="B41">
        <f t="shared" si="19"/>
        <v>2019</v>
      </c>
      <c r="C41">
        <f t="shared" si="20"/>
        <v>4</v>
      </c>
      <c r="D41" s="30">
        <f>'Monthly Data'!J41</f>
        <v>156814.82435037143</v>
      </c>
      <c r="E41" s="33">
        <f t="shared" ca="1" si="55"/>
        <v>468.60374999999993</v>
      </c>
      <c r="F41" s="33">
        <f t="shared" ca="1" si="55"/>
        <v>2.8104166666666677</v>
      </c>
      <c r="G41" s="33">
        <f>'Monthly Data'!AD41</f>
        <v>807274.5</v>
      </c>
      <c r="H41" s="8">
        <f>'Monthly Data'!BU41</f>
        <v>30</v>
      </c>
      <c r="I41" s="18">
        <f>'Monthly Data'!BX41</f>
        <v>0</v>
      </c>
      <c r="J41" s="30"/>
      <c r="L41" s="18">
        <f>'GS&lt;50 Predicted Monthly'!$V$8</f>
        <v>-2135516.9462582301</v>
      </c>
      <c r="M41" s="18">
        <f ca="1">E41*'GS&lt;50 Predicted Monthly'!$V$9</f>
        <v>883725.10791826609</v>
      </c>
      <c r="N41" s="18">
        <f ca="1">F41*'GS&lt;50 Predicted Monthly'!$V$10</f>
        <v>10434.724261170442</v>
      </c>
      <c r="O41" s="18">
        <f>G41*'GS&lt;50 Predicted Monthly'!$V$11</f>
        <v>1945139.9207782699</v>
      </c>
      <c r="P41" s="18">
        <f>H41*'GS&lt;50 Predicted Monthly'!$V$12</f>
        <v>1667252.9042079481</v>
      </c>
      <c r="Q41" s="18">
        <f>I41*'GS&lt;50 Predicted Monthly'!$V$13</f>
        <v>0</v>
      </c>
      <c r="R41" s="18">
        <f>J41*'GS&lt;50 Predicted Monthly'!$V$14</f>
        <v>0</v>
      </c>
      <c r="S41" s="20">
        <f t="shared" ca="1" si="21"/>
        <v>2371035.7109074248</v>
      </c>
      <c r="AJ41" s="33">
        <f t="shared" ref="AJ41" ca="1" si="70">AJ29</f>
        <v>418.73236383846591</v>
      </c>
      <c r="AK41" s="33">
        <f t="shared" ref="AK41" ca="1" si="71">AK29</f>
        <v>517.40650421381736</v>
      </c>
      <c r="AL41" s="33">
        <f t="shared" ca="1" si="50"/>
        <v>2.33889472041326</v>
      </c>
      <c r="AM41" s="33">
        <f t="shared" ca="1" si="50"/>
        <v>3.0470377046304016</v>
      </c>
      <c r="AO41" s="18">
        <f ca="1">AJ41*'GS&lt;50 Predicted Monthly'!$V$9</f>
        <v>789674.22565871268</v>
      </c>
      <c r="AP41" s="18">
        <f ca="1">AK41*'GS&lt;50 Predicted Monthly'!$V$9</f>
        <v>975760.69071997097</v>
      </c>
      <c r="AQ41" s="18">
        <f ca="1">AL41*'GS&lt;50 Predicted Monthly'!$V$10</f>
        <v>8684.0224700084891</v>
      </c>
      <c r="AR41" s="18">
        <f ca="1">AM41*'GS&lt;50 Predicted Monthly'!$V$10</f>
        <v>11313.26846951802</v>
      </c>
      <c r="AT41" s="31">
        <f t="shared" ca="1" si="4"/>
        <v>2275234.1268567094</v>
      </c>
      <c r="AU41" s="31">
        <f t="shared" ca="1" si="5"/>
        <v>2463949.8379174774</v>
      </c>
    </row>
    <row r="42" spans="1:47">
      <c r="A42" s="541">
        <f>'Monthly Data'!A42</f>
        <v>43586</v>
      </c>
      <c r="B42">
        <f t="shared" si="19"/>
        <v>2019</v>
      </c>
      <c r="C42">
        <f t="shared" si="20"/>
        <v>5</v>
      </c>
      <c r="D42" s="30">
        <f>'Monthly Data'!J42</f>
        <v>158618.0740403769</v>
      </c>
      <c r="E42" s="33">
        <f t="shared" ca="1" si="55"/>
        <v>232.88687500000006</v>
      </c>
      <c r="F42" s="33">
        <f t="shared" ca="1" si="55"/>
        <v>74.673124999999999</v>
      </c>
      <c r="G42" s="33">
        <f>'Monthly Data'!AD42</f>
        <v>807274.5</v>
      </c>
      <c r="H42" s="8">
        <f>'Monthly Data'!BU42</f>
        <v>31</v>
      </c>
      <c r="I42" s="18">
        <f>'Monthly Data'!BX42</f>
        <v>0</v>
      </c>
      <c r="J42" s="30"/>
      <c r="L42" s="18">
        <f>'GS&lt;50 Predicted Monthly'!$V$8</f>
        <v>-2135516.9462582301</v>
      </c>
      <c r="M42" s="18">
        <f ca="1">E42*'GS&lt;50 Predicted Monthly'!$V$9</f>
        <v>439194.04986008507</v>
      </c>
      <c r="N42" s="18">
        <f ca="1">F42*'GS&lt;50 Predicted Monthly'!$V$10</f>
        <v>277251.93859566946</v>
      </c>
      <c r="O42" s="18">
        <f>G42*'GS&lt;50 Predicted Monthly'!$V$11</f>
        <v>1945139.9207782699</v>
      </c>
      <c r="P42" s="18">
        <f>H42*'GS&lt;50 Predicted Monthly'!$V$12</f>
        <v>1722828.0010148797</v>
      </c>
      <c r="Q42" s="18">
        <f>I42*'GS&lt;50 Predicted Monthly'!$V$13</f>
        <v>0</v>
      </c>
      <c r="R42" s="18">
        <f>J42*'GS&lt;50 Predicted Monthly'!$V$14</f>
        <v>0</v>
      </c>
      <c r="S42" s="20">
        <f t="shared" ca="1" si="21"/>
        <v>2248896.9639906744</v>
      </c>
      <c r="AJ42" s="33">
        <f t="shared" ref="AJ42" ca="1" si="72">AJ30</f>
        <v>208.10177399498693</v>
      </c>
      <c r="AK42" s="33">
        <f t="shared" ref="AK42" ca="1" si="73">AK30</f>
        <v>257.1408868815717</v>
      </c>
      <c r="AL42" s="33">
        <f t="shared" ca="1" si="50"/>
        <v>62.144727467193846</v>
      </c>
      <c r="AM42" s="33">
        <f t="shared" ca="1" si="50"/>
        <v>80.960175797507716</v>
      </c>
      <c r="AO42" s="18">
        <f ca="1">AJ42*'GS&lt;50 Predicted Monthly'!$V$9</f>
        <v>392452.60560057929</v>
      </c>
      <c r="AP42" s="18">
        <f ca="1">AK42*'GS&lt;50 Predicted Monthly'!$V$9</f>
        <v>484933.92980661301</v>
      </c>
      <c r="AQ42" s="18">
        <f ca="1">AL42*'GS&lt;50 Predicted Monthly'!$V$10</f>
        <v>230735.57138232855</v>
      </c>
      <c r="AR42" s="18">
        <f ca="1">AM42*'GS&lt;50 Predicted Monthly'!$V$10</f>
        <v>300594.96892496751</v>
      </c>
      <c r="AT42" s="31">
        <f t="shared" ca="1" si="4"/>
        <v>2155639.1525178277</v>
      </c>
      <c r="AU42" s="31">
        <f t="shared" ca="1" si="5"/>
        <v>2317979.8742665001</v>
      </c>
    </row>
    <row r="43" spans="1:47">
      <c r="A43" s="541">
        <f>'Monthly Data'!A43</f>
        <v>43617</v>
      </c>
      <c r="B43">
        <f t="shared" si="19"/>
        <v>2019</v>
      </c>
      <c r="C43">
        <f t="shared" si="20"/>
        <v>6</v>
      </c>
      <c r="D43" s="30">
        <f>'Monthly Data'!J43</f>
        <v>160421.32373038234</v>
      </c>
      <c r="E43" s="33">
        <f t="shared" ca="1" si="55"/>
        <v>92.751249999999999</v>
      </c>
      <c r="F43" s="33">
        <f t="shared" ca="1" si="55"/>
        <v>169.78833333333333</v>
      </c>
      <c r="G43" s="33">
        <f>'Monthly Data'!AD43</f>
        <v>807274.5</v>
      </c>
      <c r="H43" s="8">
        <f>'Monthly Data'!BU43</f>
        <v>30</v>
      </c>
      <c r="I43" s="18">
        <f>'Monthly Data'!BX43</f>
        <v>0</v>
      </c>
      <c r="J43" s="30"/>
      <c r="L43" s="18">
        <f>'GS&lt;50 Predicted Monthly'!$V$8</f>
        <v>-2135516.9462582301</v>
      </c>
      <c r="M43" s="18">
        <f ca="1">E43*'GS&lt;50 Predicted Monthly'!$V$9</f>
        <v>174916.67195536545</v>
      </c>
      <c r="N43" s="18">
        <f ca="1">F43*'GS&lt;50 Predicted Monthly'!$V$10</f>
        <v>630402.76629101019</v>
      </c>
      <c r="O43" s="18">
        <f>G43*'GS&lt;50 Predicted Monthly'!$V$11</f>
        <v>1945139.9207782699</v>
      </c>
      <c r="P43" s="18">
        <f>H43*'GS&lt;50 Predicted Monthly'!$V$12</f>
        <v>1667252.9042079481</v>
      </c>
      <c r="Q43" s="18">
        <f>I43*'GS&lt;50 Predicted Monthly'!$V$13</f>
        <v>0</v>
      </c>
      <c r="R43" s="18">
        <f>J43*'GS&lt;50 Predicted Monthly'!$V$14</f>
        <v>0</v>
      </c>
      <c r="S43" s="20">
        <f t="shared" ca="1" si="21"/>
        <v>2282195.3169743633</v>
      </c>
      <c r="AJ43" s="33">
        <f t="shared" ref="AJ43" ca="1" si="74">AJ31</f>
        <v>82.880152285321046</v>
      </c>
      <c r="AK43" s="33">
        <f t="shared" ref="AK43" ca="1" si="75">AK31</f>
        <v>102.41083223077457</v>
      </c>
      <c r="AL43" s="33">
        <f t="shared" ca="1" si="50"/>
        <v>141.30183653234096</v>
      </c>
      <c r="AM43" s="33">
        <f t="shared" ca="1" si="50"/>
        <v>184.0835416360639</v>
      </c>
      <c r="AO43" s="18">
        <f ca="1">AJ43*'GS&lt;50 Predicted Monthly'!$V$9</f>
        <v>156301.07851810337</v>
      </c>
      <c r="AP43" s="18">
        <f ca="1">AK43*'GS&lt;50 Predicted Monthly'!$V$9</f>
        <v>193133.37497862687</v>
      </c>
      <c r="AQ43" s="18">
        <f ca="1">AL43*'GS&lt;50 Predicted Monthly'!$V$10</f>
        <v>524635.97988861345</v>
      </c>
      <c r="AR43" s="18">
        <f ca="1">AM43*'GS&lt;50 Predicted Monthly'!$V$10</f>
        <v>683479.08008611342</v>
      </c>
      <c r="AT43" s="31">
        <f t="shared" ca="1" si="4"/>
        <v>2157812.9371347046</v>
      </c>
      <c r="AU43" s="31">
        <f t="shared" ca="1" si="5"/>
        <v>2353488.3337927279</v>
      </c>
    </row>
    <row r="44" spans="1:47">
      <c r="A44" s="541">
        <f>'Monthly Data'!A44</f>
        <v>43647</v>
      </c>
      <c r="B44">
        <f t="shared" si="19"/>
        <v>2019</v>
      </c>
      <c r="C44">
        <f t="shared" si="20"/>
        <v>7</v>
      </c>
      <c r="D44" s="30">
        <f>'Monthly Data'!J44</f>
        <v>162224.57342038781</v>
      </c>
      <c r="E44" s="33">
        <f t="shared" ca="1" si="55"/>
        <v>25.464999999999996</v>
      </c>
      <c r="F44" s="33">
        <f t="shared" ca="1" si="55"/>
        <v>265.99625000000003</v>
      </c>
      <c r="G44" s="33">
        <f>'Monthly Data'!AD44</f>
        <v>807274.5</v>
      </c>
      <c r="H44" s="8">
        <f>'Monthly Data'!BU44</f>
        <v>31</v>
      </c>
      <c r="I44" s="18">
        <f>'Monthly Data'!BX44</f>
        <v>0</v>
      </c>
      <c r="J44" s="30"/>
      <c r="L44" s="18">
        <f>'GS&lt;50 Predicted Monthly'!$V$8</f>
        <v>-2135516.9462582301</v>
      </c>
      <c r="M44" s="18">
        <f ca="1">E44*'GS&lt;50 Predicted Monthly'!$V$9</f>
        <v>48023.644439760981</v>
      </c>
      <c r="N44" s="18">
        <f ca="1">F44*'GS&lt;50 Predicted Monthly'!$V$10</f>
        <v>987610.68284845934</v>
      </c>
      <c r="O44" s="18">
        <f>G44*'GS&lt;50 Predicted Monthly'!$V$11</f>
        <v>1945139.9207782699</v>
      </c>
      <c r="P44" s="18">
        <f>H44*'GS&lt;50 Predicted Monthly'!$V$12</f>
        <v>1722828.0010148797</v>
      </c>
      <c r="Q44" s="18">
        <f>I44*'GS&lt;50 Predicted Monthly'!$V$13</f>
        <v>0</v>
      </c>
      <c r="R44" s="18">
        <f>J44*'GS&lt;50 Predicted Monthly'!$V$14</f>
        <v>0</v>
      </c>
      <c r="S44" s="20">
        <f t="shared" ca="1" si="21"/>
        <v>2568085.3028231398</v>
      </c>
      <c r="AJ44" s="33">
        <f t="shared" ref="AJ44" ca="1" si="76">AJ32</f>
        <v>22.754874763905612</v>
      </c>
      <c r="AK44" s="33">
        <f t="shared" ref="AK44" ca="1" si="77">AK32</f>
        <v>28.117053330889604</v>
      </c>
      <c r="AL44" s="33">
        <f t="shared" ca="1" si="50"/>
        <v>221.36832312221517</v>
      </c>
      <c r="AM44" s="33">
        <f t="shared" ca="1" si="50"/>
        <v>288.39161561107579</v>
      </c>
      <c r="AO44" s="18">
        <f ca="1">AJ44*'GS&lt;50 Predicted Monthly'!$V$9</f>
        <v>42912.704297392243</v>
      </c>
      <c r="AP44" s="18">
        <f ca="1">AK44*'GS&lt;50 Predicted Monthly'!$V$9</f>
        <v>53025.068598328675</v>
      </c>
      <c r="AQ44" s="18">
        <f ca="1">AL44*'GS&lt;50 Predicted Monthly'!$V$10</f>
        <v>821912.7929801615</v>
      </c>
      <c r="AR44" s="18">
        <f ca="1">AM44*'GS&lt;50 Predicted Monthly'!$V$10</f>
        <v>1070761.8638286251</v>
      </c>
      <c r="AT44" s="31">
        <f t="shared" ca="1" si="4"/>
        <v>2397276.4728124733</v>
      </c>
      <c r="AU44" s="31">
        <f t="shared" ca="1" si="5"/>
        <v>2656237.9079618733</v>
      </c>
    </row>
    <row r="45" spans="1:47">
      <c r="A45" s="541">
        <f>'Monthly Data'!A45</f>
        <v>43678</v>
      </c>
      <c r="B45">
        <f t="shared" si="19"/>
        <v>2019</v>
      </c>
      <c r="C45">
        <f t="shared" si="20"/>
        <v>8</v>
      </c>
      <c r="D45" s="30">
        <f>'Monthly Data'!J45</f>
        <v>164027.82311039325</v>
      </c>
      <c r="E45" s="33">
        <f t="shared" ca="1" si="55"/>
        <v>54.974791666666668</v>
      </c>
      <c r="F45" s="33">
        <f t="shared" ca="1" si="55"/>
        <v>218.46562499999996</v>
      </c>
      <c r="G45" s="33">
        <f>'Monthly Data'!AD45</f>
        <v>807274.5</v>
      </c>
      <c r="H45" s="8">
        <f>'Monthly Data'!BU45</f>
        <v>31</v>
      </c>
      <c r="I45" s="18">
        <f>'Monthly Data'!BX45</f>
        <v>0</v>
      </c>
      <c r="J45" s="30"/>
      <c r="L45" s="18">
        <f>'GS&lt;50 Predicted Monthly'!$V$8</f>
        <v>-2135516.9462582301</v>
      </c>
      <c r="M45" s="18">
        <f ca="1">E45*'GS&lt;50 Predicted Monthly'!$V$9</f>
        <v>103675.23456312333</v>
      </c>
      <c r="N45" s="18">
        <f ca="1">F45*'GS&lt;50 Predicted Monthly'!$V$10</f>
        <v>811135.43925963389</v>
      </c>
      <c r="O45" s="18">
        <f>G45*'GS&lt;50 Predicted Monthly'!$V$11</f>
        <v>1945139.9207782699</v>
      </c>
      <c r="P45" s="18">
        <f>H45*'GS&lt;50 Predicted Monthly'!$V$12</f>
        <v>1722828.0010148797</v>
      </c>
      <c r="Q45" s="18">
        <f>I45*'GS&lt;50 Predicted Monthly'!$V$13</f>
        <v>0</v>
      </c>
      <c r="R45" s="18">
        <f>J45*'GS&lt;50 Predicted Monthly'!$V$14</f>
        <v>0</v>
      </c>
      <c r="S45" s="20">
        <f t="shared" ca="1" si="21"/>
        <v>2447261.6493576765</v>
      </c>
      <c r="AJ45" s="33">
        <f t="shared" ref="AJ45" ca="1" si="78">AJ33</f>
        <v>49.124072238240799</v>
      </c>
      <c r="AK45" s="33">
        <f t="shared" ref="AK45" ca="1" si="79">AK33</f>
        <v>60.700143300459935</v>
      </c>
      <c r="AL45" s="33">
        <f t="shared" ca="1" si="50"/>
        <v>181.81222128543794</v>
      </c>
      <c r="AM45" s="33">
        <f t="shared" ca="1" si="50"/>
        <v>236.85918335026682</v>
      </c>
      <c r="AO45" s="18">
        <f ca="1">AJ45*'GS&lt;50 Predicted Monthly'!$V$9</f>
        <v>92641.546381402324</v>
      </c>
      <c r="AP45" s="18">
        <f ca="1">AK45*'GS&lt;50 Predicted Monthly'!$V$9</f>
        <v>114472.49555483322</v>
      </c>
      <c r="AQ45" s="18">
        <f ca="1">AL45*'GS&lt;50 Predicted Monthly'!$V$10</f>
        <v>675045.9527677797</v>
      </c>
      <c r="AR45" s="18">
        <f ca="1">AM45*'GS&lt;50 Predicted Monthly'!$V$10</f>
        <v>879428.41227079486</v>
      </c>
      <c r="AT45" s="31">
        <f t="shared" ca="1" si="4"/>
        <v>2300138.4746841015</v>
      </c>
      <c r="AU45" s="31">
        <f t="shared" ca="1" si="5"/>
        <v>2526351.8833605475</v>
      </c>
    </row>
    <row r="46" spans="1:47">
      <c r="A46" s="541">
        <f>'Monthly Data'!A46</f>
        <v>43709</v>
      </c>
      <c r="B46">
        <f t="shared" si="19"/>
        <v>2019</v>
      </c>
      <c r="C46">
        <f t="shared" si="20"/>
        <v>9</v>
      </c>
      <c r="D46" s="30">
        <f>'Monthly Data'!J46</f>
        <v>165831.07280039872</v>
      </c>
      <c r="E46" s="33">
        <f t="shared" ca="1" si="55"/>
        <v>166.50624999999999</v>
      </c>
      <c r="F46" s="33">
        <f t="shared" ca="1" si="55"/>
        <v>95.131249999999994</v>
      </c>
      <c r="G46" s="33">
        <f>'Monthly Data'!AD46</f>
        <v>807274.5</v>
      </c>
      <c r="H46" s="8">
        <f>'Monthly Data'!BU46</f>
        <v>30</v>
      </c>
      <c r="I46" s="18">
        <f>'Monthly Data'!BX46</f>
        <v>0</v>
      </c>
      <c r="J46" s="30"/>
      <c r="L46" s="18">
        <f>'GS&lt;50 Predicted Monthly'!$V$8</f>
        <v>-2135516.9462582301</v>
      </c>
      <c r="M46" s="18">
        <f ca="1">E46*'GS&lt;50 Predicted Monthly'!$V$9</f>
        <v>314008.9121145868</v>
      </c>
      <c r="N46" s="18">
        <f ca="1">F46*'GS&lt;50 Predicted Monthly'!$V$10</f>
        <v>353210.38838978927</v>
      </c>
      <c r="O46" s="18">
        <f>G46*'GS&lt;50 Predicted Monthly'!$V$11</f>
        <v>1945139.9207782699</v>
      </c>
      <c r="P46" s="18">
        <f>H46*'GS&lt;50 Predicted Monthly'!$V$12</f>
        <v>1667252.9042079481</v>
      </c>
      <c r="Q46" s="18">
        <f>I46*'GS&lt;50 Predicted Monthly'!$V$13</f>
        <v>0</v>
      </c>
      <c r="R46" s="18">
        <f>J46*'GS&lt;50 Predicted Monthly'!$V$14</f>
        <v>0</v>
      </c>
      <c r="S46" s="20">
        <f t="shared" ca="1" si="21"/>
        <v>2144095.1792323636</v>
      </c>
      <c r="AJ46" s="33">
        <f t="shared" ref="AJ46" ca="1" si="80">AJ34</f>
        <v>148.78573988445157</v>
      </c>
      <c r="AK46" s="33">
        <f t="shared" ref="AK46" ca="1" si="81">AK34</f>
        <v>183.84704932952829</v>
      </c>
      <c r="AL46" s="33">
        <f t="shared" ca="1" si="50"/>
        <v>79.170459316701752</v>
      </c>
      <c r="AM46" s="33">
        <f t="shared" ca="1" si="50"/>
        <v>103.14075812197032</v>
      </c>
      <c r="AO46" s="18">
        <f ca="1">AJ46*'GS&lt;50 Predicted Monthly'!$V$9</f>
        <v>280590.35813538847</v>
      </c>
      <c r="AP46" s="18">
        <f ca="1">AK46*'GS&lt;50 Predicted Monthly'!$V$9</f>
        <v>346711.3814372851</v>
      </c>
      <c r="AQ46" s="18">
        <f ca="1">AL46*'GS&lt;50 Predicted Monthly'!$V$10</f>
        <v>293949.9763143051</v>
      </c>
      <c r="AR46" s="18">
        <f ca="1">AM46*'GS&lt;50 Predicted Monthly'!$V$10</f>
        <v>382948.68652602012</v>
      </c>
      <c r="AT46" s="31">
        <f t="shared" ca="1" si="4"/>
        <v>2051416.213177681</v>
      </c>
      <c r="AU46" s="31">
        <f t="shared" ca="1" si="5"/>
        <v>2206535.9466912928</v>
      </c>
    </row>
    <row r="47" spans="1:47">
      <c r="A47" s="541">
        <f>'Monthly Data'!A47</f>
        <v>43739</v>
      </c>
      <c r="B47">
        <f t="shared" si="19"/>
        <v>2019</v>
      </c>
      <c r="C47">
        <f t="shared" si="20"/>
        <v>10</v>
      </c>
      <c r="D47" s="30">
        <f>'Monthly Data'!J47</f>
        <v>167634.32249040419</v>
      </c>
      <c r="E47" s="33">
        <f t="shared" ca="1" si="55"/>
        <v>363.47645833333326</v>
      </c>
      <c r="F47" s="33">
        <f t="shared" ca="1" si="55"/>
        <v>21.813750000000006</v>
      </c>
      <c r="G47" s="33">
        <f>'Monthly Data'!AD47</f>
        <v>807274.5</v>
      </c>
      <c r="H47" s="8">
        <f>'Monthly Data'!BU47</f>
        <v>31</v>
      </c>
      <c r="I47" s="18">
        <f>'Monthly Data'!BX47</f>
        <v>0</v>
      </c>
      <c r="J47" s="30"/>
      <c r="L47" s="18">
        <f>'GS&lt;50 Predicted Monthly'!$V$8</f>
        <v>-2135516.9462582301</v>
      </c>
      <c r="M47" s="18">
        <f ca="1">E47*'GS&lt;50 Predicted Monthly'!$V$9</f>
        <v>685468.84732863132</v>
      </c>
      <c r="N47" s="18">
        <f ca="1">F47*'GS&lt;50 Predicted Monthly'!$V$10</f>
        <v>80991.715232773335</v>
      </c>
      <c r="O47" s="18">
        <f>G47*'GS&lt;50 Predicted Monthly'!$V$11</f>
        <v>1945139.9207782699</v>
      </c>
      <c r="P47" s="18">
        <f>H47*'GS&lt;50 Predicted Monthly'!$V$12</f>
        <v>1722828.0010148797</v>
      </c>
      <c r="Q47" s="18">
        <f>I47*'GS&lt;50 Predicted Monthly'!$V$13</f>
        <v>0</v>
      </c>
      <c r="R47" s="18">
        <f>J47*'GS&lt;50 Predicted Monthly'!$V$14</f>
        <v>0</v>
      </c>
      <c r="S47" s="20">
        <f t="shared" ca="1" si="21"/>
        <v>2298911.5380963236</v>
      </c>
      <c r="AJ47" s="33">
        <f t="shared" ref="AJ47" ca="1" si="82">AJ35</f>
        <v>324.79329624987065</v>
      </c>
      <c r="AK47" s="33">
        <f t="shared" ref="AK47" ca="1" si="83">AK35</f>
        <v>401.33072701673694</v>
      </c>
      <c r="AL47" s="33">
        <f t="shared" ref="AL47:AM62" ca="1" si="84">AL35</f>
        <v>18.153914795818444</v>
      </c>
      <c r="AM47" s="33">
        <f t="shared" ca="1" si="84"/>
        <v>23.650343209861436</v>
      </c>
      <c r="AO47" s="18">
        <f ca="1">AJ47*'GS&lt;50 Predicted Monthly'!$V$9</f>
        <v>612517.48578526394</v>
      </c>
      <c r="AP47" s="18">
        <f ca="1">AK47*'GS&lt;50 Predicted Monthly'!$V$9</f>
        <v>756857.0248184785</v>
      </c>
      <c r="AQ47" s="18">
        <f ca="1">AL47*'GS&lt;50 Predicted Monthly'!$V$10</f>
        <v>67403.206578555153</v>
      </c>
      <c r="AR47" s="18">
        <f ca="1">AM47*'GS&lt;50 Predicted Monthly'!$V$10</f>
        <v>87810.755253473209</v>
      </c>
      <c r="AT47" s="31">
        <f t="shared" ca="1" si="4"/>
        <v>2212371.6678987378</v>
      </c>
      <c r="AU47" s="31">
        <f t="shared" ca="1" si="5"/>
        <v>2377118.7556068706</v>
      </c>
    </row>
    <row r="48" spans="1:47">
      <c r="A48" s="541">
        <f>'Monthly Data'!A48</f>
        <v>43770</v>
      </c>
      <c r="B48">
        <f t="shared" si="19"/>
        <v>2019</v>
      </c>
      <c r="C48">
        <f t="shared" si="20"/>
        <v>11</v>
      </c>
      <c r="D48" s="30">
        <f>'Monthly Data'!J48</f>
        <v>169437.57218040962</v>
      </c>
      <c r="E48" s="33">
        <f t="shared" ca="1" si="55"/>
        <v>586.00395833333334</v>
      </c>
      <c r="F48" s="33">
        <f t="shared" ca="1" si="55"/>
        <v>2.2795833333333335</v>
      </c>
      <c r="G48" s="33">
        <f>'Monthly Data'!AD48</f>
        <v>807274.5</v>
      </c>
      <c r="H48" s="8">
        <f>'Monthly Data'!BU48</f>
        <v>30</v>
      </c>
      <c r="I48" s="18">
        <f>'Monthly Data'!BX48</f>
        <v>0</v>
      </c>
      <c r="J48" s="30"/>
      <c r="L48" s="18">
        <f>'GS&lt;50 Predicted Monthly'!$V$8</f>
        <v>-2135516.9462582301</v>
      </c>
      <c r="M48" s="18">
        <f ca="1">E48*'GS&lt;50 Predicted Monthly'!$V$9</f>
        <v>1105126.4769406053</v>
      </c>
      <c r="N48" s="18">
        <f ca="1">F48*'GS&lt;50 Predicted Monthly'!$V$10</f>
        <v>8463.8067357840573</v>
      </c>
      <c r="O48" s="18">
        <f>G48*'GS&lt;50 Predicted Monthly'!$V$11</f>
        <v>1945139.9207782699</v>
      </c>
      <c r="P48" s="18">
        <f>H48*'GS&lt;50 Predicted Monthly'!$V$12</f>
        <v>1667252.9042079481</v>
      </c>
      <c r="Q48" s="18">
        <f>I48*'GS&lt;50 Predicted Monthly'!$V$13</f>
        <v>0</v>
      </c>
      <c r="R48" s="18">
        <f>J48*'GS&lt;50 Predicted Monthly'!$V$14</f>
        <v>0</v>
      </c>
      <c r="S48" s="20">
        <f t="shared" ca="1" si="21"/>
        <v>2590466.162404377</v>
      </c>
      <c r="AJ48" s="33">
        <f t="shared" ref="AJ48" ca="1" si="85">AJ36</f>
        <v>523.63819685953126</v>
      </c>
      <c r="AK48" s="33">
        <f t="shared" ref="AK48" ca="1" si="86">AK36</f>
        <v>647.03336142041019</v>
      </c>
      <c r="AL48" s="33">
        <f t="shared" ca="1" si="84"/>
        <v>1.8971227598785685</v>
      </c>
      <c r="AM48" s="33">
        <f t="shared" ca="1" si="84"/>
        <v>2.4715112352902775</v>
      </c>
      <c r="AO48" s="18">
        <f ca="1">AJ48*'GS&lt;50 Predicted Monthly'!$V$9</f>
        <v>987512.84433770669</v>
      </c>
      <c r="AP48" s="18">
        <f ca="1">AK48*'GS&lt;50 Predicted Monthly'!$V$9</f>
        <v>1220219.913195254</v>
      </c>
      <c r="AQ48" s="18">
        <f ca="1">AL48*'GS&lt;50 Predicted Monthly'!$V$10</f>
        <v>7043.7786409809405</v>
      </c>
      <c r="AR48" s="18">
        <f ca="1">AM48*'GS&lt;50 Predicted Monthly'!$V$10</f>
        <v>9176.4109409537541</v>
      </c>
      <c r="AT48" s="31">
        <f t="shared" ca="1" si="4"/>
        <v>2471432.5017066752</v>
      </c>
      <c r="AU48" s="31">
        <f t="shared" ca="1" si="5"/>
        <v>2706272.2028641952</v>
      </c>
    </row>
    <row r="49" spans="1:47">
      <c r="A49" s="541">
        <f>'Monthly Data'!A49</f>
        <v>43800</v>
      </c>
      <c r="B49">
        <f t="shared" si="19"/>
        <v>2019</v>
      </c>
      <c r="C49">
        <f t="shared" si="20"/>
        <v>12</v>
      </c>
      <c r="D49" s="30">
        <f>'Monthly Data'!J49</f>
        <v>30938448.821870416</v>
      </c>
      <c r="E49" s="33">
        <f t="shared" ca="1" si="55"/>
        <v>812.36333333333334</v>
      </c>
      <c r="F49" s="33">
        <f t="shared" ca="1" si="55"/>
        <v>0</v>
      </c>
      <c r="G49" s="33">
        <f>'Monthly Data'!AD49</f>
        <v>807274.5</v>
      </c>
      <c r="H49" s="8">
        <f>'Monthly Data'!BU49</f>
        <v>31</v>
      </c>
      <c r="I49" s="18">
        <f>'Monthly Data'!BX49</f>
        <v>0</v>
      </c>
      <c r="J49" s="30"/>
      <c r="L49" s="18">
        <f>'GS&lt;50 Predicted Monthly'!$V$8</f>
        <v>-2135516.9462582301</v>
      </c>
      <c r="M49" s="18">
        <f ca="1">E49*'GS&lt;50 Predicted Monthly'!$V$9</f>
        <v>1532010.5193755757</v>
      </c>
      <c r="N49" s="18">
        <f ca="1">F49*'GS&lt;50 Predicted Monthly'!$V$10</f>
        <v>0</v>
      </c>
      <c r="O49" s="18">
        <f>G49*'GS&lt;50 Predicted Monthly'!$V$11</f>
        <v>1945139.9207782699</v>
      </c>
      <c r="P49" s="18">
        <f>H49*'GS&lt;50 Predicted Monthly'!$V$12</f>
        <v>1722828.0010148797</v>
      </c>
      <c r="Q49" s="18">
        <f>I49*'GS&lt;50 Predicted Monthly'!$V$13</f>
        <v>0</v>
      </c>
      <c r="R49" s="18">
        <f>J49*'GS&lt;50 Predicted Monthly'!$V$14</f>
        <v>0</v>
      </c>
      <c r="S49" s="20">
        <f t="shared" ca="1" si="21"/>
        <v>3064461.4949104954</v>
      </c>
      <c r="AJ49" s="33">
        <f t="shared" ref="AJ49" ca="1" si="87">AJ37</f>
        <v>725.90716327464804</v>
      </c>
      <c r="AK49" s="33">
        <f t="shared" ref="AK49" ca="1" si="88">AK37</f>
        <v>896.96694158227319</v>
      </c>
      <c r="AL49" s="33">
        <f t="shared" ca="1" si="84"/>
        <v>0</v>
      </c>
      <c r="AM49" s="33">
        <f t="shared" ca="1" si="84"/>
        <v>0</v>
      </c>
      <c r="AO49" s="18">
        <f ca="1">AJ49*'GS&lt;50 Predicted Monthly'!$V$9</f>
        <v>1368965.5411497045</v>
      </c>
      <c r="AP49" s="18">
        <f ca="1">AK49*'GS&lt;50 Predicted Monthly'!$V$9</f>
        <v>1691561.809415549</v>
      </c>
      <c r="AQ49" s="18">
        <f ca="1">AL49*'GS&lt;50 Predicted Monthly'!$V$10</f>
        <v>0</v>
      </c>
      <c r="AR49" s="18">
        <f ca="1">AM49*'GS&lt;50 Predicted Monthly'!$V$10</f>
        <v>0</v>
      </c>
      <c r="AT49" s="31">
        <f t="shared" ca="1" si="4"/>
        <v>2901416.5166846244</v>
      </c>
      <c r="AU49" s="31">
        <f t="shared" ca="1" si="5"/>
        <v>3224012.7849504687</v>
      </c>
    </row>
    <row r="50" spans="1:47">
      <c r="A50" s="541">
        <f>'Monthly Data'!A50</f>
        <v>43831</v>
      </c>
      <c r="B50">
        <f t="shared" si="19"/>
        <v>2020</v>
      </c>
      <c r="C50">
        <f t="shared" si="20"/>
        <v>1</v>
      </c>
      <c r="D50" s="30">
        <f>'Monthly Data'!J50</f>
        <v>3010167.2574951407</v>
      </c>
      <c r="E50" s="33">
        <f t="shared" ca="1" si="55"/>
        <v>914.55166666666662</v>
      </c>
      <c r="F50" s="33">
        <f t="shared" ca="1" si="55"/>
        <v>0</v>
      </c>
      <c r="G50" s="33">
        <f>'Monthly Data'!AD50</f>
        <v>769942</v>
      </c>
      <c r="H50" s="8">
        <f>'Monthly Data'!BU50</f>
        <v>31</v>
      </c>
      <c r="I50" s="18">
        <f>'Monthly Data'!BX50</f>
        <v>0</v>
      </c>
      <c r="J50" s="30"/>
      <c r="L50" s="18">
        <f>'GS&lt;50 Predicted Monthly'!$V$8</f>
        <v>-2135516.9462582301</v>
      </c>
      <c r="M50" s="18">
        <f ca="1">E50*'GS&lt;50 Predicted Monthly'!$V$9</f>
        <v>1724724.2906652587</v>
      </c>
      <c r="N50" s="18">
        <f ca="1">F50*'GS&lt;50 Predicted Monthly'!$V$10</f>
        <v>0</v>
      </c>
      <c r="O50" s="18">
        <f>G50*'GS&lt;50 Predicted Monthly'!$V$11</f>
        <v>1855186.7064844272</v>
      </c>
      <c r="P50" s="18">
        <f>H50*'GS&lt;50 Predicted Monthly'!$V$12</f>
        <v>1722828.0010148797</v>
      </c>
      <c r="Q50" s="18">
        <f>I50*'GS&lt;50 Predicted Monthly'!$V$13</f>
        <v>0</v>
      </c>
      <c r="R50" s="18">
        <f>J50*'GS&lt;50 Predicted Monthly'!$V$14</f>
        <v>0</v>
      </c>
      <c r="S50" s="20">
        <f t="shared" ca="1" si="21"/>
        <v>3167222.0519063352</v>
      </c>
      <c r="AJ50" s="33">
        <f t="shared" ref="AJ50" ca="1" si="89">AJ38</f>
        <v>817.22005262600237</v>
      </c>
      <c r="AK50" s="33">
        <f t="shared" ref="AK50" ca="1" si="90">AK38</f>
        <v>1009.7976825258449</v>
      </c>
      <c r="AL50" s="33">
        <f t="shared" ca="1" si="84"/>
        <v>0</v>
      </c>
      <c r="AM50" s="33">
        <f t="shared" ca="1" si="84"/>
        <v>0</v>
      </c>
      <c r="AO50" s="18">
        <f ca="1">AJ50*'GS&lt;50 Predicted Monthly'!$V$9</f>
        <v>1541169.6538917692</v>
      </c>
      <c r="AP50" s="18">
        <f ca="1">AK50*'GS&lt;50 Predicted Monthly'!$V$9</f>
        <v>1904345.7632717781</v>
      </c>
      <c r="AQ50" s="18">
        <f ca="1">AL50*'GS&lt;50 Predicted Monthly'!$V$10</f>
        <v>0</v>
      </c>
      <c r="AR50" s="18">
        <f ca="1">AM50*'GS&lt;50 Predicted Monthly'!$V$10</f>
        <v>0</v>
      </c>
      <c r="AT50" s="31">
        <f t="shared" ca="1" si="4"/>
        <v>2983667.4151328458</v>
      </c>
      <c r="AU50" s="31">
        <f t="shared" ca="1" si="5"/>
        <v>3346843.5245128544</v>
      </c>
    </row>
    <row r="51" spans="1:47">
      <c r="A51" s="541">
        <f>'Monthly Data'!A51</f>
        <v>43862</v>
      </c>
      <c r="B51">
        <f t="shared" si="19"/>
        <v>2020</v>
      </c>
      <c r="C51">
        <f t="shared" si="20"/>
        <v>2</v>
      </c>
      <c r="D51" s="30">
        <f>'Monthly Data'!J51</f>
        <v>2813125.8986844411</v>
      </c>
      <c r="E51" s="33">
        <f t="shared" ca="1" si="55"/>
        <v>803.82854166666664</v>
      </c>
      <c r="F51" s="33">
        <f t="shared" ca="1" si="55"/>
        <v>0</v>
      </c>
      <c r="G51" s="33">
        <f>'Monthly Data'!AD51</f>
        <v>769942</v>
      </c>
      <c r="H51" s="8">
        <f>'Monthly Data'!BU51</f>
        <v>28</v>
      </c>
      <c r="I51" s="18">
        <f>'Monthly Data'!BX51</f>
        <v>0</v>
      </c>
      <c r="J51" s="30"/>
      <c r="L51" s="18">
        <f>'GS&lt;50 Predicted Monthly'!$V$8</f>
        <v>-2135516.9462582301</v>
      </c>
      <c r="M51" s="18">
        <f ca="1">E51*'GS&lt;50 Predicted Monthly'!$V$9</f>
        <v>1515915.0235826271</v>
      </c>
      <c r="N51" s="18">
        <f ca="1">F51*'GS&lt;50 Predicted Monthly'!$V$10</f>
        <v>0</v>
      </c>
      <c r="O51" s="18">
        <f>G51*'GS&lt;50 Predicted Monthly'!$V$11</f>
        <v>1855186.7064844272</v>
      </c>
      <c r="P51" s="18">
        <f>H51*'GS&lt;50 Predicted Monthly'!$V$12</f>
        <v>1556102.7105940848</v>
      </c>
      <c r="Q51" s="18">
        <f>I51*'GS&lt;50 Predicted Monthly'!$V$13</f>
        <v>0</v>
      </c>
      <c r="R51" s="18">
        <f>J51*'GS&lt;50 Predicted Monthly'!$V$14</f>
        <v>0</v>
      </c>
      <c r="S51" s="20">
        <f t="shared" ca="1" si="21"/>
        <v>2791687.4944029087</v>
      </c>
      <c r="AJ51" s="33">
        <f t="shared" ref="AJ51" ca="1" si="91">AJ39</f>
        <v>718.28069103781206</v>
      </c>
      <c r="AK51" s="33">
        <f t="shared" ref="AK51" ca="1" si="92">AK39</f>
        <v>887.54329373386554</v>
      </c>
      <c r="AL51" s="33">
        <f t="shared" ca="1" si="84"/>
        <v>0</v>
      </c>
      <c r="AM51" s="33">
        <f t="shared" ca="1" si="84"/>
        <v>0</v>
      </c>
      <c r="AO51" s="18">
        <f ca="1">AJ51*'GS&lt;50 Predicted Monthly'!$V$9</f>
        <v>1354583.0164675321</v>
      </c>
      <c r="AP51" s="18">
        <f ca="1">AK51*'GS&lt;50 Predicted Monthly'!$V$9</f>
        <v>1673790.047640664</v>
      </c>
      <c r="AQ51" s="18">
        <f ca="1">AL51*'GS&lt;50 Predicted Monthly'!$V$10</f>
        <v>0</v>
      </c>
      <c r="AR51" s="18">
        <f ca="1">AM51*'GS&lt;50 Predicted Monthly'!$V$10</f>
        <v>0</v>
      </c>
      <c r="AT51" s="31">
        <f t="shared" ca="1" si="4"/>
        <v>2630355.4872878138</v>
      </c>
      <c r="AU51" s="31">
        <f t="shared" ca="1" si="5"/>
        <v>2949562.5184609457</v>
      </c>
    </row>
    <row r="52" spans="1:47">
      <c r="A52" s="541">
        <f>'Monthly Data'!A52</f>
        <v>43891</v>
      </c>
      <c r="B52">
        <f t="shared" si="19"/>
        <v>2020</v>
      </c>
      <c r="C52">
        <f t="shared" si="20"/>
        <v>3</v>
      </c>
      <c r="D52" s="30">
        <f>'Monthly Data'!J52</f>
        <v>2549801.539873742</v>
      </c>
      <c r="E52" s="33">
        <f t="shared" ca="1" si="55"/>
        <v>698.29604166666672</v>
      </c>
      <c r="F52" s="33">
        <f t="shared" ca="1" si="55"/>
        <v>0</v>
      </c>
      <c r="G52" s="33">
        <f>'Monthly Data'!AD52</f>
        <v>769942</v>
      </c>
      <c r="H52" s="8">
        <f>'Monthly Data'!BU52</f>
        <v>31</v>
      </c>
      <c r="I52" s="18">
        <f>'Monthly Data'!BX52</f>
        <v>0.5</v>
      </c>
      <c r="J52" s="30"/>
      <c r="L52" s="18">
        <f>'GS&lt;50 Predicted Monthly'!$V$8</f>
        <v>-2135516.9462582301</v>
      </c>
      <c r="M52" s="18">
        <f ca="1">E52*'GS&lt;50 Predicted Monthly'!$V$9</f>
        <v>1316894.5933120961</v>
      </c>
      <c r="N52" s="18">
        <f ca="1">F52*'GS&lt;50 Predicted Monthly'!$V$10</f>
        <v>0</v>
      </c>
      <c r="O52" s="18">
        <f>G52*'GS&lt;50 Predicted Monthly'!$V$11</f>
        <v>1855186.7064844272</v>
      </c>
      <c r="P52" s="18">
        <f>H52*'GS&lt;50 Predicted Monthly'!$V$12</f>
        <v>1722828.0010148797</v>
      </c>
      <c r="Q52" s="18">
        <f>I52*'GS&lt;50 Predicted Monthly'!$V$13</f>
        <v>-155664.75371970949</v>
      </c>
      <c r="R52" s="18">
        <f>J52*'GS&lt;50 Predicted Monthly'!$V$14</f>
        <v>0</v>
      </c>
      <c r="S52" s="20">
        <f t="shared" ca="1" si="21"/>
        <v>2603727.6008334635</v>
      </c>
      <c r="AJ52" s="33">
        <f t="shared" ref="AJ52" ca="1" si="93">AJ40</f>
        <v>623.97953961343092</v>
      </c>
      <c r="AK52" s="33">
        <f t="shared" ref="AK52" ca="1" si="94">AK40</f>
        <v>771.02010776716202</v>
      </c>
      <c r="AL52" s="33">
        <f t="shared" ca="1" si="84"/>
        <v>0</v>
      </c>
      <c r="AM52" s="33">
        <f t="shared" ca="1" si="84"/>
        <v>0</v>
      </c>
      <c r="AO52" s="18">
        <f ca="1">AJ52*'GS&lt;50 Predicted Monthly'!$V$9</f>
        <v>1176743.4340499181</v>
      </c>
      <c r="AP52" s="18">
        <f ca="1">AK52*'GS&lt;50 Predicted Monthly'!$V$9</f>
        <v>1454042.6275796737</v>
      </c>
      <c r="AQ52" s="18">
        <f ca="1">AL52*'GS&lt;50 Predicted Monthly'!$V$10</f>
        <v>0</v>
      </c>
      <c r="AR52" s="18">
        <f ca="1">AM52*'GS&lt;50 Predicted Monthly'!$V$10</f>
        <v>0</v>
      </c>
      <c r="AT52" s="31">
        <f t="shared" ca="1" si="4"/>
        <v>2463576.4415712855</v>
      </c>
      <c r="AU52" s="31">
        <f t="shared" ca="1" si="5"/>
        <v>2740875.6351010408</v>
      </c>
    </row>
    <row r="53" spans="1:47">
      <c r="A53" s="541">
        <f>'Monthly Data'!A53</f>
        <v>43922</v>
      </c>
      <c r="B53">
        <f t="shared" si="19"/>
        <v>2020</v>
      </c>
      <c r="C53">
        <f t="shared" si="20"/>
        <v>4</v>
      </c>
      <c r="D53" s="30">
        <f>'Monthly Data'!J53</f>
        <v>2013068.1810630427</v>
      </c>
      <c r="E53" s="33">
        <f t="shared" ca="1" si="55"/>
        <v>468.60374999999993</v>
      </c>
      <c r="F53" s="33">
        <f t="shared" ca="1" si="55"/>
        <v>2.8104166666666677</v>
      </c>
      <c r="G53" s="33">
        <f>'Monthly Data'!AD53</f>
        <v>769942</v>
      </c>
      <c r="H53" s="8">
        <f>'Monthly Data'!BU53</f>
        <v>30</v>
      </c>
      <c r="I53" s="18">
        <f>'Monthly Data'!BX53</f>
        <v>1</v>
      </c>
      <c r="J53" s="30"/>
      <c r="L53" s="18">
        <f>'GS&lt;50 Predicted Monthly'!$V$8</f>
        <v>-2135516.9462582301</v>
      </c>
      <c r="M53" s="18">
        <f ca="1">E53*'GS&lt;50 Predicted Monthly'!$V$9</f>
        <v>883725.10791826609</v>
      </c>
      <c r="N53" s="18">
        <f ca="1">F53*'GS&lt;50 Predicted Monthly'!$V$10</f>
        <v>10434.724261170442</v>
      </c>
      <c r="O53" s="18">
        <f>G53*'GS&lt;50 Predicted Monthly'!$V$11</f>
        <v>1855186.7064844272</v>
      </c>
      <c r="P53" s="18">
        <f>H53*'GS&lt;50 Predicted Monthly'!$V$12</f>
        <v>1667252.9042079481</v>
      </c>
      <c r="Q53" s="18">
        <f>I53*'GS&lt;50 Predicted Monthly'!$V$13</f>
        <v>-311329.50743941899</v>
      </c>
      <c r="R53" s="18">
        <f>J53*'GS&lt;50 Predicted Monthly'!$V$14</f>
        <v>0</v>
      </c>
      <c r="S53" s="20">
        <f t="shared" ca="1" si="21"/>
        <v>1969752.9891741627</v>
      </c>
      <c r="AJ53" s="33">
        <f t="shared" ref="AJ53" ca="1" si="95">AJ41</f>
        <v>418.73236383846591</v>
      </c>
      <c r="AK53" s="33">
        <f t="shared" ref="AK53" ca="1" si="96">AK41</f>
        <v>517.40650421381736</v>
      </c>
      <c r="AL53" s="33">
        <f t="shared" ca="1" si="84"/>
        <v>2.33889472041326</v>
      </c>
      <c r="AM53" s="33">
        <f t="shared" ca="1" si="84"/>
        <v>3.0470377046304016</v>
      </c>
      <c r="AO53" s="18">
        <f ca="1">AJ53*'GS&lt;50 Predicted Monthly'!$V$9</f>
        <v>789674.22565871268</v>
      </c>
      <c r="AP53" s="18">
        <f ca="1">AK53*'GS&lt;50 Predicted Monthly'!$V$9</f>
        <v>975760.69071997097</v>
      </c>
      <c r="AQ53" s="18">
        <f ca="1">AL53*'GS&lt;50 Predicted Monthly'!$V$10</f>
        <v>8684.0224700084891</v>
      </c>
      <c r="AR53" s="18">
        <f ca="1">AM53*'GS&lt;50 Predicted Monthly'!$V$10</f>
        <v>11313.26846951802</v>
      </c>
      <c r="AT53" s="31">
        <f t="shared" ca="1" si="4"/>
        <v>1873951.4051234473</v>
      </c>
      <c r="AU53" s="31">
        <f t="shared" ca="1" si="5"/>
        <v>2062667.1161842153</v>
      </c>
    </row>
    <row r="54" spans="1:47">
      <c r="A54" s="541">
        <f>'Monthly Data'!A54</f>
        <v>43952</v>
      </c>
      <c r="B54">
        <f t="shared" si="19"/>
        <v>2020</v>
      </c>
      <c r="C54">
        <f t="shared" si="20"/>
        <v>5</v>
      </c>
      <c r="D54" s="30">
        <f>'Monthly Data'!J54</f>
        <v>1942219.8222523434</v>
      </c>
      <c r="E54" s="33">
        <f t="shared" ref="E54:F73" ca="1" si="97">E42</f>
        <v>232.88687500000006</v>
      </c>
      <c r="F54" s="33">
        <f t="shared" ca="1" si="97"/>
        <v>74.673124999999999</v>
      </c>
      <c r="G54" s="33">
        <f>'Monthly Data'!AD54</f>
        <v>769942</v>
      </c>
      <c r="H54" s="8">
        <f>'Monthly Data'!BU54</f>
        <v>31</v>
      </c>
      <c r="I54" s="18">
        <f>'Monthly Data'!BX54</f>
        <v>1</v>
      </c>
      <c r="J54" s="30"/>
      <c r="L54" s="18">
        <f>'GS&lt;50 Predicted Monthly'!$V$8</f>
        <v>-2135516.9462582301</v>
      </c>
      <c r="M54" s="18">
        <f ca="1">E54*'GS&lt;50 Predicted Monthly'!$V$9</f>
        <v>439194.04986008507</v>
      </c>
      <c r="N54" s="18">
        <f ca="1">F54*'GS&lt;50 Predicted Monthly'!$V$10</f>
        <v>277251.93859566946</v>
      </c>
      <c r="O54" s="18">
        <f>G54*'GS&lt;50 Predicted Monthly'!$V$11</f>
        <v>1855186.7064844272</v>
      </c>
      <c r="P54" s="18">
        <f>H54*'GS&lt;50 Predicted Monthly'!$V$12</f>
        <v>1722828.0010148797</v>
      </c>
      <c r="Q54" s="18">
        <f>I54*'GS&lt;50 Predicted Monthly'!$V$13</f>
        <v>-311329.50743941899</v>
      </c>
      <c r="R54" s="18">
        <f>J54*'GS&lt;50 Predicted Monthly'!$V$14</f>
        <v>0</v>
      </c>
      <c r="S54" s="20">
        <f t="shared" ca="1" si="21"/>
        <v>1847614.2422574123</v>
      </c>
      <c r="AJ54" s="33">
        <f t="shared" ref="AJ54" ca="1" si="98">AJ42</f>
        <v>208.10177399498693</v>
      </c>
      <c r="AK54" s="33">
        <f t="shared" ref="AK54" ca="1" si="99">AK42</f>
        <v>257.1408868815717</v>
      </c>
      <c r="AL54" s="33">
        <f t="shared" ca="1" si="84"/>
        <v>62.144727467193846</v>
      </c>
      <c r="AM54" s="33">
        <f t="shared" ca="1" si="84"/>
        <v>80.960175797507716</v>
      </c>
      <c r="AO54" s="18">
        <f ca="1">AJ54*'GS&lt;50 Predicted Monthly'!$V$9</f>
        <v>392452.60560057929</v>
      </c>
      <c r="AP54" s="18">
        <f ca="1">AK54*'GS&lt;50 Predicted Monthly'!$V$9</f>
        <v>484933.92980661301</v>
      </c>
      <c r="AQ54" s="18">
        <f ca="1">AL54*'GS&lt;50 Predicted Monthly'!$V$10</f>
        <v>230735.57138232855</v>
      </c>
      <c r="AR54" s="18">
        <f ca="1">AM54*'GS&lt;50 Predicted Monthly'!$V$10</f>
        <v>300594.96892496751</v>
      </c>
      <c r="AT54" s="31">
        <f t="shared" ca="1" si="4"/>
        <v>1754356.4307845656</v>
      </c>
      <c r="AU54" s="31">
        <f t="shared" ca="1" si="5"/>
        <v>1916697.1525332383</v>
      </c>
    </row>
    <row r="55" spans="1:47">
      <c r="A55" s="541">
        <f>'Monthly Data'!A55</f>
        <v>43983</v>
      </c>
      <c r="B55">
        <f t="shared" si="19"/>
        <v>2020</v>
      </c>
      <c r="C55">
        <f t="shared" si="20"/>
        <v>6</v>
      </c>
      <c r="D55" s="30">
        <f>'Monthly Data'!J55</f>
        <v>2049006.4634416441</v>
      </c>
      <c r="E55" s="33">
        <f t="shared" ca="1" si="97"/>
        <v>92.751249999999999</v>
      </c>
      <c r="F55" s="33">
        <f t="shared" ca="1" si="97"/>
        <v>169.78833333333333</v>
      </c>
      <c r="G55" s="33">
        <f>'Monthly Data'!AD55</f>
        <v>769942</v>
      </c>
      <c r="H55" s="8">
        <f>'Monthly Data'!BU55</f>
        <v>30</v>
      </c>
      <c r="I55" s="18">
        <f>'Monthly Data'!BX55</f>
        <v>0.5</v>
      </c>
      <c r="J55" s="30"/>
      <c r="L55" s="18">
        <f>'GS&lt;50 Predicted Monthly'!$V$8</f>
        <v>-2135516.9462582301</v>
      </c>
      <c r="M55" s="18">
        <f ca="1">E55*'GS&lt;50 Predicted Monthly'!$V$9</f>
        <v>174916.67195536545</v>
      </c>
      <c r="N55" s="18">
        <f ca="1">F55*'GS&lt;50 Predicted Monthly'!$V$10</f>
        <v>630402.76629101019</v>
      </c>
      <c r="O55" s="18">
        <f>G55*'GS&lt;50 Predicted Monthly'!$V$11</f>
        <v>1855186.7064844272</v>
      </c>
      <c r="P55" s="18">
        <f>H55*'GS&lt;50 Predicted Monthly'!$V$12</f>
        <v>1667252.9042079481</v>
      </c>
      <c r="Q55" s="18">
        <f>I55*'GS&lt;50 Predicted Monthly'!$V$13</f>
        <v>-155664.75371970949</v>
      </c>
      <c r="R55" s="18">
        <f>J55*'GS&lt;50 Predicted Monthly'!$V$14</f>
        <v>0</v>
      </c>
      <c r="S55" s="20">
        <f t="shared" ca="1" si="21"/>
        <v>2036577.3489608115</v>
      </c>
      <c r="AJ55" s="33">
        <f t="shared" ref="AJ55" ca="1" si="100">AJ43</f>
        <v>82.880152285321046</v>
      </c>
      <c r="AK55" s="33">
        <f t="shared" ref="AK55" ca="1" si="101">AK43</f>
        <v>102.41083223077457</v>
      </c>
      <c r="AL55" s="33">
        <f t="shared" ca="1" si="84"/>
        <v>141.30183653234096</v>
      </c>
      <c r="AM55" s="33">
        <f t="shared" ca="1" si="84"/>
        <v>184.0835416360639</v>
      </c>
      <c r="AO55" s="18">
        <f ca="1">AJ55*'GS&lt;50 Predicted Monthly'!$V$9</f>
        <v>156301.07851810337</v>
      </c>
      <c r="AP55" s="18">
        <f ca="1">AK55*'GS&lt;50 Predicted Monthly'!$V$9</f>
        <v>193133.37497862687</v>
      </c>
      <c r="AQ55" s="18">
        <f ca="1">AL55*'GS&lt;50 Predicted Monthly'!$V$10</f>
        <v>524635.97988861345</v>
      </c>
      <c r="AR55" s="18">
        <f ca="1">AM55*'GS&lt;50 Predicted Monthly'!$V$10</f>
        <v>683479.08008611342</v>
      </c>
      <c r="AT55" s="31">
        <f t="shared" ca="1" si="4"/>
        <v>1912194.9691211525</v>
      </c>
      <c r="AU55" s="31">
        <f t="shared" ca="1" si="5"/>
        <v>2107870.3657791764</v>
      </c>
    </row>
    <row r="56" spans="1:47">
      <c r="A56" s="541">
        <f>'Monthly Data'!A56</f>
        <v>44013</v>
      </c>
      <c r="B56">
        <f t="shared" si="19"/>
        <v>2020</v>
      </c>
      <c r="C56">
        <f t="shared" si="20"/>
        <v>7</v>
      </c>
      <c r="D56" s="30">
        <f>'Monthly Data'!J56</f>
        <v>2479208.1046309448</v>
      </c>
      <c r="E56" s="33">
        <f t="shared" ca="1" si="97"/>
        <v>25.464999999999996</v>
      </c>
      <c r="F56" s="33">
        <f t="shared" ca="1" si="97"/>
        <v>265.99625000000003</v>
      </c>
      <c r="G56" s="33">
        <f>'Monthly Data'!AD56</f>
        <v>769942</v>
      </c>
      <c r="H56" s="8">
        <f>'Monthly Data'!BU56</f>
        <v>31</v>
      </c>
      <c r="I56" s="18">
        <f>'Monthly Data'!BX56</f>
        <v>0.5</v>
      </c>
      <c r="J56" s="30"/>
      <c r="L56" s="18">
        <f>'GS&lt;50 Predicted Monthly'!$V$8</f>
        <v>-2135516.9462582301</v>
      </c>
      <c r="M56" s="18">
        <f ca="1">E56*'GS&lt;50 Predicted Monthly'!$V$9</f>
        <v>48023.644439760981</v>
      </c>
      <c r="N56" s="18">
        <f ca="1">F56*'GS&lt;50 Predicted Monthly'!$V$10</f>
        <v>987610.68284845934</v>
      </c>
      <c r="O56" s="18">
        <f>G56*'GS&lt;50 Predicted Monthly'!$V$11</f>
        <v>1855186.7064844272</v>
      </c>
      <c r="P56" s="18">
        <f>H56*'GS&lt;50 Predicted Monthly'!$V$12</f>
        <v>1722828.0010148797</v>
      </c>
      <c r="Q56" s="18">
        <f>I56*'GS&lt;50 Predicted Monthly'!$V$13</f>
        <v>-155664.75371970949</v>
      </c>
      <c r="R56" s="18">
        <f>J56*'GS&lt;50 Predicted Monthly'!$V$14</f>
        <v>0</v>
      </c>
      <c r="S56" s="20">
        <f t="shared" ca="1" si="21"/>
        <v>2322467.3348095878</v>
      </c>
      <c r="AJ56" s="33">
        <f t="shared" ref="AJ56" ca="1" si="102">AJ44</f>
        <v>22.754874763905612</v>
      </c>
      <c r="AK56" s="33">
        <f t="shared" ref="AK56" ca="1" si="103">AK44</f>
        <v>28.117053330889604</v>
      </c>
      <c r="AL56" s="33">
        <f t="shared" ca="1" si="84"/>
        <v>221.36832312221517</v>
      </c>
      <c r="AM56" s="33">
        <f t="shared" ca="1" si="84"/>
        <v>288.39161561107579</v>
      </c>
      <c r="AO56" s="18">
        <f ca="1">AJ56*'GS&lt;50 Predicted Monthly'!$V$9</f>
        <v>42912.704297392243</v>
      </c>
      <c r="AP56" s="18">
        <f ca="1">AK56*'GS&lt;50 Predicted Monthly'!$V$9</f>
        <v>53025.068598328675</v>
      </c>
      <c r="AQ56" s="18">
        <f ca="1">AL56*'GS&lt;50 Predicted Monthly'!$V$10</f>
        <v>821912.7929801615</v>
      </c>
      <c r="AR56" s="18">
        <f ca="1">AM56*'GS&lt;50 Predicted Monthly'!$V$10</f>
        <v>1070761.8638286251</v>
      </c>
      <c r="AT56" s="31">
        <f t="shared" ca="1" si="4"/>
        <v>2151658.5047989213</v>
      </c>
      <c r="AU56" s="31">
        <f t="shared" ca="1" si="5"/>
        <v>2410619.9399483213</v>
      </c>
    </row>
    <row r="57" spans="1:47">
      <c r="A57" s="541">
        <f>'Monthly Data'!A57</f>
        <v>44044</v>
      </c>
      <c r="B57">
        <f t="shared" si="19"/>
        <v>2020</v>
      </c>
      <c r="C57">
        <f t="shared" si="20"/>
        <v>8</v>
      </c>
      <c r="D57" s="30">
        <f>'Monthly Data'!J57</f>
        <v>2169068.7458202457</v>
      </c>
      <c r="E57" s="33">
        <f t="shared" ca="1" si="97"/>
        <v>54.974791666666668</v>
      </c>
      <c r="F57" s="33">
        <f t="shared" ca="1" si="97"/>
        <v>218.46562499999996</v>
      </c>
      <c r="G57" s="33">
        <f>'Monthly Data'!AD57</f>
        <v>769942</v>
      </c>
      <c r="H57" s="8">
        <f>'Monthly Data'!BU57</f>
        <v>31</v>
      </c>
      <c r="I57" s="18">
        <f>'Monthly Data'!BX57</f>
        <v>0.5</v>
      </c>
      <c r="J57" s="30"/>
      <c r="L57" s="18">
        <f>'GS&lt;50 Predicted Monthly'!$V$8</f>
        <v>-2135516.9462582301</v>
      </c>
      <c r="M57" s="18">
        <f ca="1">E57*'GS&lt;50 Predicted Monthly'!$V$9</f>
        <v>103675.23456312333</v>
      </c>
      <c r="N57" s="18">
        <f ca="1">F57*'GS&lt;50 Predicted Monthly'!$V$10</f>
        <v>811135.43925963389</v>
      </c>
      <c r="O57" s="18">
        <f>G57*'GS&lt;50 Predicted Monthly'!$V$11</f>
        <v>1855186.7064844272</v>
      </c>
      <c r="P57" s="18">
        <f>H57*'GS&lt;50 Predicted Monthly'!$V$12</f>
        <v>1722828.0010148797</v>
      </c>
      <c r="Q57" s="18">
        <f>I57*'GS&lt;50 Predicted Monthly'!$V$13</f>
        <v>-155664.75371970949</v>
      </c>
      <c r="R57" s="18">
        <f>J57*'GS&lt;50 Predicted Monthly'!$V$14</f>
        <v>0</v>
      </c>
      <c r="S57" s="20">
        <f t="shared" ca="1" si="21"/>
        <v>2201643.681344125</v>
      </c>
      <c r="AJ57" s="33">
        <f t="shared" ref="AJ57" ca="1" si="104">AJ45</f>
        <v>49.124072238240799</v>
      </c>
      <c r="AK57" s="33">
        <f t="shared" ref="AK57" ca="1" si="105">AK45</f>
        <v>60.700143300459935</v>
      </c>
      <c r="AL57" s="33">
        <f t="shared" ca="1" si="84"/>
        <v>181.81222128543794</v>
      </c>
      <c r="AM57" s="33">
        <f t="shared" ca="1" si="84"/>
        <v>236.85918335026682</v>
      </c>
      <c r="AO57" s="18">
        <f ca="1">AJ57*'GS&lt;50 Predicted Monthly'!$V$9</f>
        <v>92641.546381402324</v>
      </c>
      <c r="AP57" s="18">
        <f ca="1">AK57*'GS&lt;50 Predicted Monthly'!$V$9</f>
        <v>114472.49555483322</v>
      </c>
      <c r="AQ57" s="18">
        <f ca="1">AL57*'GS&lt;50 Predicted Monthly'!$V$10</f>
        <v>675045.9527677797</v>
      </c>
      <c r="AR57" s="18">
        <f ca="1">AM57*'GS&lt;50 Predicted Monthly'!$V$10</f>
        <v>879428.41227079486</v>
      </c>
      <c r="AT57" s="31">
        <f t="shared" ca="1" si="4"/>
        <v>2054520.5066705497</v>
      </c>
      <c r="AU57" s="31">
        <f t="shared" ca="1" si="5"/>
        <v>2280733.9153469959</v>
      </c>
    </row>
    <row r="58" spans="1:47">
      <c r="A58" s="541">
        <f>'Monthly Data'!A58</f>
        <v>44075</v>
      </c>
      <c r="B58">
        <f t="shared" si="19"/>
        <v>2020</v>
      </c>
      <c r="C58">
        <f t="shared" si="20"/>
        <v>9</v>
      </c>
      <c r="D58" s="30">
        <f>'Monthly Data'!J58</f>
        <v>1937707.3870095464</v>
      </c>
      <c r="E58" s="33">
        <f t="shared" ca="1" si="97"/>
        <v>166.50624999999999</v>
      </c>
      <c r="F58" s="33">
        <f t="shared" ca="1" si="97"/>
        <v>95.131249999999994</v>
      </c>
      <c r="G58" s="33">
        <f>'Monthly Data'!AD58</f>
        <v>769942</v>
      </c>
      <c r="H58" s="8">
        <f>'Monthly Data'!BU58</f>
        <v>30</v>
      </c>
      <c r="I58" s="18">
        <f>'Monthly Data'!BX58</f>
        <v>0.5</v>
      </c>
      <c r="J58" s="30"/>
      <c r="L58" s="18">
        <f>'GS&lt;50 Predicted Monthly'!$V$8</f>
        <v>-2135516.9462582301</v>
      </c>
      <c r="M58" s="18">
        <f ca="1">E58*'GS&lt;50 Predicted Monthly'!$V$9</f>
        <v>314008.9121145868</v>
      </c>
      <c r="N58" s="18">
        <f ca="1">F58*'GS&lt;50 Predicted Monthly'!$V$10</f>
        <v>353210.38838978927</v>
      </c>
      <c r="O58" s="18">
        <f>G58*'GS&lt;50 Predicted Monthly'!$V$11</f>
        <v>1855186.7064844272</v>
      </c>
      <c r="P58" s="18">
        <f>H58*'GS&lt;50 Predicted Monthly'!$V$12</f>
        <v>1667252.9042079481</v>
      </c>
      <c r="Q58" s="18">
        <f>I58*'GS&lt;50 Predicted Monthly'!$V$13</f>
        <v>-155664.75371970949</v>
      </c>
      <c r="R58" s="18">
        <f>J58*'GS&lt;50 Predicted Monthly'!$V$14</f>
        <v>0</v>
      </c>
      <c r="S58" s="20">
        <f t="shared" ca="1" si="21"/>
        <v>1898477.2112188116</v>
      </c>
      <c r="AJ58" s="33">
        <f t="shared" ref="AJ58" ca="1" si="106">AJ46</f>
        <v>148.78573988445157</v>
      </c>
      <c r="AK58" s="33">
        <f t="shared" ref="AK58" ca="1" si="107">AK46</f>
        <v>183.84704932952829</v>
      </c>
      <c r="AL58" s="33">
        <f t="shared" ca="1" si="84"/>
        <v>79.170459316701752</v>
      </c>
      <c r="AM58" s="33">
        <f t="shared" ca="1" si="84"/>
        <v>103.14075812197032</v>
      </c>
      <c r="AO58" s="18">
        <f ca="1">AJ58*'GS&lt;50 Predicted Monthly'!$V$9</f>
        <v>280590.35813538847</v>
      </c>
      <c r="AP58" s="18">
        <f ca="1">AK58*'GS&lt;50 Predicted Monthly'!$V$9</f>
        <v>346711.3814372851</v>
      </c>
      <c r="AQ58" s="18">
        <f ca="1">AL58*'GS&lt;50 Predicted Monthly'!$V$10</f>
        <v>293949.9763143051</v>
      </c>
      <c r="AR58" s="18">
        <f ca="1">AM58*'GS&lt;50 Predicted Monthly'!$V$10</f>
        <v>382948.68652602012</v>
      </c>
      <c r="AT58" s="31">
        <f t="shared" ca="1" si="4"/>
        <v>1805798.245164129</v>
      </c>
      <c r="AU58" s="31">
        <f t="shared" ca="1" si="5"/>
        <v>1960917.9786777408</v>
      </c>
    </row>
    <row r="59" spans="1:47">
      <c r="A59" s="541">
        <f>'Monthly Data'!A59</f>
        <v>44105</v>
      </c>
      <c r="B59">
        <f t="shared" si="19"/>
        <v>2020</v>
      </c>
      <c r="C59">
        <f t="shared" si="20"/>
        <v>10</v>
      </c>
      <c r="D59" s="30">
        <f>'Monthly Data'!J59</f>
        <v>2079800.0281988471</v>
      </c>
      <c r="E59" s="33">
        <f t="shared" ca="1" si="97"/>
        <v>363.47645833333326</v>
      </c>
      <c r="F59" s="33">
        <f t="shared" ca="1" si="97"/>
        <v>21.813750000000006</v>
      </c>
      <c r="G59" s="33">
        <f>'Monthly Data'!AD59</f>
        <v>769942</v>
      </c>
      <c r="H59" s="8">
        <f>'Monthly Data'!BU59</f>
        <v>31</v>
      </c>
      <c r="I59" s="18">
        <f>'Monthly Data'!BX59</f>
        <v>0.5</v>
      </c>
      <c r="J59" s="30"/>
      <c r="L59" s="18">
        <f>'GS&lt;50 Predicted Monthly'!$V$8</f>
        <v>-2135516.9462582301</v>
      </c>
      <c r="M59" s="18">
        <f ca="1">E59*'GS&lt;50 Predicted Monthly'!$V$9</f>
        <v>685468.84732863132</v>
      </c>
      <c r="N59" s="18">
        <f ca="1">F59*'GS&lt;50 Predicted Monthly'!$V$10</f>
        <v>80991.715232773335</v>
      </c>
      <c r="O59" s="18">
        <f>G59*'GS&lt;50 Predicted Monthly'!$V$11</f>
        <v>1855186.7064844272</v>
      </c>
      <c r="P59" s="18">
        <f>H59*'GS&lt;50 Predicted Monthly'!$V$12</f>
        <v>1722828.0010148797</v>
      </c>
      <c r="Q59" s="18">
        <f>I59*'GS&lt;50 Predicted Monthly'!$V$13</f>
        <v>-155664.75371970949</v>
      </c>
      <c r="R59" s="18">
        <f>J59*'GS&lt;50 Predicted Monthly'!$V$14</f>
        <v>0</v>
      </c>
      <c r="S59" s="20">
        <f t="shared" ca="1" si="21"/>
        <v>2053293.5700827718</v>
      </c>
      <c r="AJ59" s="33">
        <f t="shared" ref="AJ59" ca="1" si="108">AJ47</f>
        <v>324.79329624987065</v>
      </c>
      <c r="AK59" s="33">
        <f t="shared" ref="AK59" ca="1" si="109">AK47</f>
        <v>401.33072701673694</v>
      </c>
      <c r="AL59" s="33">
        <f t="shared" ca="1" si="84"/>
        <v>18.153914795818444</v>
      </c>
      <c r="AM59" s="33">
        <f t="shared" ca="1" si="84"/>
        <v>23.650343209861436</v>
      </c>
      <c r="AO59" s="18">
        <f ca="1">AJ59*'GS&lt;50 Predicted Monthly'!$V$9</f>
        <v>612517.48578526394</v>
      </c>
      <c r="AP59" s="18">
        <f ca="1">AK59*'GS&lt;50 Predicted Monthly'!$V$9</f>
        <v>756857.0248184785</v>
      </c>
      <c r="AQ59" s="18">
        <f ca="1">AL59*'GS&lt;50 Predicted Monthly'!$V$10</f>
        <v>67403.206578555153</v>
      </c>
      <c r="AR59" s="18">
        <f ca="1">AM59*'GS&lt;50 Predicted Monthly'!$V$10</f>
        <v>87810.755253473209</v>
      </c>
      <c r="AT59" s="31">
        <f t="shared" ca="1" si="4"/>
        <v>1966753.6998851863</v>
      </c>
      <c r="AU59" s="31">
        <f t="shared" ca="1" si="5"/>
        <v>2131500.7875933191</v>
      </c>
    </row>
    <row r="60" spans="1:47">
      <c r="A60" s="541">
        <f>'Monthly Data'!A60</f>
        <v>44136</v>
      </c>
      <c r="B60">
        <f t="shared" si="19"/>
        <v>2020</v>
      </c>
      <c r="C60">
        <f t="shared" si="20"/>
        <v>11</v>
      </c>
      <c r="D60" s="30">
        <f>'Monthly Data'!J60</f>
        <v>2308536.669388148</v>
      </c>
      <c r="E60" s="33">
        <f t="shared" ca="1" si="97"/>
        <v>586.00395833333334</v>
      </c>
      <c r="F60" s="33">
        <f t="shared" ca="1" si="97"/>
        <v>2.2795833333333335</v>
      </c>
      <c r="G60" s="33">
        <f>'Monthly Data'!AD60</f>
        <v>769942</v>
      </c>
      <c r="H60" s="8">
        <f>'Monthly Data'!BU60</f>
        <v>30</v>
      </c>
      <c r="I60" s="18">
        <f>'Monthly Data'!BX60</f>
        <v>0.5</v>
      </c>
      <c r="J60" s="30"/>
      <c r="L60" s="18">
        <f>'GS&lt;50 Predicted Monthly'!$V$8</f>
        <v>-2135516.9462582301</v>
      </c>
      <c r="M60" s="18">
        <f ca="1">E60*'GS&lt;50 Predicted Monthly'!$V$9</f>
        <v>1105126.4769406053</v>
      </c>
      <c r="N60" s="18">
        <f ca="1">F60*'GS&lt;50 Predicted Monthly'!$V$10</f>
        <v>8463.8067357840573</v>
      </c>
      <c r="O60" s="18">
        <f>G60*'GS&lt;50 Predicted Monthly'!$V$11</f>
        <v>1855186.7064844272</v>
      </c>
      <c r="P60" s="18">
        <f>H60*'GS&lt;50 Predicted Monthly'!$V$12</f>
        <v>1667252.9042079481</v>
      </c>
      <c r="Q60" s="18">
        <f>I60*'GS&lt;50 Predicted Monthly'!$V$13</f>
        <v>-155664.75371970949</v>
      </c>
      <c r="R60" s="18">
        <f>J60*'GS&lt;50 Predicted Monthly'!$V$14</f>
        <v>0</v>
      </c>
      <c r="S60" s="20">
        <f t="shared" ca="1" si="21"/>
        <v>2344848.1943908255</v>
      </c>
      <c r="AJ60" s="33">
        <f t="shared" ref="AJ60" ca="1" si="110">AJ48</f>
        <v>523.63819685953126</v>
      </c>
      <c r="AK60" s="33">
        <f t="shared" ref="AK60" ca="1" si="111">AK48</f>
        <v>647.03336142041019</v>
      </c>
      <c r="AL60" s="33">
        <f t="shared" ca="1" si="84"/>
        <v>1.8971227598785685</v>
      </c>
      <c r="AM60" s="33">
        <f t="shared" ca="1" si="84"/>
        <v>2.4715112352902775</v>
      </c>
      <c r="AO60" s="18">
        <f ca="1">AJ60*'GS&lt;50 Predicted Monthly'!$V$9</f>
        <v>987512.84433770669</v>
      </c>
      <c r="AP60" s="18">
        <f ca="1">AK60*'GS&lt;50 Predicted Monthly'!$V$9</f>
        <v>1220219.913195254</v>
      </c>
      <c r="AQ60" s="18">
        <f ca="1">AL60*'GS&lt;50 Predicted Monthly'!$V$10</f>
        <v>7043.7786409809405</v>
      </c>
      <c r="AR60" s="18">
        <f ca="1">AM60*'GS&lt;50 Predicted Monthly'!$V$10</f>
        <v>9176.4109409537541</v>
      </c>
      <c r="AT60" s="31">
        <f t="shared" ca="1" si="4"/>
        <v>2225814.5336931236</v>
      </c>
      <c r="AU60" s="31">
        <f t="shared" ca="1" si="5"/>
        <v>2460654.2348506437</v>
      </c>
    </row>
    <row r="61" spans="1:47">
      <c r="A61" s="541">
        <f>'Monthly Data'!A61</f>
        <v>44166</v>
      </c>
      <c r="B61">
        <f t="shared" si="19"/>
        <v>2020</v>
      </c>
      <c r="C61">
        <f t="shared" si="20"/>
        <v>12</v>
      </c>
      <c r="D61" s="30">
        <f>'Monthly Data'!J61</f>
        <v>2757605.3105774485</v>
      </c>
      <c r="E61" s="33">
        <f t="shared" ca="1" si="97"/>
        <v>812.36333333333334</v>
      </c>
      <c r="F61" s="33">
        <f t="shared" ca="1" si="97"/>
        <v>0</v>
      </c>
      <c r="G61" s="33">
        <f>'Monthly Data'!AD61</f>
        <v>769942</v>
      </c>
      <c r="H61" s="8">
        <f>'Monthly Data'!BU61</f>
        <v>31</v>
      </c>
      <c r="I61" s="18">
        <f>'Monthly Data'!BX61</f>
        <v>0.5</v>
      </c>
      <c r="J61" s="30"/>
      <c r="L61" s="18">
        <f>'GS&lt;50 Predicted Monthly'!$V$8</f>
        <v>-2135516.9462582301</v>
      </c>
      <c r="M61" s="18">
        <f ca="1">E61*'GS&lt;50 Predicted Monthly'!$V$9</f>
        <v>1532010.5193755757</v>
      </c>
      <c r="N61" s="18">
        <f ca="1">F61*'GS&lt;50 Predicted Monthly'!$V$10</f>
        <v>0</v>
      </c>
      <c r="O61" s="18">
        <f>G61*'GS&lt;50 Predicted Monthly'!$V$11</f>
        <v>1855186.7064844272</v>
      </c>
      <c r="P61" s="18">
        <f>H61*'GS&lt;50 Predicted Monthly'!$V$12</f>
        <v>1722828.0010148797</v>
      </c>
      <c r="Q61" s="18">
        <f>I61*'GS&lt;50 Predicted Monthly'!$V$13</f>
        <v>-155664.75371970949</v>
      </c>
      <c r="R61" s="18">
        <f>J61*'GS&lt;50 Predicted Monthly'!$V$14</f>
        <v>0</v>
      </c>
      <c r="S61" s="20">
        <f t="shared" ca="1" si="21"/>
        <v>2818843.5268969429</v>
      </c>
      <c r="AJ61" s="33">
        <f t="shared" ref="AJ61" ca="1" si="112">AJ49</f>
        <v>725.90716327464804</v>
      </c>
      <c r="AK61" s="33">
        <f t="shared" ref="AK61" ca="1" si="113">AK49</f>
        <v>896.96694158227319</v>
      </c>
      <c r="AL61" s="33">
        <f t="shared" ca="1" si="84"/>
        <v>0</v>
      </c>
      <c r="AM61" s="33">
        <f t="shared" ca="1" si="84"/>
        <v>0</v>
      </c>
      <c r="AO61" s="18">
        <f ca="1">AJ61*'GS&lt;50 Predicted Monthly'!$V$9</f>
        <v>1368965.5411497045</v>
      </c>
      <c r="AP61" s="18">
        <f ca="1">AK61*'GS&lt;50 Predicted Monthly'!$V$9</f>
        <v>1691561.809415549</v>
      </c>
      <c r="AQ61" s="18">
        <f ca="1">AL61*'GS&lt;50 Predicted Monthly'!$V$10</f>
        <v>0</v>
      </c>
      <c r="AR61" s="18">
        <f ca="1">AM61*'GS&lt;50 Predicted Monthly'!$V$10</f>
        <v>0</v>
      </c>
      <c r="AT61" s="31">
        <f t="shared" ca="1" si="4"/>
        <v>2655798.5486710714</v>
      </c>
      <c r="AU61" s="31">
        <f t="shared" ca="1" si="5"/>
        <v>2978394.8169369162</v>
      </c>
    </row>
    <row r="62" spans="1:47">
      <c r="A62" s="541">
        <f>'Monthly Data'!A62</f>
        <v>44197</v>
      </c>
      <c r="B62">
        <f t="shared" si="19"/>
        <v>2021</v>
      </c>
      <c r="C62">
        <f t="shared" si="20"/>
        <v>1</v>
      </c>
      <c r="D62" s="30">
        <f>'Monthly Data'!J62</f>
        <v>2771093.6241201404</v>
      </c>
      <c r="E62" s="33">
        <f t="shared" ca="1" si="97"/>
        <v>914.55166666666662</v>
      </c>
      <c r="F62" s="33">
        <f t="shared" ca="1" si="97"/>
        <v>0</v>
      </c>
      <c r="G62" s="33">
        <f>'Monthly Data'!AD62</f>
        <v>817265.5</v>
      </c>
      <c r="H62" s="8">
        <f>'Monthly Data'!BU62</f>
        <v>31</v>
      </c>
      <c r="I62" s="18">
        <f>'Monthly Data'!BX62</f>
        <v>0.5</v>
      </c>
      <c r="J62" s="30"/>
      <c r="L62" s="18">
        <f>'GS&lt;50 Predicted Monthly'!$V$8</f>
        <v>-2135516.9462582301</v>
      </c>
      <c r="M62" s="18">
        <f ca="1">E62*'GS&lt;50 Predicted Monthly'!$V$9</f>
        <v>1724724.2906652587</v>
      </c>
      <c r="N62" s="18">
        <f ca="1">F62*'GS&lt;50 Predicted Monthly'!$V$10</f>
        <v>0</v>
      </c>
      <c r="O62" s="18">
        <f>G62*'GS&lt;50 Predicted Monthly'!$V$11</f>
        <v>1969213.3839540493</v>
      </c>
      <c r="P62" s="18">
        <f>H62*'GS&lt;50 Predicted Monthly'!$V$12</f>
        <v>1722828.0010148797</v>
      </c>
      <c r="Q62" s="18">
        <f>I62*'GS&lt;50 Predicted Monthly'!$V$13</f>
        <v>-155664.75371970949</v>
      </c>
      <c r="R62" s="18">
        <f>J62*'GS&lt;50 Predicted Monthly'!$V$14</f>
        <v>0</v>
      </c>
      <c r="S62" s="20">
        <f t="shared" ca="1" si="21"/>
        <v>3125583.9756562482</v>
      </c>
      <c r="AJ62" s="33">
        <f t="shared" ref="AJ62" ca="1" si="114">AJ50</f>
        <v>817.22005262600237</v>
      </c>
      <c r="AK62" s="33">
        <f t="shared" ref="AK62" ca="1" si="115">AK50</f>
        <v>1009.7976825258449</v>
      </c>
      <c r="AL62" s="33">
        <f t="shared" ca="1" si="84"/>
        <v>0</v>
      </c>
      <c r="AM62" s="33">
        <f t="shared" ca="1" si="84"/>
        <v>0</v>
      </c>
      <c r="AO62" s="18">
        <f ca="1">AJ62*'GS&lt;50 Predicted Monthly'!$V$9</f>
        <v>1541169.6538917692</v>
      </c>
      <c r="AP62" s="18">
        <f ca="1">AK62*'GS&lt;50 Predicted Monthly'!$V$9</f>
        <v>1904345.7632717781</v>
      </c>
      <c r="AQ62" s="18">
        <f ca="1">AL62*'GS&lt;50 Predicted Monthly'!$V$10</f>
        <v>0</v>
      </c>
      <c r="AR62" s="18">
        <f ca="1">AM62*'GS&lt;50 Predicted Monthly'!$V$10</f>
        <v>0</v>
      </c>
      <c r="AT62" s="31">
        <f t="shared" ca="1" si="4"/>
        <v>2942029.3388827587</v>
      </c>
      <c r="AU62" s="31">
        <f t="shared" ca="1" si="5"/>
        <v>3305205.4482627679</v>
      </c>
    </row>
    <row r="63" spans="1:47">
      <c r="A63" s="541">
        <f>'Monthly Data'!A63</f>
        <v>44228</v>
      </c>
      <c r="B63">
        <f t="shared" si="19"/>
        <v>2021</v>
      </c>
      <c r="C63">
        <f t="shared" si="20"/>
        <v>2</v>
      </c>
      <c r="D63" s="30">
        <f>'Monthly Data'!J63</f>
        <v>2684641.5361313201</v>
      </c>
      <c r="E63" s="33">
        <f t="shared" ca="1" si="97"/>
        <v>803.82854166666664</v>
      </c>
      <c r="F63" s="33">
        <f t="shared" ca="1" si="97"/>
        <v>0</v>
      </c>
      <c r="G63" s="33">
        <f>'Monthly Data'!AD63</f>
        <v>817265.5</v>
      </c>
      <c r="H63" s="8">
        <f>'Monthly Data'!BU63</f>
        <v>28</v>
      </c>
      <c r="I63" s="18">
        <f>'Monthly Data'!BX63</f>
        <v>0.5</v>
      </c>
      <c r="J63" s="30"/>
      <c r="L63" s="18">
        <f>'GS&lt;50 Predicted Monthly'!$V$8</f>
        <v>-2135516.9462582301</v>
      </c>
      <c r="M63" s="18">
        <f ca="1">E63*'GS&lt;50 Predicted Monthly'!$V$9</f>
        <v>1515915.0235826271</v>
      </c>
      <c r="N63" s="18">
        <f ca="1">F63*'GS&lt;50 Predicted Monthly'!$V$10</f>
        <v>0</v>
      </c>
      <c r="O63" s="18">
        <f>G63*'GS&lt;50 Predicted Monthly'!$V$11</f>
        <v>1969213.3839540493</v>
      </c>
      <c r="P63" s="18">
        <f>H63*'GS&lt;50 Predicted Monthly'!$V$12</f>
        <v>1556102.7105940848</v>
      </c>
      <c r="Q63" s="18">
        <f>I63*'GS&lt;50 Predicted Monthly'!$V$13</f>
        <v>-155664.75371970949</v>
      </c>
      <c r="R63" s="18">
        <f>J63*'GS&lt;50 Predicted Monthly'!$V$14</f>
        <v>0</v>
      </c>
      <c r="S63" s="20">
        <f t="shared" ca="1" si="21"/>
        <v>2750049.4181528217</v>
      </c>
      <c r="AJ63" s="33">
        <f t="shared" ref="AJ63" ca="1" si="116">AJ51</f>
        <v>718.28069103781206</v>
      </c>
      <c r="AK63" s="33">
        <f t="shared" ref="AK63" ca="1" si="117">AK51</f>
        <v>887.54329373386554</v>
      </c>
      <c r="AL63" s="33">
        <f t="shared" ref="AL63:AM78" ca="1" si="118">AL51</f>
        <v>0</v>
      </c>
      <c r="AM63" s="33">
        <f t="shared" ca="1" si="118"/>
        <v>0</v>
      </c>
      <c r="AO63" s="18">
        <f ca="1">AJ63*'GS&lt;50 Predicted Monthly'!$V$9</f>
        <v>1354583.0164675321</v>
      </c>
      <c r="AP63" s="18">
        <f ca="1">AK63*'GS&lt;50 Predicted Monthly'!$V$9</f>
        <v>1673790.047640664</v>
      </c>
      <c r="AQ63" s="18">
        <f ca="1">AL63*'GS&lt;50 Predicted Monthly'!$V$10</f>
        <v>0</v>
      </c>
      <c r="AR63" s="18">
        <f ca="1">AM63*'GS&lt;50 Predicted Monthly'!$V$10</f>
        <v>0</v>
      </c>
      <c r="AT63" s="31">
        <f t="shared" ca="1" si="4"/>
        <v>2588717.4110377268</v>
      </c>
      <c r="AU63" s="31">
        <f t="shared" ca="1" si="5"/>
        <v>2907924.4422108587</v>
      </c>
    </row>
    <row r="64" spans="1:47">
      <c r="A64" s="541">
        <f>'Monthly Data'!A64</f>
        <v>44256</v>
      </c>
      <c r="B64">
        <f t="shared" si="19"/>
        <v>2021</v>
      </c>
      <c r="C64">
        <f t="shared" si="20"/>
        <v>3</v>
      </c>
      <c r="D64" s="30">
        <f>'Monthly Data'!J64</f>
        <v>2687386.4481424992</v>
      </c>
      <c r="E64" s="33">
        <f t="shared" ca="1" si="97"/>
        <v>698.29604166666672</v>
      </c>
      <c r="F64" s="33">
        <f t="shared" ca="1" si="97"/>
        <v>0</v>
      </c>
      <c r="G64" s="33">
        <f>'Monthly Data'!AD64</f>
        <v>817265.5</v>
      </c>
      <c r="H64" s="8">
        <f>'Monthly Data'!BU64</f>
        <v>31</v>
      </c>
      <c r="I64" s="18">
        <f>'Monthly Data'!BX64</f>
        <v>0.5</v>
      </c>
      <c r="J64" s="30"/>
      <c r="L64" s="18">
        <f>'GS&lt;50 Predicted Monthly'!$V$8</f>
        <v>-2135516.9462582301</v>
      </c>
      <c r="M64" s="18">
        <f ca="1">E64*'GS&lt;50 Predicted Monthly'!$V$9</f>
        <v>1316894.5933120961</v>
      </c>
      <c r="N64" s="18">
        <f ca="1">F64*'GS&lt;50 Predicted Monthly'!$V$10</f>
        <v>0</v>
      </c>
      <c r="O64" s="18">
        <f>G64*'GS&lt;50 Predicted Monthly'!$V$11</f>
        <v>1969213.3839540493</v>
      </c>
      <c r="P64" s="18">
        <f>H64*'GS&lt;50 Predicted Monthly'!$V$12</f>
        <v>1722828.0010148797</v>
      </c>
      <c r="Q64" s="18">
        <f>I64*'GS&lt;50 Predicted Monthly'!$V$13</f>
        <v>-155664.75371970949</v>
      </c>
      <c r="R64" s="18">
        <f>J64*'GS&lt;50 Predicted Monthly'!$V$14</f>
        <v>0</v>
      </c>
      <c r="S64" s="20">
        <f t="shared" ca="1" si="21"/>
        <v>2717754.2783030854</v>
      </c>
      <c r="AJ64" s="33">
        <f t="shared" ref="AJ64" ca="1" si="119">AJ52</f>
        <v>623.97953961343092</v>
      </c>
      <c r="AK64" s="33">
        <f t="shared" ref="AK64" ca="1" si="120">AK52</f>
        <v>771.02010776716202</v>
      </c>
      <c r="AL64" s="33">
        <f t="shared" ca="1" si="118"/>
        <v>0</v>
      </c>
      <c r="AM64" s="33">
        <f t="shared" ca="1" si="118"/>
        <v>0</v>
      </c>
      <c r="AO64" s="18">
        <f ca="1">AJ64*'GS&lt;50 Predicted Monthly'!$V$9</f>
        <v>1176743.4340499181</v>
      </c>
      <c r="AP64" s="18">
        <f ca="1">AK64*'GS&lt;50 Predicted Monthly'!$V$9</f>
        <v>1454042.6275796737</v>
      </c>
      <c r="AQ64" s="18">
        <f ca="1">AL64*'GS&lt;50 Predicted Monthly'!$V$10</f>
        <v>0</v>
      </c>
      <c r="AR64" s="18">
        <f ca="1">AM64*'GS&lt;50 Predicted Monthly'!$V$10</f>
        <v>0</v>
      </c>
      <c r="AT64" s="31">
        <f t="shared" ca="1" si="4"/>
        <v>2577603.1190409074</v>
      </c>
      <c r="AU64" s="31">
        <f t="shared" ca="1" si="5"/>
        <v>2854902.3125706632</v>
      </c>
    </row>
    <row r="65" spans="1:47">
      <c r="A65" s="541">
        <f>'Monthly Data'!A65</f>
        <v>44287</v>
      </c>
      <c r="B65">
        <f t="shared" si="19"/>
        <v>2021</v>
      </c>
      <c r="C65">
        <f t="shared" si="20"/>
        <v>4</v>
      </c>
      <c r="D65" s="30">
        <f>'Monthly Data'!J65</f>
        <v>2030798.3601536788</v>
      </c>
      <c r="E65" s="33">
        <f t="shared" ca="1" si="97"/>
        <v>468.60374999999993</v>
      </c>
      <c r="F65" s="33">
        <f t="shared" ca="1" si="97"/>
        <v>2.8104166666666677</v>
      </c>
      <c r="G65" s="33">
        <f>'Monthly Data'!AD65</f>
        <v>817265.5</v>
      </c>
      <c r="H65" s="8">
        <f>'Monthly Data'!BU65</f>
        <v>30</v>
      </c>
      <c r="I65" s="18">
        <f>'Monthly Data'!BX65</f>
        <v>0.5</v>
      </c>
      <c r="J65" s="30"/>
      <c r="L65" s="18">
        <f>'GS&lt;50 Predicted Monthly'!$V$8</f>
        <v>-2135516.9462582301</v>
      </c>
      <c r="M65" s="18">
        <f ca="1">E65*'GS&lt;50 Predicted Monthly'!$V$9</f>
        <v>883725.10791826609</v>
      </c>
      <c r="N65" s="18">
        <f ca="1">F65*'GS&lt;50 Predicted Monthly'!$V$10</f>
        <v>10434.724261170442</v>
      </c>
      <c r="O65" s="18">
        <f>G65*'GS&lt;50 Predicted Monthly'!$V$11</f>
        <v>1969213.3839540493</v>
      </c>
      <c r="P65" s="18">
        <f>H65*'GS&lt;50 Predicted Monthly'!$V$12</f>
        <v>1667252.9042079481</v>
      </c>
      <c r="Q65" s="18">
        <f>I65*'GS&lt;50 Predicted Monthly'!$V$13</f>
        <v>-155664.75371970949</v>
      </c>
      <c r="R65" s="18">
        <f>J65*'GS&lt;50 Predicted Monthly'!$V$14</f>
        <v>0</v>
      </c>
      <c r="S65" s="20">
        <f t="shared" ca="1" si="21"/>
        <v>2239444.4203634947</v>
      </c>
      <c r="AJ65" s="33">
        <f t="shared" ref="AJ65" ca="1" si="121">AJ53</f>
        <v>418.73236383846591</v>
      </c>
      <c r="AK65" s="33">
        <f t="shared" ref="AK65" ca="1" si="122">AK53</f>
        <v>517.40650421381736</v>
      </c>
      <c r="AL65" s="33">
        <f t="shared" ca="1" si="118"/>
        <v>2.33889472041326</v>
      </c>
      <c r="AM65" s="33">
        <f t="shared" ca="1" si="118"/>
        <v>3.0470377046304016</v>
      </c>
      <c r="AO65" s="18">
        <f ca="1">AJ65*'GS&lt;50 Predicted Monthly'!$V$9</f>
        <v>789674.22565871268</v>
      </c>
      <c r="AP65" s="18">
        <f ca="1">AK65*'GS&lt;50 Predicted Monthly'!$V$9</f>
        <v>975760.69071997097</v>
      </c>
      <c r="AQ65" s="18">
        <f ca="1">AL65*'GS&lt;50 Predicted Monthly'!$V$10</f>
        <v>8684.0224700084891</v>
      </c>
      <c r="AR65" s="18">
        <f ca="1">AM65*'GS&lt;50 Predicted Monthly'!$V$10</f>
        <v>11313.26846951802</v>
      </c>
      <c r="AT65" s="31">
        <f t="shared" ca="1" si="4"/>
        <v>2143642.8363127792</v>
      </c>
      <c r="AU65" s="31">
        <f t="shared" ca="1" si="5"/>
        <v>2332358.5473735472</v>
      </c>
    </row>
    <row r="66" spans="1:47">
      <c r="A66" s="541">
        <f>'Monthly Data'!A66</f>
        <v>44317</v>
      </c>
      <c r="B66">
        <f t="shared" si="19"/>
        <v>2021</v>
      </c>
      <c r="C66">
        <f t="shared" si="20"/>
        <v>5</v>
      </c>
      <c r="D66" s="30">
        <f>'Monthly Data'!J66</f>
        <v>2061848.2721648582</v>
      </c>
      <c r="E66" s="33">
        <f t="shared" ca="1" si="97"/>
        <v>232.88687500000006</v>
      </c>
      <c r="F66" s="33">
        <f t="shared" ca="1" si="97"/>
        <v>74.673124999999999</v>
      </c>
      <c r="G66" s="33">
        <f>'Monthly Data'!AD66</f>
        <v>817265.5</v>
      </c>
      <c r="H66" s="8">
        <f>'Monthly Data'!BU66</f>
        <v>31</v>
      </c>
      <c r="I66" s="18">
        <f>'Monthly Data'!BX66</f>
        <v>0.5</v>
      </c>
      <c r="J66" s="30"/>
      <c r="L66" s="18">
        <f>'GS&lt;50 Predicted Monthly'!$V$8</f>
        <v>-2135516.9462582301</v>
      </c>
      <c r="M66" s="18">
        <f ca="1">E66*'GS&lt;50 Predicted Monthly'!$V$9</f>
        <v>439194.04986008507</v>
      </c>
      <c r="N66" s="18">
        <f ca="1">F66*'GS&lt;50 Predicted Monthly'!$V$10</f>
        <v>277251.93859566946</v>
      </c>
      <c r="O66" s="18">
        <f>G66*'GS&lt;50 Predicted Monthly'!$V$11</f>
        <v>1969213.3839540493</v>
      </c>
      <c r="P66" s="18">
        <f>H66*'GS&lt;50 Predicted Monthly'!$V$12</f>
        <v>1722828.0010148797</v>
      </c>
      <c r="Q66" s="18">
        <f>I66*'GS&lt;50 Predicted Monthly'!$V$13</f>
        <v>-155664.75371970949</v>
      </c>
      <c r="R66" s="18">
        <f>J66*'GS&lt;50 Predicted Monthly'!$V$14</f>
        <v>0</v>
      </c>
      <c r="S66" s="20">
        <f t="shared" ca="1" si="21"/>
        <v>2117305.6734467442</v>
      </c>
      <c r="AJ66" s="33">
        <f t="shared" ref="AJ66" ca="1" si="123">AJ54</f>
        <v>208.10177399498693</v>
      </c>
      <c r="AK66" s="33">
        <f t="shared" ref="AK66" ca="1" si="124">AK54</f>
        <v>257.1408868815717</v>
      </c>
      <c r="AL66" s="33">
        <f t="shared" ca="1" si="118"/>
        <v>62.144727467193846</v>
      </c>
      <c r="AM66" s="33">
        <f t="shared" ca="1" si="118"/>
        <v>80.960175797507716</v>
      </c>
      <c r="AO66" s="18">
        <f ca="1">AJ66*'GS&lt;50 Predicted Monthly'!$V$9</f>
        <v>392452.60560057929</v>
      </c>
      <c r="AP66" s="18">
        <f ca="1">AK66*'GS&lt;50 Predicted Monthly'!$V$9</f>
        <v>484933.92980661301</v>
      </c>
      <c r="AQ66" s="18">
        <f ca="1">AL66*'GS&lt;50 Predicted Monthly'!$V$10</f>
        <v>230735.57138232855</v>
      </c>
      <c r="AR66" s="18">
        <f ca="1">AM66*'GS&lt;50 Predicted Monthly'!$V$10</f>
        <v>300594.96892496751</v>
      </c>
      <c r="AT66" s="31">
        <f t="shared" ca="1" si="4"/>
        <v>2024047.8619738976</v>
      </c>
      <c r="AU66" s="31">
        <f t="shared" ca="1" si="5"/>
        <v>2186388.58372257</v>
      </c>
    </row>
    <row r="67" spans="1:47">
      <c r="A67" s="541">
        <f>'Monthly Data'!A67</f>
        <v>44348</v>
      </c>
      <c r="B67">
        <f t="shared" si="19"/>
        <v>2021</v>
      </c>
      <c r="C67">
        <f t="shared" si="20"/>
        <v>6</v>
      </c>
      <c r="D67" s="30">
        <f>'Monthly Data'!J67</f>
        <v>2202367.1841760376</v>
      </c>
      <c r="E67" s="33">
        <f t="shared" ca="1" si="97"/>
        <v>92.751249999999999</v>
      </c>
      <c r="F67" s="33">
        <f t="shared" ca="1" si="97"/>
        <v>169.78833333333333</v>
      </c>
      <c r="G67" s="33">
        <f>'Monthly Data'!AD67</f>
        <v>817265.5</v>
      </c>
      <c r="H67" s="8">
        <f>'Monthly Data'!BU67</f>
        <v>30</v>
      </c>
      <c r="I67" s="18">
        <f>'Monthly Data'!BX67</f>
        <v>0.5</v>
      </c>
      <c r="J67" s="30"/>
      <c r="L67" s="18">
        <f>'GS&lt;50 Predicted Monthly'!$V$8</f>
        <v>-2135516.9462582301</v>
      </c>
      <c r="M67" s="18">
        <f ca="1">E67*'GS&lt;50 Predicted Monthly'!$V$9</f>
        <v>174916.67195536545</v>
      </c>
      <c r="N67" s="18">
        <f ca="1">F67*'GS&lt;50 Predicted Monthly'!$V$10</f>
        <v>630402.76629101019</v>
      </c>
      <c r="O67" s="18">
        <f>G67*'GS&lt;50 Predicted Monthly'!$V$11</f>
        <v>1969213.3839540493</v>
      </c>
      <c r="P67" s="18">
        <f>H67*'GS&lt;50 Predicted Monthly'!$V$12</f>
        <v>1667252.9042079481</v>
      </c>
      <c r="Q67" s="18">
        <f>I67*'GS&lt;50 Predicted Monthly'!$V$13</f>
        <v>-155664.75371970949</v>
      </c>
      <c r="R67" s="18">
        <f>J67*'GS&lt;50 Predicted Monthly'!$V$14</f>
        <v>0</v>
      </c>
      <c r="S67" s="20">
        <f t="shared" ca="1" si="21"/>
        <v>2150604.0264304336</v>
      </c>
      <c r="AJ67" s="33">
        <f t="shared" ref="AJ67" ca="1" si="125">AJ55</f>
        <v>82.880152285321046</v>
      </c>
      <c r="AK67" s="33">
        <f t="shared" ref="AK67" ca="1" si="126">AK55</f>
        <v>102.41083223077457</v>
      </c>
      <c r="AL67" s="33">
        <f t="shared" ca="1" si="118"/>
        <v>141.30183653234096</v>
      </c>
      <c r="AM67" s="33">
        <f t="shared" ca="1" si="118"/>
        <v>184.0835416360639</v>
      </c>
      <c r="AO67" s="18">
        <f ca="1">AJ67*'GS&lt;50 Predicted Monthly'!$V$9</f>
        <v>156301.07851810337</v>
      </c>
      <c r="AP67" s="18">
        <f ca="1">AK67*'GS&lt;50 Predicted Monthly'!$V$9</f>
        <v>193133.37497862687</v>
      </c>
      <c r="AQ67" s="18">
        <f ca="1">AL67*'GS&lt;50 Predicted Monthly'!$V$10</f>
        <v>524635.97988861345</v>
      </c>
      <c r="AR67" s="18">
        <f ca="1">AM67*'GS&lt;50 Predicted Monthly'!$V$10</f>
        <v>683479.08008611342</v>
      </c>
      <c r="AT67" s="31">
        <f t="shared" ref="AT67:AT130" ca="1" si="127">AO67+AQ67-M67-N67+S67</f>
        <v>2026221.6465907749</v>
      </c>
      <c r="AU67" s="31">
        <f t="shared" ref="AU67:AU130" ca="1" si="128">AP67+AR67-M67-N67+S67</f>
        <v>2221897.0432487982</v>
      </c>
    </row>
    <row r="68" spans="1:47">
      <c r="A68" s="541">
        <f>'Monthly Data'!A68</f>
        <v>44378</v>
      </c>
      <c r="B68">
        <f t="shared" si="19"/>
        <v>2021</v>
      </c>
      <c r="C68">
        <f t="shared" si="20"/>
        <v>7</v>
      </c>
      <c r="D68" s="30">
        <f>'Monthly Data'!J68</f>
        <v>2304019.0961872172</v>
      </c>
      <c r="E68" s="33">
        <f t="shared" ca="1" si="97"/>
        <v>25.464999999999996</v>
      </c>
      <c r="F68" s="33">
        <f t="shared" ca="1" si="97"/>
        <v>265.99625000000003</v>
      </c>
      <c r="G68" s="33">
        <f>'Monthly Data'!AD68</f>
        <v>817265.5</v>
      </c>
      <c r="H68" s="8">
        <f>'Monthly Data'!BU68</f>
        <v>31</v>
      </c>
      <c r="I68" s="18">
        <f>'Monthly Data'!BX68</f>
        <v>0.5</v>
      </c>
      <c r="J68" s="30"/>
      <c r="L68" s="18">
        <f>'GS&lt;50 Predicted Monthly'!$V$8</f>
        <v>-2135516.9462582301</v>
      </c>
      <c r="M68" s="18">
        <f ca="1">E68*'GS&lt;50 Predicted Monthly'!$V$9</f>
        <v>48023.644439760981</v>
      </c>
      <c r="N68" s="18">
        <f ca="1">F68*'GS&lt;50 Predicted Monthly'!$V$10</f>
        <v>987610.68284845934</v>
      </c>
      <c r="O68" s="18">
        <f>G68*'GS&lt;50 Predicted Monthly'!$V$11</f>
        <v>1969213.3839540493</v>
      </c>
      <c r="P68" s="18">
        <f>H68*'GS&lt;50 Predicted Monthly'!$V$12</f>
        <v>1722828.0010148797</v>
      </c>
      <c r="Q68" s="18">
        <f>I68*'GS&lt;50 Predicted Monthly'!$V$13</f>
        <v>-155664.75371970949</v>
      </c>
      <c r="R68" s="18">
        <f>J68*'GS&lt;50 Predicted Monthly'!$V$14</f>
        <v>0</v>
      </c>
      <c r="S68" s="20">
        <f t="shared" ca="1" si="21"/>
        <v>2436494.0122792101</v>
      </c>
      <c r="AJ68" s="33">
        <f t="shared" ref="AJ68" ca="1" si="129">AJ56</f>
        <v>22.754874763905612</v>
      </c>
      <c r="AK68" s="33">
        <f t="shared" ref="AK68" ca="1" si="130">AK56</f>
        <v>28.117053330889604</v>
      </c>
      <c r="AL68" s="33">
        <f t="shared" ca="1" si="118"/>
        <v>221.36832312221517</v>
      </c>
      <c r="AM68" s="33">
        <f t="shared" ca="1" si="118"/>
        <v>288.39161561107579</v>
      </c>
      <c r="AO68" s="18">
        <f ca="1">AJ68*'GS&lt;50 Predicted Monthly'!$V$9</f>
        <v>42912.704297392243</v>
      </c>
      <c r="AP68" s="18">
        <f ca="1">AK68*'GS&lt;50 Predicted Monthly'!$V$9</f>
        <v>53025.068598328675</v>
      </c>
      <c r="AQ68" s="18">
        <f ca="1">AL68*'GS&lt;50 Predicted Monthly'!$V$10</f>
        <v>821912.7929801615</v>
      </c>
      <c r="AR68" s="18">
        <f ca="1">AM68*'GS&lt;50 Predicted Monthly'!$V$10</f>
        <v>1070761.8638286251</v>
      </c>
      <c r="AT68" s="31">
        <f t="shared" ca="1" si="127"/>
        <v>2265685.1822685436</v>
      </c>
      <c r="AU68" s="31">
        <f t="shared" ca="1" si="128"/>
        <v>2524646.6174179437</v>
      </c>
    </row>
    <row r="69" spans="1:47">
      <c r="A69" s="541">
        <f>'Monthly Data'!A69</f>
        <v>44409</v>
      </c>
      <c r="B69">
        <f t="shared" si="19"/>
        <v>2021</v>
      </c>
      <c r="C69">
        <f t="shared" si="20"/>
        <v>8</v>
      </c>
      <c r="D69" s="30">
        <f>'Monthly Data'!J69</f>
        <v>2586724.0081983968</v>
      </c>
      <c r="E69" s="33">
        <f t="shared" ca="1" si="97"/>
        <v>54.974791666666668</v>
      </c>
      <c r="F69" s="33">
        <f t="shared" ca="1" si="97"/>
        <v>218.46562499999996</v>
      </c>
      <c r="G69" s="33">
        <f>'Monthly Data'!AD69</f>
        <v>817265.5</v>
      </c>
      <c r="H69" s="8">
        <f>'Monthly Data'!BU69</f>
        <v>31</v>
      </c>
      <c r="I69" s="18">
        <f>'Monthly Data'!BX69</f>
        <v>0.5</v>
      </c>
      <c r="J69" s="30"/>
      <c r="L69" s="18">
        <f>'GS&lt;50 Predicted Monthly'!$V$8</f>
        <v>-2135516.9462582301</v>
      </c>
      <c r="M69" s="18">
        <f ca="1">E69*'GS&lt;50 Predicted Monthly'!$V$9</f>
        <v>103675.23456312333</v>
      </c>
      <c r="N69" s="18">
        <f ca="1">F69*'GS&lt;50 Predicted Monthly'!$V$10</f>
        <v>811135.43925963389</v>
      </c>
      <c r="O69" s="18">
        <f>G69*'GS&lt;50 Predicted Monthly'!$V$11</f>
        <v>1969213.3839540493</v>
      </c>
      <c r="P69" s="18">
        <f>H69*'GS&lt;50 Predicted Monthly'!$V$12</f>
        <v>1722828.0010148797</v>
      </c>
      <c r="Q69" s="18">
        <f>I69*'GS&lt;50 Predicted Monthly'!$V$13</f>
        <v>-155664.75371970949</v>
      </c>
      <c r="R69" s="18">
        <f>J69*'GS&lt;50 Predicted Monthly'!$V$14</f>
        <v>0</v>
      </c>
      <c r="S69" s="20">
        <f t="shared" ca="1" si="21"/>
        <v>2315670.3588137468</v>
      </c>
      <c r="AJ69" s="33">
        <f t="shared" ref="AJ69" ca="1" si="131">AJ57</f>
        <v>49.124072238240799</v>
      </c>
      <c r="AK69" s="33">
        <f t="shared" ref="AK69" ca="1" si="132">AK57</f>
        <v>60.700143300459935</v>
      </c>
      <c r="AL69" s="33">
        <f t="shared" ca="1" si="118"/>
        <v>181.81222128543794</v>
      </c>
      <c r="AM69" s="33">
        <f t="shared" ca="1" si="118"/>
        <v>236.85918335026682</v>
      </c>
      <c r="AO69" s="18">
        <f ca="1">AJ69*'GS&lt;50 Predicted Monthly'!$V$9</f>
        <v>92641.546381402324</v>
      </c>
      <c r="AP69" s="18">
        <f ca="1">AK69*'GS&lt;50 Predicted Monthly'!$V$9</f>
        <v>114472.49555483322</v>
      </c>
      <c r="AQ69" s="18">
        <f ca="1">AL69*'GS&lt;50 Predicted Monthly'!$V$10</f>
        <v>675045.9527677797</v>
      </c>
      <c r="AR69" s="18">
        <f ca="1">AM69*'GS&lt;50 Predicted Monthly'!$V$10</f>
        <v>879428.41227079486</v>
      </c>
      <c r="AT69" s="31">
        <f t="shared" ca="1" si="127"/>
        <v>2168547.1841401719</v>
      </c>
      <c r="AU69" s="31">
        <f t="shared" ca="1" si="128"/>
        <v>2394760.5928166178</v>
      </c>
    </row>
    <row r="70" spans="1:47">
      <c r="A70" s="541">
        <f>'Monthly Data'!A70</f>
        <v>44440</v>
      </c>
      <c r="B70">
        <f t="shared" si="19"/>
        <v>2021</v>
      </c>
      <c r="C70">
        <f t="shared" si="20"/>
        <v>9</v>
      </c>
      <c r="D70" s="30">
        <f>'Monthly Data'!J70</f>
        <v>2084247.9202095759</v>
      </c>
      <c r="E70" s="33">
        <f t="shared" ca="1" si="97"/>
        <v>166.50624999999999</v>
      </c>
      <c r="F70" s="33">
        <f t="shared" ca="1" si="97"/>
        <v>95.131249999999994</v>
      </c>
      <c r="G70" s="33">
        <f>'Monthly Data'!AD70</f>
        <v>817265.5</v>
      </c>
      <c r="H70" s="8">
        <f>'Monthly Data'!BU70</f>
        <v>30</v>
      </c>
      <c r="I70" s="18">
        <f>'Monthly Data'!BX70</f>
        <v>0.5</v>
      </c>
      <c r="J70" s="30"/>
      <c r="L70" s="18">
        <f>'GS&lt;50 Predicted Monthly'!$V$8</f>
        <v>-2135516.9462582301</v>
      </c>
      <c r="M70" s="18">
        <f ca="1">E70*'GS&lt;50 Predicted Monthly'!$V$9</f>
        <v>314008.9121145868</v>
      </c>
      <c r="N70" s="18">
        <f ca="1">F70*'GS&lt;50 Predicted Monthly'!$V$10</f>
        <v>353210.38838978927</v>
      </c>
      <c r="O70" s="18">
        <f>G70*'GS&lt;50 Predicted Monthly'!$V$11</f>
        <v>1969213.3839540493</v>
      </c>
      <c r="P70" s="18">
        <f>H70*'GS&lt;50 Predicted Monthly'!$V$12</f>
        <v>1667252.9042079481</v>
      </c>
      <c r="Q70" s="18">
        <f>I70*'GS&lt;50 Predicted Monthly'!$V$13</f>
        <v>-155664.75371970949</v>
      </c>
      <c r="R70" s="18">
        <f>J70*'GS&lt;50 Predicted Monthly'!$V$14</f>
        <v>0</v>
      </c>
      <c r="S70" s="20">
        <f t="shared" ca="1" si="21"/>
        <v>2012503.8886884337</v>
      </c>
      <c r="AJ70" s="33">
        <f t="shared" ref="AJ70" ca="1" si="133">AJ58</f>
        <v>148.78573988445157</v>
      </c>
      <c r="AK70" s="33">
        <f t="shared" ref="AK70" ca="1" si="134">AK58</f>
        <v>183.84704932952829</v>
      </c>
      <c r="AL70" s="33">
        <f t="shared" ca="1" si="118"/>
        <v>79.170459316701752</v>
      </c>
      <c r="AM70" s="33">
        <f t="shared" ca="1" si="118"/>
        <v>103.14075812197032</v>
      </c>
      <c r="AO70" s="18">
        <f ca="1">AJ70*'GS&lt;50 Predicted Monthly'!$V$9</f>
        <v>280590.35813538847</v>
      </c>
      <c r="AP70" s="18">
        <f ca="1">AK70*'GS&lt;50 Predicted Monthly'!$V$9</f>
        <v>346711.3814372851</v>
      </c>
      <c r="AQ70" s="18">
        <f ca="1">AL70*'GS&lt;50 Predicted Monthly'!$V$10</f>
        <v>293949.9763143051</v>
      </c>
      <c r="AR70" s="18">
        <f ca="1">AM70*'GS&lt;50 Predicted Monthly'!$V$10</f>
        <v>382948.68652602012</v>
      </c>
      <c r="AT70" s="31">
        <f t="shared" ca="1" si="127"/>
        <v>1919824.9226337513</v>
      </c>
      <c r="AU70" s="31">
        <f t="shared" ca="1" si="128"/>
        <v>2074944.6561473627</v>
      </c>
    </row>
    <row r="71" spans="1:47">
      <c r="A71" s="541">
        <f>'Monthly Data'!A71</f>
        <v>44470</v>
      </c>
      <c r="B71">
        <f t="shared" si="19"/>
        <v>2021</v>
      </c>
      <c r="C71">
        <f t="shared" si="20"/>
        <v>10</v>
      </c>
      <c r="D71" s="30">
        <f>'Monthly Data'!J71</f>
        <v>2150223.8322207555</v>
      </c>
      <c r="E71" s="33">
        <f t="shared" ca="1" si="97"/>
        <v>363.47645833333326</v>
      </c>
      <c r="F71" s="33">
        <f t="shared" ca="1" si="97"/>
        <v>21.813750000000006</v>
      </c>
      <c r="G71" s="33">
        <f>'Monthly Data'!AD71</f>
        <v>817265.5</v>
      </c>
      <c r="H71" s="8">
        <f>'Monthly Data'!BU71</f>
        <v>31</v>
      </c>
      <c r="I71" s="18">
        <f>'Monthly Data'!BX71</f>
        <v>0.5</v>
      </c>
      <c r="J71" s="30"/>
      <c r="L71" s="18">
        <f>'GS&lt;50 Predicted Monthly'!$V$8</f>
        <v>-2135516.9462582301</v>
      </c>
      <c r="M71" s="18">
        <f ca="1">E71*'GS&lt;50 Predicted Monthly'!$V$9</f>
        <v>685468.84732863132</v>
      </c>
      <c r="N71" s="18">
        <f ca="1">F71*'GS&lt;50 Predicted Monthly'!$V$10</f>
        <v>80991.715232773335</v>
      </c>
      <c r="O71" s="18">
        <f>G71*'GS&lt;50 Predicted Monthly'!$V$11</f>
        <v>1969213.3839540493</v>
      </c>
      <c r="P71" s="18">
        <f>H71*'GS&lt;50 Predicted Monthly'!$V$12</f>
        <v>1722828.0010148797</v>
      </c>
      <c r="Q71" s="18">
        <f>I71*'GS&lt;50 Predicted Monthly'!$V$13</f>
        <v>-155664.75371970949</v>
      </c>
      <c r="R71" s="18">
        <f>J71*'GS&lt;50 Predicted Monthly'!$V$14</f>
        <v>0</v>
      </c>
      <c r="S71" s="20">
        <f t="shared" ca="1" si="21"/>
        <v>2167320.2475523939</v>
      </c>
      <c r="AJ71" s="33">
        <f t="shared" ref="AJ71" ca="1" si="135">AJ59</f>
        <v>324.79329624987065</v>
      </c>
      <c r="AK71" s="33">
        <f t="shared" ref="AK71" ca="1" si="136">AK59</f>
        <v>401.33072701673694</v>
      </c>
      <c r="AL71" s="33">
        <f t="shared" ca="1" si="118"/>
        <v>18.153914795818444</v>
      </c>
      <c r="AM71" s="33">
        <f t="shared" ca="1" si="118"/>
        <v>23.650343209861436</v>
      </c>
      <c r="AO71" s="18">
        <f ca="1">AJ71*'GS&lt;50 Predicted Monthly'!$V$9</f>
        <v>612517.48578526394</v>
      </c>
      <c r="AP71" s="18">
        <f ca="1">AK71*'GS&lt;50 Predicted Monthly'!$V$9</f>
        <v>756857.0248184785</v>
      </c>
      <c r="AQ71" s="18">
        <f ca="1">AL71*'GS&lt;50 Predicted Monthly'!$V$10</f>
        <v>67403.206578555153</v>
      </c>
      <c r="AR71" s="18">
        <f ca="1">AM71*'GS&lt;50 Predicted Monthly'!$V$10</f>
        <v>87810.755253473209</v>
      </c>
      <c r="AT71" s="31">
        <f t="shared" ca="1" si="127"/>
        <v>2080780.3773548084</v>
      </c>
      <c r="AU71" s="31">
        <f t="shared" ca="1" si="128"/>
        <v>2245527.465062941</v>
      </c>
    </row>
    <row r="72" spans="1:47">
      <c r="A72" s="541">
        <f>'Monthly Data'!A72</f>
        <v>44501</v>
      </c>
      <c r="B72">
        <f t="shared" si="19"/>
        <v>2021</v>
      </c>
      <c r="C72">
        <f t="shared" si="20"/>
        <v>11</v>
      </c>
      <c r="D72" s="30">
        <f>'Monthly Data'!J72</f>
        <v>2496393.7442319351</v>
      </c>
      <c r="E72" s="33">
        <f t="shared" ca="1" si="97"/>
        <v>586.00395833333334</v>
      </c>
      <c r="F72" s="33">
        <f t="shared" ca="1" si="97"/>
        <v>2.2795833333333335</v>
      </c>
      <c r="G72" s="33">
        <f>'Monthly Data'!AD72</f>
        <v>817265.5</v>
      </c>
      <c r="H72" s="8">
        <f>'Monthly Data'!BU72</f>
        <v>30</v>
      </c>
      <c r="I72" s="18">
        <f>'Monthly Data'!BX72</f>
        <v>0.5</v>
      </c>
      <c r="J72" s="30"/>
      <c r="L72" s="18">
        <f>'GS&lt;50 Predicted Monthly'!$V$8</f>
        <v>-2135516.9462582301</v>
      </c>
      <c r="M72" s="18">
        <f ca="1">E72*'GS&lt;50 Predicted Monthly'!$V$9</f>
        <v>1105126.4769406053</v>
      </c>
      <c r="N72" s="18">
        <f ca="1">F72*'GS&lt;50 Predicted Monthly'!$V$10</f>
        <v>8463.8067357840573</v>
      </c>
      <c r="O72" s="18">
        <f>G72*'GS&lt;50 Predicted Monthly'!$V$11</f>
        <v>1969213.3839540493</v>
      </c>
      <c r="P72" s="18">
        <f>H72*'GS&lt;50 Predicted Monthly'!$V$12</f>
        <v>1667252.9042079481</v>
      </c>
      <c r="Q72" s="18">
        <f>I72*'GS&lt;50 Predicted Monthly'!$V$13</f>
        <v>-155664.75371970949</v>
      </c>
      <c r="R72" s="18">
        <f>J72*'GS&lt;50 Predicted Monthly'!$V$14</f>
        <v>0</v>
      </c>
      <c r="S72" s="20">
        <f t="shared" ca="1" si="21"/>
        <v>2458874.8718604473</v>
      </c>
      <c r="AJ72" s="33">
        <f t="shared" ref="AJ72" ca="1" si="137">AJ60</f>
        <v>523.63819685953126</v>
      </c>
      <c r="AK72" s="33">
        <f t="shared" ref="AK72" ca="1" si="138">AK60</f>
        <v>647.03336142041019</v>
      </c>
      <c r="AL72" s="33">
        <f t="shared" ca="1" si="118"/>
        <v>1.8971227598785685</v>
      </c>
      <c r="AM72" s="33">
        <f t="shared" ca="1" si="118"/>
        <v>2.4715112352902775</v>
      </c>
      <c r="AO72" s="18">
        <f ca="1">AJ72*'GS&lt;50 Predicted Monthly'!$V$9</f>
        <v>987512.84433770669</v>
      </c>
      <c r="AP72" s="18">
        <f ca="1">AK72*'GS&lt;50 Predicted Monthly'!$V$9</f>
        <v>1220219.913195254</v>
      </c>
      <c r="AQ72" s="18">
        <f ca="1">AL72*'GS&lt;50 Predicted Monthly'!$V$10</f>
        <v>7043.7786409809405</v>
      </c>
      <c r="AR72" s="18">
        <f ca="1">AM72*'GS&lt;50 Predicted Monthly'!$V$10</f>
        <v>9176.4109409537541</v>
      </c>
      <c r="AT72" s="31">
        <f t="shared" ca="1" si="127"/>
        <v>2339841.2111627455</v>
      </c>
      <c r="AU72" s="31">
        <f t="shared" ca="1" si="128"/>
        <v>2574680.9123202655</v>
      </c>
    </row>
    <row r="73" spans="1:47">
      <c r="A73" s="541">
        <f>'Monthly Data'!A73</f>
        <v>44531</v>
      </c>
      <c r="B73">
        <f t="shared" si="19"/>
        <v>2021</v>
      </c>
      <c r="C73">
        <f t="shared" si="20"/>
        <v>12</v>
      </c>
      <c r="D73" s="30">
        <f>'Monthly Data'!J73</f>
        <v>2949612.3062431142</v>
      </c>
      <c r="E73" s="33">
        <f t="shared" ca="1" si="97"/>
        <v>812.36333333333334</v>
      </c>
      <c r="F73" s="33">
        <f t="shared" ca="1" si="97"/>
        <v>0</v>
      </c>
      <c r="G73" s="33">
        <f>'Monthly Data'!AD73</f>
        <v>817265.5</v>
      </c>
      <c r="H73" s="8">
        <f>'Monthly Data'!BU73</f>
        <v>31</v>
      </c>
      <c r="I73" s="18">
        <f>'Monthly Data'!BX73</f>
        <v>0.5</v>
      </c>
      <c r="J73" s="30"/>
      <c r="L73" s="18">
        <f>'GS&lt;50 Predicted Monthly'!$V$8</f>
        <v>-2135516.9462582301</v>
      </c>
      <c r="M73" s="18">
        <f ca="1">E73*'GS&lt;50 Predicted Monthly'!$V$9</f>
        <v>1532010.5193755757</v>
      </c>
      <c r="N73" s="18">
        <f ca="1">F73*'GS&lt;50 Predicted Monthly'!$V$10</f>
        <v>0</v>
      </c>
      <c r="O73" s="18">
        <f>G73*'GS&lt;50 Predicted Monthly'!$V$11</f>
        <v>1969213.3839540493</v>
      </c>
      <c r="P73" s="18">
        <f>H73*'GS&lt;50 Predicted Monthly'!$V$12</f>
        <v>1722828.0010148797</v>
      </c>
      <c r="Q73" s="18">
        <f>I73*'GS&lt;50 Predicted Monthly'!$V$13</f>
        <v>-155664.75371970949</v>
      </c>
      <c r="R73" s="18">
        <f>J73*'GS&lt;50 Predicted Monthly'!$V$14</f>
        <v>0</v>
      </c>
      <c r="S73" s="20">
        <f t="shared" ca="1" si="21"/>
        <v>2932870.2043665652</v>
      </c>
      <c r="AJ73" s="33">
        <f t="shared" ref="AJ73" ca="1" si="139">AJ61</f>
        <v>725.90716327464804</v>
      </c>
      <c r="AK73" s="33">
        <f t="shared" ref="AK73" ca="1" si="140">AK61</f>
        <v>896.96694158227319</v>
      </c>
      <c r="AL73" s="33">
        <f t="shared" ca="1" si="118"/>
        <v>0</v>
      </c>
      <c r="AM73" s="33">
        <f t="shared" ca="1" si="118"/>
        <v>0</v>
      </c>
      <c r="AO73" s="18">
        <f ca="1">AJ73*'GS&lt;50 Predicted Monthly'!$V$9</f>
        <v>1368965.5411497045</v>
      </c>
      <c r="AP73" s="18">
        <f ca="1">AK73*'GS&lt;50 Predicted Monthly'!$V$9</f>
        <v>1691561.809415549</v>
      </c>
      <c r="AQ73" s="18">
        <f ca="1">AL73*'GS&lt;50 Predicted Monthly'!$V$10</f>
        <v>0</v>
      </c>
      <c r="AR73" s="18">
        <f ca="1">AM73*'GS&lt;50 Predicted Monthly'!$V$10</f>
        <v>0</v>
      </c>
      <c r="AT73" s="31">
        <f t="shared" ca="1" si="127"/>
        <v>2769825.2261406938</v>
      </c>
      <c r="AU73" s="31">
        <f t="shared" ca="1" si="128"/>
        <v>3092421.4944065385</v>
      </c>
    </row>
    <row r="74" spans="1:47">
      <c r="A74" s="541">
        <f>'Monthly Data'!A74</f>
        <v>44562</v>
      </c>
      <c r="B74">
        <f t="shared" si="19"/>
        <v>2022</v>
      </c>
      <c r="C74">
        <f t="shared" si="20"/>
        <v>1</v>
      </c>
      <c r="D74" s="30">
        <f>'Monthly Data'!J74</f>
        <v>3512426.4695312781</v>
      </c>
      <c r="E74" s="33">
        <f t="shared" ref="E74:F93" ca="1" si="141">E62</f>
        <v>914.55166666666662</v>
      </c>
      <c r="F74" s="33">
        <f t="shared" ca="1" si="141"/>
        <v>0</v>
      </c>
      <c r="G74" s="33">
        <f>'Monthly Data'!AD74</f>
        <v>850461.9</v>
      </c>
      <c r="H74" s="8">
        <f>'Monthly Data'!BU74</f>
        <v>31</v>
      </c>
      <c r="I74" s="18">
        <f>'Monthly Data'!BX74</f>
        <v>0.25</v>
      </c>
      <c r="J74" s="30"/>
      <c r="L74" s="18">
        <f>'GS&lt;50 Predicted Monthly'!$V$8</f>
        <v>-2135516.9462582301</v>
      </c>
      <c r="M74" s="18">
        <f ca="1">E74*'GS&lt;50 Predicted Monthly'!$V$9</f>
        <v>1724724.2906652587</v>
      </c>
      <c r="N74" s="18">
        <f ca="1">F74*'GS&lt;50 Predicted Monthly'!$V$10</f>
        <v>0</v>
      </c>
      <c r="O74" s="18">
        <f>G74*'GS&lt;50 Predicted Monthly'!$V$11</f>
        <v>2049200.6037487087</v>
      </c>
      <c r="P74" s="18">
        <f>H74*'GS&lt;50 Predicted Monthly'!$V$12</f>
        <v>1722828.0010148797</v>
      </c>
      <c r="Q74" s="18">
        <f>I74*'GS&lt;50 Predicted Monthly'!$V$13</f>
        <v>-77832.376859854747</v>
      </c>
      <c r="R74" s="18">
        <f>J74*'GS&lt;50 Predicted Monthly'!$V$14</f>
        <v>0</v>
      </c>
      <c r="S74" s="20">
        <f t="shared" ca="1" si="21"/>
        <v>3283403.572310762</v>
      </c>
      <c r="AJ74" s="33">
        <f t="shared" ref="AJ74" ca="1" si="142">AJ62</f>
        <v>817.22005262600237</v>
      </c>
      <c r="AK74" s="33">
        <f t="shared" ref="AK74" ca="1" si="143">AK62</f>
        <v>1009.7976825258449</v>
      </c>
      <c r="AL74" s="33">
        <f t="shared" ca="1" si="118"/>
        <v>0</v>
      </c>
      <c r="AM74" s="33">
        <f t="shared" ca="1" si="118"/>
        <v>0</v>
      </c>
      <c r="AO74" s="18">
        <f ca="1">AJ74*'GS&lt;50 Predicted Monthly'!$V$9</f>
        <v>1541169.6538917692</v>
      </c>
      <c r="AP74" s="18">
        <f ca="1">AK74*'GS&lt;50 Predicted Monthly'!$V$9</f>
        <v>1904345.7632717781</v>
      </c>
      <c r="AQ74" s="18">
        <f ca="1">AL74*'GS&lt;50 Predicted Monthly'!$V$10</f>
        <v>0</v>
      </c>
      <c r="AR74" s="18">
        <f ca="1">AM74*'GS&lt;50 Predicted Monthly'!$V$10</f>
        <v>0</v>
      </c>
      <c r="AT74" s="31">
        <f t="shared" ca="1" si="127"/>
        <v>3099848.9355372726</v>
      </c>
      <c r="AU74" s="31">
        <f t="shared" ca="1" si="128"/>
        <v>3463025.0449172817</v>
      </c>
    </row>
    <row r="75" spans="1:47">
      <c r="A75" s="541">
        <f>'Monthly Data'!A75</f>
        <v>44593</v>
      </c>
      <c r="B75">
        <f t="shared" si="19"/>
        <v>2022</v>
      </c>
      <c r="C75">
        <f t="shared" si="20"/>
        <v>2</v>
      </c>
      <c r="D75" s="30">
        <f>'Monthly Data'!J75</f>
        <v>3065402.7801112318</v>
      </c>
      <c r="E75" s="33">
        <f t="shared" ca="1" si="141"/>
        <v>803.82854166666664</v>
      </c>
      <c r="F75" s="33">
        <f t="shared" ca="1" si="141"/>
        <v>0</v>
      </c>
      <c r="G75" s="33">
        <f>'Monthly Data'!AD75</f>
        <v>850461.9</v>
      </c>
      <c r="H75" s="8">
        <f>'Monthly Data'!BU75</f>
        <v>29</v>
      </c>
      <c r="I75" s="18">
        <f>'Monthly Data'!BX75</f>
        <v>0.25</v>
      </c>
      <c r="J75" s="30"/>
      <c r="L75" s="18">
        <f>'GS&lt;50 Predicted Monthly'!$V$8</f>
        <v>-2135516.9462582301</v>
      </c>
      <c r="M75" s="18">
        <f ca="1">E75*'GS&lt;50 Predicted Monthly'!$V$9</f>
        <v>1515915.0235826271</v>
      </c>
      <c r="N75" s="18">
        <f ca="1">F75*'GS&lt;50 Predicted Monthly'!$V$10</f>
        <v>0</v>
      </c>
      <c r="O75" s="18">
        <f>G75*'GS&lt;50 Predicted Monthly'!$V$11</f>
        <v>2049200.6037487087</v>
      </c>
      <c r="P75" s="18">
        <f>H75*'GS&lt;50 Predicted Monthly'!$V$12</f>
        <v>1611677.8074010164</v>
      </c>
      <c r="Q75" s="18">
        <f>I75*'GS&lt;50 Predicted Monthly'!$V$13</f>
        <v>-77832.376859854747</v>
      </c>
      <c r="R75" s="18">
        <f>J75*'GS&lt;50 Predicted Monthly'!$V$14</f>
        <v>0</v>
      </c>
      <c r="S75" s="20">
        <f t="shared" ca="1" si="21"/>
        <v>2963444.1116142673</v>
      </c>
      <c r="AJ75" s="33">
        <f t="shared" ref="AJ75" ca="1" si="144">AJ63</f>
        <v>718.28069103781206</v>
      </c>
      <c r="AK75" s="33">
        <f t="shared" ref="AK75" ca="1" si="145">AK63</f>
        <v>887.54329373386554</v>
      </c>
      <c r="AL75" s="33">
        <f t="shared" ca="1" si="118"/>
        <v>0</v>
      </c>
      <c r="AM75" s="33">
        <f t="shared" ca="1" si="118"/>
        <v>0</v>
      </c>
      <c r="AO75" s="18">
        <f ca="1">AJ75*'GS&lt;50 Predicted Monthly'!$V$9</f>
        <v>1354583.0164675321</v>
      </c>
      <c r="AP75" s="18">
        <f ca="1">AK75*'GS&lt;50 Predicted Monthly'!$V$9</f>
        <v>1673790.047640664</v>
      </c>
      <c r="AQ75" s="18">
        <f ca="1">AL75*'GS&lt;50 Predicted Monthly'!$V$10</f>
        <v>0</v>
      </c>
      <c r="AR75" s="18">
        <f ca="1">AM75*'GS&lt;50 Predicted Monthly'!$V$10</f>
        <v>0</v>
      </c>
      <c r="AT75" s="31">
        <f t="shared" ca="1" si="127"/>
        <v>2802112.1044991724</v>
      </c>
      <c r="AU75" s="31">
        <f t="shared" ca="1" si="128"/>
        <v>3121319.1356723043</v>
      </c>
    </row>
    <row r="76" spans="1:47">
      <c r="A76" s="541">
        <f>'Monthly Data'!A76</f>
        <v>44621</v>
      </c>
      <c r="B76">
        <f t="shared" si="19"/>
        <v>2022</v>
      </c>
      <c r="C76">
        <f t="shared" si="20"/>
        <v>3</v>
      </c>
      <c r="D76" s="30">
        <f>'Monthly Data'!J76</f>
        <v>2990160.0906911851</v>
      </c>
      <c r="E76" s="33">
        <f t="shared" ca="1" si="141"/>
        <v>698.29604166666672</v>
      </c>
      <c r="F76" s="33">
        <f t="shared" ca="1" si="141"/>
        <v>0</v>
      </c>
      <c r="G76" s="33">
        <f>'Monthly Data'!AD76</f>
        <v>850461.9</v>
      </c>
      <c r="H76" s="8">
        <f>'Monthly Data'!BU76</f>
        <v>31</v>
      </c>
      <c r="I76" s="18">
        <f>'Monthly Data'!BX76</f>
        <v>0.25</v>
      </c>
      <c r="J76" s="30"/>
      <c r="L76" s="18">
        <f>'GS&lt;50 Predicted Monthly'!$V$8</f>
        <v>-2135516.9462582301</v>
      </c>
      <c r="M76" s="18">
        <f ca="1">E76*'GS&lt;50 Predicted Monthly'!$V$9</f>
        <v>1316894.5933120961</v>
      </c>
      <c r="N76" s="18">
        <f ca="1">F76*'GS&lt;50 Predicted Monthly'!$V$10</f>
        <v>0</v>
      </c>
      <c r="O76" s="18">
        <f>G76*'GS&lt;50 Predicted Monthly'!$V$11</f>
        <v>2049200.6037487087</v>
      </c>
      <c r="P76" s="18">
        <f>H76*'GS&lt;50 Predicted Monthly'!$V$12</f>
        <v>1722828.0010148797</v>
      </c>
      <c r="Q76" s="18">
        <f>I76*'GS&lt;50 Predicted Monthly'!$V$13</f>
        <v>-77832.376859854747</v>
      </c>
      <c r="R76" s="18">
        <f>J76*'GS&lt;50 Predicted Monthly'!$V$14</f>
        <v>0</v>
      </c>
      <c r="S76" s="20">
        <f t="shared" ca="1" si="21"/>
        <v>2875573.8749575997</v>
      </c>
      <c r="AJ76" s="33">
        <f t="shared" ref="AJ76" ca="1" si="146">AJ64</f>
        <v>623.97953961343092</v>
      </c>
      <c r="AK76" s="33">
        <f t="shared" ref="AK76" ca="1" si="147">AK64</f>
        <v>771.02010776716202</v>
      </c>
      <c r="AL76" s="33">
        <f t="shared" ca="1" si="118"/>
        <v>0</v>
      </c>
      <c r="AM76" s="33">
        <f t="shared" ca="1" si="118"/>
        <v>0</v>
      </c>
      <c r="AO76" s="18">
        <f ca="1">AJ76*'GS&lt;50 Predicted Monthly'!$V$9</f>
        <v>1176743.4340499181</v>
      </c>
      <c r="AP76" s="18">
        <f ca="1">AK76*'GS&lt;50 Predicted Monthly'!$V$9</f>
        <v>1454042.6275796737</v>
      </c>
      <c r="AQ76" s="18">
        <f ca="1">AL76*'GS&lt;50 Predicted Monthly'!$V$10</f>
        <v>0</v>
      </c>
      <c r="AR76" s="18">
        <f ca="1">AM76*'GS&lt;50 Predicted Monthly'!$V$10</f>
        <v>0</v>
      </c>
      <c r="AT76" s="31">
        <f t="shared" ca="1" si="127"/>
        <v>2735422.7156954217</v>
      </c>
      <c r="AU76" s="31">
        <f t="shared" ca="1" si="128"/>
        <v>3012721.909225177</v>
      </c>
    </row>
    <row r="77" spans="1:47">
      <c r="A77" s="541">
        <f>'Monthly Data'!A77</f>
        <v>44652</v>
      </c>
      <c r="B77">
        <f t="shared" si="19"/>
        <v>2022</v>
      </c>
      <c r="C77">
        <f t="shared" si="20"/>
        <v>4</v>
      </c>
      <c r="D77" s="30">
        <f>'Monthly Data'!J77</f>
        <v>2398890.4012711388</v>
      </c>
      <c r="E77" s="33">
        <f t="shared" ca="1" si="141"/>
        <v>468.60374999999993</v>
      </c>
      <c r="F77" s="33">
        <f t="shared" ca="1" si="141"/>
        <v>2.8104166666666677</v>
      </c>
      <c r="G77" s="33">
        <f>'Monthly Data'!AD77</f>
        <v>850461.9</v>
      </c>
      <c r="H77" s="8">
        <f>'Monthly Data'!BU77</f>
        <v>30</v>
      </c>
      <c r="I77" s="18">
        <f>'Monthly Data'!BX77</f>
        <v>0.25</v>
      </c>
      <c r="J77" s="30"/>
      <c r="L77" s="18">
        <f>'GS&lt;50 Predicted Monthly'!$V$8</f>
        <v>-2135516.9462582301</v>
      </c>
      <c r="M77" s="18">
        <f ca="1">E77*'GS&lt;50 Predicted Monthly'!$V$9</f>
        <v>883725.10791826609</v>
      </c>
      <c r="N77" s="18">
        <f ca="1">F77*'GS&lt;50 Predicted Monthly'!$V$10</f>
        <v>10434.724261170442</v>
      </c>
      <c r="O77" s="18">
        <f>G77*'GS&lt;50 Predicted Monthly'!$V$11</f>
        <v>2049200.6037487087</v>
      </c>
      <c r="P77" s="18">
        <f>H77*'GS&lt;50 Predicted Monthly'!$V$12</f>
        <v>1667252.9042079481</v>
      </c>
      <c r="Q77" s="18">
        <f>I77*'GS&lt;50 Predicted Monthly'!$V$13</f>
        <v>-77832.376859854747</v>
      </c>
      <c r="R77" s="18">
        <f>J77*'GS&lt;50 Predicted Monthly'!$V$14</f>
        <v>0</v>
      </c>
      <c r="S77" s="20">
        <f t="shared" ca="1" si="21"/>
        <v>2397264.0170180085</v>
      </c>
      <c r="AJ77" s="33">
        <f t="shared" ref="AJ77" ca="1" si="148">AJ65</f>
        <v>418.73236383846591</v>
      </c>
      <c r="AK77" s="33">
        <f t="shared" ref="AK77" ca="1" si="149">AK65</f>
        <v>517.40650421381736</v>
      </c>
      <c r="AL77" s="33">
        <f t="shared" ca="1" si="118"/>
        <v>2.33889472041326</v>
      </c>
      <c r="AM77" s="33">
        <f t="shared" ca="1" si="118"/>
        <v>3.0470377046304016</v>
      </c>
      <c r="AO77" s="18">
        <f ca="1">AJ77*'GS&lt;50 Predicted Monthly'!$V$9</f>
        <v>789674.22565871268</v>
      </c>
      <c r="AP77" s="18">
        <f ca="1">AK77*'GS&lt;50 Predicted Monthly'!$V$9</f>
        <v>975760.69071997097</v>
      </c>
      <c r="AQ77" s="18">
        <f ca="1">AL77*'GS&lt;50 Predicted Monthly'!$V$10</f>
        <v>8684.0224700084891</v>
      </c>
      <c r="AR77" s="18">
        <f ca="1">AM77*'GS&lt;50 Predicted Monthly'!$V$10</f>
        <v>11313.26846951802</v>
      </c>
      <c r="AT77" s="31">
        <f t="shared" ca="1" si="127"/>
        <v>2301462.4329672931</v>
      </c>
      <c r="AU77" s="31">
        <f t="shared" ca="1" si="128"/>
        <v>2490178.1440280611</v>
      </c>
    </row>
    <row r="78" spans="1:47">
      <c r="A78" s="541">
        <f>'Monthly Data'!A78</f>
        <v>44682</v>
      </c>
      <c r="B78">
        <f t="shared" si="19"/>
        <v>2022</v>
      </c>
      <c r="C78">
        <f t="shared" si="20"/>
        <v>5</v>
      </c>
      <c r="D78" s="30">
        <f>'Monthly Data'!J78</f>
        <v>2192493.7118510921</v>
      </c>
      <c r="E78" s="33">
        <f t="shared" ca="1" si="141"/>
        <v>232.88687500000006</v>
      </c>
      <c r="F78" s="33">
        <f t="shared" ca="1" si="141"/>
        <v>74.673124999999999</v>
      </c>
      <c r="G78" s="33">
        <f>'Monthly Data'!AD78</f>
        <v>850461.9</v>
      </c>
      <c r="H78" s="8">
        <f>'Monthly Data'!BU78</f>
        <v>31</v>
      </c>
      <c r="I78" s="18">
        <f>'Monthly Data'!BX78</f>
        <v>0.25</v>
      </c>
      <c r="J78" s="30"/>
      <c r="L78" s="18">
        <f>'GS&lt;50 Predicted Monthly'!$V$8</f>
        <v>-2135516.9462582301</v>
      </c>
      <c r="M78" s="18">
        <f ca="1">E78*'GS&lt;50 Predicted Monthly'!$V$9</f>
        <v>439194.04986008507</v>
      </c>
      <c r="N78" s="18">
        <f ca="1">F78*'GS&lt;50 Predicted Monthly'!$V$10</f>
        <v>277251.93859566946</v>
      </c>
      <c r="O78" s="18">
        <f>G78*'GS&lt;50 Predicted Monthly'!$V$11</f>
        <v>2049200.6037487087</v>
      </c>
      <c r="P78" s="18">
        <f>H78*'GS&lt;50 Predicted Monthly'!$V$12</f>
        <v>1722828.0010148797</v>
      </c>
      <c r="Q78" s="18">
        <f>I78*'GS&lt;50 Predicted Monthly'!$V$13</f>
        <v>-77832.376859854747</v>
      </c>
      <c r="R78" s="18">
        <f>J78*'GS&lt;50 Predicted Monthly'!$V$14</f>
        <v>0</v>
      </c>
      <c r="S78" s="20">
        <f t="shared" ca="1" si="21"/>
        <v>2275125.2701012581</v>
      </c>
      <c r="AJ78" s="33">
        <f t="shared" ref="AJ78" ca="1" si="150">AJ66</f>
        <v>208.10177399498693</v>
      </c>
      <c r="AK78" s="33">
        <f t="shared" ref="AK78" ca="1" si="151">AK66</f>
        <v>257.1408868815717</v>
      </c>
      <c r="AL78" s="33">
        <f t="shared" ca="1" si="118"/>
        <v>62.144727467193846</v>
      </c>
      <c r="AM78" s="33">
        <f t="shared" ca="1" si="118"/>
        <v>80.960175797507716</v>
      </c>
      <c r="AO78" s="18">
        <f ca="1">AJ78*'GS&lt;50 Predicted Monthly'!$V$9</f>
        <v>392452.60560057929</v>
      </c>
      <c r="AP78" s="18">
        <f ca="1">AK78*'GS&lt;50 Predicted Monthly'!$V$9</f>
        <v>484933.92980661301</v>
      </c>
      <c r="AQ78" s="18">
        <f ca="1">AL78*'GS&lt;50 Predicted Monthly'!$V$10</f>
        <v>230735.57138232855</v>
      </c>
      <c r="AR78" s="18">
        <f ca="1">AM78*'GS&lt;50 Predicted Monthly'!$V$10</f>
        <v>300594.96892496751</v>
      </c>
      <c r="AT78" s="31">
        <f t="shared" ca="1" si="127"/>
        <v>2181867.4586284114</v>
      </c>
      <c r="AU78" s="31">
        <f t="shared" ca="1" si="128"/>
        <v>2344208.1803770838</v>
      </c>
    </row>
    <row r="79" spans="1:47">
      <c r="A79" s="541">
        <f>'Monthly Data'!A79</f>
        <v>44713</v>
      </c>
      <c r="B79">
        <f t="shared" si="19"/>
        <v>2022</v>
      </c>
      <c r="C79">
        <f t="shared" si="20"/>
        <v>6</v>
      </c>
      <c r="D79" s="30">
        <f>'Monthly Data'!J79</f>
        <v>2254321.0224310458</v>
      </c>
      <c r="E79" s="33">
        <f t="shared" ca="1" si="141"/>
        <v>92.751249999999999</v>
      </c>
      <c r="F79" s="33">
        <f t="shared" ca="1" si="141"/>
        <v>169.78833333333333</v>
      </c>
      <c r="G79" s="33">
        <f>'Monthly Data'!AD79</f>
        <v>850461.9</v>
      </c>
      <c r="H79" s="8">
        <f>'Monthly Data'!BU79</f>
        <v>30</v>
      </c>
      <c r="I79" s="18">
        <f>'Monthly Data'!BX79</f>
        <v>0.25</v>
      </c>
      <c r="J79" s="30"/>
      <c r="L79" s="18">
        <f>'GS&lt;50 Predicted Monthly'!$V$8</f>
        <v>-2135516.9462582301</v>
      </c>
      <c r="M79" s="18">
        <f ca="1">E79*'GS&lt;50 Predicted Monthly'!$V$9</f>
        <v>174916.67195536545</v>
      </c>
      <c r="N79" s="18">
        <f ca="1">F79*'GS&lt;50 Predicted Monthly'!$V$10</f>
        <v>630402.76629101019</v>
      </c>
      <c r="O79" s="18">
        <f>G79*'GS&lt;50 Predicted Monthly'!$V$11</f>
        <v>2049200.6037487087</v>
      </c>
      <c r="P79" s="18">
        <f>H79*'GS&lt;50 Predicted Monthly'!$V$12</f>
        <v>1667252.9042079481</v>
      </c>
      <c r="Q79" s="18">
        <f>I79*'GS&lt;50 Predicted Monthly'!$V$13</f>
        <v>-77832.376859854747</v>
      </c>
      <c r="R79" s="18">
        <f>J79*'GS&lt;50 Predicted Monthly'!$V$14</f>
        <v>0</v>
      </c>
      <c r="S79" s="20">
        <f t="shared" ca="1" si="21"/>
        <v>2308423.6230849475</v>
      </c>
      <c r="AJ79" s="33">
        <f t="shared" ref="AJ79" ca="1" si="152">AJ67</f>
        <v>82.880152285321046</v>
      </c>
      <c r="AK79" s="33">
        <f t="shared" ref="AK79" ca="1" si="153">AK67</f>
        <v>102.41083223077457</v>
      </c>
      <c r="AL79" s="33">
        <f t="shared" ref="AL79:AM94" ca="1" si="154">AL67</f>
        <v>141.30183653234096</v>
      </c>
      <c r="AM79" s="33">
        <f t="shared" ca="1" si="154"/>
        <v>184.0835416360639</v>
      </c>
      <c r="AO79" s="18">
        <f ca="1">AJ79*'GS&lt;50 Predicted Monthly'!$V$9</f>
        <v>156301.07851810337</v>
      </c>
      <c r="AP79" s="18">
        <f ca="1">AK79*'GS&lt;50 Predicted Monthly'!$V$9</f>
        <v>193133.37497862687</v>
      </c>
      <c r="AQ79" s="18">
        <f ca="1">AL79*'GS&lt;50 Predicted Monthly'!$V$10</f>
        <v>524635.97988861345</v>
      </c>
      <c r="AR79" s="18">
        <f ca="1">AM79*'GS&lt;50 Predicted Monthly'!$V$10</f>
        <v>683479.08008611342</v>
      </c>
      <c r="AT79" s="31">
        <f t="shared" ca="1" si="127"/>
        <v>2184041.2432452887</v>
      </c>
      <c r="AU79" s="31">
        <f t="shared" ca="1" si="128"/>
        <v>2379716.6399033121</v>
      </c>
    </row>
    <row r="80" spans="1:47">
      <c r="A80" s="541">
        <f>'Monthly Data'!A80</f>
        <v>44743</v>
      </c>
      <c r="B80">
        <f t="shared" si="19"/>
        <v>2022</v>
      </c>
      <c r="C80">
        <f t="shared" si="20"/>
        <v>7</v>
      </c>
      <c r="D80" s="30">
        <f>'Monthly Data'!J80</f>
        <v>2434782.333010999</v>
      </c>
      <c r="E80" s="33">
        <f t="shared" ca="1" si="141"/>
        <v>25.464999999999996</v>
      </c>
      <c r="F80" s="33">
        <f t="shared" ca="1" si="141"/>
        <v>265.99625000000003</v>
      </c>
      <c r="G80" s="33">
        <f>'Monthly Data'!AD80</f>
        <v>850461.9</v>
      </c>
      <c r="H80" s="8">
        <f>'Monthly Data'!BU80</f>
        <v>31</v>
      </c>
      <c r="I80" s="18">
        <f>'Monthly Data'!BX80</f>
        <v>0.25</v>
      </c>
      <c r="J80" s="30"/>
      <c r="L80" s="18">
        <f>'GS&lt;50 Predicted Monthly'!$V$8</f>
        <v>-2135516.9462582301</v>
      </c>
      <c r="M80" s="18">
        <f ca="1">E80*'GS&lt;50 Predicted Monthly'!$V$9</f>
        <v>48023.644439760981</v>
      </c>
      <c r="N80" s="18">
        <f ca="1">F80*'GS&lt;50 Predicted Monthly'!$V$10</f>
        <v>987610.68284845934</v>
      </c>
      <c r="O80" s="18">
        <f>G80*'GS&lt;50 Predicted Monthly'!$V$11</f>
        <v>2049200.6037487087</v>
      </c>
      <c r="P80" s="18">
        <f>H80*'GS&lt;50 Predicted Monthly'!$V$12</f>
        <v>1722828.0010148797</v>
      </c>
      <c r="Q80" s="18">
        <f>I80*'GS&lt;50 Predicted Monthly'!$V$13</f>
        <v>-77832.376859854747</v>
      </c>
      <c r="R80" s="18">
        <f>J80*'GS&lt;50 Predicted Monthly'!$V$14</f>
        <v>0</v>
      </c>
      <c r="S80" s="20">
        <f t="shared" ca="1" si="21"/>
        <v>2594313.6089337235</v>
      </c>
      <c r="AJ80" s="33">
        <f t="shared" ref="AJ80" ca="1" si="155">AJ68</f>
        <v>22.754874763905612</v>
      </c>
      <c r="AK80" s="33">
        <f t="shared" ref="AK80" ca="1" si="156">AK68</f>
        <v>28.117053330889604</v>
      </c>
      <c r="AL80" s="33">
        <f t="shared" ca="1" si="154"/>
        <v>221.36832312221517</v>
      </c>
      <c r="AM80" s="33">
        <f t="shared" ca="1" si="154"/>
        <v>288.39161561107579</v>
      </c>
      <c r="AO80" s="18">
        <f ca="1">AJ80*'GS&lt;50 Predicted Monthly'!$V$9</f>
        <v>42912.704297392243</v>
      </c>
      <c r="AP80" s="18">
        <f ca="1">AK80*'GS&lt;50 Predicted Monthly'!$V$9</f>
        <v>53025.068598328675</v>
      </c>
      <c r="AQ80" s="18">
        <f ca="1">AL80*'GS&lt;50 Predicted Monthly'!$V$10</f>
        <v>821912.7929801615</v>
      </c>
      <c r="AR80" s="18">
        <f ca="1">AM80*'GS&lt;50 Predicted Monthly'!$V$10</f>
        <v>1070761.8638286251</v>
      </c>
      <c r="AT80" s="31">
        <f t="shared" ca="1" si="127"/>
        <v>2423504.778923057</v>
      </c>
      <c r="AU80" s="31">
        <f t="shared" ca="1" si="128"/>
        <v>2682466.2140724566</v>
      </c>
    </row>
    <row r="81" spans="1:47">
      <c r="A81" s="541">
        <f>'Monthly Data'!A81</f>
        <v>44774</v>
      </c>
      <c r="B81">
        <f t="shared" si="19"/>
        <v>2022</v>
      </c>
      <c r="C81">
        <f t="shared" si="20"/>
        <v>8</v>
      </c>
      <c r="D81" s="30">
        <f>'Monthly Data'!J81</f>
        <v>2456843.6435909523</v>
      </c>
      <c r="E81" s="33">
        <f t="shared" ca="1" si="141"/>
        <v>54.974791666666668</v>
      </c>
      <c r="F81" s="33">
        <f t="shared" ca="1" si="141"/>
        <v>218.46562499999996</v>
      </c>
      <c r="G81" s="33">
        <f>'Monthly Data'!AD81</f>
        <v>850461.9</v>
      </c>
      <c r="H81" s="8">
        <f>'Monthly Data'!BU81</f>
        <v>31</v>
      </c>
      <c r="I81" s="18">
        <f>'Monthly Data'!BX81</f>
        <v>0.25</v>
      </c>
      <c r="J81" s="30"/>
      <c r="L81" s="18">
        <f>'GS&lt;50 Predicted Monthly'!$V$8</f>
        <v>-2135516.9462582301</v>
      </c>
      <c r="M81" s="18">
        <f ca="1">E81*'GS&lt;50 Predicted Monthly'!$V$9</f>
        <v>103675.23456312333</v>
      </c>
      <c r="N81" s="18">
        <f ca="1">F81*'GS&lt;50 Predicted Monthly'!$V$10</f>
        <v>811135.43925963389</v>
      </c>
      <c r="O81" s="18">
        <f>G81*'GS&lt;50 Predicted Monthly'!$V$11</f>
        <v>2049200.6037487087</v>
      </c>
      <c r="P81" s="18">
        <f>H81*'GS&lt;50 Predicted Monthly'!$V$12</f>
        <v>1722828.0010148797</v>
      </c>
      <c r="Q81" s="18">
        <f>I81*'GS&lt;50 Predicted Monthly'!$V$13</f>
        <v>-77832.376859854747</v>
      </c>
      <c r="R81" s="18">
        <f>J81*'GS&lt;50 Predicted Monthly'!$V$14</f>
        <v>0</v>
      </c>
      <c r="S81" s="20">
        <f t="shared" ca="1" si="21"/>
        <v>2473489.9554682607</v>
      </c>
      <c r="AJ81" s="33">
        <f t="shared" ref="AJ81" ca="1" si="157">AJ69</f>
        <v>49.124072238240799</v>
      </c>
      <c r="AK81" s="33">
        <f t="shared" ref="AK81" ca="1" si="158">AK69</f>
        <v>60.700143300459935</v>
      </c>
      <c r="AL81" s="33">
        <f t="shared" ca="1" si="154"/>
        <v>181.81222128543794</v>
      </c>
      <c r="AM81" s="33">
        <f t="shared" ca="1" si="154"/>
        <v>236.85918335026682</v>
      </c>
      <c r="AO81" s="18">
        <f ca="1">AJ81*'GS&lt;50 Predicted Monthly'!$V$9</f>
        <v>92641.546381402324</v>
      </c>
      <c r="AP81" s="18">
        <f ca="1">AK81*'GS&lt;50 Predicted Monthly'!$V$9</f>
        <v>114472.49555483322</v>
      </c>
      <c r="AQ81" s="18">
        <f ca="1">AL81*'GS&lt;50 Predicted Monthly'!$V$10</f>
        <v>675045.9527677797</v>
      </c>
      <c r="AR81" s="18">
        <f ca="1">AM81*'GS&lt;50 Predicted Monthly'!$V$10</f>
        <v>879428.41227079486</v>
      </c>
      <c r="AT81" s="31">
        <f t="shared" ca="1" si="127"/>
        <v>2326366.7807946857</v>
      </c>
      <c r="AU81" s="31">
        <f t="shared" ca="1" si="128"/>
        <v>2552580.1894711317</v>
      </c>
    </row>
    <row r="82" spans="1:47">
      <c r="A82" s="541">
        <f>'Monthly Data'!A82</f>
        <v>44805</v>
      </c>
      <c r="B82">
        <f t="shared" ref="B82:B97" si="159">YEAR(A82)</f>
        <v>2022</v>
      </c>
      <c r="C82">
        <f t="shared" ref="C82:C97" si="160">MONTH(A82)</f>
        <v>9</v>
      </c>
      <c r="D82" s="30">
        <f>'Monthly Data'!J82</f>
        <v>2148681.954170906</v>
      </c>
      <c r="E82" s="33">
        <f t="shared" ca="1" si="141"/>
        <v>166.50624999999999</v>
      </c>
      <c r="F82" s="33">
        <f t="shared" ca="1" si="141"/>
        <v>95.131249999999994</v>
      </c>
      <c r="G82" s="33">
        <f>'Monthly Data'!AD82</f>
        <v>850461.9</v>
      </c>
      <c r="H82" s="8">
        <f>'Monthly Data'!BU82</f>
        <v>30</v>
      </c>
      <c r="I82" s="18">
        <f>'Monthly Data'!BX82</f>
        <v>0.25</v>
      </c>
      <c r="J82" s="30"/>
      <c r="L82" s="18">
        <f>'GS&lt;50 Predicted Monthly'!$V$8</f>
        <v>-2135516.9462582301</v>
      </c>
      <c r="M82" s="18">
        <f ca="1">E82*'GS&lt;50 Predicted Monthly'!$V$9</f>
        <v>314008.9121145868</v>
      </c>
      <c r="N82" s="18">
        <f ca="1">F82*'GS&lt;50 Predicted Monthly'!$V$10</f>
        <v>353210.38838978927</v>
      </c>
      <c r="O82" s="18">
        <f>G82*'GS&lt;50 Predicted Monthly'!$V$11</f>
        <v>2049200.6037487087</v>
      </c>
      <c r="P82" s="18">
        <f>H82*'GS&lt;50 Predicted Monthly'!$V$12</f>
        <v>1667252.9042079481</v>
      </c>
      <c r="Q82" s="18">
        <f>I82*'GS&lt;50 Predicted Monthly'!$V$13</f>
        <v>-77832.376859854747</v>
      </c>
      <c r="R82" s="18">
        <f>J82*'GS&lt;50 Predicted Monthly'!$V$14</f>
        <v>0</v>
      </c>
      <c r="S82" s="20">
        <f t="shared" ref="S82:S145" ca="1" si="161">SUM(L82:R82)</f>
        <v>2170323.4853429478</v>
      </c>
      <c r="AJ82" s="33">
        <f t="shared" ref="AJ82" ca="1" si="162">AJ70</f>
        <v>148.78573988445157</v>
      </c>
      <c r="AK82" s="33">
        <f t="shared" ref="AK82" ca="1" si="163">AK70</f>
        <v>183.84704932952829</v>
      </c>
      <c r="AL82" s="33">
        <f t="shared" ca="1" si="154"/>
        <v>79.170459316701752</v>
      </c>
      <c r="AM82" s="33">
        <f t="shared" ca="1" si="154"/>
        <v>103.14075812197032</v>
      </c>
      <c r="AO82" s="18">
        <f ca="1">AJ82*'GS&lt;50 Predicted Monthly'!$V$9</f>
        <v>280590.35813538847</v>
      </c>
      <c r="AP82" s="18">
        <f ca="1">AK82*'GS&lt;50 Predicted Monthly'!$V$9</f>
        <v>346711.3814372851</v>
      </c>
      <c r="AQ82" s="18">
        <f ca="1">AL82*'GS&lt;50 Predicted Monthly'!$V$10</f>
        <v>293949.9763143051</v>
      </c>
      <c r="AR82" s="18">
        <f ca="1">AM82*'GS&lt;50 Predicted Monthly'!$V$10</f>
        <v>382948.68652602012</v>
      </c>
      <c r="AT82" s="31">
        <f t="shared" ca="1" si="127"/>
        <v>2077644.5192882651</v>
      </c>
      <c r="AU82" s="31">
        <f t="shared" ca="1" si="128"/>
        <v>2232764.252801877</v>
      </c>
    </row>
    <row r="83" spans="1:47">
      <c r="A83" s="541">
        <f>'Monthly Data'!A83</f>
        <v>44835</v>
      </c>
      <c r="B83">
        <f t="shared" si="159"/>
        <v>2022</v>
      </c>
      <c r="C83">
        <f t="shared" si="160"/>
        <v>10</v>
      </c>
      <c r="D83" s="30">
        <f>'Monthly Data'!J83</f>
        <v>2255916.2647508592</v>
      </c>
      <c r="E83" s="33">
        <f t="shared" ca="1" si="141"/>
        <v>363.47645833333326</v>
      </c>
      <c r="F83" s="33">
        <f t="shared" ca="1" si="141"/>
        <v>21.813750000000006</v>
      </c>
      <c r="G83" s="33">
        <f>'Monthly Data'!AD83</f>
        <v>850461.9</v>
      </c>
      <c r="H83" s="8">
        <f>'Monthly Data'!BU83</f>
        <v>31</v>
      </c>
      <c r="I83" s="18">
        <f>'Monthly Data'!BX83</f>
        <v>0.25</v>
      </c>
      <c r="J83" s="30"/>
      <c r="L83" s="18">
        <f>'GS&lt;50 Predicted Monthly'!$V$8</f>
        <v>-2135516.9462582301</v>
      </c>
      <c r="M83" s="18">
        <f ca="1">E83*'GS&lt;50 Predicted Monthly'!$V$9</f>
        <v>685468.84732863132</v>
      </c>
      <c r="N83" s="18">
        <f ca="1">F83*'GS&lt;50 Predicted Monthly'!$V$10</f>
        <v>80991.715232773335</v>
      </c>
      <c r="O83" s="18">
        <f>G83*'GS&lt;50 Predicted Monthly'!$V$11</f>
        <v>2049200.6037487087</v>
      </c>
      <c r="P83" s="18">
        <f>H83*'GS&lt;50 Predicted Monthly'!$V$12</f>
        <v>1722828.0010148797</v>
      </c>
      <c r="Q83" s="18">
        <f>I83*'GS&lt;50 Predicted Monthly'!$V$13</f>
        <v>-77832.376859854747</v>
      </c>
      <c r="R83" s="18">
        <f>J83*'GS&lt;50 Predicted Monthly'!$V$14</f>
        <v>0</v>
      </c>
      <c r="S83" s="20">
        <f t="shared" ca="1" si="161"/>
        <v>2325139.8442069078</v>
      </c>
      <c r="AJ83" s="33">
        <f t="shared" ref="AJ83" ca="1" si="164">AJ71</f>
        <v>324.79329624987065</v>
      </c>
      <c r="AK83" s="33">
        <f t="shared" ref="AK83" ca="1" si="165">AK71</f>
        <v>401.33072701673694</v>
      </c>
      <c r="AL83" s="33">
        <f t="shared" ca="1" si="154"/>
        <v>18.153914795818444</v>
      </c>
      <c r="AM83" s="33">
        <f t="shared" ca="1" si="154"/>
        <v>23.650343209861436</v>
      </c>
      <c r="AO83" s="18">
        <f ca="1">AJ83*'GS&lt;50 Predicted Monthly'!$V$9</f>
        <v>612517.48578526394</v>
      </c>
      <c r="AP83" s="18">
        <f ca="1">AK83*'GS&lt;50 Predicted Monthly'!$V$9</f>
        <v>756857.0248184785</v>
      </c>
      <c r="AQ83" s="18">
        <f ca="1">AL83*'GS&lt;50 Predicted Monthly'!$V$10</f>
        <v>67403.206578555153</v>
      </c>
      <c r="AR83" s="18">
        <f ca="1">AM83*'GS&lt;50 Predicted Monthly'!$V$10</f>
        <v>87810.755253473209</v>
      </c>
      <c r="AT83" s="31">
        <f t="shared" ca="1" si="127"/>
        <v>2238599.974009322</v>
      </c>
      <c r="AU83" s="31">
        <f t="shared" ca="1" si="128"/>
        <v>2403347.0617174548</v>
      </c>
    </row>
    <row r="84" spans="1:47">
      <c r="A84" s="541">
        <f>'Monthly Data'!A84</f>
        <v>44866</v>
      </c>
      <c r="B84">
        <f t="shared" si="159"/>
        <v>2022</v>
      </c>
      <c r="C84">
        <f t="shared" si="160"/>
        <v>11</v>
      </c>
      <c r="D84" s="30">
        <f>'Monthly Data'!J84</f>
        <v>2549219.5753308129</v>
      </c>
      <c r="E84" s="33">
        <f t="shared" ca="1" si="141"/>
        <v>586.00395833333334</v>
      </c>
      <c r="F84" s="33">
        <f t="shared" ca="1" si="141"/>
        <v>2.2795833333333335</v>
      </c>
      <c r="G84" s="33">
        <f>'Monthly Data'!AD84</f>
        <v>850461.9</v>
      </c>
      <c r="H84" s="8">
        <f>'Monthly Data'!BU84</f>
        <v>30</v>
      </c>
      <c r="I84" s="18">
        <f>'Monthly Data'!BX84</f>
        <v>0.25</v>
      </c>
      <c r="J84" s="30"/>
      <c r="L84" s="18">
        <f>'GS&lt;50 Predicted Monthly'!$V$8</f>
        <v>-2135516.9462582301</v>
      </c>
      <c r="M84" s="18">
        <f ca="1">E84*'GS&lt;50 Predicted Monthly'!$V$9</f>
        <v>1105126.4769406053</v>
      </c>
      <c r="N84" s="18">
        <f ca="1">F84*'GS&lt;50 Predicted Monthly'!$V$10</f>
        <v>8463.8067357840573</v>
      </c>
      <c r="O84" s="18">
        <f>G84*'GS&lt;50 Predicted Monthly'!$V$11</f>
        <v>2049200.6037487087</v>
      </c>
      <c r="P84" s="18">
        <f>H84*'GS&lt;50 Predicted Monthly'!$V$12</f>
        <v>1667252.9042079481</v>
      </c>
      <c r="Q84" s="18">
        <f>I84*'GS&lt;50 Predicted Monthly'!$V$13</f>
        <v>-77832.376859854747</v>
      </c>
      <c r="R84" s="18">
        <f>J84*'GS&lt;50 Predicted Monthly'!$V$14</f>
        <v>0</v>
      </c>
      <c r="S84" s="20">
        <f t="shared" ca="1" si="161"/>
        <v>2616694.4685149612</v>
      </c>
      <c r="AJ84" s="33">
        <f t="shared" ref="AJ84" ca="1" si="166">AJ72</f>
        <v>523.63819685953126</v>
      </c>
      <c r="AK84" s="33">
        <f t="shared" ref="AK84" ca="1" si="167">AK72</f>
        <v>647.03336142041019</v>
      </c>
      <c r="AL84" s="33">
        <f t="shared" ca="1" si="154"/>
        <v>1.8971227598785685</v>
      </c>
      <c r="AM84" s="33">
        <f t="shared" ca="1" si="154"/>
        <v>2.4715112352902775</v>
      </c>
      <c r="AO84" s="18">
        <f ca="1">AJ84*'GS&lt;50 Predicted Monthly'!$V$9</f>
        <v>987512.84433770669</v>
      </c>
      <c r="AP84" s="18">
        <f ca="1">AK84*'GS&lt;50 Predicted Monthly'!$V$9</f>
        <v>1220219.913195254</v>
      </c>
      <c r="AQ84" s="18">
        <f ca="1">AL84*'GS&lt;50 Predicted Monthly'!$V$10</f>
        <v>7043.7786409809405</v>
      </c>
      <c r="AR84" s="18">
        <f ca="1">AM84*'GS&lt;50 Predicted Monthly'!$V$10</f>
        <v>9176.4109409537541</v>
      </c>
      <c r="AT84" s="31">
        <f t="shared" ca="1" si="127"/>
        <v>2497660.8078172593</v>
      </c>
      <c r="AU84" s="31">
        <f t="shared" ca="1" si="128"/>
        <v>2732500.5089747794</v>
      </c>
    </row>
    <row r="85" spans="1:47">
      <c r="A85" s="541">
        <f>'Monthly Data'!A85</f>
        <v>44896</v>
      </c>
      <c r="B85">
        <f t="shared" si="159"/>
        <v>2022</v>
      </c>
      <c r="C85">
        <f t="shared" si="160"/>
        <v>12</v>
      </c>
      <c r="D85" s="30">
        <f>'Monthly Data'!J85</f>
        <v>2940389.8859107662</v>
      </c>
      <c r="E85" s="33">
        <f t="shared" ca="1" si="141"/>
        <v>812.36333333333334</v>
      </c>
      <c r="F85" s="33">
        <f t="shared" ca="1" si="141"/>
        <v>0</v>
      </c>
      <c r="G85" s="33">
        <f>'Monthly Data'!AD85</f>
        <v>850461.9</v>
      </c>
      <c r="H85" s="8">
        <f>'Monthly Data'!BU85</f>
        <v>31</v>
      </c>
      <c r="I85" s="18">
        <f>'Monthly Data'!BX85</f>
        <v>0.25</v>
      </c>
      <c r="J85" s="30"/>
      <c r="L85" s="18">
        <f>'GS&lt;50 Predicted Monthly'!$V$8</f>
        <v>-2135516.9462582301</v>
      </c>
      <c r="M85" s="18">
        <f ca="1">E85*'GS&lt;50 Predicted Monthly'!$V$9</f>
        <v>1532010.5193755757</v>
      </c>
      <c r="N85" s="18">
        <f ca="1">F85*'GS&lt;50 Predicted Monthly'!$V$10</f>
        <v>0</v>
      </c>
      <c r="O85" s="18">
        <f>G85*'GS&lt;50 Predicted Monthly'!$V$11</f>
        <v>2049200.6037487087</v>
      </c>
      <c r="P85" s="18">
        <f>H85*'GS&lt;50 Predicted Monthly'!$V$12</f>
        <v>1722828.0010148797</v>
      </c>
      <c r="Q85" s="18">
        <f>I85*'GS&lt;50 Predicted Monthly'!$V$13</f>
        <v>-77832.376859854747</v>
      </c>
      <c r="R85" s="18">
        <f>J85*'GS&lt;50 Predicted Monthly'!$V$14</f>
        <v>0</v>
      </c>
      <c r="S85" s="20">
        <f t="shared" ca="1" si="161"/>
        <v>3090689.8010210791</v>
      </c>
      <c r="AJ85" s="33">
        <f t="shared" ref="AJ85" ca="1" si="168">AJ73</f>
        <v>725.90716327464804</v>
      </c>
      <c r="AK85" s="33">
        <f t="shared" ref="AK85" ca="1" si="169">AK73</f>
        <v>896.96694158227319</v>
      </c>
      <c r="AL85" s="33">
        <f t="shared" ca="1" si="154"/>
        <v>0</v>
      </c>
      <c r="AM85" s="33">
        <f t="shared" ca="1" si="154"/>
        <v>0</v>
      </c>
      <c r="AO85" s="18">
        <f ca="1">AJ85*'GS&lt;50 Predicted Monthly'!$V$9</f>
        <v>1368965.5411497045</v>
      </c>
      <c r="AP85" s="18">
        <f ca="1">AK85*'GS&lt;50 Predicted Monthly'!$V$9</f>
        <v>1691561.809415549</v>
      </c>
      <c r="AQ85" s="18">
        <f ca="1">AL85*'GS&lt;50 Predicted Monthly'!$V$10</f>
        <v>0</v>
      </c>
      <c r="AR85" s="18">
        <f ca="1">AM85*'GS&lt;50 Predicted Monthly'!$V$10</f>
        <v>0</v>
      </c>
      <c r="AT85" s="31">
        <f t="shared" ca="1" si="127"/>
        <v>2927644.8227952076</v>
      </c>
      <c r="AU85" s="31">
        <f t="shared" ca="1" si="128"/>
        <v>3250241.0910610524</v>
      </c>
    </row>
    <row r="86" spans="1:47">
      <c r="A86" s="541">
        <f>'Monthly Data'!A86</f>
        <v>44927</v>
      </c>
      <c r="B86">
        <f t="shared" si="159"/>
        <v>2023</v>
      </c>
      <c r="C86">
        <f t="shared" si="160"/>
        <v>1</v>
      </c>
      <c r="D86" s="30">
        <f>'Monthly Data'!J86</f>
        <v>3128498.5438320525</v>
      </c>
      <c r="E86" s="33">
        <f t="shared" ca="1" si="141"/>
        <v>914.55166666666662</v>
      </c>
      <c r="F86" s="33">
        <f t="shared" ca="1" si="141"/>
        <v>0</v>
      </c>
      <c r="G86" s="33">
        <f>'Monthly Data'!AD86</f>
        <v>865859.6</v>
      </c>
      <c r="H86" s="8">
        <f>'Monthly Data'!BU86</f>
        <v>31</v>
      </c>
      <c r="I86" s="18">
        <f>'Monthly Data'!BX86</f>
        <v>0</v>
      </c>
      <c r="J86" s="30"/>
      <c r="L86" s="18">
        <f>'GS&lt;50 Predicted Monthly'!$V$8</f>
        <v>-2135516.9462582301</v>
      </c>
      <c r="M86" s="18">
        <f ca="1">E86*'GS&lt;50 Predicted Monthly'!$V$9</f>
        <v>1724724.2906652587</v>
      </c>
      <c r="N86" s="18">
        <f ca="1">F86*'GS&lt;50 Predicted Monthly'!$V$10</f>
        <v>0</v>
      </c>
      <c r="O86" s="18">
        <f>G86*'GS&lt;50 Predicted Monthly'!$V$11</f>
        <v>2086301.5910314329</v>
      </c>
      <c r="P86" s="18">
        <f>H86*'GS&lt;50 Predicted Monthly'!$V$12</f>
        <v>1722828.0010148797</v>
      </c>
      <c r="Q86" s="18">
        <f>I86*'GS&lt;50 Predicted Monthly'!$V$13</f>
        <v>0</v>
      </c>
      <c r="R86" s="18">
        <f>J86*'GS&lt;50 Predicted Monthly'!$V$14</f>
        <v>0</v>
      </c>
      <c r="S86" s="20">
        <f t="shared" ca="1" si="161"/>
        <v>3398336.936453341</v>
      </c>
      <c r="AJ86" s="33">
        <f t="shared" ref="AJ86" ca="1" si="170">AJ74</f>
        <v>817.22005262600237</v>
      </c>
      <c r="AK86" s="33">
        <f t="shared" ref="AK86" ca="1" si="171">AK74</f>
        <v>1009.7976825258449</v>
      </c>
      <c r="AL86" s="33">
        <f t="shared" ca="1" si="154"/>
        <v>0</v>
      </c>
      <c r="AM86" s="33">
        <f t="shared" ca="1" si="154"/>
        <v>0</v>
      </c>
      <c r="AO86" s="18">
        <f ca="1">AJ86*'GS&lt;50 Predicted Monthly'!$V$9</f>
        <v>1541169.6538917692</v>
      </c>
      <c r="AP86" s="18">
        <f ca="1">AK86*'GS&lt;50 Predicted Monthly'!$V$9</f>
        <v>1904345.7632717781</v>
      </c>
      <c r="AQ86" s="18">
        <f ca="1">AL86*'GS&lt;50 Predicted Monthly'!$V$10</f>
        <v>0</v>
      </c>
      <c r="AR86" s="18">
        <f ca="1">AM86*'GS&lt;50 Predicted Monthly'!$V$10</f>
        <v>0</v>
      </c>
      <c r="AT86" s="31">
        <f t="shared" ca="1" si="127"/>
        <v>3214782.2996798516</v>
      </c>
      <c r="AU86" s="31">
        <f t="shared" ca="1" si="128"/>
        <v>3577958.4090598607</v>
      </c>
    </row>
    <row r="87" spans="1:47">
      <c r="A87" s="541">
        <f>'Monthly Data'!A87</f>
        <v>44958</v>
      </c>
      <c r="B87">
        <f t="shared" si="159"/>
        <v>2023</v>
      </c>
      <c r="C87">
        <f t="shared" si="160"/>
        <v>2</v>
      </c>
      <c r="D87" s="30">
        <f>'Monthly Data'!J87</f>
        <v>2958044.9926468567</v>
      </c>
      <c r="E87" s="33">
        <f t="shared" ca="1" si="141"/>
        <v>803.82854166666664</v>
      </c>
      <c r="F87" s="33">
        <f t="shared" ca="1" si="141"/>
        <v>0</v>
      </c>
      <c r="G87" s="33">
        <f>'Monthly Data'!AD87</f>
        <v>865859.6</v>
      </c>
      <c r="H87" s="8">
        <f>'Monthly Data'!BU87</f>
        <v>28</v>
      </c>
      <c r="I87" s="18">
        <f>'Monthly Data'!BX87</f>
        <v>0</v>
      </c>
      <c r="J87" s="30"/>
      <c r="L87" s="18">
        <f>'GS&lt;50 Predicted Monthly'!$V$8</f>
        <v>-2135516.9462582301</v>
      </c>
      <c r="M87" s="18">
        <f ca="1">E87*'GS&lt;50 Predicted Monthly'!$V$9</f>
        <v>1515915.0235826271</v>
      </c>
      <c r="N87" s="18">
        <f ca="1">F87*'GS&lt;50 Predicted Monthly'!$V$10</f>
        <v>0</v>
      </c>
      <c r="O87" s="18">
        <f>G87*'GS&lt;50 Predicted Monthly'!$V$11</f>
        <v>2086301.5910314329</v>
      </c>
      <c r="P87" s="18">
        <f>H87*'GS&lt;50 Predicted Monthly'!$V$12</f>
        <v>1556102.7105940848</v>
      </c>
      <c r="Q87" s="18">
        <f>I87*'GS&lt;50 Predicted Monthly'!$V$13</f>
        <v>0</v>
      </c>
      <c r="R87" s="18">
        <f>J87*'GS&lt;50 Predicted Monthly'!$V$14</f>
        <v>0</v>
      </c>
      <c r="S87" s="20">
        <f t="shared" ca="1" si="161"/>
        <v>3022802.3789499146</v>
      </c>
      <c r="AJ87" s="33">
        <f t="shared" ref="AJ87" ca="1" si="172">AJ75</f>
        <v>718.28069103781206</v>
      </c>
      <c r="AK87" s="33">
        <f t="shared" ref="AK87" ca="1" si="173">AK75</f>
        <v>887.54329373386554</v>
      </c>
      <c r="AL87" s="33">
        <f t="shared" ca="1" si="154"/>
        <v>0</v>
      </c>
      <c r="AM87" s="33">
        <f t="shared" ca="1" si="154"/>
        <v>0</v>
      </c>
      <c r="AO87" s="18">
        <f ca="1">AJ87*'GS&lt;50 Predicted Monthly'!$V$9</f>
        <v>1354583.0164675321</v>
      </c>
      <c r="AP87" s="18">
        <f ca="1">AK87*'GS&lt;50 Predicted Monthly'!$V$9</f>
        <v>1673790.047640664</v>
      </c>
      <c r="AQ87" s="18">
        <f ca="1">AL87*'GS&lt;50 Predicted Monthly'!$V$10</f>
        <v>0</v>
      </c>
      <c r="AR87" s="18">
        <f ca="1">AM87*'GS&lt;50 Predicted Monthly'!$V$10</f>
        <v>0</v>
      </c>
      <c r="AT87" s="31">
        <f t="shared" ca="1" si="127"/>
        <v>2861470.3718348197</v>
      </c>
      <c r="AU87" s="31">
        <f t="shared" ca="1" si="128"/>
        <v>3180677.4030079516</v>
      </c>
    </row>
    <row r="88" spans="1:47">
      <c r="A88" s="541">
        <f>'Monthly Data'!A88</f>
        <v>44986</v>
      </c>
      <c r="B88">
        <f t="shared" si="159"/>
        <v>2023</v>
      </c>
      <c r="C88">
        <f t="shared" si="160"/>
        <v>3</v>
      </c>
      <c r="D88" s="30">
        <f>'Monthly Data'!J88</f>
        <v>2961710.4414616609</v>
      </c>
      <c r="E88" s="33">
        <f t="shared" ca="1" si="141"/>
        <v>698.29604166666672</v>
      </c>
      <c r="F88" s="33">
        <f t="shared" ca="1" si="141"/>
        <v>0</v>
      </c>
      <c r="G88" s="33">
        <f>'Monthly Data'!AD88</f>
        <v>865859.6</v>
      </c>
      <c r="H88" s="8">
        <f>'Monthly Data'!BU88</f>
        <v>31</v>
      </c>
      <c r="I88" s="18">
        <f>'Monthly Data'!BX88</f>
        <v>0</v>
      </c>
      <c r="J88" s="30"/>
      <c r="L88" s="18">
        <f>'GS&lt;50 Predicted Monthly'!$V$8</f>
        <v>-2135516.9462582301</v>
      </c>
      <c r="M88" s="18">
        <f ca="1">E88*'GS&lt;50 Predicted Monthly'!$V$9</f>
        <v>1316894.5933120961</v>
      </c>
      <c r="N88" s="18">
        <f ca="1">F88*'GS&lt;50 Predicted Monthly'!$V$10</f>
        <v>0</v>
      </c>
      <c r="O88" s="18">
        <f>G88*'GS&lt;50 Predicted Monthly'!$V$11</f>
        <v>2086301.5910314329</v>
      </c>
      <c r="P88" s="18">
        <f>H88*'GS&lt;50 Predicted Monthly'!$V$12</f>
        <v>1722828.0010148797</v>
      </c>
      <c r="Q88" s="18">
        <f>I88*'GS&lt;50 Predicted Monthly'!$V$13</f>
        <v>0</v>
      </c>
      <c r="R88" s="18">
        <f>J88*'GS&lt;50 Predicted Monthly'!$V$14</f>
        <v>0</v>
      </c>
      <c r="S88" s="20">
        <f t="shared" ca="1" si="161"/>
        <v>2990507.2391001787</v>
      </c>
      <c r="AJ88" s="33">
        <f t="shared" ref="AJ88" ca="1" si="174">AJ76</f>
        <v>623.97953961343092</v>
      </c>
      <c r="AK88" s="33">
        <f t="shared" ref="AK88" ca="1" si="175">AK76</f>
        <v>771.02010776716202</v>
      </c>
      <c r="AL88" s="33">
        <f t="shared" ca="1" si="154"/>
        <v>0</v>
      </c>
      <c r="AM88" s="33">
        <f t="shared" ca="1" si="154"/>
        <v>0</v>
      </c>
      <c r="AO88" s="18">
        <f ca="1">AJ88*'GS&lt;50 Predicted Monthly'!$V$9</f>
        <v>1176743.4340499181</v>
      </c>
      <c r="AP88" s="18">
        <f ca="1">AK88*'GS&lt;50 Predicted Monthly'!$V$9</f>
        <v>1454042.6275796737</v>
      </c>
      <c r="AQ88" s="18">
        <f ca="1">AL88*'GS&lt;50 Predicted Monthly'!$V$10</f>
        <v>0</v>
      </c>
      <c r="AR88" s="18">
        <f ca="1">AM88*'GS&lt;50 Predicted Monthly'!$V$10</f>
        <v>0</v>
      </c>
      <c r="AT88" s="31">
        <f t="shared" ca="1" si="127"/>
        <v>2850356.0798380007</v>
      </c>
      <c r="AU88" s="31">
        <f t="shared" ca="1" si="128"/>
        <v>3127655.273367756</v>
      </c>
    </row>
    <row r="89" spans="1:47">
      <c r="A89" s="541">
        <f>'Monthly Data'!A89</f>
        <v>45017</v>
      </c>
      <c r="B89">
        <f t="shared" si="159"/>
        <v>2023</v>
      </c>
      <c r="C89">
        <f t="shared" si="160"/>
        <v>4</v>
      </c>
      <c r="D89" s="30">
        <f>'Monthly Data'!J89</f>
        <v>2410896.8902764646</v>
      </c>
      <c r="E89" s="33">
        <f t="shared" ca="1" si="141"/>
        <v>468.60374999999993</v>
      </c>
      <c r="F89" s="33">
        <f t="shared" ca="1" si="141"/>
        <v>2.8104166666666677</v>
      </c>
      <c r="G89" s="33">
        <f>'Monthly Data'!AD89</f>
        <v>865859.6</v>
      </c>
      <c r="H89" s="8">
        <f>'Monthly Data'!BU89</f>
        <v>30</v>
      </c>
      <c r="I89" s="18">
        <f>'Monthly Data'!BX89</f>
        <v>0</v>
      </c>
      <c r="J89" s="30"/>
      <c r="L89" s="18">
        <f>'GS&lt;50 Predicted Monthly'!$V$8</f>
        <v>-2135516.9462582301</v>
      </c>
      <c r="M89" s="18">
        <f ca="1">E89*'GS&lt;50 Predicted Monthly'!$V$9</f>
        <v>883725.10791826609</v>
      </c>
      <c r="N89" s="18">
        <f ca="1">F89*'GS&lt;50 Predicted Monthly'!$V$10</f>
        <v>10434.724261170442</v>
      </c>
      <c r="O89" s="18">
        <f>G89*'GS&lt;50 Predicted Monthly'!$V$11</f>
        <v>2086301.5910314329</v>
      </c>
      <c r="P89" s="18">
        <f>H89*'GS&lt;50 Predicted Monthly'!$V$12</f>
        <v>1667252.9042079481</v>
      </c>
      <c r="Q89" s="18">
        <f>I89*'GS&lt;50 Predicted Monthly'!$V$13</f>
        <v>0</v>
      </c>
      <c r="R89" s="18">
        <f>J89*'GS&lt;50 Predicted Monthly'!$V$14</f>
        <v>0</v>
      </c>
      <c r="S89" s="20">
        <f t="shared" ca="1" si="161"/>
        <v>2512197.3811605875</v>
      </c>
      <c r="AJ89" s="33">
        <f t="shared" ref="AJ89" ca="1" si="176">AJ77</f>
        <v>418.73236383846591</v>
      </c>
      <c r="AK89" s="33">
        <f t="shared" ref="AK89" ca="1" si="177">AK77</f>
        <v>517.40650421381736</v>
      </c>
      <c r="AL89" s="33">
        <f t="shared" ca="1" si="154"/>
        <v>2.33889472041326</v>
      </c>
      <c r="AM89" s="33">
        <f t="shared" ca="1" si="154"/>
        <v>3.0470377046304016</v>
      </c>
      <c r="AO89" s="18">
        <f ca="1">AJ89*'GS&lt;50 Predicted Monthly'!$V$9</f>
        <v>789674.22565871268</v>
      </c>
      <c r="AP89" s="18">
        <f ca="1">AK89*'GS&lt;50 Predicted Monthly'!$V$9</f>
        <v>975760.69071997097</v>
      </c>
      <c r="AQ89" s="18">
        <f ca="1">AL89*'GS&lt;50 Predicted Monthly'!$V$10</f>
        <v>8684.0224700084891</v>
      </c>
      <c r="AR89" s="18">
        <f ca="1">AM89*'GS&lt;50 Predicted Monthly'!$V$10</f>
        <v>11313.26846951802</v>
      </c>
      <c r="AT89" s="31">
        <f t="shared" ca="1" si="127"/>
        <v>2416395.7971098721</v>
      </c>
      <c r="AU89" s="31">
        <f t="shared" ca="1" si="128"/>
        <v>2605111.5081706401</v>
      </c>
    </row>
    <row r="90" spans="1:47">
      <c r="A90" s="541">
        <f>'Monthly Data'!A90</f>
        <v>45047</v>
      </c>
      <c r="B90">
        <f t="shared" si="159"/>
        <v>2023</v>
      </c>
      <c r="C90">
        <f t="shared" si="160"/>
        <v>5</v>
      </c>
      <c r="D90" s="30">
        <f>'Monthly Data'!J90</f>
        <v>2314837.3390912688</v>
      </c>
      <c r="E90" s="33">
        <f t="shared" ca="1" si="141"/>
        <v>232.88687500000006</v>
      </c>
      <c r="F90" s="33">
        <f t="shared" ca="1" si="141"/>
        <v>74.673124999999999</v>
      </c>
      <c r="G90" s="33">
        <f>'Monthly Data'!AD90</f>
        <v>865859.6</v>
      </c>
      <c r="H90" s="8">
        <f>'Monthly Data'!BU90</f>
        <v>31</v>
      </c>
      <c r="I90" s="18">
        <f>'Monthly Data'!BX90</f>
        <v>0</v>
      </c>
      <c r="J90" s="30"/>
      <c r="L90" s="18">
        <f>'GS&lt;50 Predicted Monthly'!$V$8</f>
        <v>-2135516.9462582301</v>
      </c>
      <c r="M90" s="18">
        <f ca="1">E90*'GS&lt;50 Predicted Monthly'!$V$9</f>
        <v>439194.04986008507</v>
      </c>
      <c r="N90" s="18">
        <f ca="1">F90*'GS&lt;50 Predicted Monthly'!$V$10</f>
        <v>277251.93859566946</v>
      </c>
      <c r="O90" s="18">
        <f>G90*'GS&lt;50 Predicted Monthly'!$V$11</f>
        <v>2086301.5910314329</v>
      </c>
      <c r="P90" s="18">
        <f>H90*'GS&lt;50 Predicted Monthly'!$V$12</f>
        <v>1722828.0010148797</v>
      </c>
      <c r="Q90" s="18">
        <f>I90*'GS&lt;50 Predicted Monthly'!$V$13</f>
        <v>0</v>
      </c>
      <c r="R90" s="18">
        <f>J90*'GS&lt;50 Predicted Monthly'!$V$14</f>
        <v>0</v>
      </c>
      <c r="S90" s="20">
        <f t="shared" ca="1" si="161"/>
        <v>2390058.6342438371</v>
      </c>
      <c r="AJ90" s="33">
        <f t="shared" ref="AJ90" ca="1" si="178">AJ78</f>
        <v>208.10177399498693</v>
      </c>
      <c r="AK90" s="33">
        <f t="shared" ref="AK90" ca="1" si="179">AK78</f>
        <v>257.1408868815717</v>
      </c>
      <c r="AL90" s="33">
        <f t="shared" ca="1" si="154"/>
        <v>62.144727467193846</v>
      </c>
      <c r="AM90" s="33">
        <f t="shared" ca="1" si="154"/>
        <v>80.960175797507716</v>
      </c>
      <c r="AO90" s="18">
        <f ca="1">AJ90*'GS&lt;50 Predicted Monthly'!$V$9</f>
        <v>392452.60560057929</v>
      </c>
      <c r="AP90" s="18">
        <f ca="1">AK90*'GS&lt;50 Predicted Monthly'!$V$9</f>
        <v>484933.92980661301</v>
      </c>
      <c r="AQ90" s="18">
        <f ca="1">AL90*'GS&lt;50 Predicted Monthly'!$V$10</f>
        <v>230735.57138232855</v>
      </c>
      <c r="AR90" s="18">
        <f ca="1">AM90*'GS&lt;50 Predicted Monthly'!$V$10</f>
        <v>300594.96892496751</v>
      </c>
      <c r="AT90" s="31">
        <f t="shared" ca="1" si="127"/>
        <v>2296800.8227709904</v>
      </c>
      <c r="AU90" s="31">
        <f t="shared" ca="1" si="128"/>
        <v>2459141.5445196629</v>
      </c>
    </row>
    <row r="91" spans="1:47">
      <c r="A91" s="541">
        <f>'Monthly Data'!A91</f>
        <v>45078</v>
      </c>
      <c r="B91">
        <f t="shared" si="159"/>
        <v>2023</v>
      </c>
      <c r="C91">
        <f t="shared" si="160"/>
        <v>6</v>
      </c>
      <c r="D91" s="30">
        <f>'Monthly Data'!J91</f>
        <v>2409548.787906073</v>
      </c>
      <c r="E91" s="33">
        <f t="shared" ca="1" si="141"/>
        <v>92.751249999999999</v>
      </c>
      <c r="F91" s="33">
        <f t="shared" ca="1" si="141"/>
        <v>169.78833333333333</v>
      </c>
      <c r="G91" s="33">
        <f>'Monthly Data'!AD91</f>
        <v>865859.6</v>
      </c>
      <c r="H91" s="8">
        <f>'Monthly Data'!BU91</f>
        <v>30</v>
      </c>
      <c r="I91" s="18">
        <f>'Monthly Data'!BX91</f>
        <v>0</v>
      </c>
      <c r="J91" s="30"/>
      <c r="L91" s="18">
        <f>'GS&lt;50 Predicted Monthly'!$V$8</f>
        <v>-2135516.9462582301</v>
      </c>
      <c r="M91" s="18">
        <f ca="1">E91*'GS&lt;50 Predicted Monthly'!$V$9</f>
        <v>174916.67195536545</v>
      </c>
      <c r="N91" s="18">
        <f ca="1">F91*'GS&lt;50 Predicted Monthly'!$V$10</f>
        <v>630402.76629101019</v>
      </c>
      <c r="O91" s="18">
        <f>G91*'GS&lt;50 Predicted Monthly'!$V$11</f>
        <v>2086301.5910314329</v>
      </c>
      <c r="P91" s="18">
        <f>H91*'GS&lt;50 Predicted Monthly'!$V$12</f>
        <v>1667252.9042079481</v>
      </c>
      <c r="Q91" s="18">
        <f>I91*'GS&lt;50 Predicted Monthly'!$V$13</f>
        <v>0</v>
      </c>
      <c r="R91" s="18">
        <f>J91*'GS&lt;50 Predicted Monthly'!$V$14</f>
        <v>0</v>
      </c>
      <c r="S91" s="20">
        <f t="shared" ca="1" si="161"/>
        <v>2423356.9872275265</v>
      </c>
      <c r="AJ91" s="33">
        <f t="shared" ref="AJ91" ca="1" si="180">AJ79</f>
        <v>82.880152285321046</v>
      </c>
      <c r="AK91" s="33">
        <f t="shared" ref="AK91" ca="1" si="181">AK79</f>
        <v>102.41083223077457</v>
      </c>
      <c r="AL91" s="33">
        <f t="shared" ca="1" si="154"/>
        <v>141.30183653234096</v>
      </c>
      <c r="AM91" s="33">
        <f t="shared" ca="1" si="154"/>
        <v>184.0835416360639</v>
      </c>
      <c r="AO91" s="18">
        <f ca="1">AJ91*'GS&lt;50 Predicted Monthly'!$V$9</f>
        <v>156301.07851810337</v>
      </c>
      <c r="AP91" s="18">
        <f ca="1">AK91*'GS&lt;50 Predicted Monthly'!$V$9</f>
        <v>193133.37497862687</v>
      </c>
      <c r="AQ91" s="18">
        <f ca="1">AL91*'GS&lt;50 Predicted Monthly'!$V$10</f>
        <v>524635.97988861345</v>
      </c>
      <c r="AR91" s="18">
        <f ca="1">AM91*'GS&lt;50 Predicted Monthly'!$V$10</f>
        <v>683479.08008611342</v>
      </c>
      <c r="AT91" s="31">
        <f t="shared" ca="1" si="127"/>
        <v>2298974.6073878678</v>
      </c>
      <c r="AU91" s="31">
        <f t="shared" ca="1" si="128"/>
        <v>2494650.0040458911</v>
      </c>
    </row>
    <row r="92" spans="1:47">
      <c r="A92" s="541">
        <f>'Monthly Data'!A92</f>
        <v>45108</v>
      </c>
      <c r="B92">
        <f t="shared" si="159"/>
        <v>2023</v>
      </c>
      <c r="C92">
        <f t="shared" si="160"/>
        <v>7</v>
      </c>
      <c r="D92" s="30">
        <f>'Monthly Data'!J92</f>
        <v>2678974.2367208768</v>
      </c>
      <c r="E92" s="33">
        <f t="shared" ca="1" si="141"/>
        <v>25.464999999999996</v>
      </c>
      <c r="F92" s="33">
        <f t="shared" ca="1" si="141"/>
        <v>265.99625000000003</v>
      </c>
      <c r="G92" s="33">
        <f>'Monthly Data'!AD92</f>
        <v>865859.6</v>
      </c>
      <c r="H92" s="8">
        <f>'Monthly Data'!BU92</f>
        <v>31</v>
      </c>
      <c r="I92" s="18">
        <f>'Monthly Data'!BX92</f>
        <v>0</v>
      </c>
      <c r="J92" s="30"/>
      <c r="L92" s="18">
        <f>'GS&lt;50 Predicted Monthly'!$V$8</f>
        <v>-2135516.9462582301</v>
      </c>
      <c r="M92" s="18">
        <f ca="1">E92*'GS&lt;50 Predicted Monthly'!$V$9</f>
        <v>48023.644439760981</v>
      </c>
      <c r="N92" s="18">
        <f ca="1">F92*'GS&lt;50 Predicted Monthly'!$V$10</f>
        <v>987610.68284845934</v>
      </c>
      <c r="O92" s="18">
        <f>G92*'GS&lt;50 Predicted Monthly'!$V$11</f>
        <v>2086301.5910314329</v>
      </c>
      <c r="P92" s="18">
        <f>H92*'GS&lt;50 Predicted Monthly'!$V$12</f>
        <v>1722828.0010148797</v>
      </c>
      <c r="Q92" s="18">
        <f>I92*'GS&lt;50 Predicted Monthly'!$V$13</f>
        <v>0</v>
      </c>
      <c r="R92" s="18">
        <f>J92*'GS&lt;50 Predicted Monthly'!$V$14</f>
        <v>0</v>
      </c>
      <c r="S92" s="20">
        <f t="shared" ca="1" si="161"/>
        <v>2709246.9730763026</v>
      </c>
      <c r="AJ92" s="33">
        <f t="shared" ref="AJ92" ca="1" si="182">AJ80</f>
        <v>22.754874763905612</v>
      </c>
      <c r="AK92" s="33">
        <f t="shared" ref="AK92" ca="1" si="183">AK80</f>
        <v>28.117053330889604</v>
      </c>
      <c r="AL92" s="33">
        <f t="shared" ca="1" si="154"/>
        <v>221.36832312221517</v>
      </c>
      <c r="AM92" s="33">
        <f t="shared" ca="1" si="154"/>
        <v>288.39161561107579</v>
      </c>
      <c r="AO92" s="18">
        <f ca="1">AJ92*'GS&lt;50 Predicted Monthly'!$V$9</f>
        <v>42912.704297392243</v>
      </c>
      <c r="AP92" s="18">
        <f ca="1">AK92*'GS&lt;50 Predicted Monthly'!$V$9</f>
        <v>53025.068598328675</v>
      </c>
      <c r="AQ92" s="18">
        <f ca="1">AL92*'GS&lt;50 Predicted Monthly'!$V$10</f>
        <v>821912.7929801615</v>
      </c>
      <c r="AR92" s="18">
        <f ca="1">AM92*'GS&lt;50 Predicted Monthly'!$V$10</f>
        <v>1070761.8638286251</v>
      </c>
      <c r="AT92" s="31">
        <f t="shared" ca="1" si="127"/>
        <v>2538438.143065636</v>
      </c>
      <c r="AU92" s="31">
        <f t="shared" ca="1" si="128"/>
        <v>2797399.5782150356</v>
      </c>
    </row>
    <row r="93" spans="1:47">
      <c r="A93" s="541">
        <f>'Monthly Data'!A93</f>
        <v>45139</v>
      </c>
      <c r="B93">
        <f t="shared" si="159"/>
        <v>2023</v>
      </c>
      <c r="C93">
        <f t="shared" si="160"/>
        <v>8</v>
      </c>
      <c r="D93" s="30">
        <f>'Monthly Data'!J93</f>
        <v>2408674.685535681</v>
      </c>
      <c r="E93" s="33">
        <f t="shared" ca="1" si="141"/>
        <v>54.974791666666668</v>
      </c>
      <c r="F93" s="33">
        <f t="shared" ca="1" si="141"/>
        <v>218.46562499999996</v>
      </c>
      <c r="G93" s="33">
        <f>'Monthly Data'!AD93</f>
        <v>865859.6</v>
      </c>
      <c r="H93" s="8">
        <f>'Monthly Data'!BU93</f>
        <v>31</v>
      </c>
      <c r="I93" s="18">
        <f>'Monthly Data'!BX93</f>
        <v>0</v>
      </c>
      <c r="J93" s="30"/>
      <c r="L93" s="18">
        <f>'GS&lt;50 Predicted Monthly'!$V$8</f>
        <v>-2135516.9462582301</v>
      </c>
      <c r="M93" s="18">
        <f ca="1">E93*'GS&lt;50 Predicted Monthly'!$V$9</f>
        <v>103675.23456312333</v>
      </c>
      <c r="N93" s="18">
        <f ca="1">F93*'GS&lt;50 Predicted Monthly'!$V$10</f>
        <v>811135.43925963389</v>
      </c>
      <c r="O93" s="18">
        <f>G93*'GS&lt;50 Predicted Monthly'!$V$11</f>
        <v>2086301.5910314329</v>
      </c>
      <c r="P93" s="18">
        <f>H93*'GS&lt;50 Predicted Monthly'!$V$12</f>
        <v>1722828.0010148797</v>
      </c>
      <c r="Q93" s="18">
        <f>I93*'GS&lt;50 Predicted Monthly'!$V$13</f>
        <v>0</v>
      </c>
      <c r="R93" s="18">
        <f>J93*'GS&lt;50 Predicted Monthly'!$V$14</f>
        <v>0</v>
      </c>
      <c r="S93" s="20">
        <f t="shared" ca="1" si="161"/>
        <v>2588423.3196108397</v>
      </c>
      <c r="AJ93" s="33">
        <f t="shared" ref="AJ93" ca="1" si="184">AJ81</f>
        <v>49.124072238240799</v>
      </c>
      <c r="AK93" s="33">
        <f t="shared" ref="AK93" ca="1" si="185">AK81</f>
        <v>60.700143300459935</v>
      </c>
      <c r="AL93" s="33">
        <f t="shared" ca="1" si="154"/>
        <v>181.81222128543794</v>
      </c>
      <c r="AM93" s="33">
        <f t="shared" ca="1" si="154"/>
        <v>236.85918335026682</v>
      </c>
      <c r="AO93" s="18">
        <f ca="1">AJ93*'GS&lt;50 Predicted Monthly'!$V$9</f>
        <v>92641.546381402324</v>
      </c>
      <c r="AP93" s="18">
        <f ca="1">AK93*'GS&lt;50 Predicted Monthly'!$V$9</f>
        <v>114472.49555483322</v>
      </c>
      <c r="AQ93" s="18">
        <f ca="1">AL93*'GS&lt;50 Predicted Monthly'!$V$10</f>
        <v>675045.9527677797</v>
      </c>
      <c r="AR93" s="18">
        <f ca="1">AM93*'GS&lt;50 Predicted Monthly'!$V$10</f>
        <v>879428.41227079486</v>
      </c>
      <c r="AT93" s="31">
        <f t="shared" ca="1" si="127"/>
        <v>2441300.1449372647</v>
      </c>
      <c r="AU93" s="31">
        <f t="shared" ca="1" si="128"/>
        <v>2667513.5536137107</v>
      </c>
    </row>
    <row r="94" spans="1:47">
      <c r="A94" s="541">
        <f>'Monthly Data'!A94</f>
        <v>45170</v>
      </c>
      <c r="B94">
        <f t="shared" si="159"/>
        <v>2023</v>
      </c>
      <c r="C94">
        <f t="shared" si="160"/>
        <v>9</v>
      </c>
      <c r="D94" s="30">
        <f>'Monthly Data'!J94</f>
        <v>2316057.1343504852</v>
      </c>
      <c r="E94" s="33">
        <f t="shared" ref="E94:F113" ca="1" si="186">E82</f>
        <v>166.50624999999999</v>
      </c>
      <c r="F94" s="33">
        <f t="shared" ca="1" si="186"/>
        <v>95.131249999999994</v>
      </c>
      <c r="G94" s="33">
        <f>'Monthly Data'!AD94</f>
        <v>865859.6</v>
      </c>
      <c r="H94" s="8">
        <f>'Monthly Data'!BU94</f>
        <v>30</v>
      </c>
      <c r="I94" s="18">
        <f>'Monthly Data'!BX94</f>
        <v>0</v>
      </c>
      <c r="J94" s="30"/>
      <c r="L94" s="18">
        <f>'GS&lt;50 Predicted Monthly'!$V$8</f>
        <v>-2135516.9462582301</v>
      </c>
      <c r="M94" s="18">
        <f ca="1">E94*'GS&lt;50 Predicted Monthly'!$V$9</f>
        <v>314008.9121145868</v>
      </c>
      <c r="N94" s="18">
        <f ca="1">F94*'GS&lt;50 Predicted Monthly'!$V$10</f>
        <v>353210.38838978927</v>
      </c>
      <c r="O94" s="18">
        <f>G94*'GS&lt;50 Predicted Monthly'!$V$11</f>
        <v>2086301.5910314329</v>
      </c>
      <c r="P94" s="18">
        <f>H94*'GS&lt;50 Predicted Monthly'!$V$12</f>
        <v>1667252.9042079481</v>
      </c>
      <c r="Q94" s="18">
        <f>I94*'GS&lt;50 Predicted Monthly'!$V$13</f>
        <v>0</v>
      </c>
      <c r="R94" s="18">
        <f>J94*'GS&lt;50 Predicted Monthly'!$V$14</f>
        <v>0</v>
      </c>
      <c r="S94" s="20">
        <f t="shared" ca="1" si="161"/>
        <v>2285256.8494855268</v>
      </c>
      <c r="AJ94" s="33">
        <f t="shared" ref="AJ94" ca="1" si="187">AJ82</f>
        <v>148.78573988445157</v>
      </c>
      <c r="AK94" s="33">
        <f t="shared" ref="AK94" ca="1" si="188">AK82</f>
        <v>183.84704932952829</v>
      </c>
      <c r="AL94" s="33">
        <f t="shared" ca="1" si="154"/>
        <v>79.170459316701752</v>
      </c>
      <c r="AM94" s="33">
        <f t="shared" ca="1" si="154"/>
        <v>103.14075812197032</v>
      </c>
      <c r="AO94" s="18">
        <f ca="1">AJ94*'GS&lt;50 Predicted Monthly'!$V$9</f>
        <v>280590.35813538847</v>
      </c>
      <c r="AP94" s="18">
        <f ca="1">AK94*'GS&lt;50 Predicted Monthly'!$V$9</f>
        <v>346711.3814372851</v>
      </c>
      <c r="AQ94" s="18">
        <f ca="1">AL94*'GS&lt;50 Predicted Monthly'!$V$10</f>
        <v>293949.9763143051</v>
      </c>
      <c r="AR94" s="18">
        <f ca="1">AM94*'GS&lt;50 Predicted Monthly'!$V$10</f>
        <v>382948.68652602012</v>
      </c>
      <c r="AT94" s="31">
        <f t="shared" ca="1" si="127"/>
        <v>2192577.8834308442</v>
      </c>
      <c r="AU94" s="31">
        <f t="shared" ca="1" si="128"/>
        <v>2347697.616944456</v>
      </c>
    </row>
    <row r="95" spans="1:47">
      <c r="A95" s="541">
        <f>'Monthly Data'!A95</f>
        <v>45200</v>
      </c>
      <c r="B95">
        <f t="shared" si="159"/>
        <v>2023</v>
      </c>
      <c r="C95">
        <f t="shared" si="160"/>
        <v>10</v>
      </c>
      <c r="D95" s="30">
        <f>'Monthly Data'!J95</f>
        <v>2359883.5831652894</v>
      </c>
      <c r="E95" s="33">
        <f t="shared" ca="1" si="186"/>
        <v>363.47645833333326</v>
      </c>
      <c r="F95" s="33">
        <f t="shared" ca="1" si="186"/>
        <v>21.813750000000006</v>
      </c>
      <c r="G95" s="33">
        <f>'Monthly Data'!AD95</f>
        <v>865859.6</v>
      </c>
      <c r="H95" s="8">
        <f>'Monthly Data'!BU95</f>
        <v>31</v>
      </c>
      <c r="I95" s="18">
        <f>'Monthly Data'!BX95</f>
        <v>0</v>
      </c>
      <c r="J95" s="30"/>
      <c r="L95" s="18">
        <f>'GS&lt;50 Predicted Monthly'!$V$8</f>
        <v>-2135516.9462582301</v>
      </c>
      <c r="M95" s="18">
        <f ca="1">E95*'GS&lt;50 Predicted Monthly'!$V$9</f>
        <v>685468.84732863132</v>
      </c>
      <c r="N95" s="18">
        <f ca="1">F95*'GS&lt;50 Predicted Monthly'!$V$10</f>
        <v>80991.715232773335</v>
      </c>
      <c r="O95" s="18">
        <f>G95*'GS&lt;50 Predicted Monthly'!$V$11</f>
        <v>2086301.5910314329</v>
      </c>
      <c r="P95" s="18">
        <f>H95*'GS&lt;50 Predicted Monthly'!$V$12</f>
        <v>1722828.0010148797</v>
      </c>
      <c r="Q95" s="18">
        <f>I95*'GS&lt;50 Predicted Monthly'!$V$13</f>
        <v>0</v>
      </c>
      <c r="R95" s="18">
        <f>J95*'GS&lt;50 Predicted Monthly'!$V$14</f>
        <v>0</v>
      </c>
      <c r="S95" s="20">
        <f t="shared" ca="1" si="161"/>
        <v>2440073.2083494868</v>
      </c>
      <c r="AJ95" s="33">
        <f t="shared" ref="AJ95" ca="1" si="189">AJ83</f>
        <v>324.79329624987065</v>
      </c>
      <c r="AK95" s="33">
        <f t="shared" ref="AK95" ca="1" si="190">AK83</f>
        <v>401.33072701673694</v>
      </c>
      <c r="AL95" s="33">
        <f t="shared" ref="AL95:AM110" ca="1" si="191">AL83</f>
        <v>18.153914795818444</v>
      </c>
      <c r="AM95" s="33">
        <f t="shared" ca="1" si="191"/>
        <v>23.650343209861436</v>
      </c>
      <c r="AO95" s="18">
        <f ca="1">AJ95*'GS&lt;50 Predicted Monthly'!$V$9</f>
        <v>612517.48578526394</v>
      </c>
      <c r="AP95" s="18">
        <f ca="1">AK95*'GS&lt;50 Predicted Monthly'!$V$9</f>
        <v>756857.0248184785</v>
      </c>
      <c r="AQ95" s="18">
        <f ca="1">AL95*'GS&lt;50 Predicted Monthly'!$V$10</f>
        <v>67403.206578555153</v>
      </c>
      <c r="AR95" s="18">
        <f ca="1">AM95*'GS&lt;50 Predicted Monthly'!$V$10</f>
        <v>87810.755253473209</v>
      </c>
      <c r="AT95" s="31">
        <f t="shared" ca="1" si="127"/>
        <v>2353533.338151901</v>
      </c>
      <c r="AU95" s="31">
        <f t="shared" ca="1" si="128"/>
        <v>2518280.4258600338</v>
      </c>
    </row>
    <row r="96" spans="1:47">
      <c r="A96" s="541">
        <f>'Monthly Data'!A96</f>
        <v>45231</v>
      </c>
      <c r="B96">
        <f t="shared" si="159"/>
        <v>2023</v>
      </c>
      <c r="C96">
        <f t="shared" si="160"/>
        <v>11</v>
      </c>
      <c r="D96" s="30">
        <f>'Monthly Data'!J96</f>
        <v>2726100.0319800931</v>
      </c>
      <c r="E96" s="33">
        <f t="shared" ca="1" si="186"/>
        <v>586.00395833333334</v>
      </c>
      <c r="F96" s="33">
        <f t="shared" ca="1" si="186"/>
        <v>2.2795833333333335</v>
      </c>
      <c r="G96" s="33">
        <f>'Monthly Data'!AD96</f>
        <v>865859.6</v>
      </c>
      <c r="H96" s="8">
        <f>'Monthly Data'!BU96</f>
        <v>30</v>
      </c>
      <c r="I96" s="18">
        <f>'Monthly Data'!BX96</f>
        <v>0</v>
      </c>
      <c r="J96" s="30"/>
      <c r="L96" s="18">
        <f>'GS&lt;50 Predicted Monthly'!$V$8</f>
        <v>-2135516.9462582301</v>
      </c>
      <c r="M96" s="18">
        <f ca="1">E96*'GS&lt;50 Predicted Monthly'!$V$9</f>
        <v>1105126.4769406053</v>
      </c>
      <c r="N96" s="18">
        <f ca="1">F96*'GS&lt;50 Predicted Monthly'!$V$10</f>
        <v>8463.8067357840573</v>
      </c>
      <c r="O96" s="18">
        <f>G96*'GS&lt;50 Predicted Monthly'!$V$11</f>
        <v>2086301.5910314329</v>
      </c>
      <c r="P96" s="18">
        <f>H96*'GS&lt;50 Predicted Monthly'!$V$12</f>
        <v>1667252.9042079481</v>
      </c>
      <c r="Q96" s="18">
        <f>I96*'GS&lt;50 Predicted Monthly'!$V$13</f>
        <v>0</v>
      </c>
      <c r="R96" s="18">
        <f>J96*'GS&lt;50 Predicted Monthly'!$V$14</f>
        <v>0</v>
      </c>
      <c r="S96" s="20">
        <f t="shared" ca="1" si="161"/>
        <v>2731627.8326575402</v>
      </c>
      <c r="AJ96" s="33">
        <f t="shared" ref="AJ96" ca="1" si="192">AJ84</f>
        <v>523.63819685953126</v>
      </c>
      <c r="AK96" s="33">
        <f t="shared" ref="AK96" ca="1" si="193">AK84</f>
        <v>647.03336142041019</v>
      </c>
      <c r="AL96" s="33">
        <f t="shared" ca="1" si="191"/>
        <v>1.8971227598785685</v>
      </c>
      <c r="AM96" s="33">
        <f t="shared" ca="1" si="191"/>
        <v>2.4715112352902775</v>
      </c>
      <c r="AO96" s="18">
        <f ca="1">AJ96*'GS&lt;50 Predicted Monthly'!$V$9</f>
        <v>987512.84433770669</v>
      </c>
      <c r="AP96" s="18">
        <f ca="1">AK96*'GS&lt;50 Predicted Monthly'!$V$9</f>
        <v>1220219.913195254</v>
      </c>
      <c r="AQ96" s="18">
        <f ca="1">AL96*'GS&lt;50 Predicted Monthly'!$V$10</f>
        <v>7043.7786409809405</v>
      </c>
      <c r="AR96" s="18">
        <f ca="1">AM96*'GS&lt;50 Predicted Monthly'!$V$10</f>
        <v>9176.4109409537541</v>
      </c>
      <c r="AT96" s="31">
        <f t="shared" ca="1" si="127"/>
        <v>2612594.1719598384</v>
      </c>
      <c r="AU96" s="31">
        <f t="shared" ca="1" si="128"/>
        <v>2847433.8731173584</v>
      </c>
    </row>
    <row r="97" spans="1:47">
      <c r="A97" s="541">
        <f>'Monthly Data'!A97</f>
        <v>45261</v>
      </c>
      <c r="B97">
        <f t="shared" si="159"/>
        <v>2023</v>
      </c>
      <c r="C97">
        <f t="shared" si="160"/>
        <v>12</v>
      </c>
      <c r="D97" s="30">
        <f>'Monthly Data'!J97</f>
        <v>3054970.4807948973</v>
      </c>
      <c r="E97" s="33">
        <f t="shared" ca="1" si="186"/>
        <v>812.36333333333334</v>
      </c>
      <c r="F97" s="33">
        <f t="shared" ca="1" si="186"/>
        <v>0</v>
      </c>
      <c r="G97" s="33">
        <f>'Monthly Data'!AD97</f>
        <v>865859.6</v>
      </c>
      <c r="H97" s="8">
        <f>'Monthly Data'!BU97</f>
        <v>31</v>
      </c>
      <c r="I97" s="18">
        <f>'Monthly Data'!BX97</f>
        <v>0</v>
      </c>
      <c r="J97" s="30"/>
      <c r="L97" s="18">
        <f>'GS&lt;50 Predicted Monthly'!$V$8</f>
        <v>-2135516.9462582301</v>
      </c>
      <c r="M97" s="18">
        <f ca="1">E97*'GS&lt;50 Predicted Monthly'!$V$9</f>
        <v>1532010.5193755757</v>
      </c>
      <c r="N97" s="18">
        <f ca="1">F97*'GS&lt;50 Predicted Monthly'!$V$10</f>
        <v>0</v>
      </c>
      <c r="O97" s="18">
        <f>G97*'GS&lt;50 Predicted Monthly'!$V$11</f>
        <v>2086301.5910314329</v>
      </c>
      <c r="P97" s="18">
        <f>H97*'GS&lt;50 Predicted Monthly'!$V$12</f>
        <v>1722828.0010148797</v>
      </c>
      <c r="Q97" s="18">
        <f>I97*'GS&lt;50 Predicted Monthly'!$V$13</f>
        <v>0</v>
      </c>
      <c r="R97" s="18">
        <f>J97*'GS&lt;50 Predicted Monthly'!$V$14</f>
        <v>0</v>
      </c>
      <c r="S97" s="20">
        <f t="shared" ca="1" si="161"/>
        <v>3205623.1651636581</v>
      </c>
      <c r="AJ97" s="33">
        <f t="shared" ref="AJ97" ca="1" si="194">AJ85</f>
        <v>725.90716327464804</v>
      </c>
      <c r="AK97" s="33">
        <f t="shared" ref="AK97" ca="1" si="195">AK85</f>
        <v>896.96694158227319</v>
      </c>
      <c r="AL97" s="33">
        <f t="shared" ca="1" si="191"/>
        <v>0</v>
      </c>
      <c r="AM97" s="33">
        <f t="shared" ca="1" si="191"/>
        <v>0</v>
      </c>
      <c r="AO97" s="18">
        <f ca="1">AJ97*'GS&lt;50 Predicted Monthly'!$V$9</f>
        <v>1368965.5411497045</v>
      </c>
      <c r="AP97" s="18">
        <f ca="1">AK97*'GS&lt;50 Predicted Monthly'!$V$9</f>
        <v>1691561.809415549</v>
      </c>
      <c r="AQ97" s="18">
        <f ca="1">AL97*'GS&lt;50 Predicted Monthly'!$V$10</f>
        <v>0</v>
      </c>
      <c r="AR97" s="18">
        <f ca="1">AM97*'GS&lt;50 Predicted Monthly'!$V$10</f>
        <v>0</v>
      </c>
      <c r="AT97" s="31">
        <f t="shared" ca="1" si="127"/>
        <v>3042578.1869377866</v>
      </c>
      <c r="AU97" s="31">
        <f t="shared" ca="1" si="128"/>
        <v>3365174.4552036314</v>
      </c>
    </row>
    <row r="98" spans="1:47">
      <c r="A98" s="541">
        <f>'Monthly Data'!A98</f>
        <v>45292</v>
      </c>
      <c r="B98">
        <f t="shared" ref="B98:B145" si="196">YEAR(A98)</f>
        <v>2024</v>
      </c>
      <c r="C98">
        <f t="shared" ref="C98:C145" si="197">MONTH(A98)</f>
        <v>1</v>
      </c>
      <c r="D98" s="30">
        <f>'Monthly Data'!J98</f>
        <v>3455439.2672890546</v>
      </c>
      <c r="E98" s="33">
        <f t="shared" ca="1" si="186"/>
        <v>914.55166666666662</v>
      </c>
      <c r="F98" s="33">
        <f t="shared" ca="1" si="186"/>
        <v>0</v>
      </c>
      <c r="G98" s="33">
        <f>'Monthly Data'!AD98</f>
        <v>876619.7</v>
      </c>
      <c r="H98" s="8">
        <f>'Monthly Data'!BU98</f>
        <v>31</v>
      </c>
      <c r="I98" s="18">
        <f>'Monthly Data'!BX98</f>
        <v>0</v>
      </c>
      <c r="J98" s="30"/>
      <c r="L98" s="18">
        <f>'GS&lt;50 Predicted Monthly'!$V$8</f>
        <v>-2135516.9462582301</v>
      </c>
      <c r="M98" s="18">
        <f ca="1">E98*'GS&lt;50 Predicted Monthly'!$V$9</f>
        <v>1724724.2906652587</v>
      </c>
      <c r="N98" s="18">
        <f ca="1">F98*'GS&lt;50 Predicted Monthly'!$V$10</f>
        <v>0</v>
      </c>
      <c r="O98" s="18">
        <f>G98*'GS&lt;50 Predicted Monthly'!$V$11</f>
        <v>2112228.2121021668</v>
      </c>
      <c r="P98" s="18">
        <f>H98*'GS&lt;50 Predicted Monthly'!$V$12</f>
        <v>1722828.0010148797</v>
      </c>
      <c r="Q98" s="18">
        <f>I98*'GS&lt;50 Predicted Monthly'!$V$13</f>
        <v>0</v>
      </c>
      <c r="R98" s="18">
        <f>J98*'GS&lt;50 Predicted Monthly'!$V$14</f>
        <v>0</v>
      </c>
      <c r="S98" s="20">
        <f t="shared" ca="1" si="161"/>
        <v>3424263.5575240748</v>
      </c>
      <c r="AJ98" s="33">
        <f t="shared" ref="AJ98" ca="1" si="198">AJ86</f>
        <v>817.22005262600237</v>
      </c>
      <c r="AK98" s="33">
        <f t="shared" ref="AK98" ca="1" si="199">AK86</f>
        <v>1009.7976825258449</v>
      </c>
      <c r="AL98" s="33">
        <f t="shared" ca="1" si="191"/>
        <v>0</v>
      </c>
      <c r="AM98" s="33">
        <f t="shared" ca="1" si="191"/>
        <v>0</v>
      </c>
      <c r="AO98" s="18">
        <f ca="1">AJ98*'GS&lt;50 Predicted Monthly'!$V$9</f>
        <v>1541169.6538917692</v>
      </c>
      <c r="AP98" s="18">
        <f ca="1">AK98*'GS&lt;50 Predicted Monthly'!$V$9</f>
        <v>1904345.7632717781</v>
      </c>
      <c r="AQ98" s="18">
        <f ca="1">AL98*'GS&lt;50 Predicted Monthly'!$V$10</f>
        <v>0</v>
      </c>
      <c r="AR98" s="18">
        <f ca="1">AM98*'GS&lt;50 Predicted Monthly'!$V$10</f>
        <v>0</v>
      </c>
      <c r="AT98" s="31">
        <f t="shared" ca="1" si="127"/>
        <v>3240708.9207505854</v>
      </c>
      <c r="AU98" s="31">
        <f t="shared" ca="1" si="128"/>
        <v>3603885.030130594</v>
      </c>
    </row>
    <row r="99" spans="1:47">
      <c r="A99" s="541">
        <f>'Monthly Data'!A99</f>
        <v>45323</v>
      </c>
      <c r="B99">
        <f t="shared" si="196"/>
        <v>2024</v>
      </c>
      <c r="C99">
        <f t="shared" si="197"/>
        <v>2</v>
      </c>
      <c r="D99" s="30">
        <f>'Monthly Data'!J99</f>
        <v>2840878.0346191321</v>
      </c>
      <c r="E99" s="33">
        <f t="shared" ca="1" si="186"/>
        <v>803.82854166666664</v>
      </c>
      <c r="F99" s="33">
        <f t="shared" ca="1" si="186"/>
        <v>0</v>
      </c>
      <c r="G99" s="33">
        <f>'Monthly Data'!AD99</f>
        <v>876619.7</v>
      </c>
      <c r="H99" s="8">
        <f>'Monthly Data'!BU99</f>
        <v>28</v>
      </c>
      <c r="I99" s="18">
        <f>'Monthly Data'!BX99</f>
        <v>0</v>
      </c>
      <c r="J99" s="30"/>
      <c r="L99" s="18">
        <f>'GS&lt;50 Predicted Monthly'!$V$8</f>
        <v>-2135516.9462582301</v>
      </c>
      <c r="M99" s="18">
        <f ca="1">E99*'GS&lt;50 Predicted Monthly'!$V$9</f>
        <v>1515915.0235826271</v>
      </c>
      <c r="N99" s="18">
        <f ca="1">F99*'GS&lt;50 Predicted Monthly'!$V$10</f>
        <v>0</v>
      </c>
      <c r="O99" s="18">
        <f>G99*'GS&lt;50 Predicted Monthly'!$V$11</f>
        <v>2112228.2121021668</v>
      </c>
      <c r="P99" s="18">
        <f>H99*'GS&lt;50 Predicted Monthly'!$V$12</f>
        <v>1556102.7105940848</v>
      </c>
      <c r="Q99" s="18">
        <f>I99*'GS&lt;50 Predicted Monthly'!$V$13</f>
        <v>0</v>
      </c>
      <c r="R99" s="18">
        <f>J99*'GS&lt;50 Predicted Monthly'!$V$14</f>
        <v>0</v>
      </c>
      <c r="S99" s="20">
        <f t="shared" ca="1" si="161"/>
        <v>3048729.0000206484</v>
      </c>
      <c r="AJ99" s="33">
        <f t="shared" ref="AJ99" ca="1" si="200">AJ87</f>
        <v>718.28069103781206</v>
      </c>
      <c r="AK99" s="33">
        <f t="shared" ref="AK99" ca="1" si="201">AK87</f>
        <v>887.54329373386554</v>
      </c>
      <c r="AL99" s="33">
        <f t="shared" ca="1" si="191"/>
        <v>0</v>
      </c>
      <c r="AM99" s="33">
        <f t="shared" ca="1" si="191"/>
        <v>0</v>
      </c>
      <c r="AO99" s="18">
        <f ca="1">AJ99*'GS&lt;50 Predicted Monthly'!$V$9</f>
        <v>1354583.0164675321</v>
      </c>
      <c r="AP99" s="18">
        <f ca="1">AK99*'GS&lt;50 Predicted Monthly'!$V$9</f>
        <v>1673790.047640664</v>
      </c>
      <c r="AQ99" s="18">
        <f ca="1">AL99*'GS&lt;50 Predicted Monthly'!$V$10</f>
        <v>0</v>
      </c>
      <c r="AR99" s="18">
        <f ca="1">AM99*'GS&lt;50 Predicted Monthly'!$V$10</f>
        <v>0</v>
      </c>
      <c r="AT99" s="31">
        <f t="shared" ca="1" si="127"/>
        <v>2887396.9929055534</v>
      </c>
      <c r="AU99" s="31">
        <f t="shared" ca="1" si="128"/>
        <v>3206604.0240786853</v>
      </c>
    </row>
    <row r="100" spans="1:47">
      <c r="A100" s="541">
        <f>'Monthly Data'!A100</f>
        <v>45352</v>
      </c>
      <c r="B100">
        <f t="shared" si="196"/>
        <v>2024</v>
      </c>
      <c r="C100">
        <f t="shared" si="197"/>
        <v>3</v>
      </c>
      <c r="D100" s="30">
        <f>'Monthly Data'!J100</f>
        <v>2906094.8019492091</v>
      </c>
      <c r="E100" s="33">
        <f t="shared" ca="1" si="186"/>
        <v>698.29604166666672</v>
      </c>
      <c r="F100" s="33">
        <f t="shared" ca="1" si="186"/>
        <v>0</v>
      </c>
      <c r="G100" s="33">
        <f>'Monthly Data'!AD100</f>
        <v>876619.7</v>
      </c>
      <c r="H100" s="8">
        <f>'Monthly Data'!BU100</f>
        <v>31</v>
      </c>
      <c r="I100" s="18">
        <f>'Monthly Data'!BX100</f>
        <v>0</v>
      </c>
      <c r="J100" s="30"/>
      <c r="L100" s="18">
        <f>'GS&lt;50 Predicted Monthly'!$V$8</f>
        <v>-2135516.9462582301</v>
      </c>
      <c r="M100" s="18">
        <f ca="1">E100*'GS&lt;50 Predicted Monthly'!$V$9</f>
        <v>1316894.5933120961</v>
      </c>
      <c r="N100" s="18">
        <f ca="1">F100*'GS&lt;50 Predicted Monthly'!$V$10</f>
        <v>0</v>
      </c>
      <c r="O100" s="18">
        <f>G100*'GS&lt;50 Predicted Monthly'!$V$11</f>
        <v>2112228.2121021668</v>
      </c>
      <c r="P100" s="18">
        <f>H100*'GS&lt;50 Predicted Monthly'!$V$12</f>
        <v>1722828.0010148797</v>
      </c>
      <c r="Q100" s="18">
        <f>I100*'GS&lt;50 Predicted Monthly'!$V$13</f>
        <v>0</v>
      </c>
      <c r="R100" s="18">
        <f>J100*'GS&lt;50 Predicted Monthly'!$V$14</f>
        <v>0</v>
      </c>
      <c r="S100" s="20">
        <f t="shared" ca="1" si="161"/>
        <v>3016433.8601709125</v>
      </c>
      <c r="AJ100" s="33">
        <f t="shared" ref="AJ100" ca="1" si="202">AJ88</f>
        <v>623.97953961343092</v>
      </c>
      <c r="AK100" s="33">
        <f t="shared" ref="AK100" ca="1" si="203">AK88</f>
        <v>771.02010776716202</v>
      </c>
      <c r="AL100" s="33">
        <f t="shared" ca="1" si="191"/>
        <v>0</v>
      </c>
      <c r="AM100" s="33">
        <f t="shared" ca="1" si="191"/>
        <v>0</v>
      </c>
      <c r="AO100" s="18">
        <f ca="1">AJ100*'GS&lt;50 Predicted Monthly'!$V$9</f>
        <v>1176743.4340499181</v>
      </c>
      <c r="AP100" s="18">
        <f ca="1">AK100*'GS&lt;50 Predicted Monthly'!$V$9</f>
        <v>1454042.6275796737</v>
      </c>
      <c r="AQ100" s="18">
        <f ca="1">AL100*'GS&lt;50 Predicted Monthly'!$V$10</f>
        <v>0</v>
      </c>
      <c r="AR100" s="18">
        <f ca="1">AM100*'GS&lt;50 Predicted Monthly'!$V$10</f>
        <v>0</v>
      </c>
      <c r="AT100" s="31">
        <f t="shared" ca="1" si="127"/>
        <v>2876282.7009087345</v>
      </c>
      <c r="AU100" s="31">
        <f t="shared" ca="1" si="128"/>
        <v>3153581.8944384903</v>
      </c>
    </row>
    <row r="101" spans="1:47">
      <c r="A101" s="541">
        <f>'Monthly Data'!A101</f>
        <v>45383</v>
      </c>
      <c r="B101">
        <f t="shared" si="196"/>
        <v>2024</v>
      </c>
      <c r="C101">
        <f t="shared" si="197"/>
        <v>4</v>
      </c>
      <c r="D101" s="30">
        <f>'Monthly Data'!J101</f>
        <v>2316820.5692792865</v>
      </c>
      <c r="E101" s="33">
        <f t="shared" ca="1" si="186"/>
        <v>468.60374999999993</v>
      </c>
      <c r="F101" s="33">
        <f t="shared" ca="1" si="186"/>
        <v>2.8104166666666677</v>
      </c>
      <c r="G101" s="33">
        <f>'Monthly Data'!AD101</f>
        <v>876619.7</v>
      </c>
      <c r="H101" s="8">
        <f>'Monthly Data'!BU101</f>
        <v>30</v>
      </c>
      <c r="I101" s="18">
        <f>'Monthly Data'!BX101</f>
        <v>0</v>
      </c>
      <c r="J101" s="30"/>
      <c r="L101" s="18">
        <f>'GS&lt;50 Predicted Monthly'!$V$8</f>
        <v>-2135516.9462582301</v>
      </c>
      <c r="M101" s="18">
        <f ca="1">E101*'GS&lt;50 Predicted Monthly'!$V$9</f>
        <v>883725.10791826609</v>
      </c>
      <c r="N101" s="18">
        <f ca="1">F101*'GS&lt;50 Predicted Monthly'!$V$10</f>
        <v>10434.724261170442</v>
      </c>
      <c r="O101" s="18">
        <f>G101*'GS&lt;50 Predicted Monthly'!$V$11</f>
        <v>2112228.2121021668</v>
      </c>
      <c r="P101" s="18">
        <f>H101*'GS&lt;50 Predicted Monthly'!$V$12</f>
        <v>1667252.9042079481</v>
      </c>
      <c r="Q101" s="18">
        <f>I101*'GS&lt;50 Predicted Monthly'!$V$13</f>
        <v>0</v>
      </c>
      <c r="R101" s="18">
        <f>J101*'GS&lt;50 Predicted Monthly'!$V$14</f>
        <v>0</v>
      </c>
      <c r="S101" s="20">
        <f t="shared" ca="1" si="161"/>
        <v>2538124.0022313213</v>
      </c>
      <c r="AJ101" s="33">
        <f t="shared" ref="AJ101" ca="1" si="204">AJ89</f>
        <v>418.73236383846591</v>
      </c>
      <c r="AK101" s="33">
        <f t="shared" ref="AK101" ca="1" si="205">AK89</f>
        <v>517.40650421381736</v>
      </c>
      <c r="AL101" s="33">
        <f t="shared" ca="1" si="191"/>
        <v>2.33889472041326</v>
      </c>
      <c r="AM101" s="33">
        <f t="shared" ca="1" si="191"/>
        <v>3.0470377046304016</v>
      </c>
      <c r="AO101" s="18">
        <f ca="1">AJ101*'GS&lt;50 Predicted Monthly'!$V$9</f>
        <v>789674.22565871268</v>
      </c>
      <c r="AP101" s="18">
        <f ca="1">AK101*'GS&lt;50 Predicted Monthly'!$V$9</f>
        <v>975760.69071997097</v>
      </c>
      <c r="AQ101" s="18">
        <f ca="1">AL101*'GS&lt;50 Predicted Monthly'!$V$10</f>
        <v>8684.0224700084891</v>
      </c>
      <c r="AR101" s="18">
        <f ca="1">AM101*'GS&lt;50 Predicted Monthly'!$V$10</f>
        <v>11313.26846951802</v>
      </c>
      <c r="AT101" s="31">
        <f t="shared" ca="1" si="127"/>
        <v>2442322.4181806059</v>
      </c>
      <c r="AU101" s="31">
        <f t="shared" ca="1" si="128"/>
        <v>2631038.1292413739</v>
      </c>
    </row>
    <row r="102" spans="1:47">
      <c r="A102" s="541">
        <f>'Monthly Data'!A102</f>
        <v>45413</v>
      </c>
      <c r="B102">
        <f t="shared" si="196"/>
        <v>2024</v>
      </c>
      <c r="C102">
        <f t="shared" si="197"/>
        <v>5</v>
      </c>
      <c r="D102" s="30">
        <f>'Monthly Data'!J102</f>
        <v>2431046.3366093636</v>
      </c>
      <c r="E102" s="33">
        <f t="shared" ca="1" si="186"/>
        <v>232.88687500000006</v>
      </c>
      <c r="F102" s="33">
        <f t="shared" ca="1" si="186"/>
        <v>74.673124999999999</v>
      </c>
      <c r="G102" s="33">
        <f>'Monthly Data'!AD102</f>
        <v>876619.7</v>
      </c>
      <c r="H102" s="8">
        <f>'Monthly Data'!BU102</f>
        <v>31</v>
      </c>
      <c r="I102" s="18">
        <f>'Monthly Data'!BX102</f>
        <v>0</v>
      </c>
      <c r="J102" s="30"/>
      <c r="L102" s="18">
        <f>'GS&lt;50 Predicted Monthly'!$V$8</f>
        <v>-2135516.9462582301</v>
      </c>
      <c r="M102" s="18">
        <f ca="1">E102*'GS&lt;50 Predicted Monthly'!$V$9</f>
        <v>439194.04986008507</v>
      </c>
      <c r="N102" s="18">
        <f ca="1">F102*'GS&lt;50 Predicted Monthly'!$V$10</f>
        <v>277251.93859566946</v>
      </c>
      <c r="O102" s="18">
        <f>G102*'GS&lt;50 Predicted Monthly'!$V$11</f>
        <v>2112228.2121021668</v>
      </c>
      <c r="P102" s="18">
        <f>H102*'GS&lt;50 Predicted Monthly'!$V$12</f>
        <v>1722828.0010148797</v>
      </c>
      <c r="Q102" s="18">
        <f>I102*'GS&lt;50 Predicted Monthly'!$V$13</f>
        <v>0</v>
      </c>
      <c r="R102" s="18">
        <f>J102*'GS&lt;50 Predicted Monthly'!$V$14</f>
        <v>0</v>
      </c>
      <c r="S102" s="20">
        <f t="shared" ca="1" si="161"/>
        <v>2415985.2553145709</v>
      </c>
      <c r="AJ102" s="33">
        <f t="shared" ref="AJ102" ca="1" si="206">AJ90</f>
        <v>208.10177399498693</v>
      </c>
      <c r="AK102" s="33">
        <f t="shared" ref="AK102" ca="1" si="207">AK90</f>
        <v>257.1408868815717</v>
      </c>
      <c r="AL102" s="33">
        <f t="shared" ca="1" si="191"/>
        <v>62.144727467193846</v>
      </c>
      <c r="AM102" s="33">
        <f t="shared" ca="1" si="191"/>
        <v>80.960175797507716</v>
      </c>
      <c r="AO102" s="18">
        <f ca="1">AJ102*'GS&lt;50 Predicted Monthly'!$V$9</f>
        <v>392452.60560057929</v>
      </c>
      <c r="AP102" s="18">
        <f ca="1">AK102*'GS&lt;50 Predicted Monthly'!$V$9</f>
        <v>484933.92980661301</v>
      </c>
      <c r="AQ102" s="18">
        <f ca="1">AL102*'GS&lt;50 Predicted Monthly'!$V$10</f>
        <v>230735.57138232855</v>
      </c>
      <c r="AR102" s="18">
        <f ca="1">AM102*'GS&lt;50 Predicted Monthly'!$V$10</f>
        <v>300594.96892496751</v>
      </c>
      <c r="AT102" s="31">
        <f t="shared" ca="1" si="127"/>
        <v>2322727.4438417242</v>
      </c>
      <c r="AU102" s="31">
        <f t="shared" ca="1" si="128"/>
        <v>2485068.1655903966</v>
      </c>
    </row>
    <row r="103" spans="1:47">
      <c r="A103" s="541">
        <f>'Monthly Data'!A103</f>
        <v>45444</v>
      </c>
      <c r="B103">
        <f t="shared" si="196"/>
        <v>2024</v>
      </c>
      <c r="C103">
        <f t="shared" si="197"/>
        <v>6</v>
      </c>
      <c r="D103" s="30">
        <f>'Monthly Data'!J103</f>
        <v>2461796.103939441</v>
      </c>
      <c r="E103" s="33">
        <f t="shared" ca="1" si="186"/>
        <v>92.751249999999999</v>
      </c>
      <c r="F103" s="33">
        <f t="shared" ca="1" si="186"/>
        <v>169.78833333333333</v>
      </c>
      <c r="G103" s="33">
        <f>'Monthly Data'!AD103</f>
        <v>876619.7</v>
      </c>
      <c r="H103" s="8">
        <f>'Monthly Data'!BU103</f>
        <v>30</v>
      </c>
      <c r="I103" s="18">
        <f>'Monthly Data'!BX103</f>
        <v>0</v>
      </c>
      <c r="J103" s="30"/>
      <c r="L103" s="18">
        <f>'GS&lt;50 Predicted Monthly'!$V$8</f>
        <v>-2135516.9462582301</v>
      </c>
      <c r="M103" s="18">
        <f ca="1">E103*'GS&lt;50 Predicted Monthly'!$V$9</f>
        <v>174916.67195536545</v>
      </c>
      <c r="N103" s="18">
        <f ca="1">F103*'GS&lt;50 Predicted Monthly'!$V$10</f>
        <v>630402.76629101019</v>
      </c>
      <c r="O103" s="18">
        <f>G103*'GS&lt;50 Predicted Monthly'!$V$11</f>
        <v>2112228.2121021668</v>
      </c>
      <c r="P103" s="18">
        <f>H103*'GS&lt;50 Predicted Monthly'!$V$12</f>
        <v>1667252.9042079481</v>
      </c>
      <c r="Q103" s="18">
        <f>I103*'GS&lt;50 Predicted Monthly'!$V$13</f>
        <v>0</v>
      </c>
      <c r="R103" s="18">
        <f>J103*'GS&lt;50 Predicted Monthly'!$V$14</f>
        <v>0</v>
      </c>
      <c r="S103" s="20">
        <f t="shared" ca="1" si="161"/>
        <v>2449283.6082982607</v>
      </c>
      <c r="AJ103" s="33">
        <f t="shared" ref="AJ103" ca="1" si="208">AJ91</f>
        <v>82.880152285321046</v>
      </c>
      <c r="AK103" s="33">
        <f t="shared" ref="AK103" ca="1" si="209">AK91</f>
        <v>102.41083223077457</v>
      </c>
      <c r="AL103" s="33">
        <f t="shared" ca="1" si="191"/>
        <v>141.30183653234096</v>
      </c>
      <c r="AM103" s="33">
        <f t="shared" ca="1" si="191"/>
        <v>184.0835416360639</v>
      </c>
      <c r="AO103" s="18">
        <f ca="1">AJ103*'GS&lt;50 Predicted Monthly'!$V$9</f>
        <v>156301.07851810337</v>
      </c>
      <c r="AP103" s="18">
        <f ca="1">AK103*'GS&lt;50 Predicted Monthly'!$V$9</f>
        <v>193133.37497862687</v>
      </c>
      <c r="AQ103" s="18">
        <f ca="1">AL103*'GS&lt;50 Predicted Monthly'!$V$10</f>
        <v>524635.97988861345</v>
      </c>
      <c r="AR103" s="18">
        <f ca="1">AM103*'GS&lt;50 Predicted Monthly'!$V$10</f>
        <v>683479.08008611342</v>
      </c>
      <c r="AT103" s="31">
        <f t="shared" ca="1" si="127"/>
        <v>2324901.228458602</v>
      </c>
      <c r="AU103" s="31">
        <f t="shared" ca="1" si="128"/>
        <v>2520576.6251166253</v>
      </c>
    </row>
    <row r="104" spans="1:47">
      <c r="A104" s="541">
        <f>'Monthly Data'!A104</f>
        <v>45474</v>
      </c>
      <c r="B104">
        <f t="shared" si="196"/>
        <v>2024</v>
      </c>
      <c r="C104">
        <f t="shared" si="197"/>
        <v>7</v>
      </c>
      <c r="D104" s="30">
        <f>'Monthly Data'!J104</f>
        <v>2743681.8712695185</v>
      </c>
      <c r="E104" s="33">
        <f t="shared" ca="1" si="186"/>
        <v>25.464999999999996</v>
      </c>
      <c r="F104" s="33">
        <f t="shared" ca="1" si="186"/>
        <v>265.99625000000003</v>
      </c>
      <c r="G104" s="33">
        <f>'Monthly Data'!AD104</f>
        <v>876619.7</v>
      </c>
      <c r="H104" s="8">
        <f>'Monthly Data'!BU104</f>
        <v>31</v>
      </c>
      <c r="I104" s="18">
        <f>'Monthly Data'!BX104</f>
        <v>0</v>
      </c>
      <c r="J104" s="30"/>
      <c r="L104" s="18">
        <f>'GS&lt;50 Predicted Monthly'!$V$8</f>
        <v>-2135516.9462582301</v>
      </c>
      <c r="M104" s="18">
        <f ca="1">E104*'GS&lt;50 Predicted Monthly'!$V$9</f>
        <v>48023.644439760981</v>
      </c>
      <c r="N104" s="18">
        <f ca="1">F104*'GS&lt;50 Predicted Monthly'!$V$10</f>
        <v>987610.68284845934</v>
      </c>
      <c r="O104" s="18">
        <f>G104*'GS&lt;50 Predicted Monthly'!$V$11</f>
        <v>2112228.2121021668</v>
      </c>
      <c r="P104" s="18">
        <f>H104*'GS&lt;50 Predicted Monthly'!$V$12</f>
        <v>1722828.0010148797</v>
      </c>
      <c r="Q104" s="18">
        <f>I104*'GS&lt;50 Predicted Monthly'!$V$13</f>
        <v>0</v>
      </c>
      <c r="R104" s="18">
        <f>J104*'GS&lt;50 Predicted Monthly'!$V$14</f>
        <v>0</v>
      </c>
      <c r="S104" s="20">
        <f t="shared" ca="1" si="161"/>
        <v>2735173.5941470368</v>
      </c>
      <c r="AJ104" s="33">
        <f t="shared" ref="AJ104" ca="1" si="210">AJ92</f>
        <v>22.754874763905612</v>
      </c>
      <c r="AK104" s="33">
        <f t="shared" ref="AK104" ca="1" si="211">AK92</f>
        <v>28.117053330889604</v>
      </c>
      <c r="AL104" s="33">
        <f t="shared" ca="1" si="191"/>
        <v>221.36832312221517</v>
      </c>
      <c r="AM104" s="33">
        <f t="shared" ca="1" si="191"/>
        <v>288.39161561107579</v>
      </c>
      <c r="AO104" s="18">
        <f ca="1">AJ104*'GS&lt;50 Predicted Monthly'!$V$9</f>
        <v>42912.704297392243</v>
      </c>
      <c r="AP104" s="18">
        <f ca="1">AK104*'GS&lt;50 Predicted Monthly'!$V$9</f>
        <v>53025.068598328675</v>
      </c>
      <c r="AQ104" s="18">
        <f ca="1">AL104*'GS&lt;50 Predicted Monthly'!$V$10</f>
        <v>821912.7929801615</v>
      </c>
      <c r="AR104" s="18">
        <f ca="1">AM104*'GS&lt;50 Predicted Monthly'!$V$10</f>
        <v>1070761.8638286251</v>
      </c>
      <c r="AT104" s="31">
        <f t="shared" ca="1" si="127"/>
        <v>2564364.7641363703</v>
      </c>
      <c r="AU104" s="31">
        <f t="shared" ca="1" si="128"/>
        <v>2823326.1992857698</v>
      </c>
    </row>
    <row r="105" spans="1:47">
      <c r="A105" s="541">
        <f>'Monthly Data'!A105</f>
        <v>45505</v>
      </c>
      <c r="B105">
        <f t="shared" si="196"/>
        <v>2024</v>
      </c>
      <c r="C105">
        <f t="shared" si="197"/>
        <v>8</v>
      </c>
      <c r="D105" s="30">
        <f>'Monthly Data'!J105</f>
        <v>2609738.6385995955</v>
      </c>
      <c r="E105" s="33">
        <f t="shared" ca="1" si="186"/>
        <v>54.974791666666668</v>
      </c>
      <c r="F105" s="33">
        <f t="shared" ca="1" si="186"/>
        <v>218.46562499999996</v>
      </c>
      <c r="G105" s="33">
        <f>'Monthly Data'!AD105</f>
        <v>876619.7</v>
      </c>
      <c r="H105" s="8">
        <f>'Monthly Data'!BU105</f>
        <v>31</v>
      </c>
      <c r="I105" s="18">
        <f>'Monthly Data'!BX105</f>
        <v>0</v>
      </c>
      <c r="J105" s="30"/>
      <c r="L105" s="18">
        <f>'GS&lt;50 Predicted Monthly'!$V$8</f>
        <v>-2135516.9462582301</v>
      </c>
      <c r="M105" s="18">
        <f ca="1">E105*'GS&lt;50 Predicted Monthly'!$V$9</f>
        <v>103675.23456312333</v>
      </c>
      <c r="N105" s="18">
        <f ca="1">F105*'GS&lt;50 Predicted Monthly'!$V$10</f>
        <v>811135.43925963389</v>
      </c>
      <c r="O105" s="18">
        <f>G105*'GS&lt;50 Predicted Monthly'!$V$11</f>
        <v>2112228.2121021668</v>
      </c>
      <c r="P105" s="18">
        <f>H105*'GS&lt;50 Predicted Monthly'!$V$12</f>
        <v>1722828.0010148797</v>
      </c>
      <c r="Q105" s="18">
        <f>I105*'GS&lt;50 Predicted Monthly'!$V$13</f>
        <v>0</v>
      </c>
      <c r="R105" s="18">
        <f>J105*'GS&lt;50 Predicted Monthly'!$V$14</f>
        <v>0</v>
      </c>
      <c r="S105" s="20">
        <f t="shared" ca="1" si="161"/>
        <v>2614349.9406815739</v>
      </c>
      <c r="AJ105" s="33">
        <f t="shared" ref="AJ105" ca="1" si="212">AJ93</f>
        <v>49.124072238240799</v>
      </c>
      <c r="AK105" s="33">
        <f t="shared" ref="AK105" ca="1" si="213">AK93</f>
        <v>60.700143300459935</v>
      </c>
      <c r="AL105" s="33">
        <f t="shared" ca="1" si="191"/>
        <v>181.81222128543794</v>
      </c>
      <c r="AM105" s="33">
        <f t="shared" ca="1" si="191"/>
        <v>236.85918335026682</v>
      </c>
      <c r="AO105" s="18">
        <f ca="1">AJ105*'GS&lt;50 Predicted Monthly'!$V$9</f>
        <v>92641.546381402324</v>
      </c>
      <c r="AP105" s="18">
        <f ca="1">AK105*'GS&lt;50 Predicted Monthly'!$V$9</f>
        <v>114472.49555483322</v>
      </c>
      <c r="AQ105" s="18">
        <f ca="1">AL105*'GS&lt;50 Predicted Monthly'!$V$10</f>
        <v>675045.9527677797</v>
      </c>
      <c r="AR105" s="18">
        <f ca="1">AM105*'GS&lt;50 Predicted Monthly'!$V$10</f>
        <v>879428.41227079486</v>
      </c>
      <c r="AT105" s="31">
        <f t="shared" ca="1" si="127"/>
        <v>2467226.766007999</v>
      </c>
      <c r="AU105" s="31">
        <f t="shared" ca="1" si="128"/>
        <v>2693440.1746844449</v>
      </c>
    </row>
    <row r="106" spans="1:47">
      <c r="A106" s="541">
        <f>'Monthly Data'!A106</f>
        <v>45536</v>
      </c>
      <c r="B106">
        <f t="shared" si="196"/>
        <v>2024</v>
      </c>
      <c r="C106">
        <f t="shared" si="197"/>
        <v>9</v>
      </c>
      <c r="D106" s="30">
        <f>'Monthly Data'!J106</f>
        <v>2334104.405929673</v>
      </c>
      <c r="E106" s="33">
        <f t="shared" ca="1" si="186"/>
        <v>166.50624999999999</v>
      </c>
      <c r="F106" s="33">
        <f t="shared" ca="1" si="186"/>
        <v>95.131249999999994</v>
      </c>
      <c r="G106" s="33">
        <f>'Monthly Data'!AD106</f>
        <v>876619.7</v>
      </c>
      <c r="H106" s="8">
        <f>'Monthly Data'!BU106</f>
        <v>30</v>
      </c>
      <c r="I106" s="18">
        <f>'Monthly Data'!BX106</f>
        <v>0</v>
      </c>
      <c r="J106" s="30"/>
      <c r="L106" s="18">
        <f>'GS&lt;50 Predicted Monthly'!$V$8</f>
        <v>-2135516.9462582301</v>
      </c>
      <c r="M106" s="18">
        <f ca="1">E106*'GS&lt;50 Predicted Monthly'!$V$9</f>
        <v>314008.9121145868</v>
      </c>
      <c r="N106" s="18">
        <f ca="1">F106*'GS&lt;50 Predicted Monthly'!$V$10</f>
        <v>353210.38838978927</v>
      </c>
      <c r="O106" s="18">
        <f>G106*'GS&lt;50 Predicted Monthly'!$V$11</f>
        <v>2112228.2121021668</v>
      </c>
      <c r="P106" s="18">
        <f>H106*'GS&lt;50 Predicted Monthly'!$V$12</f>
        <v>1667252.9042079481</v>
      </c>
      <c r="Q106" s="18">
        <f>I106*'GS&lt;50 Predicted Monthly'!$V$13</f>
        <v>0</v>
      </c>
      <c r="R106" s="18">
        <f>J106*'GS&lt;50 Predicted Monthly'!$V$14</f>
        <v>0</v>
      </c>
      <c r="S106" s="20">
        <f t="shared" ca="1" si="161"/>
        <v>2311183.470556261</v>
      </c>
      <c r="AJ106" s="33">
        <f t="shared" ref="AJ106" ca="1" si="214">AJ94</f>
        <v>148.78573988445157</v>
      </c>
      <c r="AK106" s="33">
        <f t="shared" ref="AK106" ca="1" si="215">AK94</f>
        <v>183.84704932952829</v>
      </c>
      <c r="AL106" s="33">
        <f t="shared" ca="1" si="191"/>
        <v>79.170459316701752</v>
      </c>
      <c r="AM106" s="33">
        <f t="shared" ca="1" si="191"/>
        <v>103.14075812197032</v>
      </c>
      <c r="AO106" s="18">
        <f ca="1">AJ106*'GS&lt;50 Predicted Monthly'!$V$9</f>
        <v>280590.35813538847</v>
      </c>
      <c r="AP106" s="18">
        <f ca="1">AK106*'GS&lt;50 Predicted Monthly'!$V$9</f>
        <v>346711.3814372851</v>
      </c>
      <c r="AQ106" s="18">
        <f ca="1">AL106*'GS&lt;50 Predicted Monthly'!$V$10</f>
        <v>293949.9763143051</v>
      </c>
      <c r="AR106" s="18">
        <f ca="1">AM106*'GS&lt;50 Predicted Monthly'!$V$10</f>
        <v>382948.68652602012</v>
      </c>
      <c r="AT106" s="31">
        <f t="shared" ca="1" si="127"/>
        <v>2218504.5045015784</v>
      </c>
      <c r="AU106" s="31">
        <f t="shared" ca="1" si="128"/>
        <v>2373624.2380151902</v>
      </c>
    </row>
    <row r="107" spans="1:47">
      <c r="A107" s="541">
        <f>'Monthly Data'!A107</f>
        <v>45566</v>
      </c>
      <c r="B107">
        <f t="shared" si="196"/>
        <v>2024</v>
      </c>
      <c r="C107">
        <f t="shared" si="197"/>
        <v>10</v>
      </c>
      <c r="D107" s="30">
        <f>'Monthly Data'!J107</f>
        <v>2395002.17325975</v>
      </c>
      <c r="E107" s="33">
        <f t="shared" ca="1" si="186"/>
        <v>363.47645833333326</v>
      </c>
      <c r="F107" s="33">
        <f t="shared" ca="1" si="186"/>
        <v>21.813750000000006</v>
      </c>
      <c r="G107" s="33">
        <f>'Monthly Data'!AD107</f>
        <v>876619.7</v>
      </c>
      <c r="H107" s="8">
        <f>'Monthly Data'!BU107</f>
        <v>31</v>
      </c>
      <c r="I107" s="18">
        <f>'Monthly Data'!BX107</f>
        <v>0</v>
      </c>
      <c r="J107" s="30"/>
      <c r="L107" s="18">
        <f>'GS&lt;50 Predicted Monthly'!$V$8</f>
        <v>-2135516.9462582301</v>
      </c>
      <c r="M107" s="18">
        <f ca="1">E107*'GS&lt;50 Predicted Monthly'!$V$9</f>
        <v>685468.84732863132</v>
      </c>
      <c r="N107" s="18">
        <f ca="1">F107*'GS&lt;50 Predicted Monthly'!$V$10</f>
        <v>80991.715232773335</v>
      </c>
      <c r="O107" s="18">
        <f>G107*'GS&lt;50 Predicted Monthly'!$V$11</f>
        <v>2112228.2121021668</v>
      </c>
      <c r="P107" s="18">
        <f>H107*'GS&lt;50 Predicted Monthly'!$V$12</f>
        <v>1722828.0010148797</v>
      </c>
      <c r="Q107" s="18">
        <f>I107*'GS&lt;50 Predicted Monthly'!$V$13</f>
        <v>0</v>
      </c>
      <c r="R107" s="18">
        <f>J107*'GS&lt;50 Predicted Monthly'!$V$14</f>
        <v>0</v>
      </c>
      <c r="S107" s="20">
        <f t="shared" ca="1" si="161"/>
        <v>2465999.829420221</v>
      </c>
      <c r="AJ107" s="33">
        <f t="shared" ref="AJ107" ca="1" si="216">AJ95</f>
        <v>324.79329624987065</v>
      </c>
      <c r="AK107" s="33">
        <f t="shared" ref="AK107" ca="1" si="217">AK95</f>
        <v>401.33072701673694</v>
      </c>
      <c r="AL107" s="33">
        <f t="shared" ca="1" si="191"/>
        <v>18.153914795818444</v>
      </c>
      <c r="AM107" s="33">
        <f t="shared" ca="1" si="191"/>
        <v>23.650343209861436</v>
      </c>
      <c r="AO107" s="18">
        <f ca="1">AJ107*'GS&lt;50 Predicted Monthly'!$V$9</f>
        <v>612517.48578526394</v>
      </c>
      <c r="AP107" s="18">
        <f ca="1">AK107*'GS&lt;50 Predicted Monthly'!$V$9</f>
        <v>756857.0248184785</v>
      </c>
      <c r="AQ107" s="18">
        <f ca="1">AL107*'GS&lt;50 Predicted Monthly'!$V$10</f>
        <v>67403.206578555153</v>
      </c>
      <c r="AR107" s="18">
        <f ca="1">AM107*'GS&lt;50 Predicted Monthly'!$V$10</f>
        <v>87810.755253473209</v>
      </c>
      <c r="AT107" s="31">
        <f t="shared" ca="1" si="127"/>
        <v>2379459.9592226353</v>
      </c>
      <c r="AU107" s="31">
        <f t="shared" ca="1" si="128"/>
        <v>2544207.0469307681</v>
      </c>
    </row>
    <row r="108" spans="1:47">
      <c r="A108" s="541">
        <f>'Monthly Data'!A108</f>
        <v>45597</v>
      </c>
      <c r="B108">
        <f t="shared" si="196"/>
        <v>2024</v>
      </c>
      <c r="C108">
        <f t="shared" si="197"/>
        <v>11</v>
      </c>
      <c r="D108" s="30">
        <f>'Monthly Data'!J108</f>
        <v>2598939.9405898275</v>
      </c>
      <c r="E108" s="33">
        <f t="shared" ca="1" si="186"/>
        <v>586.00395833333334</v>
      </c>
      <c r="F108" s="33">
        <f t="shared" ca="1" si="186"/>
        <v>2.2795833333333335</v>
      </c>
      <c r="G108" s="33">
        <f>'Monthly Data'!AD108</f>
        <v>876619.7</v>
      </c>
      <c r="H108" s="8">
        <f>'Monthly Data'!BU108</f>
        <v>30</v>
      </c>
      <c r="I108" s="18">
        <f>'Monthly Data'!BX108</f>
        <v>0</v>
      </c>
      <c r="J108" s="30"/>
      <c r="L108" s="18">
        <f>'GS&lt;50 Predicted Monthly'!$V$8</f>
        <v>-2135516.9462582301</v>
      </c>
      <c r="M108" s="18">
        <f ca="1">E108*'GS&lt;50 Predicted Monthly'!$V$9</f>
        <v>1105126.4769406053</v>
      </c>
      <c r="N108" s="18">
        <f ca="1">F108*'GS&lt;50 Predicted Monthly'!$V$10</f>
        <v>8463.8067357840573</v>
      </c>
      <c r="O108" s="18">
        <f>G108*'GS&lt;50 Predicted Monthly'!$V$11</f>
        <v>2112228.2121021668</v>
      </c>
      <c r="P108" s="18">
        <f>H108*'GS&lt;50 Predicted Monthly'!$V$12</f>
        <v>1667252.9042079481</v>
      </c>
      <c r="Q108" s="18">
        <f>I108*'GS&lt;50 Predicted Monthly'!$V$13</f>
        <v>0</v>
      </c>
      <c r="R108" s="18">
        <f>J108*'GS&lt;50 Predicted Monthly'!$V$14</f>
        <v>0</v>
      </c>
      <c r="S108" s="20">
        <f t="shared" ca="1" si="161"/>
        <v>2757554.4537282744</v>
      </c>
      <c r="AJ108" s="33">
        <f t="shared" ref="AJ108" ca="1" si="218">AJ96</f>
        <v>523.63819685953126</v>
      </c>
      <c r="AK108" s="33">
        <f t="shared" ref="AK108" ca="1" si="219">AK96</f>
        <v>647.03336142041019</v>
      </c>
      <c r="AL108" s="33">
        <f t="shared" ca="1" si="191"/>
        <v>1.8971227598785685</v>
      </c>
      <c r="AM108" s="33">
        <f t="shared" ca="1" si="191"/>
        <v>2.4715112352902775</v>
      </c>
      <c r="AO108" s="18">
        <f ca="1">AJ108*'GS&lt;50 Predicted Monthly'!$V$9</f>
        <v>987512.84433770669</v>
      </c>
      <c r="AP108" s="18">
        <f ca="1">AK108*'GS&lt;50 Predicted Monthly'!$V$9</f>
        <v>1220219.913195254</v>
      </c>
      <c r="AQ108" s="18">
        <f ca="1">AL108*'GS&lt;50 Predicted Monthly'!$V$10</f>
        <v>7043.7786409809405</v>
      </c>
      <c r="AR108" s="18">
        <f ca="1">AM108*'GS&lt;50 Predicted Monthly'!$V$10</f>
        <v>9176.4109409537541</v>
      </c>
      <c r="AT108" s="31">
        <f t="shared" ca="1" si="127"/>
        <v>2638520.7930305726</v>
      </c>
      <c r="AU108" s="31">
        <f t="shared" ca="1" si="128"/>
        <v>2873360.4941880926</v>
      </c>
    </row>
    <row r="109" spans="1:47">
      <c r="A109" s="541">
        <f>'Monthly Data'!A109</f>
        <v>45627</v>
      </c>
      <c r="B109">
        <f t="shared" si="196"/>
        <v>2024</v>
      </c>
      <c r="C109">
        <f t="shared" si="197"/>
        <v>12</v>
      </c>
      <c r="D109" s="30">
        <f>'Monthly Data'!J109</f>
        <v>3229266.7079199045</v>
      </c>
      <c r="E109" s="33">
        <f t="shared" ca="1" si="186"/>
        <v>812.36333333333334</v>
      </c>
      <c r="F109" s="33">
        <f t="shared" ca="1" si="186"/>
        <v>0</v>
      </c>
      <c r="G109" s="33">
        <f>'Monthly Data'!AD109</f>
        <v>876619.7</v>
      </c>
      <c r="H109" s="8">
        <f>'Monthly Data'!BU109</f>
        <v>31</v>
      </c>
      <c r="I109" s="18">
        <f>'Monthly Data'!BX109</f>
        <v>0</v>
      </c>
      <c r="J109" s="30"/>
      <c r="L109" s="18">
        <f>'GS&lt;50 Predicted Monthly'!$V$8</f>
        <v>-2135516.9462582301</v>
      </c>
      <c r="M109" s="18">
        <f ca="1">E109*'GS&lt;50 Predicted Monthly'!$V$9</f>
        <v>1532010.5193755757</v>
      </c>
      <c r="N109" s="18">
        <f ca="1">F109*'GS&lt;50 Predicted Monthly'!$V$10</f>
        <v>0</v>
      </c>
      <c r="O109" s="18">
        <f>G109*'GS&lt;50 Predicted Monthly'!$V$11</f>
        <v>2112228.2121021668</v>
      </c>
      <c r="P109" s="18">
        <f>H109*'GS&lt;50 Predicted Monthly'!$V$12</f>
        <v>1722828.0010148797</v>
      </c>
      <c r="Q109" s="18">
        <f>I109*'GS&lt;50 Predicted Monthly'!$V$13</f>
        <v>0</v>
      </c>
      <c r="R109" s="18">
        <f>J109*'GS&lt;50 Predicted Monthly'!$V$14</f>
        <v>0</v>
      </c>
      <c r="S109" s="20">
        <f t="shared" ca="1" si="161"/>
        <v>3231549.7862343919</v>
      </c>
      <c r="AJ109" s="33">
        <f t="shared" ref="AJ109" ca="1" si="220">AJ97</f>
        <v>725.90716327464804</v>
      </c>
      <c r="AK109" s="33">
        <f t="shared" ref="AK109" ca="1" si="221">AK97</f>
        <v>896.96694158227319</v>
      </c>
      <c r="AL109" s="33">
        <f t="shared" ca="1" si="191"/>
        <v>0</v>
      </c>
      <c r="AM109" s="33">
        <f t="shared" ca="1" si="191"/>
        <v>0</v>
      </c>
      <c r="AO109" s="18">
        <f ca="1">AJ109*'GS&lt;50 Predicted Monthly'!$V$9</f>
        <v>1368965.5411497045</v>
      </c>
      <c r="AP109" s="18">
        <f ca="1">AK109*'GS&lt;50 Predicted Monthly'!$V$9</f>
        <v>1691561.809415549</v>
      </c>
      <c r="AQ109" s="18">
        <f ca="1">AL109*'GS&lt;50 Predicted Monthly'!$V$10</f>
        <v>0</v>
      </c>
      <c r="AR109" s="18">
        <f ca="1">AM109*'GS&lt;50 Predicted Monthly'!$V$10</f>
        <v>0</v>
      </c>
      <c r="AT109" s="31">
        <f t="shared" ca="1" si="127"/>
        <v>3068504.8080085209</v>
      </c>
      <c r="AU109" s="31">
        <f t="shared" ca="1" si="128"/>
        <v>3391101.0762743652</v>
      </c>
    </row>
    <row r="110" spans="1:47">
      <c r="A110" s="541">
        <f>'Monthly Data'!A110</f>
        <v>45658</v>
      </c>
      <c r="B110">
        <f t="shared" si="196"/>
        <v>2025</v>
      </c>
      <c r="C110">
        <f t="shared" si="197"/>
        <v>1</v>
      </c>
      <c r="D110" s="30">
        <f>'Monthly Data'!J110</f>
        <v>3521304.201942143</v>
      </c>
      <c r="E110" s="33">
        <f t="shared" ca="1" si="186"/>
        <v>914.55166666666662</v>
      </c>
      <c r="F110" s="33">
        <f t="shared" ca="1" si="186"/>
        <v>0</v>
      </c>
      <c r="G110" s="33">
        <f>'Monthly Data'!AD110</f>
        <v>887796.60117499996</v>
      </c>
      <c r="H110" s="8">
        <f>'Monthly Data'!BU110</f>
        <v>31</v>
      </c>
      <c r="I110" s="18">
        <f>'Monthly Data'!BX110</f>
        <v>0</v>
      </c>
      <c r="J110" s="30"/>
      <c r="L110" s="18">
        <f>'GS&lt;50 Predicted Monthly'!$V$8</f>
        <v>-2135516.9462582301</v>
      </c>
      <c r="M110" s="18">
        <f ca="1">E110*'GS&lt;50 Predicted Monthly'!$V$9</f>
        <v>1724724.2906652587</v>
      </c>
      <c r="N110" s="18">
        <f ca="1">F110*'GS&lt;50 Predicted Monthly'!$V$10</f>
        <v>0</v>
      </c>
      <c r="O110" s="18">
        <f>G110*'GS&lt;50 Predicted Monthly'!$V$11</f>
        <v>2139159.1218064697</v>
      </c>
      <c r="P110" s="18">
        <f>H110*'GS&lt;50 Predicted Monthly'!$V$12</f>
        <v>1722828.0010148797</v>
      </c>
      <c r="Q110" s="18">
        <f>I110*'GS&lt;50 Predicted Monthly'!$V$13</f>
        <v>0</v>
      </c>
      <c r="R110" s="18">
        <f>J110*'GS&lt;50 Predicted Monthly'!$V$14</f>
        <v>0</v>
      </c>
      <c r="S110" s="20">
        <f t="shared" ca="1" si="161"/>
        <v>3451194.4672283782</v>
      </c>
      <c r="AJ110" s="33">
        <f t="shared" ref="AJ110" ca="1" si="222">AJ98</f>
        <v>817.22005262600237</v>
      </c>
      <c r="AK110" s="33">
        <f t="shared" ref="AK110" ca="1" si="223">AK98</f>
        <v>1009.7976825258449</v>
      </c>
      <c r="AL110" s="33">
        <f t="shared" ca="1" si="191"/>
        <v>0</v>
      </c>
      <c r="AM110" s="33">
        <f t="shared" ca="1" si="191"/>
        <v>0</v>
      </c>
      <c r="AO110" s="18">
        <f ca="1">AJ110*'GS&lt;50 Predicted Monthly'!$V$9</f>
        <v>1541169.6538917692</v>
      </c>
      <c r="AP110" s="18">
        <f ca="1">AK110*'GS&lt;50 Predicted Monthly'!$V$9</f>
        <v>1904345.7632717781</v>
      </c>
      <c r="AQ110" s="18">
        <f ca="1">AL110*'GS&lt;50 Predicted Monthly'!$V$10</f>
        <v>0</v>
      </c>
      <c r="AR110" s="18">
        <f ca="1">AM110*'GS&lt;50 Predicted Monthly'!$V$10</f>
        <v>0</v>
      </c>
      <c r="AT110" s="31">
        <f t="shared" ca="1" si="127"/>
        <v>3267639.8304548888</v>
      </c>
      <c r="AU110" s="31">
        <f t="shared" ca="1" si="128"/>
        <v>3630815.9398348974</v>
      </c>
    </row>
    <row r="111" spans="1:47">
      <c r="A111" s="541">
        <f>'Monthly Data'!A111</f>
        <v>45689</v>
      </c>
      <c r="B111">
        <f t="shared" si="196"/>
        <v>2025</v>
      </c>
      <c r="C111">
        <f t="shared" si="197"/>
        <v>2</v>
      </c>
      <c r="D111" s="30">
        <f>'Monthly Data'!J111</f>
        <v>3248937.8305204986</v>
      </c>
      <c r="E111" s="33">
        <f t="shared" ca="1" si="186"/>
        <v>803.82854166666664</v>
      </c>
      <c r="F111" s="33">
        <f t="shared" ca="1" si="186"/>
        <v>0</v>
      </c>
      <c r="G111" s="33">
        <f>'Monthly Data'!AD111</f>
        <v>887796.60117499996</v>
      </c>
      <c r="H111" s="8">
        <f>'Monthly Data'!BU111</f>
        <v>28</v>
      </c>
      <c r="I111" s="18">
        <f>'Monthly Data'!BX111</f>
        <v>0</v>
      </c>
      <c r="J111" s="30"/>
      <c r="L111" s="18">
        <f>'GS&lt;50 Predicted Monthly'!$V$8</f>
        <v>-2135516.9462582301</v>
      </c>
      <c r="M111" s="18">
        <f ca="1">E111*'GS&lt;50 Predicted Monthly'!$V$9</f>
        <v>1515915.0235826271</v>
      </c>
      <c r="N111" s="18">
        <f ca="1">F111*'GS&lt;50 Predicted Monthly'!$V$10</f>
        <v>0</v>
      </c>
      <c r="O111" s="18">
        <f>G111*'GS&lt;50 Predicted Monthly'!$V$11</f>
        <v>2139159.1218064697</v>
      </c>
      <c r="P111" s="18">
        <f>H111*'GS&lt;50 Predicted Monthly'!$V$12</f>
        <v>1556102.7105940848</v>
      </c>
      <c r="Q111" s="18">
        <f>I111*'GS&lt;50 Predicted Monthly'!$V$13</f>
        <v>0</v>
      </c>
      <c r="R111" s="18">
        <f>J111*'GS&lt;50 Predicted Monthly'!$V$14</f>
        <v>0</v>
      </c>
      <c r="S111" s="20">
        <f t="shared" ca="1" si="161"/>
        <v>3075659.9097249517</v>
      </c>
      <c r="AJ111" s="33">
        <f t="shared" ref="AJ111" ca="1" si="224">AJ99</f>
        <v>718.28069103781206</v>
      </c>
      <c r="AK111" s="33">
        <f t="shared" ref="AK111" ca="1" si="225">AK99</f>
        <v>887.54329373386554</v>
      </c>
      <c r="AL111" s="33">
        <f t="shared" ref="AL111:AM126" ca="1" si="226">AL99</f>
        <v>0</v>
      </c>
      <c r="AM111" s="33">
        <f t="shared" ca="1" si="226"/>
        <v>0</v>
      </c>
      <c r="AO111" s="18">
        <f ca="1">AJ111*'GS&lt;50 Predicted Monthly'!$V$9</f>
        <v>1354583.0164675321</v>
      </c>
      <c r="AP111" s="18">
        <f ca="1">AK111*'GS&lt;50 Predicted Monthly'!$V$9</f>
        <v>1673790.047640664</v>
      </c>
      <c r="AQ111" s="18">
        <f ca="1">AL111*'GS&lt;50 Predicted Monthly'!$V$10</f>
        <v>0</v>
      </c>
      <c r="AR111" s="18">
        <f ca="1">AM111*'GS&lt;50 Predicted Monthly'!$V$10</f>
        <v>0</v>
      </c>
      <c r="AT111" s="31">
        <f t="shared" ca="1" si="127"/>
        <v>2914327.9026098568</v>
      </c>
      <c r="AU111" s="31">
        <f t="shared" ca="1" si="128"/>
        <v>3233534.9337829887</v>
      </c>
    </row>
    <row r="112" spans="1:47">
      <c r="A112" s="541">
        <f>'Monthly Data'!A112</f>
        <v>45717</v>
      </c>
      <c r="B112">
        <f t="shared" si="196"/>
        <v>2025</v>
      </c>
      <c r="C112">
        <f t="shared" si="197"/>
        <v>3</v>
      </c>
      <c r="D112" s="30">
        <f>'Monthly Data'!J112</f>
        <v>3122756.4590988536</v>
      </c>
      <c r="E112" s="33">
        <f t="shared" ca="1" si="186"/>
        <v>698.29604166666672</v>
      </c>
      <c r="F112" s="33">
        <f t="shared" ca="1" si="186"/>
        <v>0</v>
      </c>
      <c r="G112" s="33">
        <f>'Monthly Data'!AD112</f>
        <v>887796.60117499996</v>
      </c>
      <c r="H112" s="8">
        <f>'Monthly Data'!BU112</f>
        <v>31</v>
      </c>
      <c r="I112" s="18">
        <f>'Monthly Data'!BX112</f>
        <v>0</v>
      </c>
      <c r="J112" s="30"/>
      <c r="L112" s="18">
        <f>'GS&lt;50 Predicted Monthly'!$V$8</f>
        <v>-2135516.9462582301</v>
      </c>
      <c r="M112" s="18">
        <f ca="1">E112*'GS&lt;50 Predicted Monthly'!$V$9</f>
        <v>1316894.5933120961</v>
      </c>
      <c r="N112" s="18">
        <f ca="1">F112*'GS&lt;50 Predicted Monthly'!$V$10</f>
        <v>0</v>
      </c>
      <c r="O112" s="18">
        <f>G112*'GS&lt;50 Predicted Monthly'!$V$11</f>
        <v>2139159.1218064697</v>
      </c>
      <c r="P112" s="18">
        <f>H112*'GS&lt;50 Predicted Monthly'!$V$12</f>
        <v>1722828.0010148797</v>
      </c>
      <c r="Q112" s="18">
        <f>I112*'GS&lt;50 Predicted Monthly'!$V$13</f>
        <v>0</v>
      </c>
      <c r="R112" s="18">
        <f>J112*'GS&lt;50 Predicted Monthly'!$V$14</f>
        <v>0</v>
      </c>
      <c r="S112" s="20">
        <f t="shared" ca="1" si="161"/>
        <v>3043364.7698752154</v>
      </c>
      <c r="V112" s="18"/>
      <c r="W112" s="34"/>
      <c r="AJ112" s="33">
        <f t="shared" ref="AJ112" ca="1" si="227">AJ100</f>
        <v>623.97953961343092</v>
      </c>
      <c r="AK112" s="33">
        <f t="shared" ref="AK112" ca="1" si="228">AK100</f>
        <v>771.02010776716202</v>
      </c>
      <c r="AL112" s="33">
        <f t="shared" ca="1" si="226"/>
        <v>0</v>
      </c>
      <c r="AM112" s="33">
        <f t="shared" ca="1" si="226"/>
        <v>0</v>
      </c>
      <c r="AO112" s="18">
        <f ca="1">AJ112*'GS&lt;50 Predicted Monthly'!$V$9</f>
        <v>1176743.4340499181</v>
      </c>
      <c r="AP112" s="18">
        <f ca="1">AK112*'GS&lt;50 Predicted Monthly'!$V$9</f>
        <v>1454042.6275796737</v>
      </c>
      <c r="AQ112" s="18">
        <f ca="1">AL112*'GS&lt;50 Predicted Monthly'!$V$10</f>
        <v>0</v>
      </c>
      <c r="AR112" s="18">
        <f ca="1">AM112*'GS&lt;50 Predicted Monthly'!$V$10</f>
        <v>0</v>
      </c>
      <c r="AT112" s="31">
        <f t="shared" ca="1" si="127"/>
        <v>2903213.6106130374</v>
      </c>
      <c r="AU112" s="31">
        <f t="shared" ca="1" si="128"/>
        <v>3180512.8041427927</v>
      </c>
    </row>
    <row r="113" spans="1:47">
      <c r="A113" s="541">
        <f>'Monthly Data'!A113</f>
        <v>45748</v>
      </c>
      <c r="B113">
        <f t="shared" si="196"/>
        <v>2025</v>
      </c>
      <c r="C113">
        <f t="shared" si="197"/>
        <v>4</v>
      </c>
      <c r="D113" s="30">
        <f>'Monthly Data'!J113</f>
        <v>2652049.0876772087</v>
      </c>
      <c r="E113" s="33">
        <f t="shared" ca="1" si="186"/>
        <v>468.60374999999993</v>
      </c>
      <c r="F113" s="33">
        <f t="shared" ca="1" si="186"/>
        <v>2.8104166666666677</v>
      </c>
      <c r="G113" s="33">
        <f>'Monthly Data'!AD113</f>
        <v>887796.60117499996</v>
      </c>
      <c r="H113" s="8">
        <f>'Monthly Data'!BU113</f>
        <v>30</v>
      </c>
      <c r="I113" s="18">
        <f>'Monthly Data'!BX113</f>
        <v>0</v>
      </c>
      <c r="J113" s="30"/>
      <c r="L113" s="18">
        <f>'GS&lt;50 Predicted Monthly'!$V$8</f>
        <v>-2135516.9462582301</v>
      </c>
      <c r="M113" s="18">
        <f ca="1">E113*'GS&lt;50 Predicted Monthly'!$V$9</f>
        <v>883725.10791826609</v>
      </c>
      <c r="N113" s="18">
        <f ca="1">F113*'GS&lt;50 Predicted Monthly'!$V$10</f>
        <v>10434.724261170442</v>
      </c>
      <c r="O113" s="18">
        <f>G113*'GS&lt;50 Predicted Monthly'!$V$11</f>
        <v>2139159.1218064697</v>
      </c>
      <c r="P113" s="18">
        <f>H113*'GS&lt;50 Predicted Monthly'!$V$12</f>
        <v>1667252.9042079481</v>
      </c>
      <c r="Q113" s="18">
        <f>I113*'GS&lt;50 Predicted Monthly'!$V$13</f>
        <v>0</v>
      </c>
      <c r="R113" s="18">
        <f>J113*'GS&lt;50 Predicted Monthly'!$V$14</f>
        <v>0</v>
      </c>
      <c r="S113" s="20">
        <f t="shared" ca="1" si="161"/>
        <v>2565054.9119356247</v>
      </c>
      <c r="V113" s="18"/>
      <c r="W113" s="34"/>
      <c r="AJ113" s="33">
        <f t="shared" ref="AJ113" ca="1" si="229">AJ101</f>
        <v>418.73236383846591</v>
      </c>
      <c r="AK113" s="33">
        <f t="shared" ref="AK113" ca="1" si="230">AK101</f>
        <v>517.40650421381736</v>
      </c>
      <c r="AL113" s="33">
        <f t="shared" ca="1" si="226"/>
        <v>2.33889472041326</v>
      </c>
      <c r="AM113" s="33">
        <f t="shared" ca="1" si="226"/>
        <v>3.0470377046304016</v>
      </c>
      <c r="AO113" s="18">
        <f ca="1">AJ113*'GS&lt;50 Predicted Monthly'!$V$9</f>
        <v>789674.22565871268</v>
      </c>
      <c r="AP113" s="18">
        <f ca="1">AK113*'GS&lt;50 Predicted Monthly'!$V$9</f>
        <v>975760.69071997097</v>
      </c>
      <c r="AQ113" s="18">
        <f ca="1">AL113*'GS&lt;50 Predicted Monthly'!$V$10</f>
        <v>8684.0224700084891</v>
      </c>
      <c r="AR113" s="18">
        <f ca="1">AM113*'GS&lt;50 Predicted Monthly'!$V$10</f>
        <v>11313.26846951802</v>
      </c>
      <c r="AT113" s="31">
        <f t="shared" ca="1" si="127"/>
        <v>2469253.3278849092</v>
      </c>
      <c r="AU113" s="31">
        <f t="shared" ca="1" si="128"/>
        <v>2657969.0389456772</v>
      </c>
    </row>
    <row r="114" spans="1:47">
      <c r="A114" s="541">
        <f>'Monthly Data'!A114</f>
        <v>45778</v>
      </c>
      <c r="B114">
        <f t="shared" si="196"/>
        <v>2025</v>
      </c>
      <c r="C114">
        <f t="shared" si="197"/>
        <v>5</v>
      </c>
      <c r="D114" s="30">
        <f>'Monthly Data'!J114</f>
        <v>2377775.7162555638</v>
      </c>
      <c r="E114" s="33">
        <f t="shared" ref="E114:F133" ca="1" si="231">E102</f>
        <v>232.88687500000006</v>
      </c>
      <c r="F114" s="33">
        <f t="shared" ca="1" si="231"/>
        <v>74.673124999999999</v>
      </c>
      <c r="G114" s="33">
        <f>'Monthly Data'!AD114</f>
        <v>887796.60117499996</v>
      </c>
      <c r="H114" s="8">
        <f>'Monthly Data'!BU114</f>
        <v>31</v>
      </c>
      <c r="I114" s="18">
        <f>'Monthly Data'!BX114</f>
        <v>0</v>
      </c>
      <c r="J114" s="30"/>
      <c r="L114" s="18">
        <f>'GS&lt;50 Predicted Monthly'!$V$8</f>
        <v>-2135516.9462582301</v>
      </c>
      <c r="M114" s="18">
        <f ca="1">E114*'GS&lt;50 Predicted Monthly'!$V$9</f>
        <v>439194.04986008507</v>
      </c>
      <c r="N114" s="18">
        <f ca="1">F114*'GS&lt;50 Predicted Monthly'!$V$10</f>
        <v>277251.93859566946</v>
      </c>
      <c r="O114" s="18">
        <f>G114*'GS&lt;50 Predicted Monthly'!$V$11</f>
        <v>2139159.1218064697</v>
      </c>
      <c r="P114" s="18">
        <f>H114*'GS&lt;50 Predicted Monthly'!$V$12</f>
        <v>1722828.0010148797</v>
      </c>
      <c r="Q114" s="18">
        <f>I114*'GS&lt;50 Predicted Monthly'!$V$13</f>
        <v>0</v>
      </c>
      <c r="R114" s="18">
        <f>J114*'GS&lt;50 Predicted Monthly'!$V$14</f>
        <v>0</v>
      </c>
      <c r="S114" s="20">
        <f t="shared" ca="1" si="161"/>
        <v>2442916.1650188742</v>
      </c>
      <c r="V114" s="18"/>
      <c r="W114" s="34"/>
      <c r="AJ114" s="33">
        <f t="shared" ref="AJ114" ca="1" si="232">AJ102</f>
        <v>208.10177399498693</v>
      </c>
      <c r="AK114" s="33">
        <f t="shared" ref="AK114" ca="1" si="233">AK102</f>
        <v>257.1408868815717</v>
      </c>
      <c r="AL114" s="33">
        <f t="shared" ca="1" si="226"/>
        <v>62.144727467193846</v>
      </c>
      <c r="AM114" s="33">
        <f t="shared" ca="1" si="226"/>
        <v>80.960175797507716</v>
      </c>
      <c r="AO114" s="18">
        <f ca="1">AJ114*'GS&lt;50 Predicted Monthly'!$V$9</f>
        <v>392452.60560057929</v>
      </c>
      <c r="AP114" s="18">
        <f ca="1">AK114*'GS&lt;50 Predicted Monthly'!$V$9</f>
        <v>484933.92980661301</v>
      </c>
      <c r="AQ114" s="18">
        <f ca="1">AL114*'GS&lt;50 Predicted Monthly'!$V$10</f>
        <v>230735.57138232855</v>
      </c>
      <c r="AR114" s="18">
        <f ca="1">AM114*'GS&lt;50 Predicted Monthly'!$V$10</f>
        <v>300594.96892496751</v>
      </c>
      <c r="AT114" s="31">
        <f t="shared" ca="1" si="127"/>
        <v>2349658.3535460276</v>
      </c>
      <c r="AU114" s="31">
        <f t="shared" ca="1" si="128"/>
        <v>2511999.0752947</v>
      </c>
    </row>
    <row r="115" spans="1:47">
      <c r="A115" s="541">
        <f>'Monthly Data'!A115</f>
        <v>45809</v>
      </c>
      <c r="B115">
        <f t="shared" si="196"/>
        <v>2025</v>
      </c>
      <c r="C115">
        <f t="shared" si="197"/>
        <v>6</v>
      </c>
      <c r="D115" s="30">
        <f>'Monthly Data'!J115</f>
        <v>2523449.3448339188</v>
      </c>
      <c r="E115" s="33">
        <f t="shared" ca="1" si="231"/>
        <v>92.751249999999999</v>
      </c>
      <c r="F115" s="33">
        <f t="shared" ca="1" si="231"/>
        <v>169.78833333333333</v>
      </c>
      <c r="G115" s="33">
        <f>'Monthly Data'!AD115</f>
        <v>887796.60117499996</v>
      </c>
      <c r="H115" s="8">
        <f>'Monthly Data'!BU115</f>
        <v>30</v>
      </c>
      <c r="I115" s="18">
        <f>'Monthly Data'!BX115</f>
        <v>0</v>
      </c>
      <c r="J115" s="30"/>
      <c r="L115" s="18">
        <f>'GS&lt;50 Predicted Monthly'!$V$8</f>
        <v>-2135516.9462582301</v>
      </c>
      <c r="M115" s="18">
        <f ca="1">E115*'GS&lt;50 Predicted Monthly'!$V$9</f>
        <v>174916.67195536545</v>
      </c>
      <c r="N115" s="18">
        <f ca="1">F115*'GS&lt;50 Predicted Monthly'!$V$10</f>
        <v>630402.76629101019</v>
      </c>
      <c r="O115" s="18">
        <f>G115*'GS&lt;50 Predicted Monthly'!$V$11</f>
        <v>2139159.1218064697</v>
      </c>
      <c r="P115" s="18">
        <f>H115*'GS&lt;50 Predicted Monthly'!$V$12</f>
        <v>1667252.9042079481</v>
      </c>
      <c r="Q115" s="18">
        <f>I115*'GS&lt;50 Predicted Monthly'!$V$13</f>
        <v>0</v>
      </c>
      <c r="R115" s="18">
        <f>J115*'GS&lt;50 Predicted Monthly'!$V$14</f>
        <v>0</v>
      </c>
      <c r="S115" s="20">
        <f t="shared" ca="1" si="161"/>
        <v>2476214.5180025632</v>
      </c>
      <c r="V115" s="18"/>
      <c r="W115" s="34"/>
      <c r="AJ115" s="33">
        <f t="shared" ref="AJ115" ca="1" si="234">AJ103</f>
        <v>82.880152285321046</v>
      </c>
      <c r="AK115" s="33">
        <f t="shared" ref="AK115" ca="1" si="235">AK103</f>
        <v>102.41083223077457</v>
      </c>
      <c r="AL115" s="33">
        <f t="shared" ca="1" si="226"/>
        <v>141.30183653234096</v>
      </c>
      <c r="AM115" s="33">
        <f t="shared" ca="1" si="226"/>
        <v>184.0835416360639</v>
      </c>
      <c r="AO115" s="18">
        <f ca="1">AJ115*'GS&lt;50 Predicted Monthly'!$V$9</f>
        <v>156301.07851810337</v>
      </c>
      <c r="AP115" s="18">
        <f ca="1">AK115*'GS&lt;50 Predicted Monthly'!$V$9</f>
        <v>193133.37497862687</v>
      </c>
      <c r="AQ115" s="18">
        <f ca="1">AL115*'GS&lt;50 Predicted Monthly'!$V$10</f>
        <v>524635.97988861345</v>
      </c>
      <c r="AR115" s="18">
        <f ca="1">AM115*'GS&lt;50 Predicted Monthly'!$V$10</f>
        <v>683479.08008611342</v>
      </c>
      <c r="AT115" s="31">
        <f t="shared" ca="1" si="127"/>
        <v>2351832.1381629044</v>
      </c>
      <c r="AU115" s="31">
        <f t="shared" ca="1" si="128"/>
        <v>2547507.5348209278</v>
      </c>
    </row>
    <row r="116" spans="1:47">
      <c r="A116" s="541">
        <f>'Monthly Data'!A116</f>
        <v>45839</v>
      </c>
      <c r="B116">
        <f t="shared" si="196"/>
        <v>2025</v>
      </c>
      <c r="C116">
        <f t="shared" si="197"/>
        <v>7</v>
      </c>
      <c r="D116" s="30">
        <f>'Monthly Data'!J116</f>
        <v>2937793.9734122739</v>
      </c>
      <c r="E116" s="33">
        <f t="shared" ca="1" si="231"/>
        <v>25.464999999999996</v>
      </c>
      <c r="F116" s="33">
        <f t="shared" ca="1" si="231"/>
        <v>265.99625000000003</v>
      </c>
      <c r="G116" s="33">
        <f>'Monthly Data'!AD116</f>
        <v>887796.60117499996</v>
      </c>
      <c r="H116" s="8">
        <f>'Monthly Data'!BU116</f>
        <v>31</v>
      </c>
      <c r="I116" s="18">
        <f>'Monthly Data'!BX116</f>
        <v>0</v>
      </c>
      <c r="J116" s="30"/>
      <c r="L116" s="18">
        <f>'GS&lt;50 Predicted Monthly'!$V$8</f>
        <v>-2135516.9462582301</v>
      </c>
      <c r="M116" s="18">
        <f ca="1">E116*'GS&lt;50 Predicted Monthly'!$V$9</f>
        <v>48023.644439760981</v>
      </c>
      <c r="N116" s="18">
        <f ca="1">F116*'GS&lt;50 Predicted Monthly'!$V$10</f>
        <v>987610.68284845934</v>
      </c>
      <c r="O116" s="18">
        <f>G116*'GS&lt;50 Predicted Monthly'!$V$11</f>
        <v>2139159.1218064697</v>
      </c>
      <c r="P116" s="18">
        <f>H116*'GS&lt;50 Predicted Monthly'!$V$12</f>
        <v>1722828.0010148797</v>
      </c>
      <c r="Q116" s="18">
        <f>I116*'GS&lt;50 Predicted Monthly'!$V$13</f>
        <v>0</v>
      </c>
      <c r="R116" s="18">
        <f>J116*'GS&lt;50 Predicted Monthly'!$V$14</f>
        <v>0</v>
      </c>
      <c r="S116" s="20">
        <f t="shared" ca="1" si="161"/>
        <v>2762104.5038513397</v>
      </c>
      <c r="V116" s="18"/>
      <c r="W116" s="34"/>
      <c r="AJ116" s="33">
        <f t="shared" ref="AJ116" ca="1" si="236">AJ104</f>
        <v>22.754874763905612</v>
      </c>
      <c r="AK116" s="33">
        <f t="shared" ref="AK116" ca="1" si="237">AK104</f>
        <v>28.117053330889604</v>
      </c>
      <c r="AL116" s="33">
        <f t="shared" ca="1" si="226"/>
        <v>221.36832312221517</v>
      </c>
      <c r="AM116" s="33">
        <f t="shared" ca="1" si="226"/>
        <v>288.39161561107579</v>
      </c>
      <c r="AO116" s="18">
        <f ca="1">AJ116*'GS&lt;50 Predicted Monthly'!$V$9</f>
        <v>42912.704297392243</v>
      </c>
      <c r="AP116" s="18">
        <f ca="1">AK116*'GS&lt;50 Predicted Monthly'!$V$9</f>
        <v>53025.068598328675</v>
      </c>
      <c r="AQ116" s="18">
        <f ca="1">AL116*'GS&lt;50 Predicted Monthly'!$V$10</f>
        <v>821912.7929801615</v>
      </c>
      <c r="AR116" s="18">
        <f ca="1">AM116*'GS&lt;50 Predicted Monthly'!$V$10</f>
        <v>1070761.8638286251</v>
      </c>
      <c r="AT116" s="31">
        <f t="shared" ca="1" si="127"/>
        <v>2591295.6738406732</v>
      </c>
      <c r="AU116" s="31">
        <f t="shared" ca="1" si="128"/>
        <v>2850257.1089900732</v>
      </c>
    </row>
    <row r="117" spans="1:47">
      <c r="A117" s="541">
        <f>'Monthly Data'!A117</f>
        <v>45870</v>
      </c>
      <c r="B117">
        <f t="shared" si="196"/>
        <v>2025</v>
      </c>
      <c r="C117">
        <f t="shared" si="197"/>
        <v>8</v>
      </c>
      <c r="D117" s="30">
        <f>'Monthly Data'!J117</f>
        <v>2631549.601990629</v>
      </c>
      <c r="E117" s="33">
        <f t="shared" ca="1" si="231"/>
        <v>54.974791666666668</v>
      </c>
      <c r="F117" s="33">
        <f t="shared" ca="1" si="231"/>
        <v>218.46562499999996</v>
      </c>
      <c r="G117" s="33">
        <f>'Monthly Data'!AD117</f>
        <v>887796.60117499996</v>
      </c>
      <c r="H117" s="8">
        <f>'Monthly Data'!BU117</f>
        <v>31</v>
      </c>
      <c r="I117" s="18">
        <f>'Monthly Data'!BX117</f>
        <v>0</v>
      </c>
      <c r="J117" s="30"/>
      <c r="L117" s="18">
        <f>'GS&lt;50 Predicted Monthly'!$V$8</f>
        <v>-2135516.9462582301</v>
      </c>
      <c r="M117" s="18">
        <f ca="1">E117*'GS&lt;50 Predicted Monthly'!$V$9</f>
        <v>103675.23456312333</v>
      </c>
      <c r="N117" s="18">
        <f ca="1">F117*'GS&lt;50 Predicted Monthly'!$V$10</f>
        <v>811135.43925963389</v>
      </c>
      <c r="O117" s="18">
        <f>G117*'GS&lt;50 Predicted Monthly'!$V$11</f>
        <v>2139159.1218064697</v>
      </c>
      <c r="P117" s="18">
        <f>H117*'GS&lt;50 Predicted Monthly'!$V$12</f>
        <v>1722828.0010148797</v>
      </c>
      <c r="Q117" s="18">
        <f>I117*'GS&lt;50 Predicted Monthly'!$V$13</f>
        <v>0</v>
      </c>
      <c r="R117" s="18">
        <f>J117*'GS&lt;50 Predicted Monthly'!$V$14</f>
        <v>0</v>
      </c>
      <c r="S117" s="20">
        <f t="shared" ca="1" si="161"/>
        <v>2641280.8503858764</v>
      </c>
      <c r="V117" s="18"/>
      <c r="W117" s="34"/>
      <c r="AJ117" s="33">
        <f t="shared" ref="AJ117" ca="1" si="238">AJ105</f>
        <v>49.124072238240799</v>
      </c>
      <c r="AK117" s="33">
        <f t="shared" ref="AK117" ca="1" si="239">AK105</f>
        <v>60.700143300459935</v>
      </c>
      <c r="AL117" s="33">
        <f t="shared" ca="1" si="226"/>
        <v>181.81222128543794</v>
      </c>
      <c r="AM117" s="33">
        <f t="shared" ca="1" si="226"/>
        <v>236.85918335026682</v>
      </c>
      <c r="AO117" s="18">
        <f ca="1">AJ117*'GS&lt;50 Predicted Monthly'!$V$9</f>
        <v>92641.546381402324</v>
      </c>
      <c r="AP117" s="18">
        <f ca="1">AK117*'GS&lt;50 Predicted Monthly'!$V$9</f>
        <v>114472.49555483322</v>
      </c>
      <c r="AQ117" s="18">
        <f ca="1">AL117*'GS&lt;50 Predicted Monthly'!$V$10</f>
        <v>675045.9527677797</v>
      </c>
      <c r="AR117" s="18">
        <f ca="1">AM117*'GS&lt;50 Predicted Monthly'!$V$10</f>
        <v>879428.41227079486</v>
      </c>
      <c r="AT117" s="31">
        <f t="shared" ca="1" si="127"/>
        <v>2494157.6757123014</v>
      </c>
      <c r="AU117" s="31">
        <f t="shared" ca="1" si="128"/>
        <v>2720371.0843887473</v>
      </c>
    </row>
    <row r="118" spans="1:47">
      <c r="A118" s="541">
        <f>'Monthly Data'!A118</f>
        <v>45901</v>
      </c>
      <c r="B118">
        <f t="shared" si="196"/>
        <v>2025</v>
      </c>
      <c r="C118">
        <f t="shared" si="197"/>
        <v>9</v>
      </c>
      <c r="D118" s="30">
        <f>'Monthly Data'!J118</f>
        <v>2310858.2305689845</v>
      </c>
      <c r="E118" s="33">
        <f t="shared" ca="1" si="231"/>
        <v>166.50624999999999</v>
      </c>
      <c r="F118" s="33">
        <f t="shared" ca="1" si="231"/>
        <v>95.131249999999994</v>
      </c>
      <c r="G118" s="33">
        <f>'Monthly Data'!AD118</f>
        <v>887796.60117499996</v>
      </c>
      <c r="H118" s="8">
        <f>'Monthly Data'!BU118</f>
        <v>30</v>
      </c>
      <c r="I118" s="18">
        <f>'Monthly Data'!BX118</f>
        <v>0</v>
      </c>
      <c r="J118" s="30"/>
      <c r="L118" s="18">
        <f>'GS&lt;50 Predicted Monthly'!$V$8</f>
        <v>-2135516.9462582301</v>
      </c>
      <c r="M118" s="18">
        <f ca="1">E118*'GS&lt;50 Predicted Monthly'!$V$9</f>
        <v>314008.9121145868</v>
      </c>
      <c r="N118" s="18">
        <f ca="1">F118*'GS&lt;50 Predicted Monthly'!$V$10</f>
        <v>353210.38838978927</v>
      </c>
      <c r="O118" s="18">
        <f>G118*'GS&lt;50 Predicted Monthly'!$V$11</f>
        <v>2139159.1218064697</v>
      </c>
      <c r="P118" s="18">
        <f>H118*'GS&lt;50 Predicted Monthly'!$V$12</f>
        <v>1667252.9042079481</v>
      </c>
      <c r="Q118" s="18">
        <f>I118*'GS&lt;50 Predicted Monthly'!$V$13</f>
        <v>0</v>
      </c>
      <c r="R118" s="18">
        <f>J118*'GS&lt;50 Predicted Monthly'!$V$14</f>
        <v>0</v>
      </c>
      <c r="S118" s="20">
        <f t="shared" ca="1" si="161"/>
        <v>2338114.3802605635</v>
      </c>
      <c r="V118" s="18"/>
      <c r="W118" s="34"/>
      <c r="AJ118" s="33">
        <f t="shared" ref="AJ118" ca="1" si="240">AJ106</f>
        <v>148.78573988445157</v>
      </c>
      <c r="AK118" s="33">
        <f t="shared" ref="AK118" ca="1" si="241">AK106</f>
        <v>183.84704932952829</v>
      </c>
      <c r="AL118" s="33">
        <f t="shared" ca="1" si="226"/>
        <v>79.170459316701752</v>
      </c>
      <c r="AM118" s="33">
        <f t="shared" ca="1" si="226"/>
        <v>103.14075812197032</v>
      </c>
      <c r="AO118" s="18">
        <f ca="1">AJ118*'GS&lt;50 Predicted Monthly'!$V$9</f>
        <v>280590.35813538847</v>
      </c>
      <c r="AP118" s="18">
        <f ca="1">AK118*'GS&lt;50 Predicted Monthly'!$V$9</f>
        <v>346711.3814372851</v>
      </c>
      <c r="AQ118" s="18">
        <f ca="1">AL118*'GS&lt;50 Predicted Monthly'!$V$10</f>
        <v>293949.9763143051</v>
      </c>
      <c r="AR118" s="18">
        <f ca="1">AM118*'GS&lt;50 Predicted Monthly'!$V$10</f>
        <v>382948.68652602012</v>
      </c>
      <c r="AT118" s="31">
        <f t="shared" ca="1" si="127"/>
        <v>2245435.4142058808</v>
      </c>
      <c r="AU118" s="31">
        <f t="shared" ca="1" si="128"/>
        <v>2400555.1477194927</v>
      </c>
    </row>
    <row r="119" spans="1:47">
      <c r="A119" s="541">
        <f>'Monthly Data'!A119</f>
        <v>45931</v>
      </c>
      <c r="B119">
        <f t="shared" si="196"/>
        <v>2025</v>
      </c>
      <c r="C119">
        <f t="shared" si="197"/>
        <v>10</v>
      </c>
      <c r="D119" s="30">
        <f>'Monthly Data'!J119</f>
        <v>2422413.8591473396</v>
      </c>
      <c r="E119" s="33">
        <f t="shared" ca="1" si="231"/>
        <v>363.47645833333326</v>
      </c>
      <c r="F119" s="33">
        <f t="shared" ca="1" si="231"/>
        <v>21.813750000000006</v>
      </c>
      <c r="G119" s="33">
        <f>'Monthly Data'!AD119</f>
        <v>887796.60117499996</v>
      </c>
      <c r="H119" s="8">
        <f>'Monthly Data'!BU119</f>
        <v>31</v>
      </c>
      <c r="I119" s="18">
        <f>'Monthly Data'!BX119</f>
        <v>0</v>
      </c>
      <c r="J119" s="30"/>
      <c r="L119" s="18">
        <f>'GS&lt;50 Predicted Monthly'!$V$8</f>
        <v>-2135516.9462582301</v>
      </c>
      <c r="M119" s="18">
        <f ca="1">E119*'GS&lt;50 Predicted Monthly'!$V$9</f>
        <v>685468.84732863132</v>
      </c>
      <c r="N119" s="18">
        <f ca="1">F119*'GS&lt;50 Predicted Monthly'!$V$10</f>
        <v>80991.715232773335</v>
      </c>
      <c r="O119" s="18">
        <f>G119*'GS&lt;50 Predicted Monthly'!$V$11</f>
        <v>2139159.1218064697</v>
      </c>
      <c r="P119" s="18">
        <f>H119*'GS&lt;50 Predicted Monthly'!$V$12</f>
        <v>1722828.0010148797</v>
      </c>
      <c r="Q119" s="18">
        <f>I119*'GS&lt;50 Predicted Monthly'!$V$13</f>
        <v>0</v>
      </c>
      <c r="R119" s="18">
        <f>J119*'GS&lt;50 Predicted Monthly'!$V$14</f>
        <v>0</v>
      </c>
      <c r="S119" s="20">
        <f t="shared" ca="1" si="161"/>
        <v>2492930.7391245235</v>
      </c>
      <c r="V119" s="18"/>
      <c r="W119" s="34"/>
      <c r="AJ119" s="33">
        <f t="shared" ref="AJ119" ca="1" si="242">AJ107</f>
        <v>324.79329624987065</v>
      </c>
      <c r="AK119" s="33">
        <f t="shared" ref="AK119" ca="1" si="243">AK107</f>
        <v>401.33072701673694</v>
      </c>
      <c r="AL119" s="33">
        <f t="shared" ca="1" si="226"/>
        <v>18.153914795818444</v>
      </c>
      <c r="AM119" s="33">
        <f t="shared" ca="1" si="226"/>
        <v>23.650343209861436</v>
      </c>
      <c r="AO119" s="18">
        <f ca="1">AJ119*'GS&lt;50 Predicted Monthly'!$V$9</f>
        <v>612517.48578526394</v>
      </c>
      <c r="AP119" s="18">
        <f ca="1">AK119*'GS&lt;50 Predicted Monthly'!$V$9</f>
        <v>756857.0248184785</v>
      </c>
      <c r="AQ119" s="18">
        <f ca="1">AL119*'GS&lt;50 Predicted Monthly'!$V$10</f>
        <v>67403.206578555153</v>
      </c>
      <c r="AR119" s="18">
        <f ca="1">AM119*'GS&lt;50 Predicted Monthly'!$V$10</f>
        <v>87810.755253473209</v>
      </c>
      <c r="AT119" s="31">
        <f t="shared" ca="1" si="127"/>
        <v>2406390.8689269377</v>
      </c>
      <c r="AU119" s="31">
        <f t="shared" ca="1" si="128"/>
        <v>2571137.9566350705</v>
      </c>
    </row>
    <row r="120" spans="1:47">
      <c r="A120" s="541">
        <f>'Monthly Data'!A120</f>
        <v>45962</v>
      </c>
      <c r="B120">
        <f t="shared" si="196"/>
        <v>2025</v>
      </c>
      <c r="C120">
        <f t="shared" si="197"/>
        <v>11</v>
      </c>
      <c r="D120" s="30">
        <f>'Monthly Data'!J120</f>
        <v>2843005.4877256947</v>
      </c>
      <c r="E120" s="33">
        <f t="shared" ca="1" si="231"/>
        <v>586.00395833333334</v>
      </c>
      <c r="F120" s="33">
        <f t="shared" ca="1" si="231"/>
        <v>2.2795833333333335</v>
      </c>
      <c r="G120" s="33">
        <f>'Monthly Data'!AD120</f>
        <v>887796.60117499996</v>
      </c>
      <c r="H120" s="8">
        <f>'Monthly Data'!BU120</f>
        <v>30</v>
      </c>
      <c r="I120" s="18">
        <f>'Monthly Data'!BX120</f>
        <v>0</v>
      </c>
      <c r="J120" s="30"/>
      <c r="L120" s="18">
        <f>'GS&lt;50 Predicted Monthly'!$V$8</f>
        <v>-2135516.9462582301</v>
      </c>
      <c r="M120" s="18">
        <f ca="1">E120*'GS&lt;50 Predicted Monthly'!$V$9</f>
        <v>1105126.4769406053</v>
      </c>
      <c r="N120" s="18">
        <f ca="1">F120*'GS&lt;50 Predicted Monthly'!$V$10</f>
        <v>8463.8067357840573</v>
      </c>
      <c r="O120" s="18">
        <f>G120*'GS&lt;50 Predicted Monthly'!$V$11</f>
        <v>2139159.1218064697</v>
      </c>
      <c r="P120" s="18">
        <f>H120*'GS&lt;50 Predicted Monthly'!$V$12</f>
        <v>1667252.9042079481</v>
      </c>
      <c r="Q120" s="18">
        <f>I120*'GS&lt;50 Predicted Monthly'!$V$13</f>
        <v>0</v>
      </c>
      <c r="R120" s="18">
        <f>J120*'GS&lt;50 Predicted Monthly'!$V$14</f>
        <v>0</v>
      </c>
      <c r="S120" s="20">
        <f t="shared" ca="1" si="161"/>
        <v>2784485.3634325769</v>
      </c>
      <c r="V120" s="18"/>
      <c r="W120" s="34"/>
      <c r="AJ120" s="33">
        <f t="shared" ref="AJ120" ca="1" si="244">AJ108</f>
        <v>523.63819685953126</v>
      </c>
      <c r="AK120" s="33">
        <f t="shared" ref="AK120" ca="1" si="245">AK108</f>
        <v>647.03336142041019</v>
      </c>
      <c r="AL120" s="33">
        <f t="shared" ca="1" si="226"/>
        <v>1.8971227598785685</v>
      </c>
      <c r="AM120" s="33">
        <f t="shared" ca="1" si="226"/>
        <v>2.4715112352902775</v>
      </c>
      <c r="AO120" s="18">
        <f ca="1">AJ120*'GS&lt;50 Predicted Monthly'!$V$9</f>
        <v>987512.84433770669</v>
      </c>
      <c r="AP120" s="18">
        <f ca="1">AK120*'GS&lt;50 Predicted Monthly'!$V$9</f>
        <v>1220219.913195254</v>
      </c>
      <c r="AQ120" s="18">
        <f ca="1">AL120*'GS&lt;50 Predicted Monthly'!$V$10</f>
        <v>7043.7786409809405</v>
      </c>
      <c r="AR120" s="18">
        <f ca="1">AM120*'GS&lt;50 Predicted Monthly'!$V$10</f>
        <v>9176.4109409537541</v>
      </c>
      <c r="AT120" s="31">
        <f t="shared" ca="1" si="127"/>
        <v>2665451.702734875</v>
      </c>
      <c r="AU120" s="31">
        <f t="shared" ca="1" si="128"/>
        <v>2900291.4038923951</v>
      </c>
    </row>
    <row r="121" spans="1:47">
      <c r="A121" s="541">
        <f>'Monthly Data'!A121</f>
        <v>45992</v>
      </c>
      <c r="B121">
        <f t="shared" si="196"/>
        <v>2025</v>
      </c>
      <c r="C121">
        <f t="shared" si="197"/>
        <v>12</v>
      </c>
      <c r="D121" s="30">
        <f>'Monthly Data'!J121</f>
        <v>3449857.1163040497</v>
      </c>
      <c r="E121" s="33">
        <f t="shared" ca="1" si="231"/>
        <v>812.36333333333334</v>
      </c>
      <c r="F121" s="33">
        <f t="shared" ca="1" si="231"/>
        <v>0</v>
      </c>
      <c r="G121" s="33">
        <f>'Monthly Data'!AD121</f>
        <v>887796.60117499996</v>
      </c>
      <c r="H121" s="8">
        <f>'Monthly Data'!BU121</f>
        <v>31</v>
      </c>
      <c r="I121" s="18">
        <f>'Monthly Data'!BX121</f>
        <v>0</v>
      </c>
      <c r="J121" s="30"/>
      <c r="L121" s="18">
        <f>'GS&lt;50 Predicted Monthly'!$V$8</f>
        <v>-2135516.9462582301</v>
      </c>
      <c r="M121" s="18">
        <f ca="1">E121*'GS&lt;50 Predicted Monthly'!$V$9</f>
        <v>1532010.5193755757</v>
      </c>
      <c r="N121" s="18">
        <f ca="1">F121*'GS&lt;50 Predicted Monthly'!$V$10</f>
        <v>0</v>
      </c>
      <c r="O121" s="18">
        <f>G121*'GS&lt;50 Predicted Monthly'!$V$11</f>
        <v>2139159.1218064697</v>
      </c>
      <c r="P121" s="18">
        <f>H121*'GS&lt;50 Predicted Monthly'!$V$12</f>
        <v>1722828.0010148797</v>
      </c>
      <c r="Q121" s="18">
        <f>I121*'GS&lt;50 Predicted Monthly'!$V$13</f>
        <v>0</v>
      </c>
      <c r="R121" s="18">
        <f>J121*'GS&lt;50 Predicted Monthly'!$V$14</f>
        <v>0</v>
      </c>
      <c r="S121" s="20">
        <f t="shared" ca="1" si="161"/>
        <v>3258480.6959386952</v>
      </c>
      <c r="V121" s="18"/>
      <c r="W121" s="34"/>
      <c r="AJ121" s="33">
        <f t="shared" ref="AJ121" ca="1" si="246">AJ109</f>
        <v>725.90716327464804</v>
      </c>
      <c r="AK121" s="33">
        <f t="shared" ref="AK121" ca="1" si="247">AK109</f>
        <v>896.96694158227319</v>
      </c>
      <c r="AL121" s="33">
        <f t="shared" ca="1" si="226"/>
        <v>0</v>
      </c>
      <c r="AM121" s="33">
        <f t="shared" ca="1" si="226"/>
        <v>0</v>
      </c>
      <c r="AO121" s="18">
        <f ca="1">AJ121*'GS&lt;50 Predicted Monthly'!$V$9</f>
        <v>1368965.5411497045</v>
      </c>
      <c r="AP121" s="18">
        <f ca="1">AK121*'GS&lt;50 Predicted Monthly'!$V$9</f>
        <v>1691561.809415549</v>
      </c>
      <c r="AQ121" s="18">
        <f ca="1">AL121*'GS&lt;50 Predicted Monthly'!$V$10</f>
        <v>0</v>
      </c>
      <c r="AR121" s="18">
        <f ca="1">AM121*'GS&lt;50 Predicted Monthly'!$V$10</f>
        <v>0</v>
      </c>
      <c r="AT121" s="31">
        <f t="shared" ca="1" si="127"/>
        <v>3095435.7177128242</v>
      </c>
      <c r="AU121" s="31">
        <f t="shared" ca="1" si="128"/>
        <v>3418031.9859786686</v>
      </c>
    </row>
    <row r="122" spans="1:47">
      <c r="A122" s="541">
        <f>EOMONTH(A121,0)+1</f>
        <v>46023</v>
      </c>
      <c r="B122">
        <f t="shared" si="196"/>
        <v>2026</v>
      </c>
      <c r="C122">
        <f t="shared" si="197"/>
        <v>1</v>
      </c>
      <c r="D122" s="30"/>
      <c r="E122" s="264">
        <f t="shared" ca="1" si="231"/>
        <v>914.55166666666662</v>
      </c>
      <c r="F122" s="264">
        <f t="shared" ca="1" si="231"/>
        <v>0</v>
      </c>
      <c r="G122" s="508">
        <f>Economic!H124</f>
        <v>895342.87228498736</v>
      </c>
      <c r="H122" s="264">
        <f>H74</f>
        <v>31</v>
      </c>
      <c r="I122" s="264">
        <f t="shared" ref="I122:I133" si="248">I110</f>
        <v>0</v>
      </c>
      <c r="J122" s="82"/>
      <c r="L122" s="18">
        <f>'GS&lt;50 Predicted Monthly'!$V$8</f>
        <v>-2135516.9462582301</v>
      </c>
      <c r="M122" s="18">
        <f ca="1">E122*'GS&lt;50 Predicted Monthly'!$V$9</f>
        <v>1724724.2906652587</v>
      </c>
      <c r="N122" s="18">
        <f ca="1">F122*'GS&lt;50 Predicted Monthly'!$V$10</f>
        <v>0</v>
      </c>
      <c r="O122" s="18">
        <f>G122*'GS&lt;50 Predicted Monthly'!$V$11</f>
        <v>2157341.9743418242</v>
      </c>
      <c r="P122" s="18">
        <f>H122*'GS&lt;50 Predicted Monthly'!$V$12</f>
        <v>1722828.0010148797</v>
      </c>
      <c r="Q122" s="18">
        <f>I122*'GS&lt;50 Predicted Monthly'!$V$13</f>
        <v>0</v>
      </c>
      <c r="R122" s="18">
        <f>J122*'GS&lt;50 Predicted Monthly'!$V$14</f>
        <v>0</v>
      </c>
      <c r="S122" s="20">
        <f t="shared" ca="1" si="161"/>
        <v>3469377.3197637321</v>
      </c>
      <c r="U122" s="30"/>
      <c r="V122" s="18"/>
      <c r="W122" s="34"/>
      <c r="AJ122" s="33">
        <f t="shared" ref="AJ122" ca="1" si="249">AJ110</f>
        <v>817.22005262600237</v>
      </c>
      <c r="AK122" s="33">
        <f t="shared" ref="AK122" ca="1" si="250">AK110</f>
        <v>1009.7976825258449</v>
      </c>
      <c r="AL122" s="33">
        <f t="shared" ca="1" si="226"/>
        <v>0</v>
      </c>
      <c r="AM122" s="33">
        <f t="shared" ca="1" si="226"/>
        <v>0</v>
      </c>
      <c r="AO122" s="18">
        <f ca="1">AJ122*'GS&lt;50 Predicted Monthly'!$V$9</f>
        <v>1541169.6538917692</v>
      </c>
      <c r="AP122" s="18">
        <f ca="1">AK122*'GS&lt;50 Predicted Monthly'!$V$9</f>
        <v>1904345.7632717781</v>
      </c>
      <c r="AQ122" s="18">
        <f ca="1">AL122*'GS&lt;50 Predicted Monthly'!$V$10</f>
        <v>0</v>
      </c>
      <c r="AR122" s="18">
        <f ca="1">AM122*'GS&lt;50 Predicted Monthly'!$V$10</f>
        <v>0</v>
      </c>
      <c r="AT122" s="31">
        <f t="shared" ca="1" si="127"/>
        <v>3285822.6829902427</v>
      </c>
      <c r="AU122" s="31">
        <f t="shared" ca="1" si="128"/>
        <v>3648998.7923702514</v>
      </c>
    </row>
    <row r="123" spans="1:47">
      <c r="A123" s="541">
        <f t="shared" ref="A123:A145" si="251">EOMONTH(A122,0)+1</f>
        <v>46054</v>
      </c>
      <c r="B123">
        <f t="shared" si="196"/>
        <v>2026</v>
      </c>
      <c r="C123">
        <f t="shared" si="197"/>
        <v>2</v>
      </c>
      <c r="D123" s="30"/>
      <c r="E123" s="264">
        <f t="shared" ca="1" si="231"/>
        <v>803.82854166666664</v>
      </c>
      <c r="F123" s="264">
        <f t="shared" ca="1" si="231"/>
        <v>0</v>
      </c>
      <c r="G123" s="508">
        <f>Economic!H125</f>
        <v>895342.87228498736</v>
      </c>
      <c r="H123" s="264">
        <f t="shared" ref="H123:H145" si="252">H75</f>
        <v>29</v>
      </c>
      <c r="I123" s="264">
        <f t="shared" si="248"/>
        <v>0</v>
      </c>
      <c r="J123" s="82"/>
      <c r="L123" s="18">
        <f>'GS&lt;50 Predicted Monthly'!$V$8</f>
        <v>-2135516.9462582301</v>
      </c>
      <c r="M123" s="18">
        <f ca="1">E123*'GS&lt;50 Predicted Monthly'!$V$9</f>
        <v>1515915.0235826271</v>
      </c>
      <c r="N123" s="18">
        <f ca="1">F123*'GS&lt;50 Predicted Monthly'!$V$10</f>
        <v>0</v>
      </c>
      <c r="O123" s="18">
        <f>G123*'GS&lt;50 Predicted Monthly'!$V$11</f>
        <v>2157341.9743418242</v>
      </c>
      <c r="P123" s="18">
        <f>H123*'GS&lt;50 Predicted Monthly'!$V$12</f>
        <v>1611677.8074010164</v>
      </c>
      <c r="Q123" s="18">
        <f>I123*'GS&lt;50 Predicted Monthly'!$V$13</f>
        <v>0</v>
      </c>
      <c r="R123" s="18">
        <f>J123*'GS&lt;50 Predicted Monthly'!$V$14</f>
        <v>0</v>
      </c>
      <c r="S123" s="20">
        <f t="shared" ca="1" si="161"/>
        <v>3149417.8590672375</v>
      </c>
      <c r="U123" s="30"/>
      <c r="V123" s="18"/>
      <c r="W123" s="34"/>
      <c r="AJ123" s="33">
        <f t="shared" ref="AJ123" ca="1" si="253">AJ111</f>
        <v>718.28069103781206</v>
      </c>
      <c r="AK123" s="33">
        <f t="shared" ref="AK123" ca="1" si="254">AK111</f>
        <v>887.54329373386554</v>
      </c>
      <c r="AL123" s="33">
        <f t="shared" ca="1" si="226"/>
        <v>0</v>
      </c>
      <c r="AM123" s="33">
        <f t="shared" ca="1" si="226"/>
        <v>0</v>
      </c>
      <c r="AO123" s="18">
        <f ca="1">AJ123*'GS&lt;50 Predicted Monthly'!$V$9</f>
        <v>1354583.0164675321</v>
      </c>
      <c r="AP123" s="18">
        <f ca="1">AK123*'GS&lt;50 Predicted Monthly'!$V$9</f>
        <v>1673790.047640664</v>
      </c>
      <c r="AQ123" s="18">
        <f ca="1">AL123*'GS&lt;50 Predicted Monthly'!$V$10</f>
        <v>0</v>
      </c>
      <c r="AR123" s="18">
        <f ca="1">AM123*'GS&lt;50 Predicted Monthly'!$V$10</f>
        <v>0</v>
      </c>
      <c r="AT123" s="31">
        <f t="shared" ca="1" si="127"/>
        <v>2988085.8519521425</v>
      </c>
      <c r="AU123" s="31">
        <f t="shared" ca="1" si="128"/>
        <v>3307292.8831252744</v>
      </c>
    </row>
    <row r="124" spans="1:47">
      <c r="A124" s="541">
        <f t="shared" si="251"/>
        <v>46082</v>
      </c>
      <c r="B124">
        <f t="shared" si="196"/>
        <v>2026</v>
      </c>
      <c r="C124">
        <f t="shared" si="197"/>
        <v>3</v>
      </c>
      <c r="D124" s="30"/>
      <c r="E124" s="264">
        <f t="shared" ca="1" si="231"/>
        <v>698.29604166666672</v>
      </c>
      <c r="F124" s="264">
        <f t="shared" ca="1" si="231"/>
        <v>0</v>
      </c>
      <c r="G124" s="508">
        <f>Economic!H126</f>
        <v>895342.87228498736</v>
      </c>
      <c r="H124" s="264">
        <f t="shared" si="252"/>
        <v>31</v>
      </c>
      <c r="I124" s="264">
        <f t="shared" si="248"/>
        <v>0</v>
      </c>
      <c r="J124" s="82"/>
      <c r="L124" s="18">
        <f>'GS&lt;50 Predicted Monthly'!$V$8</f>
        <v>-2135516.9462582301</v>
      </c>
      <c r="M124" s="18">
        <f ca="1">E124*'GS&lt;50 Predicted Monthly'!$V$9</f>
        <v>1316894.5933120961</v>
      </c>
      <c r="N124" s="18">
        <f ca="1">F124*'GS&lt;50 Predicted Monthly'!$V$10</f>
        <v>0</v>
      </c>
      <c r="O124" s="18">
        <f>G124*'GS&lt;50 Predicted Monthly'!$V$11</f>
        <v>2157341.9743418242</v>
      </c>
      <c r="P124" s="18">
        <f>H124*'GS&lt;50 Predicted Monthly'!$V$12</f>
        <v>1722828.0010148797</v>
      </c>
      <c r="Q124" s="18">
        <f>I124*'GS&lt;50 Predicted Monthly'!$V$13</f>
        <v>0</v>
      </c>
      <c r="R124" s="18">
        <f>J124*'GS&lt;50 Predicted Monthly'!$V$14</f>
        <v>0</v>
      </c>
      <c r="S124" s="20">
        <f t="shared" ca="1" si="161"/>
        <v>3061547.6224105698</v>
      </c>
      <c r="U124" s="30"/>
      <c r="AJ124" s="33">
        <f t="shared" ref="AJ124" ca="1" si="255">AJ112</f>
        <v>623.97953961343092</v>
      </c>
      <c r="AK124" s="33">
        <f t="shared" ref="AK124" ca="1" si="256">AK112</f>
        <v>771.02010776716202</v>
      </c>
      <c r="AL124" s="33">
        <f t="shared" ca="1" si="226"/>
        <v>0</v>
      </c>
      <c r="AM124" s="33">
        <f t="shared" ca="1" si="226"/>
        <v>0</v>
      </c>
      <c r="AO124" s="18">
        <f ca="1">AJ124*'GS&lt;50 Predicted Monthly'!$V$9</f>
        <v>1176743.4340499181</v>
      </c>
      <c r="AP124" s="18">
        <f ca="1">AK124*'GS&lt;50 Predicted Monthly'!$V$9</f>
        <v>1454042.6275796737</v>
      </c>
      <c r="AQ124" s="18">
        <f ca="1">AL124*'GS&lt;50 Predicted Monthly'!$V$10</f>
        <v>0</v>
      </c>
      <c r="AR124" s="18">
        <f ca="1">AM124*'GS&lt;50 Predicted Monthly'!$V$10</f>
        <v>0</v>
      </c>
      <c r="AT124" s="31">
        <f t="shared" ca="1" si="127"/>
        <v>2921396.4631483918</v>
      </c>
      <c r="AU124" s="31">
        <f t="shared" ca="1" si="128"/>
        <v>3198695.6566781476</v>
      </c>
    </row>
    <row r="125" spans="1:47">
      <c r="A125" s="541">
        <f t="shared" si="251"/>
        <v>46113</v>
      </c>
      <c r="B125">
        <f t="shared" si="196"/>
        <v>2026</v>
      </c>
      <c r="C125">
        <f t="shared" si="197"/>
        <v>4</v>
      </c>
      <c r="D125" s="30"/>
      <c r="E125" s="264">
        <f t="shared" ca="1" si="231"/>
        <v>468.60374999999993</v>
      </c>
      <c r="F125" s="264">
        <f t="shared" ca="1" si="231"/>
        <v>2.8104166666666677</v>
      </c>
      <c r="G125" s="508">
        <f>Economic!H127</f>
        <v>895342.87228498736</v>
      </c>
      <c r="H125" s="264">
        <f t="shared" si="252"/>
        <v>30</v>
      </c>
      <c r="I125" s="264">
        <f t="shared" si="248"/>
        <v>0</v>
      </c>
      <c r="J125" s="82"/>
      <c r="L125" s="18">
        <f>'GS&lt;50 Predicted Monthly'!$V$8</f>
        <v>-2135516.9462582301</v>
      </c>
      <c r="M125" s="18">
        <f ca="1">E125*'GS&lt;50 Predicted Monthly'!$V$9</f>
        <v>883725.10791826609</v>
      </c>
      <c r="N125" s="18">
        <f ca="1">F125*'GS&lt;50 Predicted Monthly'!$V$10</f>
        <v>10434.724261170442</v>
      </c>
      <c r="O125" s="18">
        <f>G125*'GS&lt;50 Predicted Monthly'!$V$11</f>
        <v>2157341.9743418242</v>
      </c>
      <c r="P125" s="18">
        <f>H125*'GS&lt;50 Predicted Monthly'!$V$12</f>
        <v>1667252.9042079481</v>
      </c>
      <c r="Q125" s="18">
        <f>I125*'GS&lt;50 Predicted Monthly'!$V$13</f>
        <v>0</v>
      </c>
      <c r="R125" s="18">
        <f>J125*'GS&lt;50 Predicted Monthly'!$V$14</f>
        <v>0</v>
      </c>
      <c r="S125" s="20">
        <f t="shared" ca="1" si="161"/>
        <v>2583237.7644709786</v>
      </c>
      <c r="U125" s="30"/>
      <c r="V125" s="18"/>
      <c r="AJ125" s="33">
        <f t="shared" ref="AJ125" ca="1" si="257">AJ113</f>
        <v>418.73236383846591</v>
      </c>
      <c r="AK125" s="33">
        <f t="shared" ref="AK125" ca="1" si="258">AK113</f>
        <v>517.40650421381736</v>
      </c>
      <c r="AL125" s="33">
        <f t="shared" ca="1" si="226"/>
        <v>2.33889472041326</v>
      </c>
      <c r="AM125" s="33">
        <f t="shared" ca="1" si="226"/>
        <v>3.0470377046304016</v>
      </c>
      <c r="AO125" s="18">
        <f ca="1">AJ125*'GS&lt;50 Predicted Monthly'!$V$9</f>
        <v>789674.22565871268</v>
      </c>
      <c r="AP125" s="18">
        <f ca="1">AK125*'GS&lt;50 Predicted Monthly'!$V$9</f>
        <v>975760.69071997097</v>
      </c>
      <c r="AQ125" s="18">
        <f ca="1">AL125*'GS&lt;50 Predicted Monthly'!$V$10</f>
        <v>8684.0224700084891</v>
      </c>
      <c r="AR125" s="18">
        <f ca="1">AM125*'GS&lt;50 Predicted Monthly'!$V$10</f>
        <v>11313.26846951802</v>
      </c>
      <c r="AT125" s="31">
        <f t="shared" ca="1" si="127"/>
        <v>2487436.1804202632</v>
      </c>
      <c r="AU125" s="31">
        <f t="shared" ca="1" si="128"/>
        <v>2676151.8914810312</v>
      </c>
    </row>
    <row r="126" spans="1:47">
      <c r="A126" s="541">
        <f t="shared" si="251"/>
        <v>46143</v>
      </c>
      <c r="B126">
        <f t="shared" si="196"/>
        <v>2026</v>
      </c>
      <c r="C126">
        <f t="shared" si="197"/>
        <v>5</v>
      </c>
      <c r="D126" s="30"/>
      <c r="E126" s="264">
        <f t="shared" ca="1" si="231"/>
        <v>232.88687500000006</v>
      </c>
      <c r="F126" s="264">
        <f t="shared" ca="1" si="231"/>
        <v>74.673124999999999</v>
      </c>
      <c r="G126" s="508">
        <f>Economic!H128</f>
        <v>895342.87228498736</v>
      </c>
      <c r="H126" s="264">
        <f t="shared" si="252"/>
        <v>31</v>
      </c>
      <c r="I126" s="264">
        <f t="shared" si="248"/>
        <v>0</v>
      </c>
      <c r="J126" s="82"/>
      <c r="L126" s="18">
        <f>'GS&lt;50 Predicted Monthly'!$V$8</f>
        <v>-2135516.9462582301</v>
      </c>
      <c r="M126" s="18">
        <f ca="1">E126*'GS&lt;50 Predicted Monthly'!$V$9</f>
        <v>439194.04986008507</v>
      </c>
      <c r="N126" s="18">
        <f ca="1">F126*'GS&lt;50 Predicted Monthly'!$V$10</f>
        <v>277251.93859566946</v>
      </c>
      <c r="O126" s="18">
        <f>G126*'GS&lt;50 Predicted Monthly'!$V$11</f>
        <v>2157341.9743418242</v>
      </c>
      <c r="P126" s="18">
        <f>H126*'GS&lt;50 Predicted Monthly'!$V$12</f>
        <v>1722828.0010148797</v>
      </c>
      <c r="Q126" s="18">
        <f>I126*'GS&lt;50 Predicted Monthly'!$V$13</f>
        <v>0</v>
      </c>
      <c r="R126" s="18">
        <f>J126*'GS&lt;50 Predicted Monthly'!$V$14</f>
        <v>0</v>
      </c>
      <c r="S126" s="20">
        <f t="shared" ca="1" si="161"/>
        <v>2461099.0175542282</v>
      </c>
      <c r="U126" s="30"/>
      <c r="V126" s="18"/>
      <c r="AJ126" s="33">
        <f t="shared" ref="AJ126" ca="1" si="259">AJ114</f>
        <v>208.10177399498693</v>
      </c>
      <c r="AK126" s="33">
        <f t="shared" ref="AK126" ca="1" si="260">AK114</f>
        <v>257.1408868815717</v>
      </c>
      <c r="AL126" s="33">
        <f t="shared" ca="1" si="226"/>
        <v>62.144727467193846</v>
      </c>
      <c r="AM126" s="33">
        <f t="shared" ca="1" si="226"/>
        <v>80.960175797507716</v>
      </c>
      <c r="AO126" s="18">
        <f ca="1">AJ126*'GS&lt;50 Predicted Monthly'!$V$9</f>
        <v>392452.60560057929</v>
      </c>
      <c r="AP126" s="18">
        <f ca="1">AK126*'GS&lt;50 Predicted Monthly'!$V$9</f>
        <v>484933.92980661301</v>
      </c>
      <c r="AQ126" s="18">
        <f ca="1">AL126*'GS&lt;50 Predicted Monthly'!$V$10</f>
        <v>230735.57138232855</v>
      </c>
      <c r="AR126" s="18">
        <f ca="1">AM126*'GS&lt;50 Predicted Monthly'!$V$10</f>
        <v>300594.96892496751</v>
      </c>
      <c r="AT126" s="31">
        <f t="shared" ca="1" si="127"/>
        <v>2367841.2060813815</v>
      </c>
      <c r="AU126" s="31">
        <f t="shared" ca="1" si="128"/>
        <v>2530181.927830054</v>
      </c>
    </row>
    <row r="127" spans="1:47">
      <c r="A127" s="541">
        <f t="shared" si="251"/>
        <v>46174</v>
      </c>
      <c r="B127">
        <f t="shared" si="196"/>
        <v>2026</v>
      </c>
      <c r="C127">
        <f t="shared" si="197"/>
        <v>6</v>
      </c>
      <c r="D127" s="30"/>
      <c r="E127" s="264">
        <f t="shared" ca="1" si="231"/>
        <v>92.751249999999999</v>
      </c>
      <c r="F127" s="264">
        <f t="shared" ca="1" si="231"/>
        <v>169.78833333333333</v>
      </c>
      <c r="G127" s="508">
        <f>Economic!H129</f>
        <v>895342.87228498736</v>
      </c>
      <c r="H127" s="264">
        <f t="shared" si="252"/>
        <v>30</v>
      </c>
      <c r="I127" s="264">
        <f t="shared" si="248"/>
        <v>0</v>
      </c>
      <c r="J127" s="82"/>
      <c r="L127" s="18">
        <f>'GS&lt;50 Predicted Monthly'!$V$8</f>
        <v>-2135516.9462582301</v>
      </c>
      <c r="M127" s="18">
        <f ca="1">E127*'GS&lt;50 Predicted Monthly'!$V$9</f>
        <v>174916.67195536545</v>
      </c>
      <c r="N127" s="18">
        <f ca="1">F127*'GS&lt;50 Predicted Monthly'!$V$10</f>
        <v>630402.76629101019</v>
      </c>
      <c r="O127" s="18">
        <f>G127*'GS&lt;50 Predicted Monthly'!$V$11</f>
        <v>2157341.9743418242</v>
      </c>
      <c r="P127" s="18">
        <f>H127*'GS&lt;50 Predicted Monthly'!$V$12</f>
        <v>1667252.9042079481</v>
      </c>
      <c r="Q127" s="18">
        <f>I127*'GS&lt;50 Predicted Monthly'!$V$13</f>
        <v>0</v>
      </c>
      <c r="R127" s="18">
        <f>J127*'GS&lt;50 Predicted Monthly'!$V$14</f>
        <v>0</v>
      </c>
      <c r="S127" s="20">
        <f t="shared" ca="1" si="161"/>
        <v>2494397.3705379181</v>
      </c>
      <c r="U127" s="30"/>
      <c r="V127" s="18"/>
      <c r="AJ127" s="33">
        <f t="shared" ref="AJ127" ca="1" si="261">AJ115</f>
        <v>82.880152285321046</v>
      </c>
      <c r="AK127" s="33">
        <f t="shared" ref="AK127" ca="1" si="262">AK115</f>
        <v>102.41083223077457</v>
      </c>
      <c r="AL127" s="33">
        <f t="shared" ref="AL127:AM142" ca="1" si="263">AL115</f>
        <v>141.30183653234096</v>
      </c>
      <c r="AM127" s="33">
        <f t="shared" ca="1" si="263"/>
        <v>184.0835416360639</v>
      </c>
      <c r="AO127" s="18">
        <f ca="1">AJ127*'GS&lt;50 Predicted Monthly'!$V$9</f>
        <v>156301.07851810337</v>
      </c>
      <c r="AP127" s="18">
        <f ca="1">AK127*'GS&lt;50 Predicted Monthly'!$V$9</f>
        <v>193133.37497862687</v>
      </c>
      <c r="AQ127" s="18">
        <f ca="1">AL127*'GS&lt;50 Predicted Monthly'!$V$10</f>
        <v>524635.97988861345</v>
      </c>
      <c r="AR127" s="18">
        <f ca="1">AM127*'GS&lt;50 Predicted Monthly'!$V$10</f>
        <v>683479.08008611342</v>
      </c>
      <c r="AT127" s="31">
        <f t="shared" ca="1" si="127"/>
        <v>2370014.9906982593</v>
      </c>
      <c r="AU127" s="31">
        <f t="shared" ca="1" si="128"/>
        <v>2565690.3873562827</v>
      </c>
    </row>
    <row r="128" spans="1:47">
      <c r="A128" s="541">
        <f t="shared" si="251"/>
        <v>46204</v>
      </c>
      <c r="B128">
        <f t="shared" si="196"/>
        <v>2026</v>
      </c>
      <c r="C128">
        <f t="shared" si="197"/>
        <v>7</v>
      </c>
      <c r="D128" s="30"/>
      <c r="E128" s="264">
        <f t="shared" ca="1" si="231"/>
        <v>25.464999999999996</v>
      </c>
      <c r="F128" s="264">
        <f t="shared" ca="1" si="231"/>
        <v>265.99625000000003</v>
      </c>
      <c r="G128" s="508">
        <f>Economic!H130</f>
        <v>895342.87228498736</v>
      </c>
      <c r="H128" s="264">
        <f t="shared" si="252"/>
        <v>31</v>
      </c>
      <c r="I128" s="264">
        <f t="shared" si="248"/>
        <v>0</v>
      </c>
      <c r="J128" s="82"/>
      <c r="L128" s="18">
        <f>'GS&lt;50 Predicted Monthly'!$V$8</f>
        <v>-2135516.9462582301</v>
      </c>
      <c r="M128" s="18">
        <f ca="1">E128*'GS&lt;50 Predicted Monthly'!$V$9</f>
        <v>48023.644439760981</v>
      </c>
      <c r="N128" s="18">
        <f ca="1">F128*'GS&lt;50 Predicted Monthly'!$V$10</f>
        <v>987610.68284845934</v>
      </c>
      <c r="O128" s="18">
        <f>G128*'GS&lt;50 Predicted Monthly'!$V$11</f>
        <v>2157341.9743418242</v>
      </c>
      <c r="P128" s="18">
        <f>H128*'GS&lt;50 Predicted Monthly'!$V$12</f>
        <v>1722828.0010148797</v>
      </c>
      <c r="Q128" s="18">
        <f>I128*'GS&lt;50 Predicted Monthly'!$V$13</f>
        <v>0</v>
      </c>
      <c r="R128" s="18">
        <f>J128*'GS&lt;50 Predicted Monthly'!$V$14</f>
        <v>0</v>
      </c>
      <c r="S128" s="20">
        <f t="shared" ref="S128:S133" ca="1" si="264">SUM(L128:R128)</f>
        <v>2780287.3563866941</v>
      </c>
      <c r="V128" s="18"/>
      <c r="AJ128" s="33">
        <f t="shared" ref="AJ128" ca="1" si="265">AJ116</f>
        <v>22.754874763905612</v>
      </c>
      <c r="AK128" s="33">
        <f t="shared" ref="AK128" ca="1" si="266">AK116</f>
        <v>28.117053330889604</v>
      </c>
      <c r="AL128" s="33">
        <f t="shared" ca="1" si="263"/>
        <v>221.36832312221517</v>
      </c>
      <c r="AM128" s="33">
        <f t="shared" ca="1" si="263"/>
        <v>288.39161561107579</v>
      </c>
      <c r="AO128" s="18">
        <f ca="1">AJ128*'GS&lt;50 Predicted Monthly'!$V$9</f>
        <v>42912.704297392243</v>
      </c>
      <c r="AP128" s="18">
        <f ca="1">AK128*'GS&lt;50 Predicted Monthly'!$V$9</f>
        <v>53025.068598328675</v>
      </c>
      <c r="AQ128" s="18">
        <f ca="1">AL128*'GS&lt;50 Predicted Monthly'!$V$10</f>
        <v>821912.7929801615</v>
      </c>
      <c r="AR128" s="18">
        <f ca="1">AM128*'GS&lt;50 Predicted Monthly'!$V$10</f>
        <v>1070761.8638286251</v>
      </c>
      <c r="AT128" s="31">
        <f t="shared" ca="1" si="127"/>
        <v>2609478.5263760276</v>
      </c>
      <c r="AU128" s="31">
        <f t="shared" ca="1" si="128"/>
        <v>2868439.9615254272</v>
      </c>
    </row>
    <row r="129" spans="1:47">
      <c r="A129" s="541">
        <f t="shared" si="251"/>
        <v>46235</v>
      </c>
      <c r="B129">
        <f t="shared" si="196"/>
        <v>2026</v>
      </c>
      <c r="C129">
        <f t="shared" si="197"/>
        <v>8</v>
      </c>
      <c r="D129" s="30"/>
      <c r="E129" s="264">
        <f t="shared" ca="1" si="231"/>
        <v>54.974791666666668</v>
      </c>
      <c r="F129" s="264">
        <f t="shared" ca="1" si="231"/>
        <v>218.46562499999996</v>
      </c>
      <c r="G129" s="508">
        <f>Economic!H131</f>
        <v>895342.87228498736</v>
      </c>
      <c r="H129" s="264">
        <f t="shared" si="252"/>
        <v>31</v>
      </c>
      <c r="I129" s="264">
        <f t="shared" si="248"/>
        <v>0</v>
      </c>
      <c r="J129" s="82"/>
      <c r="L129" s="18">
        <f>'GS&lt;50 Predicted Monthly'!$V$8</f>
        <v>-2135516.9462582301</v>
      </c>
      <c r="M129" s="18">
        <f ca="1">E129*'GS&lt;50 Predicted Monthly'!$V$9</f>
        <v>103675.23456312333</v>
      </c>
      <c r="N129" s="18">
        <f ca="1">F129*'GS&lt;50 Predicted Monthly'!$V$10</f>
        <v>811135.43925963389</v>
      </c>
      <c r="O129" s="18">
        <f>G129*'GS&lt;50 Predicted Monthly'!$V$11</f>
        <v>2157341.9743418242</v>
      </c>
      <c r="P129" s="18">
        <f>H129*'GS&lt;50 Predicted Monthly'!$V$12</f>
        <v>1722828.0010148797</v>
      </c>
      <c r="Q129" s="18">
        <f>I129*'GS&lt;50 Predicted Monthly'!$V$13</f>
        <v>0</v>
      </c>
      <c r="R129" s="18">
        <f>J129*'GS&lt;50 Predicted Monthly'!$V$14</f>
        <v>0</v>
      </c>
      <c r="S129" s="20">
        <f t="shared" ca="1" si="264"/>
        <v>2659463.7029212313</v>
      </c>
      <c r="V129" s="18"/>
      <c r="AJ129" s="33">
        <f t="shared" ref="AJ129" ca="1" si="267">AJ117</f>
        <v>49.124072238240799</v>
      </c>
      <c r="AK129" s="33">
        <f t="shared" ref="AK129" ca="1" si="268">AK117</f>
        <v>60.700143300459935</v>
      </c>
      <c r="AL129" s="33">
        <f t="shared" ca="1" si="263"/>
        <v>181.81222128543794</v>
      </c>
      <c r="AM129" s="33">
        <f t="shared" ca="1" si="263"/>
        <v>236.85918335026682</v>
      </c>
      <c r="AO129" s="18">
        <f ca="1">AJ129*'GS&lt;50 Predicted Monthly'!$V$9</f>
        <v>92641.546381402324</v>
      </c>
      <c r="AP129" s="18">
        <f ca="1">AK129*'GS&lt;50 Predicted Monthly'!$V$9</f>
        <v>114472.49555483322</v>
      </c>
      <c r="AQ129" s="18">
        <f ca="1">AL129*'GS&lt;50 Predicted Monthly'!$V$10</f>
        <v>675045.9527677797</v>
      </c>
      <c r="AR129" s="18">
        <f ca="1">AM129*'GS&lt;50 Predicted Monthly'!$V$10</f>
        <v>879428.41227079486</v>
      </c>
      <c r="AT129" s="31">
        <f t="shared" ca="1" si="127"/>
        <v>2512340.5282476563</v>
      </c>
      <c r="AU129" s="31">
        <f t="shared" ca="1" si="128"/>
        <v>2738553.9369241023</v>
      </c>
    </row>
    <row r="130" spans="1:47">
      <c r="A130" s="541">
        <f t="shared" si="251"/>
        <v>46266</v>
      </c>
      <c r="B130">
        <f t="shared" si="196"/>
        <v>2026</v>
      </c>
      <c r="C130">
        <f t="shared" si="197"/>
        <v>9</v>
      </c>
      <c r="D130" s="30"/>
      <c r="E130" s="264">
        <f t="shared" ca="1" si="231"/>
        <v>166.50624999999999</v>
      </c>
      <c r="F130" s="264">
        <f t="shared" ca="1" si="231"/>
        <v>95.131249999999994</v>
      </c>
      <c r="G130" s="508">
        <f>Economic!H132</f>
        <v>895342.87228498736</v>
      </c>
      <c r="H130" s="264">
        <f t="shared" si="252"/>
        <v>30</v>
      </c>
      <c r="I130" s="264">
        <f t="shared" si="248"/>
        <v>0</v>
      </c>
      <c r="J130" s="82"/>
      <c r="L130" s="18">
        <f>'GS&lt;50 Predicted Monthly'!$V$8</f>
        <v>-2135516.9462582301</v>
      </c>
      <c r="M130" s="18">
        <f ca="1">E130*'GS&lt;50 Predicted Monthly'!$V$9</f>
        <v>314008.9121145868</v>
      </c>
      <c r="N130" s="18">
        <f ca="1">F130*'GS&lt;50 Predicted Monthly'!$V$10</f>
        <v>353210.38838978927</v>
      </c>
      <c r="O130" s="18">
        <f>G130*'GS&lt;50 Predicted Monthly'!$V$11</f>
        <v>2157341.9743418242</v>
      </c>
      <c r="P130" s="18">
        <f>H130*'GS&lt;50 Predicted Monthly'!$V$12</f>
        <v>1667252.9042079481</v>
      </c>
      <c r="Q130" s="18">
        <f>I130*'GS&lt;50 Predicted Monthly'!$V$13</f>
        <v>0</v>
      </c>
      <c r="R130" s="18">
        <f>J130*'GS&lt;50 Predicted Monthly'!$V$14</f>
        <v>0</v>
      </c>
      <c r="S130" s="20">
        <f t="shared" ca="1" si="264"/>
        <v>2356297.2327959184</v>
      </c>
      <c r="V130" s="18"/>
      <c r="AJ130" s="33">
        <f t="shared" ref="AJ130" ca="1" si="269">AJ118</f>
        <v>148.78573988445157</v>
      </c>
      <c r="AK130" s="33">
        <f t="shared" ref="AK130" ca="1" si="270">AK118</f>
        <v>183.84704932952829</v>
      </c>
      <c r="AL130" s="33">
        <f t="shared" ca="1" si="263"/>
        <v>79.170459316701752</v>
      </c>
      <c r="AM130" s="33">
        <f t="shared" ca="1" si="263"/>
        <v>103.14075812197032</v>
      </c>
      <c r="AO130" s="18">
        <f ca="1">AJ130*'GS&lt;50 Predicted Monthly'!$V$9</f>
        <v>280590.35813538847</v>
      </c>
      <c r="AP130" s="18">
        <f ca="1">AK130*'GS&lt;50 Predicted Monthly'!$V$9</f>
        <v>346711.3814372851</v>
      </c>
      <c r="AQ130" s="18">
        <f ca="1">AL130*'GS&lt;50 Predicted Monthly'!$V$10</f>
        <v>293949.9763143051</v>
      </c>
      <c r="AR130" s="18">
        <f ca="1">AM130*'GS&lt;50 Predicted Monthly'!$V$10</f>
        <v>382948.68652602012</v>
      </c>
      <c r="AT130" s="31">
        <f t="shared" ca="1" si="127"/>
        <v>2263618.2667412357</v>
      </c>
      <c r="AU130" s="31">
        <f t="shared" ca="1" si="128"/>
        <v>2418738.0002548476</v>
      </c>
    </row>
    <row r="131" spans="1:47">
      <c r="A131" s="541">
        <f t="shared" si="251"/>
        <v>46296</v>
      </c>
      <c r="B131">
        <f t="shared" si="196"/>
        <v>2026</v>
      </c>
      <c r="C131">
        <f t="shared" si="197"/>
        <v>10</v>
      </c>
      <c r="D131" s="30"/>
      <c r="E131" s="264">
        <f t="shared" ca="1" si="231"/>
        <v>363.47645833333326</v>
      </c>
      <c r="F131" s="264">
        <f t="shared" ca="1" si="231"/>
        <v>21.813750000000006</v>
      </c>
      <c r="G131" s="508">
        <f>Economic!H133</f>
        <v>895342.87228498736</v>
      </c>
      <c r="H131" s="264">
        <f t="shared" si="252"/>
        <v>31</v>
      </c>
      <c r="I131" s="264">
        <f t="shared" si="248"/>
        <v>0</v>
      </c>
      <c r="J131" s="82"/>
      <c r="L131" s="18">
        <f>'GS&lt;50 Predicted Monthly'!$V$8</f>
        <v>-2135516.9462582301</v>
      </c>
      <c r="M131" s="18">
        <f ca="1">E131*'GS&lt;50 Predicted Monthly'!$V$9</f>
        <v>685468.84732863132</v>
      </c>
      <c r="N131" s="18">
        <f ca="1">F131*'GS&lt;50 Predicted Monthly'!$V$10</f>
        <v>80991.715232773335</v>
      </c>
      <c r="O131" s="18">
        <f>G131*'GS&lt;50 Predicted Monthly'!$V$11</f>
        <v>2157341.9743418242</v>
      </c>
      <c r="P131" s="18">
        <f>H131*'GS&lt;50 Predicted Monthly'!$V$12</f>
        <v>1722828.0010148797</v>
      </c>
      <c r="Q131" s="18">
        <f>I131*'GS&lt;50 Predicted Monthly'!$V$13</f>
        <v>0</v>
      </c>
      <c r="R131" s="18">
        <f>J131*'GS&lt;50 Predicted Monthly'!$V$14</f>
        <v>0</v>
      </c>
      <c r="S131" s="20">
        <f t="shared" ca="1" si="264"/>
        <v>2511113.5916598784</v>
      </c>
      <c r="V131" s="18"/>
      <c r="AJ131" s="33">
        <f t="shared" ref="AJ131" ca="1" si="271">AJ119</f>
        <v>324.79329624987065</v>
      </c>
      <c r="AK131" s="33">
        <f t="shared" ref="AK131" ca="1" si="272">AK119</f>
        <v>401.33072701673694</v>
      </c>
      <c r="AL131" s="33">
        <f t="shared" ca="1" si="263"/>
        <v>18.153914795818444</v>
      </c>
      <c r="AM131" s="33">
        <f t="shared" ca="1" si="263"/>
        <v>23.650343209861436</v>
      </c>
      <c r="AO131" s="18">
        <f ca="1">AJ131*'GS&lt;50 Predicted Monthly'!$V$9</f>
        <v>612517.48578526394</v>
      </c>
      <c r="AP131" s="18">
        <f ca="1">AK131*'GS&lt;50 Predicted Monthly'!$V$9</f>
        <v>756857.0248184785</v>
      </c>
      <c r="AQ131" s="18">
        <f ca="1">AL131*'GS&lt;50 Predicted Monthly'!$V$10</f>
        <v>67403.206578555153</v>
      </c>
      <c r="AR131" s="18">
        <f ca="1">AM131*'GS&lt;50 Predicted Monthly'!$V$10</f>
        <v>87810.755253473209</v>
      </c>
      <c r="AT131" s="31">
        <f t="shared" ref="AT131:AT145" ca="1" si="273">AO131+AQ131-M131-N131+S131</f>
        <v>2424573.7214622926</v>
      </c>
      <c r="AU131" s="31">
        <f t="shared" ref="AU131:AU145" ca="1" si="274">AP131+AR131-M131-N131+S131</f>
        <v>2589320.8091704254</v>
      </c>
    </row>
    <row r="132" spans="1:47">
      <c r="A132" s="541">
        <f t="shared" si="251"/>
        <v>46327</v>
      </c>
      <c r="B132">
        <f t="shared" si="196"/>
        <v>2026</v>
      </c>
      <c r="C132">
        <f t="shared" si="197"/>
        <v>11</v>
      </c>
      <c r="D132" s="30"/>
      <c r="E132" s="264">
        <f t="shared" ca="1" si="231"/>
        <v>586.00395833333334</v>
      </c>
      <c r="F132" s="264">
        <f t="shared" ca="1" si="231"/>
        <v>2.2795833333333335</v>
      </c>
      <c r="G132" s="508">
        <f>Economic!H134</f>
        <v>895342.87228498736</v>
      </c>
      <c r="H132" s="264">
        <f t="shared" si="252"/>
        <v>30</v>
      </c>
      <c r="I132" s="264">
        <f t="shared" si="248"/>
        <v>0</v>
      </c>
      <c r="J132" s="82"/>
      <c r="L132" s="18">
        <f>'GS&lt;50 Predicted Monthly'!$V$8</f>
        <v>-2135516.9462582301</v>
      </c>
      <c r="M132" s="18">
        <f ca="1">E132*'GS&lt;50 Predicted Monthly'!$V$9</f>
        <v>1105126.4769406053</v>
      </c>
      <c r="N132" s="18">
        <f ca="1">F132*'GS&lt;50 Predicted Monthly'!$V$10</f>
        <v>8463.8067357840573</v>
      </c>
      <c r="O132" s="18">
        <f>G132*'GS&lt;50 Predicted Monthly'!$V$11</f>
        <v>2157341.9743418242</v>
      </c>
      <c r="P132" s="18">
        <f>H132*'GS&lt;50 Predicted Monthly'!$V$12</f>
        <v>1667252.9042079481</v>
      </c>
      <c r="Q132" s="18">
        <f>I132*'GS&lt;50 Predicted Monthly'!$V$13</f>
        <v>0</v>
      </c>
      <c r="R132" s="18">
        <f>J132*'GS&lt;50 Predicted Monthly'!$V$14</f>
        <v>0</v>
      </c>
      <c r="S132" s="20">
        <f t="shared" ca="1" si="264"/>
        <v>2802668.2159679318</v>
      </c>
      <c r="V132" s="18"/>
      <c r="AJ132" s="33">
        <f t="shared" ref="AJ132" ca="1" si="275">AJ120</f>
        <v>523.63819685953126</v>
      </c>
      <c r="AK132" s="33">
        <f t="shared" ref="AK132" ca="1" si="276">AK120</f>
        <v>647.03336142041019</v>
      </c>
      <c r="AL132" s="33">
        <f t="shared" ca="1" si="263"/>
        <v>1.8971227598785685</v>
      </c>
      <c r="AM132" s="33">
        <f t="shared" ca="1" si="263"/>
        <v>2.4715112352902775</v>
      </c>
      <c r="AO132" s="18">
        <f ca="1">AJ132*'GS&lt;50 Predicted Monthly'!$V$9</f>
        <v>987512.84433770669</v>
      </c>
      <c r="AP132" s="18">
        <f ca="1">AK132*'GS&lt;50 Predicted Monthly'!$V$9</f>
        <v>1220219.913195254</v>
      </c>
      <c r="AQ132" s="18">
        <f ca="1">AL132*'GS&lt;50 Predicted Monthly'!$V$10</f>
        <v>7043.7786409809405</v>
      </c>
      <c r="AR132" s="18">
        <f ca="1">AM132*'GS&lt;50 Predicted Monthly'!$V$10</f>
        <v>9176.4109409537541</v>
      </c>
      <c r="AT132" s="31">
        <f t="shared" ca="1" si="273"/>
        <v>2683634.5552702299</v>
      </c>
      <c r="AU132" s="31">
        <f t="shared" ca="1" si="274"/>
        <v>2918474.25642775</v>
      </c>
    </row>
    <row r="133" spans="1:47">
      <c r="A133" s="541">
        <f t="shared" si="251"/>
        <v>46357</v>
      </c>
      <c r="B133">
        <f t="shared" si="196"/>
        <v>2026</v>
      </c>
      <c r="C133">
        <f t="shared" si="197"/>
        <v>12</v>
      </c>
      <c r="D133" s="30"/>
      <c r="E133" s="264">
        <f t="shared" ca="1" si="231"/>
        <v>812.36333333333334</v>
      </c>
      <c r="F133" s="264">
        <f t="shared" ca="1" si="231"/>
        <v>0</v>
      </c>
      <c r="G133" s="508">
        <f>Economic!H135</f>
        <v>895342.87228498736</v>
      </c>
      <c r="H133" s="264">
        <f t="shared" si="252"/>
        <v>31</v>
      </c>
      <c r="I133" s="264">
        <f t="shared" si="248"/>
        <v>0</v>
      </c>
      <c r="J133" s="82"/>
      <c r="L133" s="18">
        <f>'GS&lt;50 Predicted Monthly'!$V$8</f>
        <v>-2135516.9462582301</v>
      </c>
      <c r="M133" s="18">
        <f ca="1">E133*'GS&lt;50 Predicted Monthly'!$V$9</f>
        <v>1532010.5193755757</v>
      </c>
      <c r="N133" s="18">
        <f ca="1">F133*'GS&lt;50 Predicted Monthly'!$V$10</f>
        <v>0</v>
      </c>
      <c r="O133" s="18">
        <f>G133*'GS&lt;50 Predicted Monthly'!$V$11</f>
        <v>2157341.9743418242</v>
      </c>
      <c r="P133" s="18">
        <f>H133*'GS&lt;50 Predicted Monthly'!$V$12</f>
        <v>1722828.0010148797</v>
      </c>
      <c r="Q133" s="18">
        <f>I133*'GS&lt;50 Predicted Monthly'!$V$13</f>
        <v>0</v>
      </c>
      <c r="R133" s="18">
        <f>J133*'GS&lt;50 Predicted Monthly'!$V$14</f>
        <v>0</v>
      </c>
      <c r="S133" s="20">
        <f t="shared" ca="1" si="264"/>
        <v>3276663.5484740492</v>
      </c>
      <c r="V133" s="18"/>
      <c r="AJ133" s="33">
        <f t="shared" ref="AJ133" ca="1" si="277">AJ121</f>
        <v>725.90716327464804</v>
      </c>
      <c r="AK133" s="33">
        <f t="shared" ref="AK133" ca="1" si="278">AK121</f>
        <v>896.96694158227319</v>
      </c>
      <c r="AL133" s="33">
        <f t="shared" ca="1" si="263"/>
        <v>0</v>
      </c>
      <c r="AM133" s="33">
        <f t="shared" ca="1" si="263"/>
        <v>0</v>
      </c>
      <c r="AO133" s="18">
        <f ca="1">AJ133*'GS&lt;50 Predicted Monthly'!$V$9</f>
        <v>1368965.5411497045</v>
      </c>
      <c r="AP133" s="18">
        <f ca="1">AK133*'GS&lt;50 Predicted Monthly'!$V$9</f>
        <v>1691561.809415549</v>
      </c>
      <c r="AQ133" s="18">
        <f ca="1">AL133*'GS&lt;50 Predicted Monthly'!$V$10</f>
        <v>0</v>
      </c>
      <c r="AR133" s="18">
        <f ca="1">AM133*'GS&lt;50 Predicted Monthly'!$V$10</f>
        <v>0</v>
      </c>
      <c r="AT133" s="31">
        <f t="shared" ca="1" si="273"/>
        <v>3113618.5702481782</v>
      </c>
      <c r="AU133" s="31">
        <f t="shared" ca="1" si="274"/>
        <v>3436214.8385140225</v>
      </c>
    </row>
    <row r="134" spans="1:47">
      <c r="A134" s="541">
        <f t="shared" si="251"/>
        <v>46388</v>
      </c>
      <c r="B134">
        <f t="shared" si="196"/>
        <v>2027</v>
      </c>
      <c r="C134">
        <f t="shared" si="197"/>
        <v>1</v>
      </c>
      <c r="E134" s="264">
        <f t="shared" ref="E134:F145" ca="1" si="279">E122</f>
        <v>914.55166666666662</v>
      </c>
      <c r="F134" s="264">
        <f t="shared" ca="1" si="279"/>
        <v>0</v>
      </c>
      <c r="G134" s="508">
        <f>Economic!H136</f>
        <v>911011.37254997471</v>
      </c>
      <c r="H134" s="264">
        <f t="shared" si="252"/>
        <v>31</v>
      </c>
      <c r="I134" s="264">
        <f t="shared" ref="I134:I145" si="280">I122</f>
        <v>0</v>
      </c>
      <c r="J134" s="82"/>
      <c r="L134" s="18">
        <f>'GS&lt;50 Predicted Monthly'!$V$8</f>
        <v>-2135516.9462582301</v>
      </c>
      <c r="M134" s="18">
        <f ca="1">E134*'GS&lt;50 Predicted Monthly'!$V$9</f>
        <v>1724724.2906652587</v>
      </c>
      <c r="N134" s="18">
        <f ca="1">F134*'GS&lt;50 Predicted Monthly'!$V$10</f>
        <v>0</v>
      </c>
      <c r="O134" s="18">
        <f>G134*'GS&lt;50 Predicted Monthly'!$V$11</f>
        <v>2195095.4588928064</v>
      </c>
      <c r="P134" s="18">
        <f>H134*'GS&lt;50 Predicted Monthly'!$V$12</f>
        <v>1722828.0010148797</v>
      </c>
      <c r="Q134" s="18">
        <f>I134*'GS&lt;50 Predicted Monthly'!$V$13</f>
        <v>0</v>
      </c>
      <c r="R134" s="18">
        <f>J134*'GS&lt;50 Predicted Monthly'!$V$14</f>
        <v>0</v>
      </c>
      <c r="S134" s="20">
        <f t="shared" ca="1" si="161"/>
        <v>3507130.8043147149</v>
      </c>
      <c r="V134" s="18"/>
      <c r="AJ134" s="33">
        <f t="shared" ref="AJ134" ca="1" si="281">AJ122</f>
        <v>817.22005262600237</v>
      </c>
      <c r="AK134" s="33">
        <f t="shared" ref="AK134" ca="1" si="282">AK122</f>
        <v>1009.7976825258449</v>
      </c>
      <c r="AL134" s="33">
        <f t="shared" ca="1" si="263"/>
        <v>0</v>
      </c>
      <c r="AM134" s="33">
        <f t="shared" ca="1" si="263"/>
        <v>0</v>
      </c>
      <c r="AO134" s="18">
        <f ca="1">AJ134*'GS&lt;50 Predicted Monthly'!$V$9</f>
        <v>1541169.6538917692</v>
      </c>
      <c r="AP134" s="18">
        <f ca="1">AK134*'GS&lt;50 Predicted Monthly'!$V$9</f>
        <v>1904345.7632717781</v>
      </c>
      <c r="AQ134" s="18">
        <f ca="1">AL134*'GS&lt;50 Predicted Monthly'!$V$10</f>
        <v>0</v>
      </c>
      <c r="AR134" s="18">
        <f ca="1">AM134*'GS&lt;50 Predicted Monthly'!$V$10</f>
        <v>0</v>
      </c>
      <c r="AT134" s="31">
        <f t="shared" ca="1" si="273"/>
        <v>3323576.1675412254</v>
      </c>
      <c r="AU134" s="31">
        <f t="shared" ca="1" si="274"/>
        <v>3686752.2769212341</v>
      </c>
    </row>
    <row r="135" spans="1:47">
      <c r="A135" s="541">
        <f t="shared" si="251"/>
        <v>46419</v>
      </c>
      <c r="B135">
        <f t="shared" si="196"/>
        <v>2027</v>
      </c>
      <c r="C135">
        <f t="shared" si="197"/>
        <v>2</v>
      </c>
      <c r="E135" s="264">
        <f t="shared" ca="1" si="279"/>
        <v>803.82854166666664</v>
      </c>
      <c r="F135" s="264">
        <f t="shared" ca="1" si="279"/>
        <v>0</v>
      </c>
      <c r="G135" s="508">
        <f>Economic!H137</f>
        <v>911011.37254997471</v>
      </c>
      <c r="H135" s="264">
        <f t="shared" si="252"/>
        <v>28</v>
      </c>
      <c r="I135" s="264">
        <f t="shared" si="280"/>
        <v>0</v>
      </c>
      <c r="J135" s="82"/>
      <c r="L135" s="18">
        <f>'GS&lt;50 Predicted Monthly'!$V$8</f>
        <v>-2135516.9462582301</v>
      </c>
      <c r="M135" s="18">
        <f ca="1">E135*'GS&lt;50 Predicted Monthly'!$V$9</f>
        <v>1515915.0235826271</v>
      </c>
      <c r="N135" s="18">
        <f ca="1">F135*'GS&lt;50 Predicted Monthly'!$V$10</f>
        <v>0</v>
      </c>
      <c r="O135" s="18">
        <f>G135*'GS&lt;50 Predicted Monthly'!$V$11</f>
        <v>2195095.4588928064</v>
      </c>
      <c r="P135" s="18">
        <f>H135*'GS&lt;50 Predicted Monthly'!$V$12</f>
        <v>1556102.7105940848</v>
      </c>
      <c r="Q135" s="18">
        <f>I135*'GS&lt;50 Predicted Monthly'!$V$13</f>
        <v>0</v>
      </c>
      <c r="R135" s="18">
        <f>J135*'GS&lt;50 Predicted Monthly'!$V$14</f>
        <v>0</v>
      </c>
      <c r="S135" s="20">
        <f t="shared" ca="1" si="161"/>
        <v>3131596.2468112884</v>
      </c>
      <c r="V135" s="18"/>
      <c r="AJ135" s="33">
        <f t="shared" ref="AJ135" ca="1" si="283">AJ123</f>
        <v>718.28069103781206</v>
      </c>
      <c r="AK135" s="33">
        <f t="shared" ref="AK135" ca="1" si="284">AK123</f>
        <v>887.54329373386554</v>
      </c>
      <c r="AL135" s="33">
        <f t="shared" ca="1" si="263"/>
        <v>0</v>
      </c>
      <c r="AM135" s="33">
        <f t="shared" ca="1" si="263"/>
        <v>0</v>
      </c>
      <c r="AO135" s="18">
        <f ca="1">AJ135*'GS&lt;50 Predicted Monthly'!$V$9</f>
        <v>1354583.0164675321</v>
      </c>
      <c r="AP135" s="18">
        <f ca="1">AK135*'GS&lt;50 Predicted Monthly'!$V$9</f>
        <v>1673790.047640664</v>
      </c>
      <c r="AQ135" s="18">
        <f ca="1">AL135*'GS&lt;50 Predicted Monthly'!$V$10</f>
        <v>0</v>
      </c>
      <c r="AR135" s="18">
        <f ca="1">AM135*'GS&lt;50 Predicted Monthly'!$V$10</f>
        <v>0</v>
      </c>
      <c r="AT135" s="31">
        <f t="shared" ca="1" si="273"/>
        <v>2970264.2396961935</v>
      </c>
      <c r="AU135" s="31">
        <f t="shared" ca="1" si="274"/>
        <v>3289471.2708693254</v>
      </c>
    </row>
    <row r="136" spans="1:47">
      <c r="A136" s="541">
        <f t="shared" si="251"/>
        <v>46447</v>
      </c>
      <c r="B136">
        <f t="shared" si="196"/>
        <v>2027</v>
      </c>
      <c r="C136">
        <f t="shared" si="197"/>
        <v>3</v>
      </c>
      <c r="E136" s="264">
        <f t="shared" ca="1" si="279"/>
        <v>698.29604166666672</v>
      </c>
      <c r="F136" s="264">
        <f t="shared" ca="1" si="279"/>
        <v>0</v>
      </c>
      <c r="G136" s="508">
        <f>Economic!H138</f>
        <v>911011.37254997471</v>
      </c>
      <c r="H136" s="264">
        <f t="shared" si="252"/>
        <v>31</v>
      </c>
      <c r="I136" s="264">
        <f t="shared" si="280"/>
        <v>0</v>
      </c>
      <c r="J136" s="82"/>
      <c r="L136" s="18">
        <f>'GS&lt;50 Predicted Monthly'!$V$8</f>
        <v>-2135516.9462582301</v>
      </c>
      <c r="M136" s="18">
        <f ca="1">E136*'GS&lt;50 Predicted Monthly'!$V$9</f>
        <v>1316894.5933120961</v>
      </c>
      <c r="N136" s="18">
        <f ca="1">F136*'GS&lt;50 Predicted Monthly'!$V$10</f>
        <v>0</v>
      </c>
      <c r="O136" s="18">
        <f>G136*'GS&lt;50 Predicted Monthly'!$V$11</f>
        <v>2195095.4588928064</v>
      </c>
      <c r="P136" s="18">
        <f>H136*'GS&lt;50 Predicted Monthly'!$V$12</f>
        <v>1722828.0010148797</v>
      </c>
      <c r="Q136" s="18">
        <f>I136*'GS&lt;50 Predicted Monthly'!$V$13</f>
        <v>0</v>
      </c>
      <c r="R136" s="18">
        <f>J136*'GS&lt;50 Predicted Monthly'!$V$14</f>
        <v>0</v>
      </c>
      <c r="S136" s="20">
        <f t="shared" ca="1" si="161"/>
        <v>3099301.1069615521</v>
      </c>
      <c r="V136" s="18"/>
      <c r="AJ136" s="33">
        <f t="shared" ref="AJ136" ca="1" si="285">AJ124</f>
        <v>623.97953961343092</v>
      </c>
      <c r="AK136" s="33">
        <f t="shared" ref="AK136" ca="1" si="286">AK124</f>
        <v>771.02010776716202</v>
      </c>
      <c r="AL136" s="33">
        <f t="shared" ca="1" si="263"/>
        <v>0</v>
      </c>
      <c r="AM136" s="33">
        <f t="shared" ca="1" si="263"/>
        <v>0</v>
      </c>
      <c r="AO136" s="18">
        <f ca="1">AJ136*'GS&lt;50 Predicted Monthly'!$V$9</f>
        <v>1176743.4340499181</v>
      </c>
      <c r="AP136" s="18">
        <f ca="1">AK136*'GS&lt;50 Predicted Monthly'!$V$9</f>
        <v>1454042.6275796737</v>
      </c>
      <c r="AQ136" s="18">
        <f ca="1">AL136*'GS&lt;50 Predicted Monthly'!$V$10</f>
        <v>0</v>
      </c>
      <c r="AR136" s="18">
        <f ca="1">AM136*'GS&lt;50 Predicted Monthly'!$V$10</f>
        <v>0</v>
      </c>
      <c r="AT136" s="31">
        <f t="shared" ca="1" si="273"/>
        <v>2959149.9476993741</v>
      </c>
      <c r="AU136" s="31">
        <f t="shared" ca="1" si="274"/>
        <v>3236449.1412291294</v>
      </c>
    </row>
    <row r="137" spans="1:47">
      <c r="A137" s="541">
        <f t="shared" si="251"/>
        <v>46478</v>
      </c>
      <c r="B137">
        <f t="shared" si="196"/>
        <v>2027</v>
      </c>
      <c r="C137">
        <f t="shared" si="197"/>
        <v>4</v>
      </c>
      <c r="E137" s="264">
        <f t="shared" ca="1" si="279"/>
        <v>468.60374999999993</v>
      </c>
      <c r="F137" s="264">
        <f t="shared" ca="1" si="279"/>
        <v>2.8104166666666677</v>
      </c>
      <c r="G137" s="508">
        <f>Economic!H139</f>
        <v>911011.37254997471</v>
      </c>
      <c r="H137" s="264">
        <f t="shared" si="252"/>
        <v>30</v>
      </c>
      <c r="I137" s="264">
        <f t="shared" si="280"/>
        <v>0</v>
      </c>
      <c r="J137" s="82"/>
      <c r="L137" s="18">
        <f>'GS&lt;50 Predicted Monthly'!$V$8</f>
        <v>-2135516.9462582301</v>
      </c>
      <c r="M137" s="18">
        <f ca="1">E137*'GS&lt;50 Predicted Monthly'!$V$9</f>
        <v>883725.10791826609</v>
      </c>
      <c r="N137" s="18">
        <f ca="1">F137*'GS&lt;50 Predicted Monthly'!$V$10</f>
        <v>10434.724261170442</v>
      </c>
      <c r="O137" s="18">
        <f>G137*'GS&lt;50 Predicted Monthly'!$V$11</f>
        <v>2195095.4588928064</v>
      </c>
      <c r="P137" s="18">
        <f>H137*'GS&lt;50 Predicted Monthly'!$V$12</f>
        <v>1667252.9042079481</v>
      </c>
      <c r="Q137" s="18">
        <f>I137*'GS&lt;50 Predicted Monthly'!$V$13</f>
        <v>0</v>
      </c>
      <c r="R137" s="18">
        <f>J137*'GS&lt;50 Predicted Monthly'!$V$14</f>
        <v>0</v>
      </c>
      <c r="S137" s="20">
        <f t="shared" ca="1" si="161"/>
        <v>2620991.2490219614</v>
      </c>
      <c r="AJ137" s="33">
        <f t="shared" ref="AJ137" ca="1" si="287">AJ125</f>
        <v>418.73236383846591</v>
      </c>
      <c r="AK137" s="33">
        <f t="shared" ref="AK137" ca="1" si="288">AK125</f>
        <v>517.40650421381736</v>
      </c>
      <c r="AL137" s="33">
        <f t="shared" ca="1" si="263"/>
        <v>2.33889472041326</v>
      </c>
      <c r="AM137" s="33">
        <f t="shared" ca="1" si="263"/>
        <v>3.0470377046304016</v>
      </c>
      <c r="AO137" s="18">
        <f ca="1">AJ137*'GS&lt;50 Predicted Monthly'!$V$9</f>
        <v>789674.22565871268</v>
      </c>
      <c r="AP137" s="18">
        <f ca="1">AK137*'GS&lt;50 Predicted Monthly'!$V$9</f>
        <v>975760.69071997097</v>
      </c>
      <c r="AQ137" s="18">
        <f ca="1">AL137*'GS&lt;50 Predicted Monthly'!$V$10</f>
        <v>8684.0224700084891</v>
      </c>
      <c r="AR137" s="18">
        <f ca="1">AM137*'GS&lt;50 Predicted Monthly'!$V$10</f>
        <v>11313.26846951802</v>
      </c>
      <c r="AT137" s="31">
        <f t="shared" ca="1" si="273"/>
        <v>2525189.6649712459</v>
      </c>
      <c r="AU137" s="31">
        <f t="shared" ca="1" si="274"/>
        <v>2713905.3760320139</v>
      </c>
    </row>
    <row r="138" spans="1:47">
      <c r="A138" s="541">
        <f t="shared" si="251"/>
        <v>46508</v>
      </c>
      <c r="B138">
        <f t="shared" si="196"/>
        <v>2027</v>
      </c>
      <c r="C138">
        <f t="shared" si="197"/>
        <v>5</v>
      </c>
      <c r="E138" s="264">
        <f t="shared" ca="1" si="279"/>
        <v>232.88687500000006</v>
      </c>
      <c r="F138" s="264">
        <f t="shared" ca="1" si="279"/>
        <v>74.673124999999999</v>
      </c>
      <c r="G138" s="508">
        <f>Economic!H140</f>
        <v>911011.37254997471</v>
      </c>
      <c r="H138" s="264">
        <f t="shared" si="252"/>
        <v>31</v>
      </c>
      <c r="I138" s="264">
        <f t="shared" si="280"/>
        <v>0</v>
      </c>
      <c r="J138" s="82"/>
      <c r="L138" s="18">
        <f>'GS&lt;50 Predicted Monthly'!$V$8</f>
        <v>-2135516.9462582301</v>
      </c>
      <c r="M138" s="18">
        <f ca="1">E138*'GS&lt;50 Predicted Monthly'!$V$9</f>
        <v>439194.04986008507</v>
      </c>
      <c r="N138" s="18">
        <f ca="1">F138*'GS&lt;50 Predicted Monthly'!$V$10</f>
        <v>277251.93859566946</v>
      </c>
      <c r="O138" s="18">
        <f>G138*'GS&lt;50 Predicted Monthly'!$V$11</f>
        <v>2195095.4588928064</v>
      </c>
      <c r="P138" s="18">
        <f>H138*'GS&lt;50 Predicted Monthly'!$V$12</f>
        <v>1722828.0010148797</v>
      </c>
      <c r="Q138" s="18">
        <f>I138*'GS&lt;50 Predicted Monthly'!$V$13</f>
        <v>0</v>
      </c>
      <c r="R138" s="18">
        <f>J138*'GS&lt;50 Predicted Monthly'!$V$14</f>
        <v>0</v>
      </c>
      <c r="S138" s="20">
        <f t="shared" ca="1" si="161"/>
        <v>2498852.5021052109</v>
      </c>
      <c r="AJ138" s="33">
        <f t="shared" ref="AJ138" ca="1" si="289">AJ126</f>
        <v>208.10177399498693</v>
      </c>
      <c r="AK138" s="33">
        <f t="shared" ref="AK138" ca="1" si="290">AK126</f>
        <v>257.1408868815717</v>
      </c>
      <c r="AL138" s="33">
        <f t="shared" ca="1" si="263"/>
        <v>62.144727467193846</v>
      </c>
      <c r="AM138" s="33">
        <f t="shared" ca="1" si="263"/>
        <v>80.960175797507716</v>
      </c>
      <c r="AO138" s="18">
        <f ca="1">AJ138*'GS&lt;50 Predicted Monthly'!$V$9</f>
        <v>392452.60560057929</v>
      </c>
      <c r="AP138" s="18">
        <f ca="1">AK138*'GS&lt;50 Predicted Monthly'!$V$9</f>
        <v>484933.92980661301</v>
      </c>
      <c r="AQ138" s="18">
        <f ca="1">AL138*'GS&lt;50 Predicted Monthly'!$V$10</f>
        <v>230735.57138232855</v>
      </c>
      <c r="AR138" s="18">
        <f ca="1">AM138*'GS&lt;50 Predicted Monthly'!$V$10</f>
        <v>300594.96892496751</v>
      </c>
      <c r="AT138" s="31">
        <f t="shared" ca="1" si="273"/>
        <v>2405594.6906323642</v>
      </c>
      <c r="AU138" s="31">
        <f t="shared" ca="1" si="274"/>
        <v>2567935.4123810367</v>
      </c>
    </row>
    <row r="139" spans="1:47">
      <c r="A139" s="541">
        <f t="shared" si="251"/>
        <v>46539</v>
      </c>
      <c r="B139">
        <f t="shared" si="196"/>
        <v>2027</v>
      </c>
      <c r="C139">
        <f t="shared" si="197"/>
        <v>6</v>
      </c>
      <c r="E139" s="264">
        <f t="shared" ca="1" si="279"/>
        <v>92.751249999999999</v>
      </c>
      <c r="F139" s="264">
        <f t="shared" ca="1" si="279"/>
        <v>169.78833333333333</v>
      </c>
      <c r="G139" s="508">
        <f>Economic!H141</f>
        <v>911011.37254997471</v>
      </c>
      <c r="H139" s="264">
        <f t="shared" si="252"/>
        <v>30</v>
      </c>
      <c r="I139" s="264">
        <f t="shared" si="280"/>
        <v>0</v>
      </c>
      <c r="J139" s="82"/>
      <c r="L139" s="18">
        <f>'GS&lt;50 Predicted Monthly'!$V$8</f>
        <v>-2135516.9462582301</v>
      </c>
      <c r="M139" s="18">
        <f ca="1">E139*'GS&lt;50 Predicted Monthly'!$V$9</f>
        <v>174916.67195536545</v>
      </c>
      <c r="N139" s="18">
        <f ca="1">F139*'GS&lt;50 Predicted Monthly'!$V$10</f>
        <v>630402.76629101019</v>
      </c>
      <c r="O139" s="18">
        <f>G139*'GS&lt;50 Predicted Monthly'!$V$11</f>
        <v>2195095.4588928064</v>
      </c>
      <c r="P139" s="18">
        <f>H139*'GS&lt;50 Predicted Monthly'!$V$12</f>
        <v>1667252.9042079481</v>
      </c>
      <c r="Q139" s="18">
        <f>I139*'GS&lt;50 Predicted Monthly'!$V$13</f>
        <v>0</v>
      </c>
      <c r="R139" s="18">
        <f>J139*'GS&lt;50 Predicted Monthly'!$V$14</f>
        <v>0</v>
      </c>
      <c r="S139" s="20">
        <f t="shared" ca="1" si="161"/>
        <v>2532150.8550888998</v>
      </c>
      <c r="AJ139" s="33">
        <f t="shared" ref="AJ139" ca="1" si="291">AJ127</f>
        <v>82.880152285321046</v>
      </c>
      <c r="AK139" s="33">
        <f t="shared" ref="AK139" ca="1" si="292">AK127</f>
        <v>102.41083223077457</v>
      </c>
      <c r="AL139" s="33">
        <f t="shared" ca="1" si="263"/>
        <v>141.30183653234096</v>
      </c>
      <c r="AM139" s="33">
        <f t="shared" ca="1" si="263"/>
        <v>184.0835416360639</v>
      </c>
      <c r="AO139" s="18">
        <f ca="1">AJ139*'GS&lt;50 Predicted Monthly'!$V$9</f>
        <v>156301.07851810337</v>
      </c>
      <c r="AP139" s="18">
        <f ca="1">AK139*'GS&lt;50 Predicted Monthly'!$V$9</f>
        <v>193133.37497862687</v>
      </c>
      <c r="AQ139" s="18">
        <f ca="1">AL139*'GS&lt;50 Predicted Monthly'!$V$10</f>
        <v>524635.97988861345</v>
      </c>
      <c r="AR139" s="18">
        <f ca="1">AM139*'GS&lt;50 Predicted Monthly'!$V$10</f>
        <v>683479.08008611342</v>
      </c>
      <c r="AT139" s="31">
        <f t="shared" ca="1" si="273"/>
        <v>2407768.4752492411</v>
      </c>
      <c r="AU139" s="31">
        <f t="shared" ca="1" si="274"/>
        <v>2603443.8719072645</v>
      </c>
    </row>
    <row r="140" spans="1:47">
      <c r="A140" s="541">
        <f t="shared" si="251"/>
        <v>46569</v>
      </c>
      <c r="B140">
        <f t="shared" si="196"/>
        <v>2027</v>
      </c>
      <c r="C140">
        <f t="shared" si="197"/>
        <v>7</v>
      </c>
      <c r="E140" s="264">
        <f t="shared" ca="1" si="279"/>
        <v>25.464999999999996</v>
      </c>
      <c r="F140" s="264">
        <f t="shared" ca="1" si="279"/>
        <v>265.99625000000003</v>
      </c>
      <c r="G140" s="508">
        <f>Economic!H142</f>
        <v>911011.37254997471</v>
      </c>
      <c r="H140" s="264">
        <f t="shared" si="252"/>
        <v>31</v>
      </c>
      <c r="I140" s="264">
        <f t="shared" si="280"/>
        <v>0</v>
      </c>
      <c r="J140" s="82"/>
      <c r="L140" s="18">
        <f>'GS&lt;50 Predicted Monthly'!$V$8</f>
        <v>-2135516.9462582301</v>
      </c>
      <c r="M140" s="18">
        <f ca="1">E140*'GS&lt;50 Predicted Monthly'!$V$9</f>
        <v>48023.644439760981</v>
      </c>
      <c r="N140" s="18">
        <f ca="1">F140*'GS&lt;50 Predicted Monthly'!$V$10</f>
        <v>987610.68284845934</v>
      </c>
      <c r="O140" s="18">
        <f>G140*'GS&lt;50 Predicted Monthly'!$V$11</f>
        <v>2195095.4588928064</v>
      </c>
      <c r="P140" s="18">
        <f>H140*'GS&lt;50 Predicted Monthly'!$V$12</f>
        <v>1722828.0010148797</v>
      </c>
      <c r="Q140" s="18">
        <f>I140*'GS&lt;50 Predicted Monthly'!$V$13</f>
        <v>0</v>
      </c>
      <c r="R140" s="18">
        <f>J140*'GS&lt;50 Predicted Monthly'!$V$14</f>
        <v>0</v>
      </c>
      <c r="S140" s="20">
        <f t="shared" ca="1" si="161"/>
        <v>2818040.8409376764</v>
      </c>
      <c r="AJ140" s="33">
        <f t="shared" ref="AJ140" ca="1" si="293">AJ128</f>
        <v>22.754874763905612</v>
      </c>
      <c r="AK140" s="33">
        <f t="shared" ref="AK140" ca="1" si="294">AK128</f>
        <v>28.117053330889604</v>
      </c>
      <c r="AL140" s="33">
        <f t="shared" ca="1" si="263"/>
        <v>221.36832312221517</v>
      </c>
      <c r="AM140" s="33">
        <f t="shared" ca="1" si="263"/>
        <v>288.39161561107579</v>
      </c>
      <c r="AO140" s="18">
        <f ca="1">AJ140*'GS&lt;50 Predicted Monthly'!$V$9</f>
        <v>42912.704297392243</v>
      </c>
      <c r="AP140" s="18">
        <f ca="1">AK140*'GS&lt;50 Predicted Monthly'!$V$9</f>
        <v>53025.068598328675</v>
      </c>
      <c r="AQ140" s="18">
        <f ca="1">AL140*'GS&lt;50 Predicted Monthly'!$V$10</f>
        <v>821912.7929801615</v>
      </c>
      <c r="AR140" s="18">
        <f ca="1">AM140*'GS&lt;50 Predicted Monthly'!$V$10</f>
        <v>1070761.8638286251</v>
      </c>
      <c r="AT140" s="31">
        <f t="shared" ca="1" si="273"/>
        <v>2647232.0109270099</v>
      </c>
      <c r="AU140" s="31">
        <f t="shared" ca="1" si="274"/>
        <v>2906193.4460764099</v>
      </c>
    </row>
    <row r="141" spans="1:47">
      <c r="A141" s="541">
        <f t="shared" si="251"/>
        <v>46600</v>
      </c>
      <c r="B141">
        <f t="shared" si="196"/>
        <v>2027</v>
      </c>
      <c r="C141">
        <f t="shared" si="197"/>
        <v>8</v>
      </c>
      <c r="E141" s="264">
        <f t="shared" ca="1" si="279"/>
        <v>54.974791666666668</v>
      </c>
      <c r="F141" s="264">
        <f t="shared" ca="1" si="279"/>
        <v>218.46562499999996</v>
      </c>
      <c r="G141" s="508">
        <f>Economic!H143</f>
        <v>911011.37254997471</v>
      </c>
      <c r="H141" s="264">
        <f t="shared" si="252"/>
        <v>31</v>
      </c>
      <c r="I141" s="264">
        <f t="shared" si="280"/>
        <v>0</v>
      </c>
      <c r="J141" s="82"/>
      <c r="L141" s="18">
        <f>'GS&lt;50 Predicted Monthly'!$V$8</f>
        <v>-2135516.9462582301</v>
      </c>
      <c r="M141" s="18">
        <f ca="1">E141*'GS&lt;50 Predicted Monthly'!$V$9</f>
        <v>103675.23456312333</v>
      </c>
      <c r="N141" s="18">
        <f ca="1">F141*'GS&lt;50 Predicted Monthly'!$V$10</f>
        <v>811135.43925963389</v>
      </c>
      <c r="O141" s="18">
        <f>G141*'GS&lt;50 Predicted Monthly'!$V$11</f>
        <v>2195095.4588928064</v>
      </c>
      <c r="P141" s="18">
        <f>H141*'GS&lt;50 Predicted Monthly'!$V$12</f>
        <v>1722828.0010148797</v>
      </c>
      <c r="Q141" s="18">
        <f>I141*'GS&lt;50 Predicted Monthly'!$V$13</f>
        <v>0</v>
      </c>
      <c r="R141" s="18">
        <f>J141*'GS&lt;50 Predicted Monthly'!$V$14</f>
        <v>0</v>
      </c>
      <c r="S141" s="20">
        <f t="shared" ca="1" si="161"/>
        <v>2697217.1874722131</v>
      </c>
      <c r="AJ141" s="33">
        <f t="shared" ref="AJ141" ca="1" si="295">AJ129</f>
        <v>49.124072238240799</v>
      </c>
      <c r="AK141" s="33">
        <f t="shared" ref="AK141" ca="1" si="296">AK129</f>
        <v>60.700143300459935</v>
      </c>
      <c r="AL141" s="33">
        <f t="shared" ca="1" si="263"/>
        <v>181.81222128543794</v>
      </c>
      <c r="AM141" s="33">
        <f t="shared" ca="1" si="263"/>
        <v>236.85918335026682</v>
      </c>
      <c r="AO141" s="18">
        <f ca="1">AJ141*'GS&lt;50 Predicted Monthly'!$V$9</f>
        <v>92641.546381402324</v>
      </c>
      <c r="AP141" s="18">
        <f ca="1">AK141*'GS&lt;50 Predicted Monthly'!$V$9</f>
        <v>114472.49555483322</v>
      </c>
      <c r="AQ141" s="18">
        <f ca="1">AL141*'GS&lt;50 Predicted Monthly'!$V$10</f>
        <v>675045.9527677797</v>
      </c>
      <c r="AR141" s="18">
        <f ca="1">AM141*'GS&lt;50 Predicted Monthly'!$V$10</f>
        <v>879428.41227079486</v>
      </c>
      <c r="AT141" s="31">
        <f t="shared" ca="1" si="273"/>
        <v>2550094.0127986381</v>
      </c>
      <c r="AU141" s="31">
        <f t="shared" ca="1" si="274"/>
        <v>2776307.421475084</v>
      </c>
    </row>
    <row r="142" spans="1:47">
      <c r="A142" s="541">
        <f t="shared" si="251"/>
        <v>46631</v>
      </c>
      <c r="B142">
        <f t="shared" si="196"/>
        <v>2027</v>
      </c>
      <c r="C142">
        <f t="shared" si="197"/>
        <v>9</v>
      </c>
      <c r="E142" s="264">
        <f t="shared" ca="1" si="279"/>
        <v>166.50624999999999</v>
      </c>
      <c r="F142" s="264">
        <f t="shared" ca="1" si="279"/>
        <v>95.131249999999994</v>
      </c>
      <c r="G142" s="508">
        <f>Economic!H144</f>
        <v>911011.37254997471</v>
      </c>
      <c r="H142" s="264">
        <f t="shared" si="252"/>
        <v>30</v>
      </c>
      <c r="I142" s="264">
        <f t="shared" si="280"/>
        <v>0</v>
      </c>
      <c r="J142" s="82"/>
      <c r="L142" s="18">
        <f>'GS&lt;50 Predicted Monthly'!$V$8</f>
        <v>-2135516.9462582301</v>
      </c>
      <c r="M142" s="18">
        <f ca="1">E142*'GS&lt;50 Predicted Monthly'!$V$9</f>
        <v>314008.9121145868</v>
      </c>
      <c r="N142" s="18">
        <f ca="1">F142*'GS&lt;50 Predicted Monthly'!$V$10</f>
        <v>353210.38838978927</v>
      </c>
      <c r="O142" s="18">
        <f>G142*'GS&lt;50 Predicted Monthly'!$V$11</f>
        <v>2195095.4588928064</v>
      </c>
      <c r="P142" s="18">
        <f>H142*'GS&lt;50 Predicted Monthly'!$V$12</f>
        <v>1667252.9042079481</v>
      </c>
      <c r="Q142" s="18">
        <f>I142*'GS&lt;50 Predicted Monthly'!$V$13</f>
        <v>0</v>
      </c>
      <c r="R142" s="18">
        <f>J142*'GS&lt;50 Predicted Monthly'!$V$14</f>
        <v>0</v>
      </c>
      <c r="S142" s="20">
        <f t="shared" ca="1" si="161"/>
        <v>2394050.7173469001</v>
      </c>
      <c r="AJ142" s="33">
        <f t="shared" ref="AJ142" ca="1" si="297">AJ130</f>
        <v>148.78573988445157</v>
      </c>
      <c r="AK142" s="33">
        <f t="shared" ref="AK142" ca="1" si="298">AK130</f>
        <v>183.84704932952829</v>
      </c>
      <c r="AL142" s="33">
        <f t="shared" ca="1" si="263"/>
        <v>79.170459316701752</v>
      </c>
      <c r="AM142" s="33">
        <f t="shared" ca="1" si="263"/>
        <v>103.14075812197032</v>
      </c>
      <c r="AO142" s="18">
        <f ca="1">AJ142*'GS&lt;50 Predicted Monthly'!$V$9</f>
        <v>280590.35813538847</v>
      </c>
      <c r="AP142" s="18">
        <f ca="1">AK142*'GS&lt;50 Predicted Monthly'!$V$9</f>
        <v>346711.3814372851</v>
      </c>
      <c r="AQ142" s="18">
        <f ca="1">AL142*'GS&lt;50 Predicted Monthly'!$V$10</f>
        <v>293949.9763143051</v>
      </c>
      <c r="AR142" s="18">
        <f ca="1">AM142*'GS&lt;50 Predicted Monthly'!$V$10</f>
        <v>382948.68652602012</v>
      </c>
      <c r="AT142" s="31">
        <f t="shared" ca="1" si="273"/>
        <v>2301371.7512922175</v>
      </c>
      <c r="AU142" s="31">
        <f t="shared" ca="1" si="274"/>
        <v>2456491.4848058294</v>
      </c>
    </row>
    <row r="143" spans="1:47">
      <c r="A143" s="541">
        <f t="shared" si="251"/>
        <v>46661</v>
      </c>
      <c r="B143">
        <f t="shared" si="196"/>
        <v>2027</v>
      </c>
      <c r="C143">
        <f t="shared" si="197"/>
        <v>10</v>
      </c>
      <c r="E143" s="264">
        <f t="shared" ca="1" si="279"/>
        <v>363.47645833333326</v>
      </c>
      <c r="F143" s="264">
        <f t="shared" ca="1" si="279"/>
        <v>21.813750000000006</v>
      </c>
      <c r="G143" s="508">
        <f>Economic!H145</f>
        <v>911011.37254997471</v>
      </c>
      <c r="H143" s="264">
        <f t="shared" si="252"/>
        <v>31</v>
      </c>
      <c r="I143" s="264">
        <f t="shared" si="280"/>
        <v>0</v>
      </c>
      <c r="J143" s="82"/>
      <c r="L143" s="18">
        <f>'GS&lt;50 Predicted Monthly'!$V$8</f>
        <v>-2135516.9462582301</v>
      </c>
      <c r="M143" s="18">
        <f ca="1">E143*'GS&lt;50 Predicted Monthly'!$V$9</f>
        <v>685468.84732863132</v>
      </c>
      <c r="N143" s="18">
        <f ca="1">F143*'GS&lt;50 Predicted Monthly'!$V$10</f>
        <v>80991.715232773335</v>
      </c>
      <c r="O143" s="18">
        <f>G143*'GS&lt;50 Predicted Monthly'!$V$11</f>
        <v>2195095.4588928064</v>
      </c>
      <c r="P143" s="18">
        <f>H143*'GS&lt;50 Predicted Monthly'!$V$12</f>
        <v>1722828.0010148797</v>
      </c>
      <c r="Q143" s="18">
        <f>I143*'GS&lt;50 Predicted Monthly'!$V$13</f>
        <v>0</v>
      </c>
      <c r="R143" s="18">
        <f>J143*'GS&lt;50 Predicted Monthly'!$V$14</f>
        <v>0</v>
      </c>
      <c r="S143" s="20">
        <f t="shared" ca="1" si="161"/>
        <v>2548867.0762108602</v>
      </c>
      <c r="AJ143" s="33">
        <f t="shared" ref="AJ143" ca="1" si="299">AJ131</f>
        <v>324.79329624987065</v>
      </c>
      <c r="AK143" s="33">
        <f t="shared" ref="AK143" ca="1" si="300">AK131</f>
        <v>401.33072701673694</v>
      </c>
      <c r="AL143" s="33">
        <f t="shared" ref="AL143:AM145" ca="1" si="301">AL131</f>
        <v>18.153914795818444</v>
      </c>
      <c r="AM143" s="33">
        <f t="shared" ca="1" si="301"/>
        <v>23.650343209861436</v>
      </c>
      <c r="AO143" s="18">
        <f ca="1">AJ143*'GS&lt;50 Predicted Monthly'!$V$9</f>
        <v>612517.48578526394</v>
      </c>
      <c r="AP143" s="18">
        <f ca="1">AK143*'GS&lt;50 Predicted Monthly'!$V$9</f>
        <v>756857.0248184785</v>
      </c>
      <c r="AQ143" s="18">
        <f ca="1">AL143*'GS&lt;50 Predicted Monthly'!$V$10</f>
        <v>67403.206578555153</v>
      </c>
      <c r="AR143" s="18">
        <f ca="1">AM143*'GS&lt;50 Predicted Monthly'!$V$10</f>
        <v>87810.755253473209</v>
      </c>
      <c r="AT143" s="31">
        <f t="shared" ca="1" si="273"/>
        <v>2462327.2060132744</v>
      </c>
      <c r="AU143" s="31">
        <f t="shared" ca="1" si="274"/>
        <v>2627074.2937214072</v>
      </c>
    </row>
    <row r="144" spans="1:47">
      <c r="A144" s="541">
        <f t="shared" si="251"/>
        <v>46692</v>
      </c>
      <c r="B144">
        <f t="shared" si="196"/>
        <v>2027</v>
      </c>
      <c r="C144">
        <f t="shared" si="197"/>
        <v>11</v>
      </c>
      <c r="E144" s="264">
        <f t="shared" ca="1" si="279"/>
        <v>586.00395833333334</v>
      </c>
      <c r="F144" s="264">
        <f t="shared" ca="1" si="279"/>
        <v>2.2795833333333335</v>
      </c>
      <c r="G144" s="508">
        <f>Economic!H146</f>
        <v>911011.37254997471</v>
      </c>
      <c r="H144" s="264">
        <f t="shared" si="252"/>
        <v>30</v>
      </c>
      <c r="I144" s="264">
        <f t="shared" si="280"/>
        <v>0</v>
      </c>
      <c r="J144" s="82"/>
      <c r="L144" s="18">
        <f>'GS&lt;50 Predicted Monthly'!$V$8</f>
        <v>-2135516.9462582301</v>
      </c>
      <c r="M144" s="18">
        <f ca="1">E144*'GS&lt;50 Predicted Monthly'!$V$9</f>
        <v>1105126.4769406053</v>
      </c>
      <c r="N144" s="18">
        <f ca="1">F144*'GS&lt;50 Predicted Monthly'!$V$10</f>
        <v>8463.8067357840573</v>
      </c>
      <c r="O144" s="18">
        <f>G144*'GS&lt;50 Predicted Monthly'!$V$11</f>
        <v>2195095.4588928064</v>
      </c>
      <c r="P144" s="18">
        <f>H144*'GS&lt;50 Predicted Monthly'!$V$12</f>
        <v>1667252.9042079481</v>
      </c>
      <c r="Q144" s="18">
        <f>I144*'GS&lt;50 Predicted Monthly'!$V$13</f>
        <v>0</v>
      </c>
      <c r="R144" s="18">
        <f>J144*'GS&lt;50 Predicted Monthly'!$V$14</f>
        <v>0</v>
      </c>
      <c r="S144" s="20">
        <f t="shared" ca="1" si="161"/>
        <v>2840421.7005189136</v>
      </c>
      <c r="AJ144" s="33">
        <f t="shared" ref="AJ144" ca="1" si="302">AJ132</f>
        <v>523.63819685953126</v>
      </c>
      <c r="AK144" s="33">
        <f t="shared" ref="AK144" ca="1" si="303">AK132</f>
        <v>647.03336142041019</v>
      </c>
      <c r="AL144" s="33">
        <f t="shared" ca="1" si="301"/>
        <v>1.8971227598785685</v>
      </c>
      <c r="AM144" s="33">
        <f t="shared" ca="1" si="301"/>
        <v>2.4715112352902775</v>
      </c>
      <c r="AO144" s="18">
        <f ca="1">AJ144*'GS&lt;50 Predicted Monthly'!$V$9</f>
        <v>987512.84433770669</v>
      </c>
      <c r="AP144" s="18">
        <f ca="1">AK144*'GS&lt;50 Predicted Monthly'!$V$9</f>
        <v>1220219.913195254</v>
      </c>
      <c r="AQ144" s="18">
        <f ca="1">AL144*'GS&lt;50 Predicted Monthly'!$V$10</f>
        <v>7043.7786409809405</v>
      </c>
      <c r="AR144" s="18">
        <f ca="1">AM144*'GS&lt;50 Predicted Monthly'!$V$10</f>
        <v>9176.4109409537541</v>
      </c>
      <c r="AT144" s="31">
        <f t="shared" ca="1" si="273"/>
        <v>2721388.0398212117</v>
      </c>
      <c r="AU144" s="31">
        <f t="shared" ca="1" si="274"/>
        <v>2956227.7409787318</v>
      </c>
    </row>
    <row r="145" spans="1:47">
      <c r="A145" s="541">
        <f t="shared" si="251"/>
        <v>46722</v>
      </c>
      <c r="B145">
        <f t="shared" si="196"/>
        <v>2027</v>
      </c>
      <c r="C145">
        <f t="shared" si="197"/>
        <v>12</v>
      </c>
      <c r="E145" s="264">
        <f t="shared" ca="1" si="279"/>
        <v>812.36333333333334</v>
      </c>
      <c r="F145" s="264">
        <f t="shared" ca="1" si="279"/>
        <v>0</v>
      </c>
      <c r="G145" s="508">
        <f>Economic!H147</f>
        <v>911011.37254997471</v>
      </c>
      <c r="H145" s="264">
        <f t="shared" si="252"/>
        <v>31</v>
      </c>
      <c r="I145" s="264">
        <f t="shared" si="280"/>
        <v>0</v>
      </c>
      <c r="J145" s="82"/>
      <c r="L145" s="18">
        <f>'GS&lt;50 Predicted Monthly'!$V$8</f>
        <v>-2135516.9462582301</v>
      </c>
      <c r="M145" s="18">
        <f ca="1">E145*'GS&lt;50 Predicted Monthly'!$V$9</f>
        <v>1532010.5193755757</v>
      </c>
      <c r="N145" s="18">
        <f ca="1">F145*'GS&lt;50 Predicted Monthly'!$V$10</f>
        <v>0</v>
      </c>
      <c r="O145" s="18">
        <f>G145*'GS&lt;50 Predicted Monthly'!$V$11</f>
        <v>2195095.4588928064</v>
      </c>
      <c r="P145" s="18">
        <f>H145*'GS&lt;50 Predicted Monthly'!$V$12</f>
        <v>1722828.0010148797</v>
      </c>
      <c r="Q145" s="18">
        <f>I145*'GS&lt;50 Predicted Monthly'!$V$13</f>
        <v>0</v>
      </c>
      <c r="R145" s="18">
        <f>J145*'GS&lt;50 Predicted Monthly'!$V$14</f>
        <v>0</v>
      </c>
      <c r="S145" s="20">
        <f t="shared" ca="1" si="161"/>
        <v>3314417.0330250319</v>
      </c>
      <c r="AJ145" s="33">
        <f t="shared" ref="AJ145" ca="1" si="304">AJ133</f>
        <v>725.90716327464804</v>
      </c>
      <c r="AK145" s="33">
        <f t="shared" ref="AK145" ca="1" si="305">AK133</f>
        <v>896.96694158227319</v>
      </c>
      <c r="AL145" s="33">
        <f t="shared" ca="1" si="301"/>
        <v>0</v>
      </c>
      <c r="AM145" s="33">
        <f t="shared" ca="1" si="301"/>
        <v>0</v>
      </c>
      <c r="AO145" s="18">
        <f ca="1">AJ145*'GS&lt;50 Predicted Monthly'!$V$9</f>
        <v>1368965.5411497045</v>
      </c>
      <c r="AP145" s="18">
        <f ca="1">AK145*'GS&lt;50 Predicted Monthly'!$V$9</f>
        <v>1691561.809415549</v>
      </c>
      <c r="AQ145" s="18">
        <f ca="1">AL145*'GS&lt;50 Predicted Monthly'!$V$10</f>
        <v>0</v>
      </c>
      <c r="AR145" s="18">
        <f ca="1">AM145*'GS&lt;50 Predicted Monthly'!$V$10</f>
        <v>0</v>
      </c>
      <c r="AT145" s="31">
        <f t="shared" ca="1" si="273"/>
        <v>3151372.0547991609</v>
      </c>
      <c r="AU145" s="31">
        <f t="shared" ca="1" si="274"/>
        <v>3473968.3230650052</v>
      </c>
    </row>
    <row r="146" spans="1:47">
      <c r="G146" s="296"/>
      <c r="H146" s="264"/>
    </row>
    <row r="147" spans="1:47">
      <c r="G147" s="296"/>
      <c r="H147" s="264"/>
      <c r="AT147" s="31">
        <f ca="1">SUM(AT122:AT133)-SUM(S122:S133)</f>
        <v>-1577709.0583740659</v>
      </c>
      <c r="AU147" s="31">
        <f ca="1">SUM(AU122:AU133)-SUM(S122:S133)</f>
        <v>1291182.7396472469</v>
      </c>
    </row>
    <row r="148" spans="1:47">
      <c r="G148" s="296"/>
      <c r="H148" s="264"/>
      <c r="U148" s="8"/>
      <c r="V148" s="18"/>
      <c r="AT148" s="31">
        <f ca="1">SUM(AT134:AT145)-SUM(S134:S145)</f>
        <v>-1577709.0583740696</v>
      </c>
      <c r="AU148" s="31">
        <f ca="1">SUM(AU134:AU145)-SUM(S134:S145)</f>
        <v>1291182.7396472469</v>
      </c>
    </row>
    <row r="149" spans="1:47">
      <c r="G149" s="296"/>
      <c r="H149" s="264"/>
      <c r="U149" s="8"/>
      <c r="V149" s="18"/>
    </row>
    <row r="150" spans="1:47">
      <c r="G150" s="296"/>
      <c r="H150" s="264"/>
      <c r="U150" s="8"/>
      <c r="V150" s="8"/>
    </row>
    <row r="151" spans="1:47">
      <c r="G151" s="296"/>
      <c r="H151" s="264"/>
    </row>
    <row r="152" spans="1:47">
      <c r="G152" s="296"/>
      <c r="H152" s="264"/>
    </row>
    <row r="153" spans="1:47">
      <c r="G153" s="296"/>
      <c r="H153" s="264"/>
    </row>
    <row r="154" spans="1:47">
      <c r="G154" s="296"/>
      <c r="H154" s="264"/>
    </row>
    <row r="155" spans="1:47">
      <c r="G155" s="296"/>
      <c r="H155" s="264"/>
    </row>
    <row r="156" spans="1:47">
      <c r="G156" s="296"/>
      <c r="H156" s="264"/>
    </row>
    <row r="157" spans="1:47">
      <c r="G157" s="296"/>
      <c r="H157" s="264"/>
    </row>
    <row r="158" spans="1:47">
      <c r="G158" s="296"/>
      <c r="H158" s="264"/>
    </row>
    <row r="159" spans="1:47">
      <c r="G159" s="296"/>
      <c r="H159" s="264"/>
    </row>
    <row r="160" spans="1:47">
      <c r="G160" s="296"/>
      <c r="H160" s="264"/>
    </row>
    <row r="161" spans="7:8">
      <c r="G161" s="296"/>
      <c r="H161" s="264"/>
    </row>
    <row r="162" spans="7:8">
      <c r="G162" s="296"/>
      <c r="H162" s="264"/>
    </row>
    <row r="163" spans="7:8">
      <c r="G163" s="296"/>
      <c r="H163" s="264"/>
    </row>
    <row r="164" spans="7:8">
      <c r="G164" s="296"/>
      <c r="H164" s="264"/>
    </row>
    <row r="165" spans="7:8">
      <c r="G165" s="296"/>
      <c r="H165" s="264"/>
    </row>
    <row r="166" spans="7:8">
      <c r="G166" s="296"/>
      <c r="H166" s="264"/>
    </row>
    <row r="167" spans="7:8">
      <c r="G167" s="296"/>
      <c r="H167" s="264"/>
    </row>
    <row r="168" spans="7:8">
      <c r="G168" s="296"/>
      <c r="H168" s="264"/>
    </row>
    <row r="169" spans="7:8">
      <c r="G169" s="296"/>
      <c r="H169" s="264"/>
    </row>
    <row r="170" spans="7:8">
      <c r="G170" s="296">
        <f>Economic!O148</f>
        <v>0</v>
      </c>
      <c r="H170" s="264"/>
    </row>
    <row r="171" spans="7:8">
      <c r="G171" s="296">
        <f>Economic!O149</f>
        <v>0</v>
      </c>
      <c r="H171" s="264"/>
    </row>
    <row r="172" spans="7:8">
      <c r="G172" s="296">
        <f>Economic!O150</f>
        <v>0</v>
      </c>
      <c r="H172" s="264"/>
    </row>
    <row r="173" spans="7:8">
      <c r="G173" s="296">
        <f>Economic!O151</f>
        <v>0</v>
      </c>
    </row>
    <row r="174" spans="7:8">
      <c r="G174" s="296">
        <f>Economic!O152</f>
        <v>0</v>
      </c>
    </row>
    <row r="175" spans="7:8">
      <c r="G175" s="296">
        <f>Economic!O153</f>
        <v>0</v>
      </c>
    </row>
    <row r="176" spans="7:8">
      <c r="G176" s="296">
        <f>Economic!O154</f>
        <v>0</v>
      </c>
    </row>
    <row r="177" spans="7:7">
      <c r="G177" s="296">
        <f>Economic!O155</f>
        <v>0</v>
      </c>
    </row>
    <row r="178" spans="7:7">
      <c r="G178" s="296">
        <f>Economic!O156</f>
        <v>0</v>
      </c>
    </row>
    <row r="194" spans="7:19">
      <c r="G194" s="265"/>
    </row>
    <row r="195" spans="7:19">
      <c r="H195" s="18"/>
      <c r="J195" s="13"/>
      <c r="K195" s="18"/>
      <c r="M195" s="18"/>
      <c r="N195" s="18"/>
      <c r="O195" s="18"/>
      <c r="P195" s="18"/>
      <c r="Q195" s="18"/>
      <c r="R195" s="18"/>
      <c r="S195" s="18"/>
    </row>
    <row r="196" spans="7:19">
      <c r="H196" s="18"/>
      <c r="J196" s="13"/>
      <c r="K196" s="18"/>
      <c r="M196" s="18"/>
      <c r="N196" s="18"/>
      <c r="O196" s="18"/>
      <c r="P196" s="18"/>
      <c r="Q196" s="18"/>
      <c r="R196" s="18"/>
      <c r="S196" s="18"/>
    </row>
    <row r="197" spans="7:19">
      <c r="H197" s="18"/>
      <c r="J197" s="13"/>
      <c r="K197" s="18"/>
      <c r="M197" s="18"/>
      <c r="N197" s="18"/>
      <c r="O197" s="18"/>
      <c r="P197" s="18"/>
      <c r="Q197" s="18"/>
      <c r="R197" s="18"/>
      <c r="S197" s="18"/>
    </row>
    <row r="198" spans="7:19">
      <c r="H198" s="18"/>
      <c r="J198" s="13"/>
      <c r="K198" s="18"/>
      <c r="M198" s="18"/>
      <c r="N198" s="18"/>
      <c r="O198" s="18"/>
      <c r="P198" s="18"/>
      <c r="Q198" s="18"/>
      <c r="R198" s="18"/>
      <c r="S198" s="18"/>
    </row>
    <row r="199" spans="7:19">
      <c r="H199" s="18"/>
      <c r="J199" s="13"/>
      <c r="K199" s="18"/>
      <c r="M199" s="18"/>
      <c r="N199" s="18"/>
      <c r="O199" s="18"/>
      <c r="P199" s="18"/>
      <c r="Q199" s="18"/>
      <c r="R199" s="18"/>
      <c r="S199" s="18"/>
    </row>
    <row r="200" spans="7:19">
      <c r="H200" s="18"/>
      <c r="J200" s="13"/>
      <c r="K200" s="18"/>
      <c r="M200" s="18"/>
      <c r="N200" s="18"/>
      <c r="O200" s="18"/>
      <c r="P200" s="18"/>
      <c r="Q200" s="18"/>
      <c r="R200" s="18"/>
      <c r="S200" s="18"/>
    </row>
    <row r="201" spans="7:19">
      <c r="H201" s="18"/>
      <c r="J201" s="13"/>
      <c r="K201" s="18"/>
      <c r="M201" s="18"/>
      <c r="N201" s="18"/>
      <c r="O201" s="18"/>
      <c r="P201" s="18"/>
      <c r="Q201" s="18"/>
      <c r="R201" s="18"/>
      <c r="S201" s="18"/>
    </row>
    <row r="202" spans="7:19">
      <c r="H202" s="18"/>
      <c r="J202" s="13"/>
      <c r="K202" s="18"/>
      <c r="M202" s="18"/>
      <c r="N202" s="18"/>
      <c r="O202" s="18"/>
      <c r="P202" s="18"/>
      <c r="Q202" s="18"/>
      <c r="R202" s="18"/>
      <c r="S202" s="18"/>
    </row>
    <row r="203" spans="7:19">
      <c r="G203"/>
      <c r="J203" s="13"/>
    </row>
    <row r="204" spans="7:19">
      <c r="G204"/>
      <c r="J204" s="13"/>
      <c r="K204" s="31"/>
      <c r="L204" s="31"/>
      <c r="M204" s="31"/>
      <c r="N204" s="31"/>
      <c r="O204" s="31"/>
      <c r="P204" s="31"/>
      <c r="Q204" s="31"/>
      <c r="R204" s="31"/>
      <c r="S204" s="31"/>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9"/>
  <dimension ref="A1:BC204"/>
  <sheetViews>
    <sheetView topLeftCell="AD1" workbookViewId="0">
      <selection activeCell="AW1" sqref="AW1:BA1048576"/>
    </sheetView>
  </sheetViews>
  <sheetFormatPr defaultColWidth="9.33203125" defaultRowHeight="13.15"/>
  <cols>
    <col min="1" max="1" width="10.33203125" bestFit="1" customWidth="1"/>
    <col min="4" max="4" width="11.5" customWidth="1"/>
    <col min="5" max="5" width="17.5" customWidth="1"/>
    <col min="6" max="6" width="11" customWidth="1"/>
    <col min="9" max="9" width="14.6640625" bestFit="1" customWidth="1"/>
    <col min="10" max="10" width="12.83203125" bestFit="1" customWidth="1"/>
    <col min="11" max="11" width="13.83203125" bestFit="1" customWidth="1"/>
    <col min="12" max="12" width="13.83203125" customWidth="1"/>
    <col min="13" max="17" width="12.5" customWidth="1"/>
    <col min="18" max="18" width="6.33203125" customWidth="1"/>
    <col min="19" max="24" width="12.5" customWidth="1"/>
    <col min="25" max="25" width="19.6640625" customWidth="1"/>
    <col min="27" max="27" width="13.83203125" bestFit="1" customWidth="1"/>
    <col min="28" max="30" width="12.6640625" bestFit="1" customWidth="1"/>
    <col min="46" max="46" width="12.6640625" bestFit="1" customWidth="1"/>
    <col min="50" max="50" width="0" hidden="1" customWidth="1"/>
    <col min="51" max="52" width="11.1640625" hidden="1" customWidth="1"/>
    <col min="54" max="54" width="10.83203125" bestFit="1" customWidth="1"/>
    <col min="55" max="55" width="10.1640625" bestFit="1" customWidth="1"/>
  </cols>
  <sheetData>
    <row r="1" spans="1:55">
      <c r="A1" s="266" t="str">
        <f>'Monthly Data'!A1</f>
        <v>Date</v>
      </c>
      <c r="B1" s="258" t="s">
        <v>27</v>
      </c>
      <c r="C1" s="258" t="s">
        <v>28</v>
      </c>
      <c r="D1" s="267" t="str">
        <f>'Monthly Data'!N1</f>
        <v>GS_gt_50_NoCDM</v>
      </c>
      <c r="E1" s="267" t="str">
        <f>'Monthly Data'!AB1</f>
        <v>GSgtxLCkWh_NoCDM</v>
      </c>
      <c r="F1" s="268" t="str">
        <f>'Monthly Data'!AQ1</f>
        <v>HDD20</v>
      </c>
      <c r="G1" s="268" t="str">
        <f>'Monthly Data'!BB1</f>
        <v>CDD10</v>
      </c>
      <c r="I1" s="258" t="s">
        <v>187</v>
      </c>
      <c r="J1" s="268" t="str">
        <f>F1</f>
        <v>HDD20</v>
      </c>
      <c r="K1" s="268" t="str">
        <f>G1</f>
        <v>CDD10</v>
      </c>
      <c r="L1" s="18"/>
      <c r="M1" s="268" t="str">
        <f>'Monthly Data'!Y1</f>
        <v>LargekWh</v>
      </c>
      <c r="N1" s="268" t="str">
        <f>'Monthly Data'!DN1</f>
        <v>FlagNov25</v>
      </c>
      <c r="O1" s="268" t="str">
        <f>'Monthly Data'!DO1</f>
        <v>FlagDec25</v>
      </c>
      <c r="P1" s="268" t="str">
        <f>'Monthly Data'!AQ1</f>
        <v>HDD20</v>
      </c>
      <c r="Q1" s="268" t="str">
        <f>'Monthly Data'!BR1</f>
        <v>Fall</v>
      </c>
      <c r="R1" s="18"/>
      <c r="S1" s="258" t="s">
        <v>187</v>
      </c>
      <c r="T1" s="268" t="str">
        <f>N1</f>
        <v>FlagNov25</v>
      </c>
      <c r="U1" s="268" t="str">
        <f>O1</f>
        <v>FlagDec25</v>
      </c>
      <c r="V1" s="268" t="str">
        <f>P1</f>
        <v>HDD20</v>
      </c>
      <c r="W1" s="268" t="str">
        <f>Q1</f>
        <v>Fall</v>
      </c>
      <c r="X1" s="18"/>
      <c r="Y1" s="258" t="s">
        <v>378</v>
      </c>
      <c r="AO1" t="s">
        <v>379</v>
      </c>
      <c r="AP1" t="s">
        <v>380</v>
      </c>
      <c r="AQ1" t="s">
        <v>381</v>
      </c>
      <c r="AR1" t="s">
        <v>382</v>
      </c>
      <c r="AT1" t="str">
        <f>AO1</f>
        <v>HDDLow</v>
      </c>
      <c r="AU1" t="str">
        <f>AP1</f>
        <v>HDDHigh</v>
      </c>
      <c r="AV1" t="str">
        <f>AQ1</f>
        <v>CDDLow</v>
      </c>
      <c r="AW1" t="str">
        <f>AR1</f>
        <v>CDDHigh</v>
      </c>
      <c r="AY1" t="str">
        <f>AT1</f>
        <v>HDDLow</v>
      </c>
      <c r="AZ1" t="str">
        <f>AU1</f>
        <v>HDDHigh</v>
      </c>
      <c r="BB1" t="s">
        <v>383</v>
      </c>
      <c r="BC1" t="s">
        <v>384</v>
      </c>
    </row>
    <row r="2" spans="1:55">
      <c r="A2" s="541">
        <f>'Monthly Data'!A2</f>
        <v>42370</v>
      </c>
      <c r="B2">
        <f t="shared" ref="B2:B9" si="0">YEAR(A2)</f>
        <v>2016</v>
      </c>
      <c r="C2">
        <f t="shared" ref="C2:C9" si="1">MONTH(A2)</f>
        <v>1</v>
      </c>
      <c r="D2" s="30">
        <f>'Monthly Data'!N2</f>
        <v>15958.100961538461</v>
      </c>
      <c r="E2" s="30">
        <f>'Monthly Data'!AB2</f>
        <v>14710.100961538461</v>
      </c>
      <c r="F2" s="516">
        <f ca="1">Weather!AA39</f>
        <v>914.55166666666662</v>
      </c>
      <c r="G2" s="516">
        <f ca="1">Weather!CT39</f>
        <v>0</v>
      </c>
      <c r="I2" s="18">
        <f>'GS&gt;50 Predicted Monthly (no LC)'!$P$9</f>
        <v>4121039.41701539</v>
      </c>
      <c r="J2" s="18">
        <f ca="1">F2*'GS&gt;50 Predicted Monthly (no LC)'!$P$10</f>
        <v>2117640.4852206991</v>
      </c>
      <c r="K2" s="18">
        <f ca="1">G2*'GS&gt;50 Predicted Monthly (no LC)'!$P$11</f>
        <v>0</v>
      </c>
      <c r="L2" s="18">
        <f ca="1">SUM(I2:K2)</f>
        <v>6238679.9022360891</v>
      </c>
      <c r="M2" s="18">
        <f>'Monthly Data'!Y2</f>
        <v>30480</v>
      </c>
      <c r="N2" s="18">
        <f>'Monthly Data'!DN2</f>
        <v>0</v>
      </c>
      <c r="O2" s="18">
        <f>'Monthly Data'!DO2</f>
        <v>0</v>
      </c>
      <c r="P2" s="18">
        <f ca="1">F2</f>
        <v>914.55166666666662</v>
      </c>
      <c r="Q2" s="18">
        <f>'Monthly Data'!BR2</f>
        <v>0</v>
      </c>
      <c r="R2" s="18"/>
      <c r="S2" s="18">
        <f>'LC Predicted Monthly'!$T$9</f>
        <v>-22694.781953278001</v>
      </c>
      <c r="T2" s="18">
        <f>N2*'LC Predicted Monthly'!$T$10</f>
        <v>0</v>
      </c>
      <c r="U2" s="18">
        <f>O2*'LC Predicted Monthly'!$T$11</f>
        <v>0</v>
      </c>
      <c r="V2" s="18">
        <f ca="1">P2*'LC Predicted Monthly'!$T$12</f>
        <v>187239.19956993285</v>
      </c>
      <c r="W2" s="18">
        <f>Q2*'LC Predicted Monthly'!$T$13</f>
        <v>0</v>
      </c>
      <c r="X2" s="18">
        <f ca="1">SUM(S2:W2)</f>
        <v>164544.41761665486</v>
      </c>
      <c r="Y2" s="18">
        <f ca="1">SUM(I2:K2,S2:W2)</f>
        <v>6403224.3198527442</v>
      </c>
      <c r="AO2" s="33">
        <f ca="1">Weather!AD39</f>
        <v>817.22005262600237</v>
      </c>
      <c r="AP2" s="33">
        <f ca="1">Weather!AE39</f>
        <v>1009.7976825258449</v>
      </c>
      <c r="AQ2" s="33">
        <f ca="1">Weather!CX39</f>
        <v>0</v>
      </c>
      <c r="AR2" s="33">
        <f ca="1">Weather!CY39</f>
        <v>0</v>
      </c>
      <c r="AT2" s="18">
        <f ca="1">AO2*'GS&gt;50 Predicted Monthly (no LC)'!$P$10</f>
        <v>1892269.5478567963</v>
      </c>
      <c r="AU2" s="18">
        <f ca="1">AP2*'GS&gt;50 Predicted Monthly (no LC)'!$P$10</f>
        <v>2338182.2288867598</v>
      </c>
      <c r="AV2" s="18">
        <f ca="1">AQ2*'GS&gt;50 Predicted Monthly (no LC)'!$P$11</f>
        <v>0</v>
      </c>
      <c r="AW2" s="18">
        <f ca="1">AR2*'GS&gt;50 Predicted Monthly (no LC)'!$P$11</f>
        <v>0</v>
      </c>
      <c r="AY2" s="18">
        <f ca="1">AO2*'LC Predicted Monthly'!$T$12</f>
        <v>167312.17502877486</v>
      </c>
      <c r="AZ2" s="18">
        <f ca="1">AP2*'LC Predicted Monthly'!$T$12</f>
        <v>206739.23266997386</v>
      </c>
      <c r="BB2" s="31">
        <f ca="1">AT2+AV2+AY2-J2-K2-V2+Y2</f>
        <v>6157926.3579476839</v>
      </c>
      <c r="BC2" s="31">
        <f ca="1">AU2+AW2+AZ2-J2-K2-V2+Y2</f>
        <v>6643266.0966188461</v>
      </c>
    </row>
    <row r="3" spans="1:55">
      <c r="A3" s="541">
        <f>'Monthly Data'!A3</f>
        <v>42401</v>
      </c>
      <c r="B3">
        <f t="shared" si="0"/>
        <v>2016</v>
      </c>
      <c r="C3">
        <f t="shared" si="1"/>
        <v>2</v>
      </c>
      <c r="D3" s="30">
        <f>'Monthly Data'!N3</f>
        <v>18085.847756410258</v>
      </c>
      <c r="E3" s="30">
        <f>'Monthly Data'!AB3</f>
        <v>14221.847756410258</v>
      </c>
      <c r="F3" s="516">
        <f ca="1">Weather!AA40</f>
        <v>803.82854166666664</v>
      </c>
      <c r="G3" s="516">
        <f ca="1">Weather!CT40</f>
        <v>0</v>
      </c>
      <c r="I3" s="18">
        <f>'GS&gt;50 Predicted Monthly (no LC)'!$P$9</f>
        <v>4121039.41701539</v>
      </c>
      <c r="J3" s="18">
        <f ca="1">F3*'GS&gt;50 Predicted Monthly (no LC)'!$P$10</f>
        <v>1861261.5613215731</v>
      </c>
      <c r="K3" s="18">
        <f ca="1">G3*'GS&gt;50 Predicted Monthly (no LC)'!$P$11</f>
        <v>0</v>
      </c>
      <c r="L3" s="18">
        <f t="shared" ref="L3:L66" ca="1" si="2">SUM(I3:K3)</f>
        <v>5982300.9783369629</v>
      </c>
      <c r="M3" s="18">
        <f>'Monthly Data'!Y3</f>
        <v>118530</v>
      </c>
      <c r="N3" s="18">
        <f>'Monthly Data'!DN3</f>
        <v>0</v>
      </c>
      <c r="O3" s="18">
        <f>'Monthly Data'!DO3</f>
        <v>0</v>
      </c>
      <c r="P3" s="18">
        <f t="shared" ref="P3:P66" ca="1" si="3">F3</f>
        <v>803.82854166666664</v>
      </c>
      <c r="Q3" s="18">
        <f>'Monthly Data'!BR3</f>
        <v>0</v>
      </c>
      <c r="R3" s="18"/>
      <c r="S3" s="18">
        <f>'LC Predicted Monthly'!$T$9</f>
        <v>-22694.781953278001</v>
      </c>
      <c r="T3" s="18">
        <f>N3*'LC Predicted Monthly'!$T$10</f>
        <v>0</v>
      </c>
      <c r="U3" s="18">
        <f>O3*'LC Predicted Monthly'!$T$11</f>
        <v>0</v>
      </c>
      <c r="V3" s="18">
        <f ca="1">P3*'LC Predicted Monthly'!$T$12</f>
        <v>164570.48652232124</v>
      </c>
      <c r="W3" s="18">
        <f>Q3*'LC Predicted Monthly'!$T$13</f>
        <v>0</v>
      </c>
      <c r="X3" s="18">
        <f t="shared" ref="X3:X66" ca="1" si="4">SUM(S3:W3)</f>
        <v>141875.70456904324</v>
      </c>
      <c r="Y3" s="18">
        <f t="shared" ref="Y3:Y66" ca="1" si="5">SUM(I3:K3,S3:W3)</f>
        <v>6124176.6829060065</v>
      </c>
      <c r="AO3" s="33">
        <f ca="1">Weather!AD40</f>
        <v>718.28069103781206</v>
      </c>
      <c r="AP3" s="33">
        <f ca="1">Weather!AE40</f>
        <v>887.54329373386554</v>
      </c>
      <c r="AQ3" s="33">
        <f ca="1">Weather!CX40</f>
        <v>0</v>
      </c>
      <c r="AR3" s="33">
        <f ca="1">Weather!CY40</f>
        <v>0</v>
      </c>
      <c r="AT3" s="18">
        <f ca="1">AO3*'GS&gt;50 Predicted Monthly (no LC)'!$P$10</f>
        <v>1663175.8779007981</v>
      </c>
      <c r="AU3" s="18">
        <f ca="1">AP3*'GS&gt;50 Predicted Monthly (no LC)'!$P$10</f>
        <v>2055102.7128377589</v>
      </c>
      <c r="AV3" s="18">
        <f ca="1">AQ3*'GS&gt;50 Predicted Monthly (no LC)'!$P$11</f>
        <v>0</v>
      </c>
      <c r="AW3" s="18">
        <f ca="1">AR3*'GS&gt;50 Predicted Monthly (no LC)'!$P$11</f>
        <v>0</v>
      </c>
      <c r="AY3" s="18">
        <f ca="1">AO3*'LC Predicted Monthly'!$T$12</f>
        <v>147055.99099353765</v>
      </c>
      <c r="AZ3" s="18">
        <f ca="1">AP3*'LC Predicted Monthly'!$T$12</f>
        <v>181709.68569560398</v>
      </c>
      <c r="BB3" s="31">
        <f t="shared" ref="BB3:BB66" ca="1" si="6">AT3+AV3+AY3-J3-K3-V3+Y3</f>
        <v>5908576.5039564483</v>
      </c>
      <c r="BC3" s="31">
        <f t="shared" ref="BC3:BC66" ca="1" si="7">AU3+AW3+AZ3-J3-K3-V3+Y3</f>
        <v>6335157.0335954754</v>
      </c>
    </row>
    <row r="4" spans="1:55">
      <c r="A4" s="541">
        <f>'Monthly Data'!A4</f>
        <v>42430</v>
      </c>
      <c r="B4">
        <f t="shared" si="0"/>
        <v>2016</v>
      </c>
      <c r="C4">
        <f t="shared" si="1"/>
        <v>3</v>
      </c>
      <c r="D4" s="30">
        <f>'Monthly Data'!N4</f>
        <v>20213.594551282051</v>
      </c>
      <c r="E4" s="30">
        <f>'Monthly Data'!AB4</f>
        <v>19655.594551282051</v>
      </c>
      <c r="F4" s="516">
        <f ca="1">Weather!AA41</f>
        <v>698.29604166666672</v>
      </c>
      <c r="G4" s="516">
        <f ca="1">Weather!CT41</f>
        <v>0.11000000000000032</v>
      </c>
      <c r="I4" s="18">
        <f>'GS&gt;50 Predicted Monthly (no LC)'!$P$9</f>
        <v>4121039.41701539</v>
      </c>
      <c r="J4" s="18">
        <f ca="1">F4*'GS&gt;50 Predicted Monthly (no LC)'!$P$10</f>
        <v>1616901.5074811084</v>
      </c>
      <c r="K4" s="18">
        <f ca="1">G4*'GS&gt;50 Predicted Monthly (no LC)'!$P$11</f>
        <v>594.2444084467578</v>
      </c>
      <c r="L4" s="18">
        <f t="shared" ca="1" si="2"/>
        <v>5738535.1689049443</v>
      </c>
      <c r="M4" s="18">
        <f>'Monthly Data'!Y4</f>
        <v>558</v>
      </c>
      <c r="N4" s="18">
        <f>'Monthly Data'!DN4</f>
        <v>0</v>
      </c>
      <c r="O4" s="18">
        <f>'Monthly Data'!DO4</f>
        <v>0</v>
      </c>
      <c r="P4" s="18">
        <f t="shared" ca="1" si="3"/>
        <v>698.29604166666672</v>
      </c>
      <c r="Q4" s="18">
        <f>'Monthly Data'!BR4</f>
        <v>0</v>
      </c>
      <c r="R4" s="18"/>
      <c r="S4" s="18">
        <f>'LC Predicted Monthly'!$T$9</f>
        <v>-22694.781953278001</v>
      </c>
      <c r="T4" s="18">
        <f>N4*'LC Predicted Monthly'!$T$10</f>
        <v>0</v>
      </c>
      <c r="U4" s="18">
        <f>O4*'LC Predicted Monthly'!$T$11</f>
        <v>0</v>
      </c>
      <c r="V4" s="18">
        <f ca="1">P4*'LC Predicted Monthly'!$T$12</f>
        <v>142964.46736690929</v>
      </c>
      <c r="W4" s="18">
        <f>Q4*'LC Predicted Monthly'!$T$13</f>
        <v>0</v>
      </c>
      <c r="X4" s="18">
        <f t="shared" ca="1" si="4"/>
        <v>120269.68541363129</v>
      </c>
      <c r="Y4" s="18">
        <f t="shared" ca="1" si="5"/>
        <v>5858804.8543185759</v>
      </c>
      <c r="AO4" s="33">
        <f ca="1">Weather!AD41</f>
        <v>623.97953961343092</v>
      </c>
      <c r="AP4" s="33">
        <f ca="1">Weather!AE41</f>
        <v>771.02010776716202</v>
      </c>
      <c r="AQ4" s="33">
        <f ca="1">Weather!CX41</f>
        <v>9.2975657066825132E-2</v>
      </c>
      <c r="AR4" s="33">
        <f ca="1">Weather!CY41</f>
        <v>0.11932565987223402</v>
      </c>
      <c r="AT4" s="18">
        <f ca="1">AO4*'GS&gt;50 Predicted Monthly (no LC)'!$P$10</f>
        <v>1444821.9638053337</v>
      </c>
      <c r="AU4" s="18">
        <f ca="1">AP4*'GS&gt;50 Predicted Monthly (no LC)'!$P$10</f>
        <v>1785293.7724972367</v>
      </c>
      <c r="AV4" s="18">
        <f ca="1">AQ4*'GS&gt;50 Predicted Monthly (no LC)'!$P$11</f>
        <v>502.27513030567235</v>
      </c>
      <c r="AW4" s="18">
        <f ca="1">AR4*'GS&gt;50 Predicted Monthly (no LC)'!$P$11</f>
        <v>644.62369239358668</v>
      </c>
      <c r="AY4" s="18">
        <f ca="1">AO4*'LC Predicted Monthly'!$T$12</f>
        <v>127749.40312674227</v>
      </c>
      <c r="AZ4" s="18">
        <f ca="1">AP4*'LC Predicted Monthly'!$T$12</f>
        <v>157853.50690664109</v>
      </c>
      <c r="BB4" s="31">
        <f t="shared" ca="1" si="6"/>
        <v>5671418.2771244934</v>
      </c>
      <c r="BC4" s="31">
        <f t="shared" ca="1" si="7"/>
        <v>6042136.5381583832</v>
      </c>
    </row>
    <row r="5" spans="1:55">
      <c r="A5" s="541">
        <f>'Monthly Data'!A5</f>
        <v>42461</v>
      </c>
      <c r="B5">
        <f t="shared" si="0"/>
        <v>2016</v>
      </c>
      <c r="C5">
        <f t="shared" si="1"/>
        <v>4</v>
      </c>
      <c r="D5" s="30">
        <f>'Monthly Data'!N5</f>
        <v>22341.341346153844</v>
      </c>
      <c r="E5" s="30">
        <f>'Monthly Data'!AB5</f>
        <v>22335.341346153844</v>
      </c>
      <c r="F5" s="516">
        <f ca="1">Weather!AA42</f>
        <v>468.60374999999993</v>
      </c>
      <c r="G5" s="516">
        <f ca="1">Weather!CT42</f>
        <v>7.7354166666666684</v>
      </c>
      <c r="I5" s="18">
        <f>'GS&gt;50 Predicted Monthly (no LC)'!$P$9</f>
        <v>4121039.41701539</v>
      </c>
      <c r="J5" s="18">
        <f ca="1">F5*'GS&gt;50 Predicted Monthly (no LC)'!$P$10</f>
        <v>1085049.9853584787</v>
      </c>
      <c r="K5" s="18">
        <f ca="1">G5*'GS&gt;50 Predicted Monthly (no LC)'!$P$11</f>
        <v>41788.437283386476</v>
      </c>
      <c r="L5" s="18">
        <f t="shared" ca="1" si="2"/>
        <v>5247877.8396572554</v>
      </c>
      <c r="M5" s="18">
        <f>'Monthly Data'!Y5</f>
        <v>6</v>
      </c>
      <c r="N5" s="18">
        <f>'Monthly Data'!DN5</f>
        <v>0</v>
      </c>
      <c r="O5" s="18">
        <f>'Monthly Data'!DO5</f>
        <v>0</v>
      </c>
      <c r="P5" s="18">
        <f t="shared" ca="1" si="3"/>
        <v>468.60374999999993</v>
      </c>
      <c r="Q5" s="18">
        <f>'Monthly Data'!BR5</f>
        <v>0</v>
      </c>
      <c r="R5" s="18"/>
      <c r="S5" s="18">
        <f>'LC Predicted Monthly'!$T$9</f>
        <v>-22694.781953278001</v>
      </c>
      <c r="T5" s="18">
        <f>N5*'LC Predicted Monthly'!$T$10</f>
        <v>0</v>
      </c>
      <c r="U5" s="18">
        <f>O5*'LC Predicted Monthly'!$T$11</f>
        <v>0</v>
      </c>
      <c r="V5" s="18">
        <f ca="1">P5*'LC Predicted Monthly'!$T$12</f>
        <v>95938.80177952649</v>
      </c>
      <c r="W5" s="18">
        <f>Q5*'LC Predicted Monthly'!$T$13</f>
        <v>0</v>
      </c>
      <c r="X5" s="18">
        <f t="shared" ca="1" si="4"/>
        <v>73244.019826248492</v>
      </c>
      <c r="Y5" s="18">
        <f t="shared" ca="1" si="5"/>
        <v>5321121.8594835037</v>
      </c>
      <c r="AO5" s="33">
        <f ca="1">Weather!AD42</f>
        <v>418.73236383846591</v>
      </c>
      <c r="AP5" s="33">
        <f ca="1">Weather!AE42</f>
        <v>517.40650421381736</v>
      </c>
      <c r="AQ5" s="33">
        <f ca="1">Weather!CX42</f>
        <v>6.5382313388091058</v>
      </c>
      <c r="AR5" s="33">
        <f ca="1">Weather!CY42</f>
        <v>8.3912154376061316</v>
      </c>
      <c r="AT5" s="18">
        <f ca="1">AO5*'GS&gt;50 Predicted Monthly (no LC)'!$P$10</f>
        <v>969573.00331473805</v>
      </c>
      <c r="AU5" s="18">
        <f ca="1">AP5*'GS&gt;50 Predicted Monthly (no LC)'!$P$10</f>
        <v>1198052.5546831076</v>
      </c>
      <c r="AV5" s="18">
        <f ca="1">AQ5*'GS&gt;50 Predicted Monthly (no LC)'!$P$11</f>
        <v>35320.976492896902</v>
      </c>
      <c r="AW5" s="18">
        <f ca="1">AR5*'GS&gt;50 Predicted Monthly (no LC)'!$P$11</f>
        <v>45331.207762450395</v>
      </c>
      <c r="AY5" s="18">
        <f ca="1">AO5*'LC Predicted Monthly'!$T$12</f>
        <v>85728.467288132349</v>
      </c>
      <c r="AZ5" s="18">
        <f ca="1">AP5*'LC Predicted Monthly'!$T$12</f>
        <v>105930.35170377353</v>
      </c>
      <c r="BB5" s="31">
        <f t="shared" ca="1" si="6"/>
        <v>5188967.0821578791</v>
      </c>
      <c r="BC5" s="31">
        <f t="shared" ca="1" si="7"/>
        <v>5447658.7492114436</v>
      </c>
    </row>
    <row r="6" spans="1:55">
      <c r="A6" s="541">
        <f>'Monthly Data'!A6</f>
        <v>42491</v>
      </c>
      <c r="B6">
        <f t="shared" si="0"/>
        <v>2016</v>
      </c>
      <c r="C6">
        <f t="shared" si="1"/>
        <v>5</v>
      </c>
      <c r="D6" s="30">
        <f>'Monthly Data'!N6</f>
        <v>24469.088141025641</v>
      </c>
      <c r="E6" s="30">
        <f>'Monthly Data'!AB6</f>
        <v>2227.0881410256407</v>
      </c>
      <c r="F6" s="516">
        <f ca="1">Weather!AA43</f>
        <v>232.88687500000006</v>
      </c>
      <c r="G6" s="516">
        <f ca="1">Weather!CT43</f>
        <v>111.43645833333332</v>
      </c>
      <c r="I6" s="18">
        <f>'GS&gt;50 Predicted Monthly (no LC)'!$P$9</f>
        <v>4121039.41701539</v>
      </c>
      <c r="J6" s="18">
        <f ca="1">F6*'GS&gt;50 Predicted Monthly (no LC)'!$P$10</f>
        <v>539248.5662117129</v>
      </c>
      <c r="K6" s="18">
        <f ca="1">G6*'GS&gt;50 Predicted Monthly (no LC)'!$P$11</f>
        <v>602004.47510630218</v>
      </c>
      <c r="L6" s="18">
        <f t="shared" ca="1" si="2"/>
        <v>5262292.4583334047</v>
      </c>
      <c r="M6" s="18">
        <f>'Monthly Data'!Y6</f>
        <v>22242</v>
      </c>
      <c r="N6" s="18">
        <f>'Monthly Data'!DN6</f>
        <v>0</v>
      </c>
      <c r="O6" s="18">
        <f>'Monthly Data'!DO6</f>
        <v>0</v>
      </c>
      <c r="P6" s="18">
        <f t="shared" ca="1" si="3"/>
        <v>232.88687500000006</v>
      </c>
      <c r="Q6" s="18">
        <f>'Monthly Data'!BR6</f>
        <v>0</v>
      </c>
      <c r="R6" s="18"/>
      <c r="S6" s="18">
        <f>'LC Predicted Monthly'!$T$9</f>
        <v>-22694.781953278001</v>
      </c>
      <c r="T6" s="18">
        <f>N6*'LC Predicted Monthly'!$T$10</f>
        <v>0</v>
      </c>
      <c r="U6" s="18">
        <f>O6*'LC Predicted Monthly'!$T$11</f>
        <v>0</v>
      </c>
      <c r="V6" s="18">
        <f ca="1">P6*'LC Predicted Monthly'!$T$12</f>
        <v>47679.703241125091</v>
      </c>
      <c r="W6" s="18">
        <f>Q6*'LC Predicted Monthly'!$T$13</f>
        <v>0</v>
      </c>
      <c r="X6" s="18">
        <f t="shared" ca="1" si="4"/>
        <v>24984.92128784709</v>
      </c>
      <c r="Y6" s="18">
        <f t="shared" ca="1" si="5"/>
        <v>5287277.3796212515</v>
      </c>
      <c r="AO6" s="33">
        <f ca="1">Weather!AD43</f>
        <v>208.10177399498693</v>
      </c>
      <c r="AP6" s="33">
        <f ca="1">Weather!AE43</f>
        <v>257.1408868815717</v>
      </c>
      <c r="AQ6" s="33">
        <f ca="1">Weather!CX43</f>
        <v>94.189799406741059</v>
      </c>
      <c r="AR6" s="33">
        <f ca="1">Weather!CY43</f>
        <v>120.88389931317884</v>
      </c>
      <c r="AT6" s="18">
        <f ca="1">AO6*'GS&gt;50 Predicted Monthly (no LC)'!$P$10</f>
        <v>481858.77049924171</v>
      </c>
      <c r="AU6" s="18">
        <f ca="1">AP6*'GS&gt;50 Predicted Monthly (no LC)'!$P$10</f>
        <v>595408.62732301152</v>
      </c>
      <c r="AV6" s="18">
        <f ca="1">AQ6*'GS&gt;50 Predicted Monthly (no LC)'!$P$11</f>
        <v>508834.19663797691</v>
      </c>
      <c r="AW6" s="18">
        <f ca="1">AR6*'GS&gt;50 Predicted Monthly (no LC)'!$P$11</f>
        <v>653041.64761906536</v>
      </c>
      <c r="AY6" s="18">
        <f ca="1">AO6*'LC Predicted Monthly'!$T$12</f>
        <v>42605.367211152006</v>
      </c>
      <c r="AZ6" s="18">
        <f ca="1">AP6*'LC Predicted Monthly'!$T$12</f>
        <v>52645.307631325515</v>
      </c>
      <c r="BB6" s="31">
        <f t="shared" ca="1" si="6"/>
        <v>5131642.9694104819</v>
      </c>
      <c r="BC6" s="31">
        <f t="shared" ca="1" si="7"/>
        <v>5399440.2176355133</v>
      </c>
    </row>
    <row r="7" spans="1:55">
      <c r="A7" s="541">
        <f>'Monthly Data'!A7</f>
        <v>42522</v>
      </c>
      <c r="B7">
        <f t="shared" si="0"/>
        <v>2016</v>
      </c>
      <c r="C7">
        <f t="shared" si="1"/>
        <v>6</v>
      </c>
      <c r="D7" s="30">
        <f>'Monthly Data'!N7</f>
        <v>26596.834935897437</v>
      </c>
      <c r="E7" s="30">
        <f>'Monthly Data'!AB7</f>
        <v>19858.834935897437</v>
      </c>
      <c r="F7" s="516">
        <f ca="1">Weather!AA44</f>
        <v>92.751249999999999</v>
      </c>
      <c r="G7" s="516">
        <f ca="1">Weather!CT44</f>
        <v>227.31958333333333</v>
      </c>
      <c r="I7" s="18">
        <f>'GS&gt;50 Predicted Monthly (no LC)'!$P$9</f>
        <v>4121039.41701539</v>
      </c>
      <c r="J7" s="18">
        <f ca="1">F7*'GS&gt;50 Predicted Monthly (no LC)'!$P$10</f>
        <v>214765.12395489923</v>
      </c>
      <c r="K7" s="18">
        <f ca="1">G7*'GS&gt;50 Predicted Monthly (no LC)'!$P$11</f>
        <v>1228030.8302389067</v>
      </c>
      <c r="L7" s="18">
        <f t="shared" ca="1" si="2"/>
        <v>5563835.3712091958</v>
      </c>
      <c r="M7" s="18">
        <f>'Monthly Data'!Y7</f>
        <v>6738</v>
      </c>
      <c r="N7" s="18">
        <f>'Monthly Data'!DN7</f>
        <v>0</v>
      </c>
      <c r="O7" s="18">
        <f>'Monthly Data'!DO7</f>
        <v>0</v>
      </c>
      <c r="P7" s="18">
        <f t="shared" ca="1" si="3"/>
        <v>92.751249999999999</v>
      </c>
      <c r="Q7" s="18">
        <f>'Monthly Data'!BR7</f>
        <v>0</v>
      </c>
      <c r="R7" s="18"/>
      <c r="S7" s="18">
        <f>'LC Predicted Monthly'!$T$9</f>
        <v>-22694.781953278001</v>
      </c>
      <c r="T7" s="18">
        <f>N7*'LC Predicted Monthly'!$T$10</f>
        <v>0</v>
      </c>
      <c r="U7" s="18">
        <f>O7*'LC Predicted Monthly'!$T$11</f>
        <v>0</v>
      </c>
      <c r="V7" s="18">
        <f ca="1">P7*'LC Predicted Monthly'!$T$12</f>
        <v>18989.271401591017</v>
      </c>
      <c r="W7" s="18">
        <f>Q7*'LC Predicted Monthly'!$T$13</f>
        <v>0</v>
      </c>
      <c r="X7" s="18">
        <f t="shared" ca="1" si="4"/>
        <v>-3705.5105516869844</v>
      </c>
      <c r="Y7" s="18">
        <f t="shared" ca="1" si="5"/>
        <v>5560129.8606575085</v>
      </c>
      <c r="AO7" s="33">
        <f ca="1">Weather!AD44</f>
        <v>82.880152285321046</v>
      </c>
      <c r="AP7" s="33">
        <f ca="1">Weather!AE44</f>
        <v>102.41083223077457</v>
      </c>
      <c r="AQ7" s="33">
        <f ca="1">Weather!CX44</f>
        <v>192.13806931430472</v>
      </c>
      <c r="AR7" s="33">
        <f ca="1">Weather!CY44</f>
        <v>246.59144802846558</v>
      </c>
      <c r="AT7" s="18">
        <f ca="1">AO7*'GS&gt;50 Predicted Monthly (no LC)'!$P$10</f>
        <v>191908.63927934016</v>
      </c>
      <c r="AU7" s="18">
        <f ca="1">AP7*'GS&gt;50 Predicted Monthly (no LC)'!$P$10</f>
        <v>237131.8454292173</v>
      </c>
      <c r="AV7" s="18">
        <f ca="1">AQ7*'GS&gt;50 Predicted Monthly (no LC)'!$P$11</f>
        <v>1037972.4849070985</v>
      </c>
      <c r="AW7" s="18">
        <f ca="1">AR7*'GS&gt;50 Predicted Monthly (no LC)'!$P$11</f>
        <v>1332141.7196518595</v>
      </c>
      <c r="AY7" s="18">
        <f ca="1">AO7*'LC Predicted Monthly'!$T$12</f>
        <v>16968.328788573257</v>
      </c>
      <c r="AZ7" s="18">
        <f ca="1">AP7*'LC Predicted Monthly'!$T$12</f>
        <v>20966.909747232337</v>
      </c>
      <c r="BB7" s="31">
        <f t="shared" ca="1" si="6"/>
        <v>5345194.088037123</v>
      </c>
      <c r="BC7" s="31">
        <f t="shared" ca="1" si="7"/>
        <v>5688585.1098904209</v>
      </c>
    </row>
    <row r="8" spans="1:55">
      <c r="A8" s="541">
        <f>'Monthly Data'!A8</f>
        <v>42552</v>
      </c>
      <c r="B8">
        <f t="shared" si="0"/>
        <v>2016</v>
      </c>
      <c r="C8">
        <f t="shared" si="1"/>
        <v>7</v>
      </c>
      <c r="D8" s="30">
        <f>'Monthly Data'!N8</f>
        <v>28724.58173076923</v>
      </c>
      <c r="E8" s="30">
        <f>'Monthly Data'!AB8</f>
        <v>7040.5817307692305</v>
      </c>
      <c r="F8" s="516">
        <f ca="1">Weather!AA45</f>
        <v>25.464999999999996</v>
      </c>
      <c r="G8" s="516">
        <f ca="1">Weather!CT45</f>
        <v>327.99625000000003</v>
      </c>
      <c r="I8" s="18">
        <f>'GS&gt;50 Predicted Monthly (no LC)'!$P$9</f>
        <v>4121039.41701539</v>
      </c>
      <c r="J8" s="18">
        <f ca="1">F8*'GS&gt;50 Predicted Monthly (no LC)'!$P$10</f>
        <v>58964.098936796094</v>
      </c>
      <c r="K8" s="18">
        <f ca="1">G8*'GS&gt;50 Predicted Monthly (no LC)'!$P$11</f>
        <v>1771908.5232182215</v>
      </c>
      <c r="L8" s="18">
        <f t="shared" ca="1" si="2"/>
        <v>5951912.0391704077</v>
      </c>
      <c r="M8" s="18">
        <f>'Monthly Data'!Y8</f>
        <v>21684</v>
      </c>
      <c r="N8" s="18">
        <f>'Monthly Data'!DN8</f>
        <v>0</v>
      </c>
      <c r="O8" s="18">
        <f>'Monthly Data'!DO8</f>
        <v>0</v>
      </c>
      <c r="P8" s="18">
        <f t="shared" ca="1" si="3"/>
        <v>25.464999999999996</v>
      </c>
      <c r="Q8" s="18">
        <f>'Monthly Data'!BR8</f>
        <v>0</v>
      </c>
      <c r="R8" s="18"/>
      <c r="S8" s="18">
        <f>'LC Predicted Monthly'!$T$9</f>
        <v>-22694.781953278001</v>
      </c>
      <c r="T8" s="18">
        <f>N8*'LC Predicted Monthly'!$T$10</f>
        <v>0</v>
      </c>
      <c r="U8" s="18">
        <f>O8*'LC Predicted Monthly'!$T$11</f>
        <v>0</v>
      </c>
      <c r="V8" s="18">
        <f ca="1">P8*'LC Predicted Monthly'!$T$12</f>
        <v>5213.5340088841413</v>
      </c>
      <c r="W8" s="18">
        <f>Q8*'LC Predicted Monthly'!$T$13</f>
        <v>0</v>
      </c>
      <c r="X8" s="18">
        <f t="shared" ca="1" si="4"/>
        <v>-17481.247944393861</v>
      </c>
      <c r="Y8" s="18">
        <f t="shared" ca="1" si="5"/>
        <v>5934430.7912260136</v>
      </c>
      <c r="AO8" s="33">
        <f ca="1">Weather!AD45</f>
        <v>22.754874763905612</v>
      </c>
      <c r="AP8" s="33">
        <f ca="1">Weather!AE45</f>
        <v>28.117053330889604</v>
      </c>
      <c r="AQ8" s="33">
        <f ca="1">Weather!CX45</f>
        <v>277.23333508367784</v>
      </c>
      <c r="AR8" s="33">
        <f ca="1">Weather!CY45</f>
        <v>355.80335424425579</v>
      </c>
      <c r="AT8" s="18">
        <f ca="1">AO8*'GS&gt;50 Predicted Monthly (no LC)'!$P$10</f>
        <v>52688.815506512285</v>
      </c>
      <c r="AU8" s="18">
        <f ca="1">AP8*'GS&gt;50 Predicted Monthly (no LC)'!$P$10</f>
        <v>65104.917118152247</v>
      </c>
      <c r="AV8" s="18">
        <f ca="1">AQ8*'GS&gt;50 Predicted Monthly (no LC)'!$P$11</f>
        <v>1497675.9928047406</v>
      </c>
      <c r="AW8" s="18">
        <f ca="1">AR8*'GS&gt;50 Predicted Monthly (no LC)'!$P$11</f>
        <v>1922128.6706022671</v>
      </c>
      <c r="AY8" s="18">
        <f ca="1">AO8*'LC Predicted Monthly'!$T$12</f>
        <v>4658.6810700774167</v>
      </c>
      <c r="AZ8" s="18">
        <f ca="1">AP8*'LC Predicted Monthly'!$T$12</f>
        <v>5756.4976937051679</v>
      </c>
      <c r="BB8" s="31">
        <f t="shared" ca="1" si="6"/>
        <v>5653368.1244434416</v>
      </c>
      <c r="BC8" s="31">
        <f t="shared" ca="1" si="7"/>
        <v>6091334.7204762362</v>
      </c>
    </row>
    <row r="9" spans="1:55">
      <c r="A9" s="541">
        <f>'Monthly Data'!A9</f>
        <v>42583</v>
      </c>
      <c r="B9">
        <f t="shared" si="0"/>
        <v>2016</v>
      </c>
      <c r="C9">
        <f t="shared" si="1"/>
        <v>8</v>
      </c>
      <c r="D9" s="30">
        <f>'Monthly Data'!N9</f>
        <v>30852.328525641024</v>
      </c>
      <c r="E9" s="30">
        <f>'Monthly Data'!AB9</f>
        <v>17142.328525641024</v>
      </c>
      <c r="F9" s="516">
        <f ca="1">Weather!AA46</f>
        <v>54.974791666666668</v>
      </c>
      <c r="G9" s="516">
        <f ca="1">Weather!CT46</f>
        <v>280.40312500000005</v>
      </c>
      <c r="I9" s="18">
        <f>'GS&gt;50 Predicted Monthly (no LC)'!$P$9</f>
        <v>4121039.41701539</v>
      </c>
      <c r="J9" s="18">
        <f ca="1">F9*'GS&gt;50 Predicted Monthly (no LC)'!$P$10</f>
        <v>127293.89573387343</v>
      </c>
      <c r="K9" s="18">
        <f ca="1">G9*'GS&gt;50 Predicted Monthly (no LC)'!$P$11</f>
        <v>1514799.9012931532</v>
      </c>
      <c r="L9" s="18">
        <f t="shared" ca="1" si="2"/>
        <v>5763133.2140424168</v>
      </c>
      <c r="M9" s="18">
        <f>'Monthly Data'!Y9</f>
        <v>13710</v>
      </c>
      <c r="N9" s="18">
        <f>'Monthly Data'!DN9</f>
        <v>0</v>
      </c>
      <c r="O9" s="18">
        <f>'Monthly Data'!DO9</f>
        <v>0</v>
      </c>
      <c r="P9" s="18">
        <f t="shared" ca="1" si="3"/>
        <v>54.974791666666668</v>
      </c>
      <c r="Q9" s="18">
        <f>'Monthly Data'!BR9</f>
        <v>0</v>
      </c>
      <c r="R9" s="18"/>
      <c r="S9" s="18">
        <f>'LC Predicted Monthly'!$T$9</f>
        <v>-22694.781953278001</v>
      </c>
      <c r="T9" s="18">
        <f>N9*'LC Predicted Monthly'!$T$10</f>
        <v>0</v>
      </c>
      <c r="U9" s="18">
        <f>O9*'LC Predicted Monthly'!$T$11</f>
        <v>0</v>
      </c>
      <c r="V9" s="18">
        <f ca="1">P9*'LC Predicted Monthly'!$T$12</f>
        <v>11255.171646789209</v>
      </c>
      <c r="W9" s="18">
        <f>Q9*'LC Predicted Monthly'!$T$13</f>
        <v>0</v>
      </c>
      <c r="X9" s="18">
        <f t="shared" ca="1" si="4"/>
        <v>-11439.610306488792</v>
      </c>
      <c r="Y9" s="18">
        <f t="shared" ca="1" si="5"/>
        <v>5751693.6037359284</v>
      </c>
      <c r="AO9" s="33">
        <f ca="1">Weather!AD46</f>
        <v>49.124072238240799</v>
      </c>
      <c r="AP9" s="33">
        <f ca="1">Weather!AE46</f>
        <v>60.700143300459935</v>
      </c>
      <c r="AQ9" s="33">
        <f ca="1">Weather!CX46</f>
        <v>237.00604354969119</v>
      </c>
      <c r="AR9" s="33">
        <f ca="1">Weather!CY46</f>
        <v>304.17534473510392</v>
      </c>
      <c r="AT9" s="18">
        <f ca="1">AO9*'GS&gt;50 Predicted Monthly (no LC)'!$P$10</f>
        <v>113746.57984032786</v>
      </c>
      <c r="AU9" s="18">
        <f ca="1">AP9*'GS&gt;50 Predicted Monthly (no LC)'!$P$10</f>
        <v>140550.92303341921</v>
      </c>
      <c r="AV9" s="18">
        <f ca="1">AQ9*'GS&gt;50 Predicted Monthly (no LC)'!$P$11</f>
        <v>1280359.2377044759</v>
      </c>
      <c r="AW9" s="18">
        <f ca="1">AR9*'GS&gt;50 Predicted Monthly (no LC)'!$P$11</f>
        <v>1643222.7072381813</v>
      </c>
      <c r="AY9" s="18">
        <f ca="1">AO9*'LC Predicted Monthly'!$T$12</f>
        <v>10057.334430353416</v>
      </c>
      <c r="AZ9" s="18">
        <f ca="1">AP9*'LC Predicted Monthly'!$T$12</f>
        <v>12427.341898334529</v>
      </c>
      <c r="BB9" s="31">
        <f t="shared" ca="1" si="6"/>
        <v>5502507.7870372701</v>
      </c>
      <c r="BC9" s="31">
        <f t="shared" ca="1" si="7"/>
        <v>5894545.6072320472</v>
      </c>
    </row>
    <row r="10" spans="1:55">
      <c r="A10" s="541">
        <f>'Monthly Data'!A10</f>
        <v>42614</v>
      </c>
      <c r="B10">
        <f t="shared" ref="B10:B73" si="8">YEAR(A10)</f>
        <v>2016</v>
      </c>
      <c r="C10">
        <f t="shared" ref="C10:C73" si="9">MONTH(A10)</f>
        <v>9</v>
      </c>
      <c r="D10" s="30">
        <f>'Monthly Data'!N10</f>
        <v>32980.07532051282</v>
      </c>
      <c r="E10" s="30">
        <f>'Monthly Data'!AB10</f>
        <v>32770.07532051282</v>
      </c>
      <c r="F10" s="516">
        <f ca="1">Weather!AA47</f>
        <v>166.50624999999999</v>
      </c>
      <c r="G10" s="516">
        <f ca="1">Weather!CT47</f>
        <v>144.00333333333333</v>
      </c>
      <c r="I10" s="18">
        <f>'GS&gt;50 Predicted Monthly (no LC)'!$P$9</f>
        <v>4121039.41701539</v>
      </c>
      <c r="J10" s="18">
        <f ca="1">F10*'GS&gt;50 Predicted Monthly (no LC)'!$P$10</f>
        <v>385544.51202022011</v>
      </c>
      <c r="K10" s="18">
        <f ca="1">G10*'GS&gt;50 Predicted Monthly (no LC)'!$P$11</f>
        <v>777937.96028206998</v>
      </c>
      <c r="L10" s="18">
        <f t="shared" ca="1" si="2"/>
        <v>5284521.8893176802</v>
      </c>
      <c r="M10" s="18">
        <f>'Monthly Data'!Y10</f>
        <v>210</v>
      </c>
      <c r="N10" s="18">
        <f>'Monthly Data'!DN10</f>
        <v>0</v>
      </c>
      <c r="O10" s="18">
        <f>'Monthly Data'!DO10</f>
        <v>0</v>
      </c>
      <c r="P10" s="18">
        <f t="shared" ca="1" si="3"/>
        <v>166.50624999999999</v>
      </c>
      <c r="Q10" s="18">
        <f>'Monthly Data'!BR10</f>
        <v>1</v>
      </c>
      <c r="R10" s="18"/>
      <c r="S10" s="18">
        <f>'LC Predicted Monthly'!$T$9</f>
        <v>-22694.781953278001</v>
      </c>
      <c r="T10" s="18">
        <f>N10*'LC Predicted Monthly'!$T$10</f>
        <v>0</v>
      </c>
      <c r="U10" s="18">
        <f>O10*'LC Predicted Monthly'!$T$11</f>
        <v>0</v>
      </c>
      <c r="V10" s="18">
        <f ca="1">P10*'LC Predicted Monthly'!$T$12</f>
        <v>34089.377461879645</v>
      </c>
      <c r="W10" s="18">
        <f>Q10*'LC Predicted Monthly'!$T$13</f>
        <v>97970.228068396304</v>
      </c>
      <c r="X10" s="18">
        <f t="shared" ca="1" si="4"/>
        <v>109364.82357699795</v>
      </c>
      <c r="Y10" s="18">
        <f t="shared" ca="1" si="5"/>
        <v>5393886.7128946781</v>
      </c>
      <c r="AO10" s="33">
        <f ca="1">Weather!AD47</f>
        <v>148.78573988445157</v>
      </c>
      <c r="AP10" s="33">
        <f ca="1">Weather!AE47</f>
        <v>183.84704932952829</v>
      </c>
      <c r="AQ10" s="33">
        <f ca="1">Weather!CX47</f>
        <v>121.71640487708792</v>
      </c>
      <c r="AR10" s="33">
        <f ca="1">Weather!CY47</f>
        <v>156.21175248910205</v>
      </c>
      <c r="AT10" s="18">
        <f ca="1">AO10*'GS&gt;50 Predicted Monthly (no LC)'!$P$10</f>
        <v>344512.74639431422</v>
      </c>
      <c r="AU10" s="18">
        <f ca="1">AP10*'GS&gt;50 Predicted Monthly (no LC)'!$P$10</f>
        <v>425697.05893989158</v>
      </c>
      <c r="AV10" s="18">
        <f ca="1">AQ10*'GS&gt;50 Predicted Monthly (no LC)'!$P$11</f>
        <v>657539.02740409982</v>
      </c>
      <c r="AW10" s="18">
        <f ca="1">AR10*'GS&gt;50 Predicted Monthly (no LC)'!$P$11</f>
        <v>843890.54954834119</v>
      </c>
      <c r="AY10" s="18">
        <f ca="1">AO10*'LC Predicted Monthly'!$T$12</f>
        <v>30461.398583333124</v>
      </c>
      <c r="AZ10" s="18">
        <f ca="1">AP10*'LC Predicted Monthly'!$T$12</f>
        <v>37639.616890339537</v>
      </c>
      <c r="BB10" s="31">
        <f t="shared" ca="1" si="6"/>
        <v>5228828.0355122555</v>
      </c>
      <c r="BC10" s="31">
        <f t="shared" ca="1" si="7"/>
        <v>5503542.0885090809</v>
      </c>
    </row>
    <row r="11" spans="1:55">
      <c r="A11" s="541">
        <f>'Monthly Data'!A11</f>
        <v>42644</v>
      </c>
      <c r="B11">
        <f t="shared" si="8"/>
        <v>2016</v>
      </c>
      <c r="C11">
        <f t="shared" si="9"/>
        <v>10</v>
      </c>
      <c r="D11" s="30">
        <f>'Monthly Data'!N11</f>
        <v>35107.822115384617</v>
      </c>
      <c r="E11" s="30">
        <f>'Monthly Data'!AB11</f>
        <v>-507574.17788461538</v>
      </c>
      <c r="F11" s="516">
        <f ca="1">Weather!AA48</f>
        <v>363.47645833333326</v>
      </c>
      <c r="G11" s="516">
        <f ca="1">Weather!CT48</f>
        <v>40.02791666666667</v>
      </c>
      <c r="I11" s="18">
        <f>'GS&gt;50 Predicted Monthly (no LC)'!$P$9</f>
        <v>4121039.41701539</v>
      </c>
      <c r="J11" s="18">
        <f ca="1">F11*'GS&gt;50 Predicted Monthly (no LC)'!$P$10</f>
        <v>841628.18968635018</v>
      </c>
      <c r="K11" s="18">
        <f ca="1">G11*'GS&gt;50 Predicted Monthly (no LC)'!$P$11</f>
        <v>216239.6878267217</v>
      </c>
      <c r="L11" s="18">
        <f t="shared" ca="1" si="2"/>
        <v>5178907.294528462</v>
      </c>
      <c r="M11" s="18">
        <f>'Monthly Data'!Y11</f>
        <v>542682</v>
      </c>
      <c r="N11" s="18">
        <f>'Monthly Data'!DN11</f>
        <v>0</v>
      </c>
      <c r="O11" s="18">
        <f>'Monthly Data'!DO11</f>
        <v>0</v>
      </c>
      <c r="P11" s="18">
        <f t="shared" ca="1" si="3"/>
        <v>363.47645833333326</v>
      </c>
      <c r="Q11" s="18">
        <f>'Monthly Data'!BR11</f>
        <v>1</v>
      </c>
      <c r="R11" s="18"/>
      <c r="S11" s="18">
        <f>'LC Predicted Monthly'!$T$9</f>
        <v>-22694.781953278001</v>
      </c>
      <c r="T11" s="18">
        <f>N11*'LC Predicted Monthly'!$T$10</f>
        <v>0</v>
      </c>
      <c r="U11" s="18">
        <f>O11*'LC Predicted Monthly'!$T$11</f>
        <v>0</v>
      </c>
      <c r="V11" s="18">
        <f ca="1">P11*'LC Predicted Monthly'!$T$12</f>
        <v>74415.742271729541</v>
      </c>
      <c r="W11" s="18">
        <f>Q11*'LC Predicted Monthly'!$T$13</f>
        <v>97970.228068396304</v>
      </c>
      <c r="X11" s="18">
        <f t="shared" ca="1" si="4"/>
        <v>149691.18838684785</v>
      </c>
      <c r="Y11" s="18">
        <f t="shared" ca="1" si="5"/>
        <v>5328598.4829153102</v>
      </c>
      <c r="AO11" s="33">
        <f ca="1">Weather!AD48</f>
        <v>324.79329624987065</v>
      </c>
      <c r="AP11" s="33">
        <f ca="1">Weather!AE48</f>
        <v>401.33072701673694</v>
      </c>
      <c r="AQ11" s="33">
        <f ca="1">Weather!CX48</f>
        <v>33.832925937267667</v>
      </c>
      <c r="AR11" s="33">
        <f ca="1">Weather!CY48</f>
        <v>43.421432450552551</v>
      </c>
      <c r="AT11" s="18">
        <f ca="1">AO11*'GS&gt;50 Predicted Monthly (no LC)'!$P$10</f>
        <v>752057.49279738846</v>
      </c>
      <c r="AU11" s="18">
        <f ca="1">AP11*'GS&gt;50 Predicted Monthly (no LC)'!$P$10</f>
        <v>929279.58744124032</v>
      </c>
      <c r="AV11" s="18">
        <f ca="1">AQ11*'GS&gt;50 Predicted Monthly (no LC)'!$P$11</f>
        <v>182772.97326922306</v>
      </c>
      <c r="AW11" s="18">
        <f ca="1">AR11*'GS&gt;50 Predicted Monthly (no LC)'!$P$11</f>
        <v>234572.21309535802</v>
      </c>
      <c r="AY11" s="18">
        <f ca="1">AO11*'LC Predicted Monthly'!$T$12</f>
        <v>66496.010047370233</v>
      </c>
      <c r="AZ11" s="18">
        <f ca="1">AP11*'LC Predicted Monthly'!$T$12</f>
        <v>82165.772397877707</v>
      </c>
      <c r="BB11" s="31">
        <f t="shared" ca="1" si="6"/>
        <v>5197641.3392444905</v>
      </c>
      <c r="BC11" s="31">
        <f t="shared" ca="1" si="7"/>
        <v>5442332.4360649846</v>
      </c>
    </row>
    <row r="12" spans="1:55">
      <c r="A12" s="541">
        <f>'Monthly Data'!A12</f>
        <v>42675</v>
      </c>
      <c r="B12">
        <f t="shared" si="8"/>
        <v>2016</v>
      </c>
      <c r="C12">
        <f t="shared" si="9"/>
        <v>11</v>
      </c>
      <c r="D12" s="30">
        <f>'Monthly Data'!N12</f>
        <v>37235.568910256407</v>
      </c>
      <c r="E12" s="30">
        <f>'Monthly Data'!AB12</f>
        <v>-1132788.7010897435</v>
      </c>
      <c r="F12" s="516">
        <f ca="1">Weather!AA49</f>
        <v>586.00395833333334</v>
      </c>
      <c r="G12" s="516">
        <f ca="1">Weather!CT49</f>
        <v>4.5920833333333331</v>
      </c>
      <c r="I12" s="18">
        <f>'GS&gt;50 Predicted Monthly (no LC)'!$P$9</f>
        <v>4121039.41701539</v>
      </c>
      <c r="J12" s="18">
        <f ca="1">F12*'GS&gt;50 Predicted Monthly (no LC)'!$P$10</f>
        <v>1356889.6672499825</v>
      </c>
      <c r="K12" s="18">
        <f ca="1">G12*'GS&gt;50 Predicted Monthly (no LC)'!$P$11</f>
        <v>24807.453126862496</v>
      </c>
      <c r="L12" s="18">
        <f t="shared" ca="1" si="2"/>
        <v>5502736.5373922354</v>
      </c>
      <c r="M12" s="18">
        <f>'Monthly Data'!Y12</f>
        <v>1170024.27</v>
      </c>
      <c r="N12" s="18">
        <f>'Monthly Data'!DN12</f>
        <v>0</v>
      </c>
      <c r="O12" s="18">
        <f>'Monthly Data'!DO12</f>
        <v>0</v>
      </c>
      <c r="P12" s="18">
        <f t="shared" ca="1" si="3"/>
        <v>586.00395833333334</v>
      </c>
      <c r="Q12" s="18">
        <f>'Monthly Data'!BR12</f>
        <v>1</v>
      </c>
      <c r="R12" s="18"/>
      <c r="S12" s="18">
        <f>'LC Predicted Monthly'!$T$9</f>
        <v>-22694.781953278001</v>
      </c>
      <c r="T12" s="18">
        <f>N12*'LC Predicted Monthly'!$T$10</f>
        <v>0</v>
      </c>
      <c r="U12" s="18">
        <f>O12*'LC Predicted Monthly'!$T$11</f>
        <v>0</v>
      </c>
      <c r="V12" s="18">
        <f ca="1">P12*'LC Predicted Monthly'!$T$12</f>
        <v>119974.53626984327</v>
      </c>
      <c r="W12" s="18">
        <f>Q12*'LC Predicted Monthly'!$T$13</f>
        <v>97970.228068396304</v>
      </c>
      <c r="X12" s="18">
        <f t="shared" ca="1" si="4"/>
        <v>195249.98238496156</v>
      </c>
      <c r="Y12" s="18">
        <f t="shared" ca="1" si="5"/>
        <v>5697986.5197771974</v>
      </c>
      <c r="AO12" s="33">
        <f ca="1">Weather!AD49</f>
        <v>523.63819685953126</v>
      </c>
      <c r="AP12" s="33">
        <f ca="1">Weather!AE49</f>
        <v>647.03336142041019</v>
      </c>
      <c r="AQ12" s="33">
        <f ca="1">Weather!CX49</f>
        <v>3.8813815020207452</v>
      </c>
      <c r="AR12" s="33">
        <f ca="1">Weather!CY49</f>
        <v>4.9813943085298762</v>
      </c>
      <c r="AT12" s="18">
        <f ca="1">AO12*'GS&gt;50 Predicted Monthly (no LC)'!$P$10</f>
        <v>1212482.0124371063</v>
      </c>
      <c r="AU12" s="18">
        <f ca="1">AP12*'GS&gt;50 Predicted Monthly (no LC)'!$P$10</f>
        <v>1498202.9899156024</v>
      </c>
      <c r="AV12" s="18">
        <f ca="1">AQ12*'GS&gt;50 Predicted Monthly (no LC)'!$P$11</f>
        <v>20968.084132949996</v>
      </c>
      <c r="AW12" s="18">
        <f ca="1">AR12*'GS&gt;50 Predicted Monthly (no LC)'!$P$11</f>
        <v>26910.597401021583</v>
      </c>
      <c r="AY12" s="18">
        <f ca="1">AO12*'LC Predicted Monthly'!$T$12</f>
        <v>107206.18683204145</v>
      </c>
      <c r="AZ12" s="18">
        <f ca="1">AP12*'LC Predicted Monthly'!$T$12</f>
        <v>132469.28861762941</v>
      </c>
      <c r="BB12" s="31">
        <f t="shared" ca="1" si="6"/>
        <v>5536971.1465326073</v>
      </c>
      <c r="BC12" s="31">
        <f t="shared" ca="1" si="7"/>
        <v>5853897.7390647624</v>
      </c>
    </row>
    <row r="13" spans="1:55">
      <c r="A13" s="541">
        <f>'Monthly Data'!A13</f>
        <v>42705</v>
      </c>
      <c r="B13">
        <f t="shared" si="8"/>
        <v>2016</v>
      </c>
      <c r="C13">
        <f t="shared" si="9"/>
        <v>12</v>
      </c>
      <c r="D13" s="30">
        <f>'Monthly Data'!N13</f>
        <v>75087416.315705135</v>
      </c>
      <c r="E13" s="30">
        <f>'Monthly Data'!AB13</f>
        <v>74677622.315705135</v>
      </c>
      <c r="F13" s="516">
        <f ca="1">Weather!AA50</f>
        <v>812.36333333333334</v>
      </c>
      <c r="G13" s="516">
        <f ca="1">Weather!CT50</f>
        <v>0</v>
      </c>
      <c r="I13" s="18">
        <f>'GS&gt;50 Predicted Monthly (no LC)'!$P$9</f>
        <v>4121039.41701539</v>
      </c>
      <c r="J13" s="18">
        <f ca="1">F13*'GS&gt;50 Predicted Monthly (no LC)'!$P$10</f>
        <v>1881023.8350399425</v>
      </c>
      <c r="K13" s="18">
        <f ca="1">G13*'GS&gt;50 Predicted Monthly (no LC)'!$P$11</f>
        <v>0</v>
      </c>
      <c r="L13" s="18">
        <f t="shared" ca="1" si="2"/>
        <v>6002063.2520553321</v>
      </c>
      <c r="M13" s="18">
        <f>'Monthly Data'!Y13</f>
        <v>409794</v>
      </c>
      <c r="N13" s="18">
        <f>'Monthly Data'!DN13</f>
        <v>0</v>
      </c>
      <c r="O13" s="18">
        <f>'Monthly Data'!DO13</f>
        <v>0</v>
      </c>
      <c r="P13" s="18">
        <f t="shared" ca="1" si="3"/>
        <v>812.36333333333334</v>
      </c>
      <c r="Q13" s="18">
        <f>'Monthly Data'!BR13</f>
        <v>0</v>
      </c>
      <c r="R13" s="18"/>
      <c r="S13" s="18">
        <f>'LC Predicted Monthly'!$T$9</f>
        <v>-22694.781953278001</v>
      </c>
      <c r="T13" s="18">
        <f>N13*'LC Predicted Monthly'!$T$10</f>
        <v>0</v>
      </c>
      <c r="U13" s="18">
        <f>O13*'LC Predicted Monthly'!$T$11</f>
        <v>0</v>
      </c>
      <c r="V13" s="18">
        <f ca="1">P13*'LC Predicted Monthly'!$T$12</f>
        <v>166317.84276080181</v>
      </c>
      <c r="W13" s="18">
        <f>Q13*'LC Predicted Monthly'!$T$13</f>
        <v>0</v>
      </c>
      <c r="X13" s="18">
        <f t="shared" ca="1" si="4"/>
        <v>143623.06080752381</v>
      </c>
      <c r="Y13" s="18">
        <f t="shared" ca="1" si="5"/>
        <v>6145686.3128628563</v>
      </c>
      <c r="AO13" s="33">
        <f ca="1">Weather!AD50</f>
        <v>725.90716327464804</v>
      </c>
      <c r="AP13" s="33">
        <f ca="1">Weather!AE50</f>
        <v>896.96694158227319</v>
      </c>
      <c r="AQ13" s="33">
        <f ca="1">Weather!CX50</f>
        <v>0</v>
      </c>
      <c r="AR13" s="33">
        <f ca="1">Weather!CY50</f>
        <v>0</v>
      </c>
      <c r="AT13" s="18">
        <f ca="1">AO13*'GS&gt;50 Predicted Monthly (no LC)'!$P$10</f>
        <v>1680834.941851771</v>
      </c>
      <c r="AU13" s="18">
        <f ca="1">AP13*'GS&gt;50 Predicted Monthly (no LC)'!$P$10</f>
        <v>2076923.1292555493</v>
      </c>
      <c r="AV13" s="18">
        <f ca="1">AQ13*'GS&gt;50 Predicted Monthly (no LC)'!$P$11</f>
        <v>0</v>
      </c>
      <c r="AW13" s="18">
        <f ca="1">AR13*'GS&gt;50 Predicted Monthly (no LC)'!$P$11</f>
        <v>0</v>
      </c>
      <c r="AY13" s="18">
        <f ca="1">AO13*'LC Predicted Monthly'!$T$12</f>
        <v>148617.38397899043</v>
      </c>
      <c r="AZ13" s="18">
        <f ca="1">AP13*'LC Predicted Monthly'!$T$12</f>
        <v>183639.02041170144</v>
      </c>
      <c r="BB13" s="31">
        <f t="shared" ca="1" si="6"/>
        <v>5927796.9608928729</v>
      </c>
      <c r="BC13" s="31">
        <f t="shared" ca="1" si="7"/>
        <v>6358906.7847293625</v>
      </c>
    </row>
    <row r="14" spans="1:55">
      <c r="A14" s="541">
        <f>'Monthly Data'!A14</f>
        <v>42736</v>
      </c>
      <c r="B14">
        <f t="shared" si="8"/>
        <v>2017</v>
      </c>
      <c r="C14">
        <f t="shared" si="9"/>
        <v>1</v>
      </c>
      <c r="D14" s="30">
        <f>'Monthly Data'!N14</f>
        <v>55821.970352564102</v>
      </c>
      <c r="E14" s="30">
        <f>'Monthly Data'!AB14</f>
        <v>-53384.029647435898</v>
      </c>
      <c r="F14" s="33">
        <f t="shared" ref="F14:G29" ca="1" si="10">F2</f>
        <v>914.55166666666662</v>
      </c>
      <c r="G14" s="33">
        <f t="shared" ca="1" si="10"/>
        <v>0</v>
      </c>
      <c r="I14" s="18">
        <f>'GS&gt;50 Predicted Monthly (no LC)'!$P$9</f>
        <v>4121039.41701539</v>
      </c>
      <c r="J14" s="18">
        <f ca="1">F14*'GS&gt;50 Predicted Monthly (no LC)'!$P$10</f>
        <v>2117640.4852206991</v>
      </c>
      <c r="K14" s="18">
        <f ca="1">G14*'GS&gt;50 Predicted Monthly (no LC)'!$P$11</f>
        <v>0</v>
      </c>
      <c r="L14" s="18">
        <f t="shared" ca="1" si="2"/>
        <v>6238679.9022360891</v>
      </c>
      <c r="M14" s="18">
        <f>'Monthly Data'!Y14</f>
        <v>109206</v>
      </c>
      <c r="N14" s="18">
        <f>'Monthly Data'!DN14</f>
        <v>0</v>
      </c>
      <c r="O14" s="18">
        <f>'Monthly Data'!DO14</f>
        <v>0</v>
      </c>
      <c r="P14" s="18">
        <f t="shared" ca="1" si="3"/>
        <v>914.55166666666662</v>
      </c>
      <c r="Q14" s="18">
        <f>'Monthly Data'!BR14</f>
        <v>0</v>
      </c>
      <c r="R14" s="18"/>
      <c r="S14" s="18">
        <f>'LC Predicted Monthly'!$T$9</f>
        <v>-22694.781953278001</v>
      </c>
      <c r="T14" s="18">
        <f>N14*'LC Predicted Monthly'!$T$10</f>
        <v>0</v>
      </c>
      <c r="U14" s="18">
        <f>O14*'LC Predicted Monthly'!$T$11</f>
        <v>0</v>
      </c>
      <c r="V14" s="18">
        <f ca="1">P14*'LC Predicted Monthly'!$T$12</f>
        <v>187239.19956993285</v>
      </c>
      <c r="W14" s="18">
        <f>Q14*'LC Predicted Monthly'!$T$13</f>
        <v>0</v>
      </c>
      <c r="X14" s="18">
        <f t="shared" ca="1" si="4"/>
        <v>164544.41761665486</v>
      </c>
      <c r="Y14" s="18">
        <f t="shared" ca="1" si="5"/>
        <v>6403224.3198527442</v>
      </c>
      <c r="AO14" s="33">
        <f t="shared" ref="AO14:AR29" ca="1" si="11">AO2</f>
        <v>817.22005262600237</v>
      </c>
      <c r="AP14" s="33">
        <f t="shared" ca="1" si="11"/>
        <v>1009.7976825258449</v>
      </c>
      <c r="AQ14" s="33">
        <f t="shared" ca="1" si="11"/>
        <v>0</v>
      </c>
      <c r="AR14" s="33">
        <f t="shared" ca="1" si="11"/>
        <v>0</v>
      </c>
      <c r="AT14" s="18">
        <f ca="1">AO14*'GS&gt;50 Predicted Monthly (no LC)'!$P$10</f>
        <v>1892269.5478567963</v>
      </c>
      <c r="AU14" s="18">
        <f ca="1">AP14*'GS&gt;50 Predicted Monthly (no LC)'!$P$10</f>
        <v>2338182.2288867598</v>
      </c>
      <c r="AV14" s="18">
        <f ca="1">AQ14*'GS&gt;50 Predicted Monthly (no LC)'!$P$11</f>
        <v>0</v>
      </c>
      <c r="AW14" s="18">
        <f ca="1">AR14*'GS&gt;50 Predicted Monthly (no LC)'!$P$11</f>
        <v>0</v>
      </c>
      <c r="AY14" s="18">
        <f ca="1">AO14*'LC Predicted Monthly'!$T$12</f>
        <v>167312.17502877486</v>
      </c>
      <c r="AZ14" s="18">
        <f ca="1">AP14*'LC Predicted Monthly'!$T$12</f>
        <v>206739.23266997386</v>
      </c>
      <c r="BB14" s="31">
        <f t="shared" ca="1" si="6"/>
        <v>6157926.3579476839</v>
      </c>
      <c r="BC14" s="31">
        <f t="shared" ca="1" si="7"/>
        <v>6643266.0966188461</v>
      </c>
    </row>
    <row r="15" spans="1:55">
      <c r="A15" s="541">
        <f>'Monthly Data'!A15</f>
        <v>42767</v>
      </c>
      <c r="B15">
        <f t="shared" si="8"/>
        <v>2017</v>
      </c>
      <c r="C15">
        <f t="shared" si="9"/>
        <v>2</v>
      </c>
      <c r="D15" s="30">
        <f>'Monthly Data'!N15</f>
        <v>59576.805288461539</v>
      </c>
      <c r="E15" s="30">
        <f>'Monthly Data'!AB15</f>
        <v>40604.805288461539</v>
      </c>
      <c r="F15" s="33">
        <f t="shared" ca="1" si="10"/>
        <v>803.82854166666664</v>
      </c>
      <c r="G15" s="33">
        <f t="shared" ca="1" si="10"/>
        <v>0</v>
      </c>
      <c r="I15" s="18">
        <f>'GS&gt;50 Predicted Monthly (no LC)'!$P$9</f>
        <v>4121039.41701539</v>
      </c>
      <c r="J15" s="18">
        <f ca="1">F15*'GS&gt;50 Predicted Monthly (no LC)'!$P$10</f>
        <v>1861261.5613215731</v>
      </c>
      <c r="K15" s="18">
        <f ca="1">G15*'GS&gt;50 Predicted Monthly (no LC)'!$P$11</f>
        <v>0</v>
      </c>
      <c r="L15" s="18">
        <f t="shared" ca="1" si="2"/>
        <v>5982300.9783369629</v>
      </c>
      <c r="M15" s="18">
        <f>'Monthly Data'!Y15</f>
        <v>18972</v>
      </c>
      <c r="N15" s="18">
        <f>'Monthly Data'!DN15</f>
        <v>0</v>
      </c>
      <c r="O15" s="18">
        <f>'Monthly Data'!DO15</f>
        <v>0</v>
      </c>
      <c r="P15" s="18">
        <f t="shared" ca="1" si="3"/>
        <v>803.82854166666664</v>
      </c>
      <c r="Q15" s="18">
        <f>'Monthly Data'!BR15</f>
        <v>0</v>
      </c>
      <c r="R15" s="18"/>
      <c r="S15" s="18">
        <f>'LC Predicted Monthly'!$T$9</f>
        <v>-22694.781953278001</v>
      </c>
      <c r="T15" s="18">
        <f>N15*'LC Predicted Monthly'!$T$10</f>
        <v>0</v>
      </c>
      <c r="U15" s="18">
        <f>O15*'LC Predicted Monthly'!$T$11</f>
        <v>0</v>
      </c>
      <c r="V15" s="18">
        <f ca="1">P15*'LC Predicted Monthly'!$T$12</f>
        <v>164570.48652232124</v>
      </c>
      <c r="W15" s="18">
        <f>Q15*'LC Predicted Monthly'!$T$13</f>
        <v>0</v>
      </c>
      <c r="X15" s="18">
        <f t="shared" ca="1" si="4"/>
        <v>141875.70456904324</v>
      </c>
      <c r="Y15" s="18">
        <f t="shared" ca="1" si="5"/>
        <v>6124176.6829060065</v>
      </c>
      <c r="AO15" s="33">
        <f t="shared" ca="1" si="11"/>
        <v>718.28069103781206</v>
      </c>
      <c r="AP15" s="33">
        <f t="shared" ca="1" si="11"/>
        <v>887.54329373386554</v>
      </c>
      <c r="AQ15" s="33">
        <f t="shared" ca="1" si="11"/>
        <v>0</v>
      </c>
      <c r="AR15" s="33">
        <f t="shared" ca="1" si="11"/>
        <v>0</v>
      </c>
      <c r="AT15" s="18">
        <f ca="1">AO15*'GS&gt;50 Predicted Monthly (no LC)'!$P$10</f>
        <v>1663175.8779007981</v>
      </c>
      <c r="AU15" s="18">
        <f ca="1">AP15*'GS&gt;50 Predicted Monthly (no LC)'!$P$10</f>
        <v>2055102.7128377589</v>
      </c>
      <c r="AV15" s="18">
        <f ca="1">AQ15*'GS&gt;50 Predicted Monthly (no LC)'!$P$11</f>
        <v>0</v>
      </c>
      <c r="AW15" s="18">
        <f ca="1">AR15*'GS&gt;50 Predicted Monthly (no LC)'!$P$11</f>
        <v>0</v>
      </c>
      <c r="AY15" s="18">
        <f ca="1">AO15*'LC Predicted Monthly'!$T$12</f>
        <v>147055.99099353765</v>
      </c>
      <c r="AZ15" s="18">
        <f ca="1">AP15*'LC Predicted Monthly'!$T$12</f>
        <v>181709.68569560398</v>
      </c>
      <c r="BB15" s="31">
        <f t="shared" ca="1" si="6"/>
        <v>5908576.5039564483</v>
      </c>
      <c r="BC15" s="31">
        <f t="shared" ca="1" si="7"/>
        <v>6335157.0335954754</v>
      </c>
    </row>
    <row r="16" spans="1:55">
      <c r="A16" s="541">
        <f>'Monthly Data'!A16</f>
        <v>42795</v>
      </c>
      <c r="B16">
        <f t="shared" si="8"/>
        <v>2017</v>
      </c>
      <c r="C16">
        <f t="shared" si="9"/>
        <v>3</v>
      </c>
      <c r="D16" s="30">
        <f>'Monthly Data'!N16</f>
        <v>63331.640224358969</v>
      </c>
      <c r="E16" s="30">
        <f>'Monthly Data'!AB16</f>
        <v>63091.640224358969</v>
      </c>
      <c r="F16" s="33">
        <f t="shared" ca="1" si="10"/>
        <v>698.29604166666672</v>
      </c>
      <c r="G16" s="33">
        <f t="shared" ca="1" si="10"/>
        <v>0.11000000000000032</v>
      </c>
      <c r="I16" s="18">
        <f>'GS&gt;50 Predicted Monthly (no LC)'!$P$9</f>
        <v>4121039.41701539</v>
      </c>
      <c r="J16" s="18">
        <f ca="1">F16*'GS&gt;50 Predicted Monthly (no LC)'!$P$10</f>
        <v>1616901.5074811084</v>
      </c>
      <c r="K16" s="18">
        <f ca="1">G16*'GS&gt;50 Predicted Monthly (no LC)'!$P$11</f>
        <v>594.2444084467578</v>
      </c>
      <c r="L16" s="18">
        <f t="shared" ca="1" si="2"/>
        <v>5738535.1689049443</v>
      </c>
      <c r="M16" s="18">
        <f>'Monthly Data'!Y16</f>
        <v>240</v>
      </c>
      <c r="N16" s="18">
        <f>'Monthly Data'!DN16</f>
        <v>0</v>
      </c>
      <c r="O16" s="18">
        <f>'Monthly Data'!DO16</f>
        <v>0</v>
      </c>
      <c r="P16" s="18">
        <f t="shared" ca="1" si="3"/>
        <v>698.29604166666672</v>
      </c>
      <c r="Q16" s="18">
        <f>'Monthly Data'!BR16</f>
        <v>0</v>
      </c>
      <c r="R16" s="18"/>
      <c r="S16" s="18">
        <f>'LC Predicted Monthly'!$T$9</f>
        <v>-22694.781953278001</v>
      </c>
      <c r="T16" s="18">
        <f>N16*'LC Predicted Monthly'!$T$10</f>
        <v>0</v>
      </c>
      <c r="U16" s="18">
        <f>O16*'LC Predicted Monthly'!$T$11</f>
        <v>0</v>
      </c>
      <c r="V16" s="18">
        <f ca="1">P16*'LC Predicted Monthly'!$T$12</f>
        <v>142964.46736690929</v>
      </c>
      <c r="W16" s="18">
        <f>Q16*'LC Predicted Monthly'!$T$13</f>
        <v>0</v>
      </c>
      <c r="X16" s="18">
        <f t="shared" ca="1" si="4"/>
        <v>120269.68541363129</v>
      </c>
      <c r="Y16" s="18">
        <f t="shared" ca="1" si="5"/>
        <v>5858804.8543185759</v>
      </c>
      <c r="AO16" s="33">
        <f t="shared" ca="1" si="11"/>
        <v>623.97953961343092</v>
      </c>
      <c r="AP16" s="33">
        <f t="shared" ca="1" si="11"/>
        <v>771.02010776716202</v>
      </c>
      <c r="AQ16" s="33">
        <f t="shared" ca="1" si="11"/>
        <v>9.2975657066825132E-2</v>
      </c>
      <c r="AR16" s="33">
        <f t="shared" ca="1" si="11"/>
        <v>0.11932565987223402</v>
      </c>
      <c r="AT16" s="18">
        <f ca="1">AO16*'GS&gt;50 Predicted Monthly (no LC)'!$P$10</f>
        <v>1444821.9638053337</v>
      </c>
      <c r="AU16" s="18">
        <f ca="1">AP16*'GS&gt;50 Predicted Monthly (no LC)'!$P$10</f>
        <v>1785293.7724972367</v>
      </c>
      <c r="AV16" s="18">
        <f ca="1">AQ16*'GS&gt;50 Predicted Monthly (no LC)'!$P$11</f>
        <v>502.27513030567235</v>
      </c>
      <c r="AW16" s="18">
        <f ca="1">AR16*'GS&gt;50 Predicted Monthly (no LC)'!$P$11</f>
        <v>644.62369239358668</v>
      </c>
      <c r="AY16" s="18">
        <f ca="1">AO16*'LC Predicted Monthly'!$T$12</f>
        <v>127749.40312674227</v>
      </c>
      <c r="AZ16" s="18">
        <f ca="1">AP16*'LC Predicted Monthly'!$T$12</f>
        <v>157853.50690664109</v>
      </c>
      <c r="BB16" s="31">
        <f t="shared" ca="1" si="6"/>
        <v>5671418.2771244934</v>
      </c>
      <c r="BC16" s="31">
        <f t="shared" ca="1" si="7"/>
        <v>6042136.5381583832</v>
      </c>
    </row>
    <row r="17" spans="1:55">
      <c r="A17" s="541">
        <f>'Monthly Data'!A17</f>
        <v>42826</v>
      </c>
      <c r="B17">
        <f t="shared" si="8"/>
        <v>2017</v>
      </c>
      <c r="C17">
        <f t="shared" si="9"/>
        <v>4</v>
      </c>
      <c r="D17" s="30">
        <f>'Monthly Data'!N17</f>
        <v>67086.475160256407</v>
      </c>
      <c r="E17" s="30">
        <f>'Monthly Data'!AB17</f>
        <v>65190.475160256407</v>
      </c>
      <c r="F17" s="33">
        <f t="shared" ca="1" si="10"/>
        <v>468.60374999999993</v>
      </c>
      <c r="G17" s="33">
        <f t="shared" ca="1" si="10"/>
        <v>7.7354166666666684</v>
      </c>
      <c r="I17" s="18">
        <f>'GS&gt;50 Predicted Monthly (no LC)'!$P$9</f>
        <v>4121039.41701539</v>
      </c>
      <c r="J17" s="18">
        <f ca="1">F17*'GS&gt;50 Predicted Monthly (no LC)'!$P$10</f>
        <v>1085049.9853584787</v>
      </c>
      <c r="K17" s="18">
        <f ca="1">G17*'GS&gt;50 Predicted Monthly (no LC)'!$P$11</f>
        <v>41788.437283386476</v>
      </c>
      <c r="L17" s="18">
        <f t="shared" ca="1" si="2"/>
        <v>5247877.8396572554</v>
      </c>
      <c r="M17" s="18">
        <f>'Monthly Data'!Y17</f>
        <v>1896</v>
      </c>
      <c r="N17" s="18">
        <f>'Monthly Data'!DN17</f>
        <v>0</v>
      </c>
      <c r="O17" s="18">
        <f>'Monthly Data'!DO17</f>
        <v>0</v>
      </c>
      <c r="P17" s="18">
        <f t="shared" ca="1" si="3"/>
        <v>468.60374999999993</v>
      </c>
      <c r="Q17" s="18">
        <f>'Monthly Data'!BR17</f>
        <v>0</v>
      </c>
      <c r="R17" s="18"/>
      <c r="S17" s="18">
        <f>'LC Predicted Monthly'!$T$9</f>
        <v>-22694.781953278001</v>
      </c>
      <c r="T17" s="18">
        <f>N17*'LC Predicted Monthly'!$T$10</f>
        <v>0</v>
      </c>
      <c r="U17" s="18">
        <f>O17*'LC Predicted Monthly'!$T$11</f>
        <v>0</v>
      </c>
      <c r="V17" s="18">
        <f ca="1">P17*'LC Predicted Monthly'!$T$12</f>
        <v>95938.80177952649</v>
      </c>
      <c r="W17" s="18">
        <f>Q17*'LC Predicted Monthly'!$T$13</f>
        <v>0</v>
      </c>
      <c r="X17" s="18">
        <f t="shared" ca="1" si="4"/>
        <v>73244.019826248492</v>
      </c>
      <c r="Y17" s="18">
        <f t="shared" ca="1" si="5"/>
        <v>5321121.8594835037</v>
      </c>
      <c r="AO17" s="33">
        <f t="shared" ca="1" si="11"/>
        <v>418.73236383846591</v>
      </c>
      <c r="AP17" s="33">
        <f t="shared" ca="1" si="11"/>
        <v>517.40650421381736</v>
      </c>
      <c r="AQ17" s="33">
        <f t="shared" ca="1" si="11"/>
        <v>6.5382313388091058</v>
      </c>
      <c r="AR17" s="33">
        <f t="shared" ca="1" si="11"/>
        <v>8.3912154376061316</v>
      </c>
      <c r="AT17" s="18">
        <f ca="1">AO17*'GS&gt;50 Predicted Monthly (no LC)'!$P$10</f>
        <v>969573.00331473805</v>
      </c>
      <c r="AU17" s="18">
        <f ca="1">AP17*'GS&gt;50 Predicted Monthly (no LC)'!$P$10</f>
        <v>1198052.5546831076</v>
      </c>
      <c r="AV17" s="18">
        <f ca="1">AQ17*'GS&gt;50 Predicted Monthly (no LC)'!$P$11</f>
        <v>35320.976492896902</v>
      </c>
      <c r="AW17" s="18">
        <f ca="1">AR17*'GS&gt;50 Predicted Monthly (no LC)'!$P$11</f>
        <v>45331.207762450395</v>
      </c>
      <c r="AY17" s="18">
        <f ca="1">AO17*'LC Predicted Monthly'!$T$12</f>
        <v>85728.467288132349</v>
      </c>
      <c r="AZ17" s="18">
        <f ca="1">AP17*'LC Predicted Monthly'!$T$12</f>
        <v>105930.35170377353</v>
      </c>
      <c r="BB17" s="31">
        <f t="shared" ca="1" si="6"/>
        <v>5188967.0821578791</v>
      </c>
      <c r="BC17" s="31">
        <f t="shared" ca="1" si="7"/>
        <v>5447658.7492114436</v>
      </c>
    </row>
    <row r="18" spans="1:55">
      <c r="A18" s="541">
        <f>'Monthly Data'!A18</f>
        <v>42856</v>
      </c>
      <c r="B18">
        <f t="shared" si="8"/>
        <v>2017</v>
      </c>
      <c r="C18">
        <f t="shared" si="9"/>
        <v>5</v>
      </c>
      <c r="D18" s="30">
        <f>'Monthly Data'!N18</f>
        <v>70841.310096153844</v>
      </c>
      <c r="E18" s="30">
        <f>'Monthly Data'!AB18</f>
        <v>68957.310096153844</v>
      </c>
      <c r="F18" s="33">
        <f t="shared" ca="1" si="10"/>
        <v>232.88687500000006</v>
      </c>
      <c r="G18" s="33">
        <f t="shared" ca="1" si="10"/>
        <v>111.43645833333332</v>
      </c>
      <c r="I18" s="18">
        <f>'GS&gt;50 Predicted Monthly (no LC)'!$P$9</f>
        <v>4121039.41701539</v>
      </c>
      <c r="J18" s="18">
        <f ca="1">F18*'GS&gt;50 Predicted Monthly (no LC)'!$P$10</f>
        <v>539248.5662117129</v>
      </c>
      <c r="K18" s="18">
        <f ca="1">G18*'GS&gt;50 Predicted Monthly (no LC)'!$P$11</f>
        <v>602004.47510630218</v>
      </c>
      <c r="L18" s="18">
        <f t="shared" ca="1" si="2"/>
        <v>5262292.4583334047</v>
      </c>
      <c r="M18" s="18">
        <f>'Monthly Data'!Y18</f>
        <v>1884</v>
      </c>
      <c r="N18" s="18">
        <f>'Monthly Data'!DN18</f>
        <v>0</v>
      </c>
      <c r="O18" s="18">
        <f>'Monthly Data'!DO18</f>
        <v>0</v>
      </c>
      <c r="P18" s="18">
        <f t="shared" ca="1" si="3"/>
        <v>232.88687500000006</v>
      </c>
      <c r="Q18" s="18">
        <f>'Monthly Data'!BR18</f>
        <v>0</v>
      </c>
      <c r="R18" s="18"/>
      <c r="S18" s="18">
        <f>'LC Predicted Monthly'!$T$9</f>
        <v>-22694.781953278001</v>
      </c>
      <c r="T18" s="18">
        <f>N18*'LC Predicted Monthly'!$T$10</f>
        <v>0</v>
      </c>
      <c r="U18" s="18">
        <f>O18*'LC Predicted Monthly'!$T$11</f>
        <v>0</v>
      </c>
      <c r="V18" s="18">
        <f ca="1">P18*'LC Predicted Monthly'!$T$12</f>
        <v>47679.703241125091</v>
      </c>
      <c r="W18" s="18">
        <f>Q18*'LC Predicted Monthly'!$T$13</f>
        <v>0</v>
      </c>
      <c r="X18" s="18">
        <f t="shared" ca="1" si="4"/>
        <v>24984.92128784709</v>
      </c>
      <c r="Y18" s="18">
        <f t="shared" ca="1" si="5"/>
        <v>5287277.3796212515</v>
      </c>
      <c r="AO18" s="33">
        <f t="shared" ca="1" si="11"/>
        <v>208.10177399498693</v>
      </c>
      <c r="AP18" s="33">
        <f t="shared" ca="1" si="11"/>
        <v>257.1408868815717</v>
      </c>
      <c r="AQ18" s="33">
        <f t="shared" ca="1" si="11"/>
        <v>94.189799406741059</v>
      </c>
      <c r="AR18" s="33">
        <f t="shared" ca="1" si="11"/>
        <v>120.88389931317884</v>
      </c>
      <c r="AT18" s="18">
        <f ca="1">AO18*'GS&gt;50 Predicted Monthly (no LC)'!$P$10</f>
        <v>481858.77049924171</v>
      </c>
      <c r="AU18" s="18">
        <f ca="1">AP18*'GS&gt;50 Predicted Monthly (no LC)'!$P$10</f>
        <v>595408.62732301152</v>
      </c>
      <c r="AV18" s="18">
        <f ca="1">AQ18*'GS&gt;50 Predicted Monthly (no LC)'!$P$11</f>
        <v>508834.19663797691</v>
      </c>
      <c r="AW18" s="18">
        <f ca="1">AR18*'GS&gt;50 Predicted Monthly (no LC)'!$P$11</f>
        <v>653041.64761906536</v>
      </c>
      <c r="AY18" s="18">
        <f ca="1">AO18*'LC Predicted Monthly'!$T$12</f>
        <v>42605.367211152006</v>
      </c>
      <c r="AZ18" s="18">
        <f ca="1">AP18*'LC Predicted Monthly'!$T$12</f>
        <v>52645.307631325515</v>
      </c>
      <c r="BB18" s="31">
        <f t="shared" ca="1" si="6"/>
        <v>5131642.9694104819</v>
      </c>
      <c r="BC18" s="31">
        <f t="shared" ca="1" si="7"/>
        <v>5399440.2176355133</v>
      </c>
    </row>
    <row r="19" spans="1:55">
      <c r="A19" s="541">
        <f>'Monthly Data'!A19</f>
        <v>42887</v>
      </c>
      <c r="B19">
        <f t="shared" si="8"/>
        <v>2017</v>
      </c>
      <c r="C19">
        <f t="shared" si="9"/>
        <v>6</v>
      </c>
      <c r="D19" s="30">
        <f>'Monthly Data'!N19</f>
        <v>74596.145032051281</v>
      </c>
      <c r="E19" s="30">
        <f>'Monthly Data'!AB19</f>
        <v>74560.145032051281</v>
      </c>
      <c r="F19" s="33">
        <f t="shared" ca="1" si="10"/>
        <v>92.751249999999999</v>
      </c>
      <c r="G19" s="33">
        <f t="shared" ca="1" si="10"/>
        <v>227.31958333333333</v>
      </c>
      <c r="I19" s="18">
        <f>'GS&gt;50 Predicted Monthly (no LC)'!$P$9</f>
        <v>4121039.41701539</v>
      </c>
      <c r="J19" s="18">
        <f ca="1">F19*'GS&gt;50 Predicted Monthly (no LC)'!$P$10</f>
        <v>214765.12395489923</v>
      </c>
      <c r="K19" s="18">
        <f ca="1">G19*'GS&gt;50 Predicted Monthly (no LC)'!$P$11</f>
        <v>1228030.8302389067</v>
      </c>
      <c r="L19" s="18">
        <f t="shared" ca="1" si="2"/>
        <v>5563835.3712091958</v>
      </c>
      <c r="M19" s="18">
        <f>'Monthly Data'!Y19</f>
        <v>36</v>
      </c>
      <c r="N19" s="18">
        <f>'Monthly Data'!DN19</f>
        <v>0</v>
      </c>
      <c r="O19" s="18">
        <f>'Monthly Data'!DO19</f>
        <v>0</v>
      </c>
      <c r="P19" s="18">
        <f t="shared" ca="1" si="3"/>
        <v>92.751249999999999</v>
      </c>
      <c r="Q19" s="18">
        <f>'Monthly Data'!BR19</f>
        <v>0</v>
      </c>
      <c r="R19" s="18"/>
      <c r="S19" s="18">
        <f>'LC Predicted Monthly'!$T$9</f>
        <v>-22694.781953278001</v>
      </c>
      <c r="T19" s="18">
        <f>N19*'LC Predicted Monthly'!$T$10</f>
        <v>0</v>
      </c>
      <c r="U19" s="18">
        <f>O19*'LC Predicted Monthly'!$T$11</f>
        <v>0</v>
      </c>
      <c r="V19" s="18">
        <f ca="1">P19*'LC Predicted Monthly'!$T$12</f>
        <v>18989.271401591017</v>
      </c>
      <c r="W19" s="18">
        <f>Q19*'LC Predicted Monthly'!$T$13</f>
        <v>0</v>
      </c>
      <c r="X19" s="18">
        <f t="shared" ca="1" si="4"/>
        <v>-3705.5105516869844</v>
      </c>
      <c r="Y19" s="18">
        <f t="shared" ca="1" si="5"/>
        <v>5560129.8606575085</v>
      </c>
      <c r="AO19" s="33">
        <f t="shared" ca="1" si="11"/>
        <v>82.880152285321046</v>
      </c>
      <c r="AP19" s="33">
        <f t="shared" ca="1" si="11"/>
        <v>102.41083223077457</v>
      </c>
      <c r="AQ19" s="33">
        <f t="shared" ca="1" si="11"/>
        <v>192.13806931430472</v>
      </c>
      <c r="AR19" s="33">
        <f t="shared" ca="1" si="11"/>
        <v>246.59144802846558</v>
      </c>
      <c r="AT19" s="18">
        <f ca="1">AO19*'GS&gt;50 Predicted Monthly (no LC)'!$P$10</f>
        <v>191908.63927934016</v>
      </c>
      <c r="AU19" s="18">
        <f ca="1">AP19*'GS&gt;50 Predicted Monthly (no LC)'!$P$10</f>
        <v>237131.8454292173</v>
      </c>
      <c r="AV19" s="18">
        <f ca="1">AQ19*'GS&gt;50 Predicted Monthly (no LC)'!$P$11</f>
        <v>1037972.4849070985</v>
      </c>
      <c r="AW19" s="18">
        <f ca="1">AR19*'GS&gt;50 Predicted Monthly (no LC)'!$P$11</f>
        <v>1332141.7196518595</v>
      </c>
      <c r="AY19" s="18">
        <f ca="1">AO19*'LC Predicted Monthly'!$T$12</f>
        <v>16968.328788573257</v>
      </c>
      <c r="AZ19" s="18">
        <f ca="1">AP19*'LC Predicted Monthly'!$T$12</f>
        <v>20966.909747232337</v>
      </c>
      <c r="BB19" s="31">
        <f t="shared" ca="1" si="6"/>
        <v>5345194.088037123</v>
      </c>
      <c r="BC19" s="31">
        <f t="shared" ca="1" si="7"/>
        <v>5688585.1098904209</v>
      </c>
    </row>
    <row r="20" spans="1:55">
      <c r="A20" s="541">
        <f>'Monthly Data'!A20</f>
        <v>42917</v>
      </c>
      <c r="B20">
        <f t="shared" si="8"/>
        <v>2017</v>
      </c>
      <c r="C20">
        <f t="shared" si="9"/>
        <v>7</v>
      </c>
      <c r="D20" s="30">
        <f>'Monthly Data'!N20</f>
        <v>78350.979967948719</v>
      </c>
      <c r="E20" s="30">
        <f>'Monthly Data'!AB20</f>
        <v>35024.979967948719</v>
      </c>
      <c r="F20" s="33">
        <f t="shared" ca="1" si="10"/>
        <v>25.464999999999996</v>
      </c>
      <c r="G20" s="33">
        <f t="shared" ca="1" si="10"/>
        <v>327.99625000000003</v>
      </c>
      <c r="I20" s="18">
        <f>'GS&gt;50 Predicted Monthly (no LC)'!$P$9</f>
        <v>4121039.41701539</v>
      </c>
      <c r="J20" s="18">
        <f ca="1">F20*'GS&gt;50 Predicted Monthly (no LC)'!$P$10</f>
        <v>58964.098936796094</v>
      </c>
      <c r="K20" s="18">
        <f ca="1">G20*'GS&gt;50 Predicted Monthly (no LC)'!$P$11</f>
        <v>1771908.5232182215</v>
      </c>
      <c r="L20" s="18">
        <f t="shared" ca="1" si="2"/>
        <v>5951912.0391704077</v>
      </c>
      <c r="M20" s="18">
        <f>'Monthly Data'!Y20</f>
        <v>43326</v>
      </c>
      <c r="N20" s="18">
        <f>'Monthly Data'!DN20</f>
        <v>0</v>
      </c>
      <c r="O20" s="18">
        <f>'Monthly Data'!DO20</f>
        <v>0</v>
      </c>
      <c r="P20" s="18">
        <f t="shared" ca="1" si="3"/>
        <v>25.464999999999996</v>
      </c>
      <c r="Q20" s="18">
        <f>'Monthly Data'!BR20</f>
        <v>0</v>
      </c>
      <c r="R20" s="18"/>
      <c r="S20" s="18">
        <f>'LC Predicted Monthly'!$T$9</f>
        <v>-22694.781953278001</v>
      </c>
      <c r="T20" s="18">
        <f>N20*'LC Predicted Monthly'!$T$10</f>
        <v>0</v>
      </c>
      <c r="U20" s="18">
        <f>O20*'LC Predicted Monthly'!$T$11</f>
        <v>0</v>
      </c>
      <c r="V20" s="18">
        <f ca="1">P20*'LC Predicted Monthly'!$T$12</f>
        <v>5213.5340088841413</v>
      </c>
      <c r="W20" s="18">
        <f>Q20*'LC Predicted Monthly'!$T$13</f>
        <v>0</v>
      </c>
      <c r="X20" s="18">
        <f t="shared" ca="1" si="4"/>
        <v>-17481.247944393861</v>
      </c>
      <c r="Y20" s="18">
        <f t="shared" ca="1" si="5"/>
        <v>5934430.7912260136</v>
      </c>
      <c r="AO20" s="33">
        <f t="shared" ca="1" si="11"/>
        <v>22.754874763905612</v>
      </c>
      <c r="AP20" s="33">
        <f t="shared" ca="1" si="11"/>
        <v>28.117053330889604</v>
      </c>
      <c r="AQ20" s="33">
        <f t="shared" ca="1" si="11"/>
        <v>277.23333508367784</v>
      </c>
      <c r="AR20" s="33">
        <f t="shared" ca="1" si="11"/>
        <v>355.80335424425579</v>
      </c>
      <c r="AT20" s="18">
        <f ca="1">AO20*'GS&gt;50 Predicted Monthly (no LC)'!$P$10</f>
        <v>52688.815506512285</v>
      </c>
      <c r="AU20" s="18">
        <f ca="1">AP20*'GS&gt;50 Predicted Monthly (no LC)'!$P$10</f>
        <v>65104.917118152247</v>
      </c>
      <c r="AV20" s="18">
        <f ca="1">AQ20*'GS&gt;50 Predicted Monthly (no LC)'!$P$11</f>
        <v>1497675.9928047406</v>
      </c>
      <c r="AW20" s="18">
        <f ca="1">AR20*'GS&gt;50 Predicted Monthly (no LC)'!$P$11</f>
        <v>1922128.6706022671</v>
      </c>
      <c r="AY20" s="18">
        <f ca="1">AO20*'LC Predicted Monthly'!$T$12</f>
        <v>4658.6810700774167</v>
      </c>
      <c r="AZ20" s="18">
        <f ca="1">AP20*'LC Predicted Monthly'!$T$12</f>
        <v>5756.4976937051679</v>
      </c>
      <c r="BB20" s="31">
        <f t="shared" ca="1" si="6"/>
        <v>5653368.1244434416</v>
      </c>
      <c r="BC20" s="31">
        <f t="shared" ca="1" si="7"/>
        <v>6091334.7204762362</v>
      </c>
    </row>
    <row r="21" spans="1:55">
      <c r="A21" s="541">
        <f>'Monthly Data'!A21</f>
        <v>42948</v>
      </c>
      <c r="B21">
        <f t="shared" si="8"/>
        <v>2017</v>
      </c>
      <c r="C21">
        <f t="shared" si="9"/>
        <v>8</v>
      </c>
      <c r="D21" s="30">
        <f>'Monthly Data'!N21</f>
        <v>82105.814903846156</v>
      </c>
      <c r="E21" s="30">
        <f>'Monthly Data'!AB21</f>
        <v>69967.814903846156</v>
      </c>
      <c r="F21" s="33">
        <f t="shared" ca="1" si="10"/>
        <v>54.974791666666668</v>
      </c>
      <c r="G21" s="33">
        <f t="shared" ca="1" si="10"/>
        <v>280.40312500000005</v>
      </c>
      <c r="I21" s="18">
        <f>'GS&gt;50 Predicted Monthly (no LC)'!$P$9</f>
        <v>4121039.41701539</v>
      </c>
      <c r="J21" s="18">
        <f ca="1">F21*'GS&gt;50 Predicted Monthly (no LC)'!$P$10</f>
        <v>127293.89573387343</v>
      </c>
      <c r="K21" s="18">
        <f ca="1">G21*'GS&gt;50 Predicted Monthly (no LC)'!$P$11</f>
        <v>1514799.9012931532</v>
      </c>
      <c r="L21" s="18">
        <f t="shared" ca="1" si="2"/>
        <v>5763133.2140424168</v>
      </c>
      <c r="M21" s="18">
        <f>'Monthly Data'!Y21</f>
        <v>12138</v>
      </c>
      <c r="N21" s="18">
        <f>'Monthly Data'!DN21</f>
        <v>0</v>
      </c>
      <c r="O21" s="18">
        <f>'Monthly Data'!DO21</f>
        <v>0</v>
      </c>
      <c r="P21" s="18">
        <f t="shared" ca="1" si="3"/>
        <v>54.974791666666668</v>
      </c>
      <c r="Q21" s="18">
        <f>'Monthly Data'!BR21</f>
        <v>0</v>
      </c>
      <c r="R21" s="18"/>
      <c r="S21" s="18">
        <f>'LC Predicted Monthly'!$T$9</f>
        <v>-22694.781953278001</v>
      </c>
      <c r="T21" s="18">
        <f>N21*'LC Predicted Monthly'!$T$10</f>
        <v>0</v>
      </c>
      <c r="U21" s="18">
        <f>O21*'LC Predicted Monthly'!$T$11</f>
        <v>0</v>
      </c>
      <c r="V21" s="18">
        <f ca="1">P21*'LC Predicted Monthly'!$T$12</f>
        <v>11255.171646789209</v>
      </c>
      <c r="W21" s="18">
        <f>Q21*'LC Predicted Monthly'!$T$13</f>
        <v>0</v>
      </c>
      <c r="X21" s="18">
        <f t="shared" ca="1" si="4"/>
        <v>-11439.610306488792</v>
      </c>
      <c r="Y21" s="18">
        <f t="shared" ca="1" si="5"/>
        <v>5751693.6037359284</v>
      </c>
      <c r="AO21" s="33">
        <f t="shared" ca="1" si="11"/>
        <v>49.124072238240799</v>
      </c>
      <c r="AP21" s="33">
        <f t="shared" ca="1" si="11"/>
        <v>60.700143300459935</v>
      </c>
      <c r="AQ21" s="33">
        <f t="shared" ca="1" si="11"/>
        <v>237.00604354969119</v>
      </c>
      <c r="AR21" s="33">
        <f t="shared" ca="1" si="11"/>
        <v>304.17534473510392</v>
      </c>
      <c r="AT21" s="18">
        <f ca="1">AO21*'GS&gt;50 Predicted Monthly (no LC)'!$P$10</f>
        <v>113746.57984032786</v>
      </c>
      <c r="AU21" s="18">
        <f ca="1">AP21*'GS&gt;50 Predicted Monthly (no LC)'!$P$10</f>
        <v>140550.92303341921</v>
      </c>
      <c r="AV21" s="18">
        <f ca="1">AQ21*'GS&gt;50 Predicted Monthly (no LC)'!$P$11</f>
        <v>1280359.2377044759</v>
      </c>
      <c r="AW21" s="18">
        <f ca="1">AR21*'GS&gt;50 Predicted Monthly (no LC)'!$P$11</f>
        <v>1643222.7072381813</v>
      </c>
      <c r="AY21" s="18">
        <f ca="1">AO21*'LC Predicted Monthly'!$T$12</f>
        <v>10057.334430353416</v>
      </c>
      <c r="AZ21" s="18">
        <f ca="1">AP21*'LC Predicted Monthly'!$T$12</f>
        <v>12427.341898334529</v>
      </c>
      <c r="BB21" s="31">
        <f t="shared" ca="1" si="6"/>
        <v>5502507.7870372701</v>
      </c>
      <c r="BC21" s="31">
        <f t="shared" ca="1" si="7"/>
        <v>5894545.6072320472</v>
      </c>
    </row>
    <row r="22" spans="1:55">
      <c r="A22" s="541">
        <f>'Monthly Data'!A22</f>
        <v>42979</v>
      </c>
      <c r="B22">
        <f t="shared" si="8"/>
        <v>2017</v>
      </c>
      <c r="C22">
        <f t="shared" si="9"/>
        <v>9</v>
      </c>
      <c r="D22" s="30">
        <f>'Monthly Data'!N22</f>
        <v>85860.649839743593</v>
      </c>
      <c r="E22" s="30">
        <f>'Monthly Data'!AB22</f>
        <v>-50759.350160256407</v>
      </c>
      <c r="F22" s="33">
        <f t="shared" ca="1" si="10"/>
        <v>166.50624999999999</v>
      </c>
      <c r="G22" s="33">
        <f t="shared" ca="1" si="10"/>
        <v>144.00333333333333</v>
      </c>
      <c r="I22" s="18">
        <f>'GS&gt;50 Predicted Monthly (no LC)'!$P$9</f>
        <v>4121039.41701539</v>
      </c>
      <c r="J22" s="18">
        <f ca="1">F22*'GS&gt;50 Predicted Monthly (no LC)'!$P$10</f>
        <v>385544.51202022011</v>
      </c>
      <c r="K22" s="18">
        <f ca="1">G22*'GS&gt;50 Predicted Monthly (no LC)'!$P$11</f>
        <v>777937.96028206998</v>
      </c>
      <c r="L22" s="18">
        <f t="shared" ca="1" si="2"/>
        <v>5284521.8893176802</v>
      </c>
      <c r="M22" s="18">
        <f>'Monthly Data'!Y22</f>
        <v>136620</v>
      </c>
      <c r="N22" s="18">
        <f>'Monthly Data'!DN22</f>
        <v>0</v>
      </c>
      <c r="O22" s="18">
        <f>'Monthly Data'!DO22</f>
        <v>0</v>
      </c>
      <c r="P22" s="18">
        <f t="shared" ca="1" si="3"/>
        <v>166.50624999999999</v>
      </c>
      <c r="Q22" s="18">
        <f>'Monthly Data'!BR22</f>
        <v>1</v>
      </c>
      <c r="R22" s="18"/>
      <c r="S22" s="18">
        <f>'LC Predicted Monthly'!$T$9</f>
        <v>-22694.781953278001</v>
      </c>
      <c r="T22" s="18">
        <f>N22*'LC Predicted Monthly'!$T$10</f>
        <v>0</v>
      </c>
      <c r="U22" s="18">
        <f>O22*'LC Predicted Monthly'!$T$11</f>
        <v>0</v>
      </c>
      <c r="V22" s="18">
        <f ca="1">P22*'LC Predicted Monthly'!$T$12</f>
        <v>34089.377461879645</v>
      </c>
      <c r="W22" s="18">
        <f>Q22*'LC Predicted Monthly'!$T$13</f>
        <v>97970.228068396304</v>
      </c>
      <c r="X22" s="18">
        <f t="shared" ca="1" si="4"/>
        <v>109364.82357699795</v>
      </c>
      <c r="Y22" s="18">
        <f t="shared" ca="1" si="5"/>
        <v>5393886.7128946781</v>
      </c>
      <c r="AO22" s="33">
        <f t="shared" ca="1" si="11"/>
        <v>148.78573988445157</v>
      </c>
      <c r="AP22" s="33">
        <f t="shared" ca="1" si="11"/>
        <v>183.84704932952829</v>
      </c>
      <c r="AQ22" s="33">
        <f t="shared" ca="1" si="11"/>
        <v>121.71640487708792</v>
      </c>
      <c r="AR22" s="33">
        <f t="shared" ca="1" si="11"/>
        <v>156.21175248910205</v>
      </c>
      <c r="AT22" s="18">
        <f ca="1">AO22*'GS&gt;50 Predicted Monthly (no LC)'!$P$10</f>
        <v>344512.74639431422</v>
      </c>
      <c r="AU22" s="18">
        <f ca="1">AP22*'GS&gt;50 Predicted Monthly (no LC)'!$P$10</f>
        <v>425697.05893989158</v>
      </c>
      <c r="AV22" s="18">
        <f ca="1">AQ22*'GS&gt;50 Predicted Monthly (no LC)'!$P$11</f>
        <v>657539.02740409982</v>
      </c>
      <c r="AW22" s="18">
        <f ca="1">AR22*'GS&gt;50 Predicted Monthly (no LC)'!$P$11</f>
        <v>843890.54954834119</v>
      </c>
      <c r="AY22" s="18">
        <f ca="1">AO22*'LC Predicted Monthly'!$T$12</f>
        <v>30461.398583333124</v>
      </c>
      <c r="AZ22" s="18">
        <f ca="1">AP22*'LC Predicted Monthly'!$T$12</f>
        <v>37639.616890339537</v>
      </c>
      <c r="BB22" s="31">
        <f t="shared" ca="1" si="6"/>
        <v>5228828.0355122555</v>
      </c>
      <c r="BC22" s="31">
        <f t="shared" ca="1" si="7"/>
        <v>5503542.0885090809</v>
      </c>
    </row>
    <row r="23" spans="1:55">
      <c r="A23" s="541">
        <f>'Monthly Data'!A23</f>
        <v>43009</v>
      </c>
      <c r="B23">
        <f t="shared" si="8"/>
        <v>2017</v>
      </c>
      <c r="C23">
        <f t="shared" si="9"/>
        <v>10</v>
      </c>
      <c r="D23" s="30">
        <f>'Monthly Data'!N23</f>
        <v>89615.484775641031</v>
      </c>
      <c r="E23" s="30">
        <f>'Monthly Data'!AB23</f>
        <v>66803.484775641031</v>
      </c>
      <c r="F23" s="33">
        <f t="shared" ca="1" si="10"/>
        <v>363.47645833333326</v>
      </c>
      <c r="G23" s="33">
        <f t="shared" ca="1" si="10"/>
        <v>40.02791666666667</v>
      </c>
      <c r="I23" s="18">
        <f>'GS&gt;50 Predicted Monthly (no LC)'!$P$9</f>
        <v>4121039.41701539</v>
      </c>
      <c r="J23" s="18">
        <f ca="1">F23*'GS&gt;50 Predicted Monthly (no LC)'!$P$10</f>
        <v>841628.18968635018</v>
      </c>
      <c r="K23" s="18">
        <f ca="1">G23*'GS&gt;50 Predicted Monthly (no LC)'!$P$11</f>
        <v>216239.6878267217</v>
      </c>
      <c r="L23" s="18">
        <f t="shared" ca="1" si="2"/>
        <v>5178907.294528462</v>
      </c>
      <c r="M23" s="18">
        <f>'Monthly Data'!Y23</f>
        <v>22812</v>
      </c>
      <c r="N23" s="18">
        <f>'Monthly Data'!DN23</f>
        <v>0</v>
      </c>
      <c r="O23" s="18">
        <f>'Monthly Data'!DO23</f>
        <v>0</v>
      </c>
      <c r="P23" s="18">
        <f t="shared" ca="1" si="3"/>
        <v>363.47645833333326</v>
      </c>
      <c r="Q23" s="18">
        <f>'Monthly Data'!BR23</f>
        <v>1</v>
      </c>
      <c r="R23" s="18"/>
      <c r="S23" s="18">
        <f>'LC Predicted Monthly'!$T$9</f>
        <v>-22694.781953278001</v>
      </c>
      <c r="T23" s="18">
        <f>N23*'LC Predicted Monthly'!$T$10</f>
        <v>0</v>
      </c>
      <c r="U23" s="18">
        <f>O23*'LC Predicted Monthly'!$T$11</f>
        <v>0</v>
      </c>
      <c r="V23" s="18">
        <f ca="1">P23*'LC Predicted Monthly'!$T$12</f>
        <v>74415.742271729541</v>
      </c>
      <c r="W23" s="18">
        <f>Q23*'LC Predicted Monthly'!$T$13</f>
        <v>97970.228068396304</v>
      </c>
      <c r="X23" s="18">
        <f t="shared" ca="1" si="4"/>
        <v>149691.18838684785</v>
      </c>
      <c r="Y23" s="18">
        <f t="shared" ca="1" si="5"/>
        <v>5328598.4829153102</v>
      </c>
      <c r="AO23" s="33">
        <f t="shared" ca="1" si="11"/>
        <v>324.79329624987065</v>
      </c>
      <c r="AP23" s="33">
        <f t="shared" ca="1" si="11"/>
        <v>401.33072701673694</v>
      </c>
      <c r="AQ23" s="33">
        <f t="shared" ca="1" si="11"/>
        <v>33.832925937267667</v>
      </c>
      <c r="AR23" s="33">
        <f t="shared" ca="1" si="11"/>
        <v>43.421432450552551</v>
      </c>
      <c r="AT23" s="18">
        <f ca="1">AO23*'GS&gt;50 Predicted Monthly (no LC)'!$P$10</f>
        <v>752057.49279738846</v>
      </c>
      <c r="AU23" s="18">
        <f ca="1">AP23*'GS&gt;50 Predicted Monthly (no LC)'!$P$10</f>
        <v>929279.58744124032</v>
      </c>
      <c r="AV23" s="18">
        <f ca="1">AQ23*'GS&gt;50 Predicted Monthly (no LC)'!$P$11</f>
        <v>182772.97326922306</v>
      </c>
      <c r="AW23" s="18">
        <f ca="1">AR23*'GS&gt;50 Predicted Monthly (no LC)'!$P$11</f>
        <v>234572.21309535802</v>
      </c>
      <c r="AY23" s="18">
        <f ca="1">AO23*'LC Predicted Monthly'!$T$12</f>
        <v>66496.010047370233</v>
      </c>
      <c r="AZ23" s="18">
        <f ca="1">AP23*'LC Predicted Monthly'!$T$12</f>
        <v>82165.772397877707</v>
      </c>
      <c r="BB23" s="31">
        <f t="shared" ca="1" si="6"/>
        <v>5197641.3392444905</v>
      </c>
      <c r="BC23" s="31">
        <f t="shared" ca="1" si="7"/>
        <v>5442332.4360649846</v>
      </c>
    </row>
    <row r="24" spans="1:55">
      <c r="A24" s="541">
        <f>'Monthly Data'!A24</f>
        <v>43040</v>
      </c>
      <c r="B24">
        <f t="shared" si="8"/>
        <v>2017</v>
      </c>
      <c r="C24">
        <f t="shared" si="9"/>
        <v>11</v>
      </c>
      <c r="D24" s="30">
        <f>'Monthly Data'!N24</f>
        <v>93370.319711538468</v>
      </c>
      <c r="E24" s="30">
        <f>'Monthly Data'!AB24</f>
        <v>87058.319711538468</v>
      </c>
      <c r="F24" s="33">
        <f t="shared" ca="1" si="10"/>
        <v>586.00395833333334</v>
      </c>
      <c r="G24" s="33">
        <f t="shared" ca="1" si="10"/>
        <v>4.5920833333333331</v>
      </c>
      <c r="I24" s="18">
        <f>'GS&gt;50 Predicted Monthly (no LC)'!$P$9</f>
        <v>4121039.41701539</v>
      </c>
      <c r="J24" s="18">
        <f ca="1">F24*'GS&gt;50 Predicted Monthly (no LC)'!$P$10</f>
        <v>1356889.6672499825</v>
      </c>
      <c r="K24" s="18">
        <f ca="1">G24*'GS&gt;50 Predicted Monthly (no LC)'!$P$11</f>
        <v>24807.453126862496</v>
      </c>
      <c r="L24" s="18">
        <f t="shared" ca="1" si="2"/>
        <v>5502736.5373922354</v>
      </c>
      <c r="M24" s="18">
        <f>'Monthly Data'!Y24</f>
        <v>6312</v>
      </c>
      <c r="N24" s="18">
        <f>'Monthly Data'!DN24</f>
        <v>0</v>
      </c>
      <c r="O24" s="18">
        <f>'Monthly Data'!DO24</f>
        <v>0</v>
      </c>
      <c r="P24" s="18">
        <f t="shared" ca="1" si="3"/>
        <v>586.00395833333334</v>
      </c>
      <c r="Q24" s="18">
        <f>'Monthly Data'!BR24</f>
        <v>1</v>
      </c>
      <c r="R24" s="18"/>
      <c r="S24" s="18">
        <f>'LC Predicted Monthly'!$T$9</f>
        <v>-22694.781953278001</v>
      </c>
      <c r="T24" s="18">
        <f>N24*'LC Predicted Monthly'!$T$10</f>
        <v>0</v>
      </c>
      <c r="U24" s="18">
        <f>O24*'LC Predicted Monthly'!$T$11</f>
        <v>0</v>
      </c>
      <c r="V24" s="18">
        <f ca="1">P24*'LC Predicted Monthly'!$T$12</f>
        <v>119974.53626984327</v>
      </c>
      <c r="W24" s="18">
        <f>Q24*'LC Predicted Monthly'!$T$13</f>
        <v>97970.228068396304</v>
      </c>
      <c r="X24" s="18">
        <f t="shared" ca="1" si="4"/>
        <v>195249.98238496156</v>
      </c>
      <c r="Y24" s="18">
        <f t="shared" ca="1" si="5"/>
        <v>5697986.5197771974</v>
      </c>
      <c r="AO24" s="33">
        <f t="shared" ca="1" si="11"/>
        <v>523.63819685953126</v>
      </c>
      <c r="AP24" s="33">
        <f t="shared" ca="1" si="11"/>
        <v>647.03336142041019</v>
      </c>
      <c r="AQ24" s="33">
        <f t="shared" ca="1" si="11"/>
        <v>3.8813815020207452</v>
      </c>
      <c r="AR24" s="33">
        <f t="shared" ca="1" si="11"/>
        <v>4.9813943085298762</v>
      </c>
      <c r="AT24" s="18">
        <f ca="1">AO24*'GS&gt;50 Predicted Monthly (no LC)'!$P$10</f>
        <v>1212482.0124371063</v>
      </c>
      <c r="AU24" s="18">
        <f ca="1">AP24*'GS&gt;50 Predicted Monthly (no LC)'!$P$10</f>
        <v>1498202.9899156024</v>
      </c>
      <c r="AV24" s="18">
        <f ca="1">AQ24*'GS&gt;50 Predicted Monthly (no LC)'!$P$11</f>
        <v>20968.084132949996</v>
      </c>
      <c r="AW24" s="18">
        <f ca="1">AR24*'GS&gt;50 Predicted Monthly (no LC)'!$P$11</f>
        <v>26910.597401021583</v>
      </c>
      <c r="AY24" s="18">
        <f ca="1">AO24*'LC Predicted Monthly'!$T$12</f>
        <v>107206.18683204145</v>
      </c>
      <c r="AZ24" s="18">
        <f ca="1">AP24*'LC Predicted Monthly'!$T$12</f>
        <v>132469.28861762941</v>
      </c>
      <c r="BB24" s="31">
        <f t="shared" ca="1" si="6"/>
        <v>5536971.1465326073</v>
      </c>
      <c r="BC24" s="31">
        <f t="shared" ca="1" si="7"/>
        <v>5853897.7390647624</v>
      </c>
    </row>
    <row r="25" spans="1:55">
      <c r="A25" s="541">
        <f>'Monthly Data'!A25</f>
        <v>43070</v>
      </c>
      <c r="B25">
        <f t="shared" si="8"/>
        <v>2017</v>
      </c>
      <c r="C25">
        <f t="shared" si="9"/>
        <v>12</v>
      </c>
      <c r="D25" s="30">
        <f>'Monthly Data'!N25</f>
        <v>70926474.15464744</v>
      </c>
      <c r="E25" s="30">
        <f>'Monthly Data'!AB25</f>
        <v>70759590.15464744</v>
      </c>
      <c r="F25" s="33">
        <f t="shared" ca="1" si="10"/>
        <v>812.36333333333334</v>
      </c>
      <c r="G25" s="33">
        <f t="shared" ca="1" si="10"/>
        <v>0</v>
      </c>
      <c r="I25" s="18">
        <f>'GS&gt;50 Predicted Monthly (no LC)'!$P$9</f>
        <v>4121039.41701539</v>
      </c>
      <c r="J25" s="18">
        <f ca="1">F25*'GS&gt;50 Predicted Monthly (no LC)'!$P$10</f>
        <v>1881023.8350399425</v>
      </c>
      <c r="K25" s="18">
        <f ca="1">G25*'GS&gt;50 Predicted Monthly (no LC)'!$P$11</f>
        <v>0</v>
      </c>
      <c r="L25" s="18">
        <f t="shared" ca="1" si="2"/>
        <v>6002063.2520553321</v>
      </c>
      <c r="M25" s="18">
        <f>'Monthly Data'!Y25</f>
        <v>166884</v>
      </c>
      <c r="N25" s="18">
        <f>'Monthly Data'!DN25</f>
        <v>0</v>
      </c>
      <c r="O25" s="18">
        <f>'Monthly Data'!DO25</f>
        <v>0</v>
      </c>
      <c r="P25" s="18">
        <f t="shared" ca="1" si="3"/>
        <v>812.36333333333334</v>
      </c>
      <c r="Q25" s="18">
        <f>'Monthly Data'!BR25</f>
        <v>0</v>
      </c>
      <c r="R25" s="18"/>
      <c r="S25" s="18">
        <f>'LC Predicted Monthly'!$T$9</f>
        <v>-22694.781953278001</v>
      </c>
      <c r="T25" s="18">
        <f>N25*'LC Predicted Monthly'!$T$10</f>
        <v>0</v>
      </c>
      <c r="U25" s="18">
        <f>O25*'LC Predicted Monthly'!$T$11</f>
        <v>0</v>
      </c>
      <c r="V25" s="18">
        <f ca="1">P25*'LC Predicted Monthly'!$T$12</f>
        <v>166317.84276080181</v>
      </c>
      <c r="W25" s="18">
        <f>Q25*'LC Predicted Monthly'!$T$13</f>
        <v>0</v>
      </c>
      <c r="X25" s="18">
        <f t="shared" ca="1" si="4"/>
        <v>143623.06080752381</v>
      </c>
      <c r="Y25" s="18">
        <f t="shared" ca="1" si="5"/>
        <v>6145686.3128628563</v>
      </c>
      <c r="AO25" s="33">
        <f t="shared" ca="1" si="11"/>
        <v>725.90716327464804</v>
      </c>
      <c r="AP25" s="33">
        <f t="shared" ca="1" si="11"/>
        <v>896.96694158227319</v>
      </c>
      <c r="AQ25" s="33">
        <f t="shared" ca="1" si="11"/>
        <v>0</v>
      </c>
      <c r="AR25" s="33">
        <f t="shared" ca="1" si="11"/>
        <v>0</v>
      </c>
      <c r="AT25" s="18">
        <f ca="1">AO25*'GS&gt;50 Predicted Monthly (no LC)'!$P$10</f>
        <v>1680834.941851771</v>
      </c>
      <c r="AU25" s="18">
        <f ca="1">AP25*'GS&gt;50 Predicted Monthly (no LC)'!$P$10</f>
        <v>2076923.1292555493</v>
      </c>
      <c r="AV25" s="18">
        <f ca="1">AQ25*'GS&gt;50 Predicted Monthly (no LC)'!$P$11</f>
        <v>0</v>
      </c>
      <c r="AW25" s="18">
        <f ca="1">AR25*'GS&gt;50 Predicted Monthly (no LC)'!$P$11</f>
        <v>0</v>
      </c>
      <c r="AY25" s="18">
        <f ca="1">AO25*'LC Predicted Monthly'!$T$12</f>
        <v>148617.38397899043</v>
      </c>
      <c r="AZ25" s="18">
        <f ca="1">AP25*'LC Predicted Monthly'!$T$12</f>
        <v>183639.02041170144</v>
      </c>
      <c r="BB25" s="31">
        <f t="shared" ca="1" si="6"/>
        <v>5927796.9608928729</v>
      </c>
      <c r="BC25" s="31">
        <f t="shared" ca="1" si="7"/>
        <v>6358906.7847293625</v>
      </c>
    </row>
    <row r="26" spans="1:55">
      <c r="A26" s="541">
        <f>'Monthly Data'!A26</f>
        <v>43101</v>
      </c>
      <c r="B26">
        <f t="shared" si="8"/>
        <v>2018</v>
      </c>
      <c r="C26">
        <f t="shared" si="9"/>
        <v>1</v>
      </c>
      <c r="D26" s="30">
        <f>'Monthly Data'!N26</f>
        <v>100126.09152892765</v>
      </c>
      <c r="E26" s="30">
        <f>'Monthly Data'!AB26</f>
        <v>-190915.90847107235</v>
      </c>
      <c r="F26" s="33">
        <f t="shared" ca="1" si="10"/>
        <v>914.55166666666662</v>
      </c>
      <c r="G26" s="33">
        <f t="shared" ca="1" si="10"/>
        <v>0</v>
      </c>
      <c r="I26" s="18">
        <f>'GS&gt;50 Predicted Monthly (no LC)'!$P$9</f>
        <v>4121039.41701539</v>
      </c>
      <c r="J26" s="18">
        <f ca="1">F26*'GS&gt;50 Predicted Monthly (no LC)'!$P$10</f>
        <v>2117640.4852206991</v>
      </c>
      <c r="K26" s="18">
        <f ca="1">G26*'GS&gt;50 Predicted Monthly (no LC)'!$P$11</f>
        <v>0</v>
      </c>
      <c r="L26" s="18">
        <f t="shared" ca="1" si="2"/>
        <v>6238679.9022360891</v>
      </c>
      <c r="M26" s="18">
        <f>'Monthly Data'!Y26</f>
        <v>291042</v>
      </c>
      <c r="N26" s="18">
        <f>'Monthly Data'!DN26</f>
        <v>0</v>
      </c>
      <c r="O26" s="18">
        <f>'Monthly Data'!DO26</f>
        <v>0</v>
      </c>
      <c r="P26" s="18">
        <f t="shared" ca="1" si="3"/>
        <v>914.55166666666662</v>
      </c>
      <c r="Q26" s="18">
        <f>'Monthly Data'!BR26</f>
        <v>0</v>
      </c>
      <c r="R26" s="18"/>
      <c r="S26" s="18">
        <f>'LC Predicted Monthly'!$T$9</f>
        <v>-22694.781953278001</v>
      </c>
      <c r="T26" s="18">
        <f>N26*'LC Predicted Monthly'!$T$10</f>
        <v>0</v>
      </c>
      <c r="U26" s="18">
        <f>O26*'LC Predicted Monthly'!$T$11</f>
        <v>0</v>
      </c>
      <c r="V26" s="18">
        <f ca="1">P26*'LC Predicted Monthly'!$T$12</f>
        <v>187239.19956993285</v>
      </c>
      <c r="W26" s="18">
        <f>Q26*'LC Predicted Monthly'!$T$13</f>
        <v>0</v>
      </c>
      <c r="X26" s="18">
        <f t="shared" ca="1" si="4"/>
        <v>164544.41761665486</v>
      </c>
      <c r="Y26" s="18">
        <f t="shared" ca="1" si="5"/>
        <v>6403224.3198527442</v>
      </c>
      <c r="AO26" s="33">
        <f t="shared" ca="1" si="11"/>
        <v>817.22005262600237</v>
      </c>
      <c r="AP26" s="33">
        <f t="shared" ca="1" si="11"/>
        <v>1009.7976825258449</v>
      </c>
      <c r="AQ26" s="33">
        <f t="shared" ca="1" si="11"/>
        <v>0</v>
      </c>
      <c r="AR26" s="33">
        <f t="shared" ca="1" si="11"/>
        <v>0</v>
      </c>
      <c r="AT26" s="18">
        <f ca="1">AO26*'GS&gt;50 Predicted Monthly (no LC)'!$P$10</f>
        <v>1892269.5478567963</v>
      </c>
      <c r="AU26" s="18">
        <f ca="1">AP26*'GS&gt;50 Predicted Monthly (no LC)'!$P$10</f>
        <v>2338182.2288867598</v>
      </c>
      <c r="AV26" s="18">
        <f ca="1">AQ26*'GS&gt;50 Predicted Monthly (no LC)'!$P$11</f>
        <v>0</v>
      </c>
      <c r="AW26" s="18">
        <f ca="1">AR26*'GS&gt;50 Predicted Monthly (no LC)'!$P$11</f>
        <v>0</v>
      </c>
      <c r="AY26" s="18">
        <f ca="1">AO26*'LC Predicted Monthly'!$T$12</f>
        <v>167312.17502877486</v>
      </c>
      <c r="AZ26" s="18">
        <f ca="1">AP26*'LC Predicted Monthly'!$T$12</f>
        <v>206739.23266997386</v>
      </c>
      <c r="BB26" s="31">
        <f t="shared" ca="1" si="6"/>
        <v>6157926.3579476839</v>
      </c>
      <c r="BC26" s="31">
        <f t="shared" ca="1" si="7"/>
        <v>6643266.0966188461</v>
      </c>
    </row>
    <row r="27" spans="1:55">
      <c r="A27" s="541">
        <f>'Monthly Data'!A27</f>
        <v>43132</v>
      </c>
      <c r="B27">
        <f t="shared" si="8"/>
        <v>2018</v>
      </c>
      <c r="C27">
        <f t="shared" si="9"/>
        <v>2</v>
      </c>
      <c r="D27" s="30">
        <f>'Monthly Data'!N27</f>
        <v>103279.762066118</v>
      </c>
      <c r="E27" s="30">
        <f>'Monthly Data'!AB27</f>
        <v>96775.762066117997</v>
      </c>
      <c r="F27" s="33">
        <f t="shared" ca="1" si="10"/>
        <v>803.82854166666664</v>
      </c>
      <c r="G27" s="33">
        <f t="shared" ca="1" si="10"/>
        <v>0</v>
      </c>
      <c r="I27" s="18">
        <f>'GS&gt;50 Predicted Monthly (no LC)'!$P$9</f>
        <v>4121039.41701539</v>
      </c>
      <c r="J27" s="18">
        <f ca="1">F27*'GS&gt;50 Predicted Monthly (no LC)'!$P$10</f>
        <v>1861261.5613215731</v>
      </c>
      <c r="K27" s="18">
        <f ca="1">G27*'GS&gt;50 Predicted Monthly (no LC)'!$P$11</f>
        <v>0</v>
      </c>
      <c r="L27" s="18">
        <f t="shared" ca="1" si="2"/>
        <v>5982300.9783369629</v>
      </c>
      <c r="M27" s="18">
        <f>'Monthly Data'!Y27</f>
        <v>6504</v>
      </c>
      <c r="N27" s="18">
        <f>'Monthly Data'!DN27</f>
        <v>0</v>
      </c>
      <c r="O27" s="18">
        <f>'Monthly Data'!DO27</f>
        <v>0</v>
      </c>
      <c r="P27" s="18">
        <f t="shared" ca="1" si="3"/>
        <v>803.82854166666664</v>
      </c>
      <c r="Q27" s="18">
        <f>'Monthly Data'!BR27</f>
        <v>0</v>
      </c>
      <c r="R27" s="18"/>
      <c r="S27" s="18">
        <f>'LC Predicted Monthly'!$T$9</f>
        <v>-22694.781953278001</v>
      </c>
      <c r="T27" s="18">
        <f>N27*'LC Predicted Monthly'!$T$10</f>
        <v>0</v>
      </c>
      <c r="U27" s="18">
        <f>O27*'LC Predicted Monthly'!$T$11</f>
        <v>0</v>
      </c>
      <c r="V27" s="18">
        <f ca="1">P27*'LC Predicted Monthly'!$T$12</f>
        <v>164570.48652232124</v>
      </c>
      <c r="W27" s="18">
        <f>Q27*'LC Predicted Monthly'!$T$13</f>
        <v>0</v>
      </c>
      <c r="X27" s="18">
        <f t="shared" ca="1" si="4"/>
        <v>141875.70456904324</v>
      </c>
      <c r="Y27" s="18">
        <f t="shared" ca="1" si="5"/>
        <v>6124176.6829060065</v>
      </c>
      <c r="AO27" s="33">
        <f t="shared" ca="1" si="11"/>
        <v>718.28069103781206</v>
      </c>
      <c r="AP27" s="33">
        <f t="shared" ca="1" si="11"/>
        <v>887.54329373386554</v>
      </c>
      <c r="AQ27" s="33">
        <f t="shared" ca="1" si="11"/>
        <v>0</v>
      </c>
      <c r="AR27" s="33">
        <f t="shared" ca="1" si="11"/>
        <v>0</v>
      </c>
      <c r="AT27" s="18">
        <f ca="1">AO27*'GS&gt;50 Predicted Monthly (no LC)'!$P$10</f>
        <v>1663175.8779007981</v>
      </c>
      <c r="AU27" s="18">
        <f ca="1">AP27*'GS&gt;50 Predicted Monthly (no LC)'!$P$10</f>
        <v>2055102.7128377589</v>
      </c>
      <c r="AV27" s="18">
        <f ca="1">AQ27*'GS&gt;50 Predicted Monthly (no LC)'!$P$11</f>
        <v>0</v>
      </c>
      <c r="AW27" s="18">
        <f ca="1">AR27*'GS&gt;50 Predicted Monthly (no LC)'!$P$11</f>
        <v>0</v>
      </c>
      <c r="AY27" s="18">
        <f ca="1">AO27*'LC Predicted Monthly'!$T$12</f>
        <v>147055.99099353765</v>
      </c>
      <c r="AZ27" s="18">
        <f ca="1">AP27*'LC Predicted Monthly'!$T$12</f>
        <v>181709.68569560398</v>
      </c>
      <c r="BB27" s="31">
        <f t="shared" ca="1" si="6"/>
        <v>5908576.5039564483</v>
      </c>
      <c r="BC27" s="31">
        <f t="shared" ca="1" si="7"/>
        <v>6335157.0335954754</v>
      </c>
    </row>
    <row r="28" spans="1:55">
      <c r="A28" s="541">
        <f>'Monthly Data'!A28</f>
        <v>43160</v>
      </c>
      <c r="B28">
        <f t="shared" si="8"/>
        <v>2018</v>
      </c>
      <c r="C28">
        <f t="shared" si="9"/>
        <v>3</v>
      </c>
      <c r="D28" s="30">
        <f>'Monthly Data'!N28</f>
        <v>106433.43260330835</v>
      </c>
      <c r="E28" s="30">
        <f>'Monthly Data'!AB28</f>
        <v>103067.43260330835</v>
      </c>
      <c r="F28" s="33">
        <f t="shared" ca="1" si="10"/>
        <v>698.29604166666672</v>
      </c>
      <c r="G28" s="33">
        <f t="shared" ca="1" si="10"/>
        <v>0.11000000000000032</v>
      </c>
      <c r="I28" s="18">
        <f>'GS&gt;50 Predicted Monthly (no LC)'!$P$9</f>
        <v>4121039.41701539</v>
      </c>
      <c r="J28" s="18">
        <f ca="1">F28*'GS&gt;50 Predicted Monthly (no LC)'!$P$10</f>
        <v>1616901.5074811084</v>
      </c>
      <c r="K28" s="18">
        <f ca="1">G28*'GS&gt;50 Predicted Monthly (no LC)'!$P$11</f>
        <v>594.2444084467578</v>
      </c>
      <c r="L28" s="18">
        <f t="shared" ca="1" si="2"/>
        <v>5738535.1689049443</v>
      </c>
      <c r="M28" s="18">
        <f>'Monthly Data'!Y28</f>
        <v>3366</v>
      </c>
      <c r="N28" s="18">
        <f>'Monthly Data'!DN28</f>
        <v>0</v>
      </c>
      <c r="O28" s="18">
        <f>'Monthly Data'!DO28</f>
        <v>0</v>
      </c>
      <c r="P28" s="18">
        <f t="shared" ca="1" si="3"/>
        <v>698.29604166666672</v>
      </c>
      <c r="Q28" s="18">
        <f>'Monthly Data'!BR28</f>
        <v>0</v>
      </c>
      <c r="R28" s="18"/>
      <c r="S28" s="18">
        <f>'LC Predicted Monthly'!$T$9</f>
        <v>-22694.781953278001</v>
      </c>
      <c r="T28" s="18">
        <f>N28*'LC Predicted Monthly'!$T$10</f>
        <v>0</v>
      </c>
      <c r="U28" s="18">
        <f>O28*'LC Predicted Monthly'!$T$11</f>
        <v>0</v>
      </c>
      <c r="V28" s="18">
        <f ca="1">P28*'LC Predicted Monthly'!$T$12</f>
        <v>142964.46736690929</v>
      </c>
      <c r="W28" s="18">
        <f>Q28*'LC Predicted Monthly'!$T$13</f>
        <v>0</v>
      </c>
      <c r="X28" s="18">
        <f t="shared" ca="1" si="4"/>
        <v>120269.68541363129</v>
      </c>
      <c r="Y28" s="18">
        <f t="shared" ca="1" si="5"/>
        <v>5858804.8543185759</v>
      </c>
      <c r="AO28" s="33">
        <f t="shared" ca="1" si="11"/>
        <v>623.97953961343092</v>
      </c>
      <c r="AP28" s="33">
        <f t="shared" ca="1" si="11"/>
        <v>771.02010776716202</v>
      </c>
      <c r="AQ28" s="33">
        <f t="shared" ca="1" si="11"/>
        <v>9.2975657066825132E-2</v>
      </c>
      <c r="AR28" s="33">
        <f t="shared" ca="1" si="11"/>
        <v>0.11932565987223402</v>
      </c>
      <c r="AT28" s="18">
        <f ca="1">AO28*'GS&gt;50 Predicted Monthly (no LC)'!$P$10</f>
        <v>1444821.9638053337</v>
      </c>
      <c r="AU28" s="18">
        <f ca="1">AP28*'GS&gt;50 Predicted Monthly (no LC)'!$P$10</f>
        <v>1785293.7724972367</v>
      </c>
      <c r="AV28" s="18">
        <f ca="1">AQ28*'GS&gt;50 Predicted Monthly (no LC)'!$P$11</f>
        <v>502.27513030567235</v>
      </c>
      <c r="AW28" s="18">
        <f ca="1">AR28*'GS&gt;50 Predicted Monthly (no LC)'!$P$11</f>
        <v>644.62369239358668</v>
      </c>
      <c r="AY28" s="18">
        <f ca="1">AO28*'LC Predicted Monthly'!$T$12</f>
        <v>127749.40312674227</v>
      </c>
      <c r="AZ28" s="18">
        <f ca="1">AP28*'LC Predicted Monthly'!$T$12</f>
        <v>157853.50690664109</v>
      </c>
      <c r="BB28" s="31">
        <f t="shared" ca="1" si="6"/>
        <v>5671418.2771244934</v>
      </c>
      <c r="BC28" s="31">
        <f t="shared" ca="1" si="7"/>
        <v>6042136.5381583832</v>
      </c>
    </row>
    <row r="29" spans="1:55">
      <c r="A29" s="541">
        <f>'Monthly Data'!A29</f>
        <v>43191</v>
      </c>
      <c r="B29">
        <f t="shared" si="8"/>
        <v>2018</v>
      </c>
      <c r="C29">
        <f t="shared" si="9"/>
        <v>4</v>
      </c>
      <c r="D29" s="30">
        <f>'Monthly Data'!N29</f>
        <v>109587.1031404987</v>
      </c>
      <c r="E29" s="30">
        <f>'Monthly Data'!AB29</f>
        <v>107571.1031404987</v>
      </c>
      <c r="F29" s="33">
        <f t="shared" ca="1" si="10"/>
        <v>468.60374999999993</v>
      </c>
      <c r="G29" s="33">
        <f t="shared" ca="1" si="10"/>
        <v>7.7354166666666684</v>
      </c>
      <c r="I29" s="18">
        <f>'GS&gt;50 Predicted Monthly (no LC)'!$P$9</f>
        <v>4121039.41701539</v>
      </c>
      <c r="J29" s="18">
        <f ca="1">F29*'GS&gt;50 Predicted Monthly (no LC)'!$P$10</f>
        <v>1085049.9853584787</v>
      </c>
      <c r="K29" s="18">
        <f ca="1">G29*'GS&gt;50 Predicted Monthly (no LC)'!$P$11</f>
        <v>41788.437283386476</v>
      </c>
      <c r="L29" s="18">
        <f t="shared" ca="1" si="2"/>
        <v>5247877.8396572554</v>
      </c>
      <c r="M29" s="18">
        <f>'Monthly Data'!Y29</f>
        <v>2016</v>
      </c>
      <c r="N29" s="18">
        <f>'Monthly Data'!DN29</f>
        <v>0</v>
      </c>
      <c r="O29" s="18">
        <f>'Monthly Data'!DO29</f>
        <v>0</v>
      </c>
      <c r="P29" s="18">
        <f t="shared" ca="1" si="3"/>
        <v>468.60374999999993</v>
      </c>
      <c r="Q29" s="18">
        <f>'Monthly Data'!BR29</f>
        <v>0</v>
      </c>
      <c r="R29" s="18"/>
      <c r="S29" s="18">
        <f>'LC Predicted Monthly'!$T$9</f>
        <v>-22694.781953278001</v>
      </c>
      <c r="T29" s="18">
        <f>N29*'LC Predicted Monthly'!$T$10</f>
        <v>0</v>
      </c>
      <c r="U29" s="18">
        <f>O29*'LC Predicted Monthly'!$T$11</f>
        <v>0</v>
      </c>
      <c r="V29" s="18">
        <f ca="1">P29*'LC Predicted Monthly'!$T$12</f>
        <v>95938.80177952649</v>
      </c>
      <c r="W29" s="18">
        <f>Q29*'LC Predicted Monthly'!$T$13</f>
        <v>0</v>
      </c>
      <c r="X29" s="18">
        <f t="shared" ca="1" si="4"/>
        <v>73244.019826248492</v>
      </c>
      <c r="Y29" s="18">
        <f t="shared" ca="1" si="5"/>
        <v>5321121.8594835037</v>
      </c>
      <c r="AO29" s="33">
        <f t="shared" ca="1" si="11"/>
        <v>418.73236383846591</v>
      </c>
      <c r="AP29" s="33">
        <f t="shared" ca="1" si="11"/>
        <v>517.40650421381736</v>
      </c>
      <c r="AQ29" s="33">
        <f t="shared" ca="1" si="11"/>
        <v>6.5382313388091058</v>
      </c>
      <c r="AR29" s="33">
        <f t="shared" ca="1" si="11"/>
        <v>8.3912154376061316</v>
      </c>
      <c r="AT29" s="18">
        <f ca="1">AO29*'GS&gt;50 Predicted Monthly (no LC)'!$P$10</f>
        <v>969573.00331473805</v>
      </c>
      <c r="AU29" s="18">
        <f ca="1">AP29*'GS&gt;50 Predicted Monthly (no LC)'!$P$10</f>
        <v>1198052.5546831076</v>
      </c>
      <c r="AV29" s="18">
        <f ca="1">AQ29*'GS&gt;50 Predicted Monthly (no LC)'!$P$11</f>
        <v>35320.976492896902</v>
      </c>
      <c r="AW29" s="18">
        <f ca="1">AR29*'GS&gt;50 Predicted Monthly (no LC)'!$P$11</f>
        <v>45331.207762450395</v>
      </c>
      <c r="AY29" s="18">
        <f ca="1">AO29*'LC Predicted Monthly'!$T$12</f>
        <v>85728.467288132349</v>
      </c>
      <c r="AZ29" s="18">
        <f ca="1">AP29*'LC Predicted Monthly'!$T$12</f>
        <v>105930.35170377353</v>
      </c>
      <c r="BB29" s="31">
        <f t="shared" ca="1" si="6"/>
        <v>5188967.0821578791</v>
      </c>
      <c r="BC29" s="31">
        <f t="shared" ca="1" si="7"/>
        <v>5447658.7492114436</v>
      </c>
    </row>
    <row r="30" spans="1:55">
      <c r="A30" s="541">
        <f>'Monthly Data'!A30</f>
        <v>43221</v>
      </c>
      <c r="B30">
        <f t="shared" si="8"/>
        <v>2018</v>
      </c>
      <c r="C30">
        <f t="shared" si="9"/>
        <v>5</v>
      </c>
      <c r="D30" s="30">
        <f>'Monthly Data'!N30</f>
        <v>112740.77367768905</v>
      </c>
      <c r="E30" s="30">
        <f>'Monthly Data'!AB30</f>
        <v>111540.77367768905</v>
      </c>
      <c r="F30" s="33">
        <f t="shared" ref="F30:G45" ca="1" si="12">F18</f>
        <v>232.88687500000006</v>
      </c>
      <c r="G30" s="33">
        <f t="shared" ca="1" si="12"/>
        <v>111.43645833333332</v>
      </c>
      <c r="I30" s="18">
        <f>'GS&gt;50 Predicted Monthly (no LC)'!$P$9</f>
        <v>4121039.41701539</v>
      </c>
      <c r="J30" s="18">
        <f ca="1">F30*'GS&gt;50 Predicted Monthly (no LC)'!$P$10</f>
        <v>539248.5662117129</v>
      </c>
      <c r="K30" s="18">
        <f ca="1">G30*'GS&gt;50 Predicted Monthly (no LC)'!$P$11</f>
        <v>602004.47510630218</v>
      </c>
      <c r="L30" s="18">
        <f t="shared" ca="1" si="2"/>
        <v>5262292.4583334047</v>
      </c>
      <c r="M30" s="18">
        <f>'Monthly Data'!Y30</f>
        <v>1200</v>
      </c>
      <c r="N30" s="18">
        <f>'Monthly Data'!DN30</f>
        <v>0</v>
      </c>
      <c r="O30" s="18">
        <f>'Monthly Data'!DO30</f>
        <v>0</v>
      </c>
      <c r="P30" s="18">
        <f t="shared" ca="1" si="3"/>
        <v>232.88687500000006</v>
      </c>
      <c r="Q30" s="18">
        <f>'Monthly Data'!BR30</f>
        <v>0</v>
      </c>
      <c r="R30" s="18"/>
      <c r="S30" s="18">
        <f>'LC Predicted Monthly'!$T$9</f>
        <v>-22694.781953278001</v>
      </c>
      <c r="T30" s="18">
        <f>N30*'LC Predicted Monthly'!$T$10</f>
        <v>0</v>
      </c>
      <c r="U30" s="18">
        <f>O30*'LC Predicted Monthly'!$T$11</f>
        <v>0</v>
      </c>
      <c r="V30" s="18">
        <f ca="1">P30*'LC Predicted Monthly'!$T$12</f>
        <v>47679.703241125091</v>
      </c>
      <c r="W30" s="18">
        <f>Q30*'LC Predicted Monthly'!$T$13</f>
        <v>0</v>
      </c>
      <c r="X30" s="18">
        <f t="shared" ca="1" si="4"/>
        <v>24984.92128784709</v>
      </c>
      <c r="Y30" s="18">
        <f t="shared" ca="1" si="5"/>
        <v>5287277.3796212515</v>
      </c>
      <c r="AO30" s="33">
        <f t="shared" ref="AO30:AR45" ca="1" si="13">AO18</f>
        <v>208.10177399498693</v>
      </c>
      <c r="AP30" s="33">
        <f t="shared" ca="1" si="13"/>
        <v>257.1408868815717</v>
      </c>
      <c r="AQ30" s="33">
        <f t="shared" ca="1" si="13"/>
        <v>94.189799406741059</v>
      </c>
      <c r="AR30" s="33">
        <f t="shared" ca="1" si="13"/>
        <v>120.88389931317884</v>
      </c>
      <c r="AT30" s="18">
        <f ca="1">AO30*'GS&gt;50 Predicted Monthly (no LC)'!$P$10</f>
        <v>481858.77049924171</v>
      </c>
      <c r="AU30" s="18">
        <f ca="1">AP30*'GS&gt;50 Predicted Monthly (no LC)'!$P$10</f>
        <v>595408.62732301152</v>
      </c>
      <c r="AV30" s="18">
        <f ca="1">AQ30*'GS&gt;50 Predicted Monthly (no LC)'!$P$11</f>
        <v>508834.19663797691</v>
      </c>
      <c r="AW30" s="18">
        <f ca="1">AR30*'GS&gt;50 Predicted Monthly (no LC)'!$P$11</f>
        <v>653041.64761906536</v>
      </c>
      <c r="AY30" s="18">
        <f ca="1">AO30*'LC Predicted Monthly'!$T$12</f>
        <v>42605.367211152006</v>
      </c>
      <c r="AZ30" s="18">
        <f ca="1">AP30*'LC Predicted Monthly'!$T$12</f>
        <v>52645.307631325515</v>
      </c>
      <c r="BB30" s="31">
        <f t="shared" ca="1" si="6"/>
        <v>5131642.9694104819</v>
      </c>
      <c r="BC30" s="31">
        <f t="shared" ca="1" si="7"/>
        <v>5399440.2176355133</v>
      </c>
    </row>
    <row r="31" spans="1:55">
      <c r="A31" s="541">
        <f>'Monthly Data'!A31</f>
        <v>43252</v>
      </c>
      <c r="B31">
        <f t="shared" si="8"/>
        <v>2018</v>
      </c>
      <c r="C31">
        <f t="shared" si="9"/>
        <v>6</v>
      </c>
      <c r="D31" s="30">
        <f>'Monthly Data'!N31</f>
        <v>115894.4442148794</v>
      </c>
      <c r="E31" s="30">
        <f>'Monthly Data'!AB31</f>
        <v>113164.4442148794</v>
      </c>
      <c r="F31" s="33">
        <f t="shared" ca="1" si="12"/>
        <v>92.751249999999999</v>
      </c>
      <c r="G31" s="33">
        <f t="shared" ca="1" si="12"/>
        <v>227.31958333333333</v>
      </c>
      <c r="I31" s="18">
        <f>'GS&gt;50 Predicted Monthly (no LC)'!$P$9</f>
        <v>4121039.41701539</v>
      </c>
      <c r="J31" s="18">
        <f ca="1">F31*'GS&gt;50 Predicted Monthly (no LC)'!$P$10</f>
        <v>214765.12395489923</v>
      </c>
      <c r="K31" s="18">
        <f ca="1">G31*'GS&gt;50 Predicted Monthly (no LC)'!$P$11</f>
        <v>1228030.8302389067</v>
      </c>
      <c r="L31" s="18">
        <f t="shared" ca="1" si="2"/>
        <v>5563835.3712091958</v>
      </c>
      <c r="M31" s="18">
        <f>'Monthly Data'!Y31</f>
        <v>2730</v>
      </c>
      <c r="N31" s="18">
        <f>'Monthly Data'!DN31</f>
        <v>0</v>
      </c>
      <c r="O31" s="18">
        <f>'Monthly Data'!DO31</f>
        <v>0</v>
      </c>
      <c r="P31" s="18">
        <f t="shared" ca="1" si="3"/>
        <v>92.751249999999999</v>
      </c>
      <c r="Q31" s="18">
        <f>'Monthly Data'!BR31</f>
        <v>0</v>
      </c>
      <c r="R31" s="18"/>
      <c r="S31" s="18">
        <f>'LC Predicted Monthly'!$T$9</f>
        <v>-22694.781953278001</v>
      </c>
      <c r="T31" s="18">
        <f>N31*'LC Predicted Monthly'!$T$10</f>
        <v>0</v>
      </c>
      <c r="U31" s="18">
        <f>O31*'LC Predicted Monthly'!$T$11</f>
        <v>0</v>
      </c>
      <c r="V31" s="18">
        <f ca="1">P31*'LC Predicted Monthly'!$T$12</f>
        <v>18989.271401591017</v>
      </c>
      <c r="W31" s="18">
        <f>Q31*'LC Predicted Monthly'!$T$13</f>
        <v>0</v>
      </c>
      <c r="X31" s="18">
        <f t="shared" ca="1" si="4"/>
        <v>-3705.5105516869844</v>
      </c>
      <c r="Y31" s="18">
        <f t="shared" ca="1" si="5"/>
        <v>5560129.8606575085</v>
      </c>
      <c r="AA31" s="83"/>
      <c r="AO31" s="33">
        <f t="shared" ca="1" si="13"/>
        <v>82.880152285321046</v>
      </c>
      <c r="AP31" s="33">
        <f t="shared" ca="1" si="13"/>
        <v>102.41083223077457</v>
      </c>
      <c r="AQ31" s="33">
        <f t="shared" ca="1" si="13"/>
        <v>192.13806931430472</v>
      </c>
      <c r="AR31" s="33">
        <f t="shared" ca="1" si="13"/>
        <v>246.59144802846558</v>
      </c>
      <c r="AT31" s="18">
        <f ca="1">AO31*'GS&gt;50 Predicted Monthly (no LC)'!$P$10</f>
        <v>191908.63927934016</v>
      </c>
      <c r="AU31" s="18">
        <f ca="1">AP31*'GS&gt;50 Predicted Monthly (no LC)'!$P$10</f>
        <v>237131.8454292173</v>
      </c>
      <c r="AV31" s="18">
        <f ca="1">AQ31*'GS&gt;50 Predicted Monthly (no LC)'!$P$11</f>
        <v>1037972.4849070985</v>
      </c>
      <c r="AW31" s="18">
        <f ca="1">AR31*'GS&gt;50 Predicted Monthly (no LC)'!$P$11</f>
        <v>1332141.7196518595</v>
      </c>
      <c r="AY31" s="18">
        <f ca="1">AO31*'LC Predicted Monthly'!$T$12</f>
        <v>16968.328788573257</v>
      </c>
      <c r="AZ31" s="18">
        <f ca="1">AP31*'LC Predicted Monthly'!$T$12</f>
        <v>20966.909747232337</v>
      </c>
      <c r="BB31" s="31">
        <f t="shared" ca="1" si="6"/>
        <v>5345194.088037123</v>
      </c>
      <c r="BC31" s="31">
        <f t="shared" ca="1" si="7"/>
        <v>5688585.1098904209</v>
      </c>
    </row>
    <row r="32" spans="1:55">
      <c r="A32" s="541">
        <f>'Monthly Data'!A32</f>
        <v>43282</v>
      </c>
      <c r="B32">
        <f t="shared" si="8"/>
        <v>2018</v>
      </c>
      <c r="C32">
        <f t="shared" si="9"/>
        <v>7</v>
      </c>
      <c r="D32" s="30">
        <f>'Monthly Data'!N32</f>
        <v>119048.11475206976</v>
      </c>
      <c r="E32" s="30">
        <f>'Monthly Data'!AB32</f>
        <v>12410.114752069756</v>
      </c>
      <c r="F32" s="33">
        <f t="shared" ca="1" si="12"/>
        <v>25.464999999999996</v>
      </c>
      <c r="G32" s="33">
        <f t="shared" ca="1" si="12"/>
        <v>327.99625000000003</v>
      </c>
      <c r="I32" s="18">
        <f>'GS&gt;50 Predicted Monthly (no LC)'!$P$9</f>
        <v>4121039.41701539</v>
      </c>
      <c r="J32" s="18">
        <f ca="1">F32*'GS&gt;50 Predicted Monthly (no LC)'!$P$10</f>
        <v>58964.098936796094</v>
      </c>
      <c r="K32" s="18">
        <f ca="1">G32*'GS&gt;50 Predicted Monthly (no LC)'!$P$11</f>
        <v>1771908.5232182215</v>
      </c>
      <c r="L32" s="18">
        <f t="shared" ca="1" si="2"/>
        <v>5951912.0391704077</v>
      </c>
      <c r="M32" s="18">
        <f>'Monthly Data'!Y32</f>
        <v>106638</v>
      </c>
      <c r="N32" s="18">
        <f>'Monthly Data'!DN32</f>
        <v>0</v>
      </c>
      <c r="O32" s="18">
        <f>'Monthly Data'!DO32</f>
        <v>0</v>
      </c>
      <c r="P32" s="18">
        <f t="shared" ca="1" si="3"/>
        <v>25.464999999999996</v>
      </c>
      <c r="Q32" s="18">
        <f>'Monthly Data'!BR32</f>
        <v>0</v>
      </c>
      <c r="R32" s="18"/>
      <c r="S32" s="18">
        <f>'LC Predicted Monthly'!$T$9</f>
        <v>-22694.781953278001</v>
      </c>
      <c r="T32" s="18">
        <f>N32*'LC Predicted Monthly'!$T$10</f>
        <v>0</v>
      </c>
      <c r="U32" s="18">
        <f>O32*'LC Predicted Monthly'!$T$11</f>
        <v>0</v>
      </c>
      <c r="V32" s="18">
        <f ca="1">P32*'LC Predicted Monthly'!$T$12</f>
        <v>5213.5340088841413</v>
      </c>
      <c r="W32" s="18">
        <f>Q32*'LC Predicted Monthly'!$T$13</f>
        <v>0</v>
      </c>
      <c r="X32" s="18">
        <f t="shared" ca="1" si="4"/>
        <v>-17481.247944393861</v>
      </c>
      <c r="Y32" s="18">
        <f t="shared" ca="1" si="5"/>
        <v>5934430.7912260136</v>
      </c>
      <c r="AO32" s="33">
        <f t="shared" ca="1" si="13"/>
        <v>22.754874763905612</v>
      </c>
      <c r="AP32" s="33">
        <f t="shared" ca="1" si="13"/>
        <v>28.117053330889604</v>
      </c>
      <c r="AQ32" s="33">
        <f t="shared" ca="1" si="13"/>
        <v>277.23333508367784</v>
      </c>
      <c r="AR32" s="33">
        <f t="shared" ca="1" si="13"/>
        <v>355.80335424425579</v>
      </c>
      <c r="AT32" s="18">
        <f ca="1">AO32*'GS&gt;50 Predicted Monthly (no LC)'!$P$10</f>
        <v>52688.815506512285</v>
      </c>
      <c r="AU32" s="18">
        <f ca="1">AP32*'GS&gt;50 Predicted Monthly (no LC)'!$P$10</f>
        <v>65104.917118152247</v>
      </c>
      <c r="AV32" s="18">
        <f ca="1">AQ32*'GS&gt;50 Predicted Monthly (no LC)'!$P$11</f>
        <v>1497675.9928047406</v>
      </c>
      <c r="AW32" s="18">
        <f ca="1">AR32*'GS&gt;50 Predicted Monthly (no LC)'!$P$11</f>
        <v>1922128.6706022671</v>
      </c>
      <c r="AY32" s="18">
        <f ca="1">AO32*'LC Predicted Monthly'!$T$12</f>
        <v>4658.6810700774167</v>
      </c>
      <c r="AZ32" s="18">
        <f ca="1">AP32*'LC Predicted Monthly'!$T$12</f>
        <v>5756.4976937051679</v>
      </c>
      <c r="BB32" s="31">
        <f t="shared" ca="1" si="6"/>
        <v>5653368.1244434416</v>
      </c>
      <c r="BC32" s="31">
        <f t="shared" ca="1" si="7"/>
        <v>6091334.7204762362</v>
      </c>
    </row>
    <row r="33" spans="1:55">
      <c r="A33" s="541">
        <f>'Monthly Data'!A33</f>
        <v>43313</v>
      </c>
      <c r="B33">
        <f t="shared" si="8"/>
        <v>2018</v>
      </c>
      <c r="C33">
        <f t="shared" si="9"/>
        <v>8</v>
      </c>
      <c r="D33" s="30">
        <f>'Monthly Data'!N33</f>
        <v>122201.78528926011</v>
      </c>
      <c r="E33" s="30">
        <f>'Monthly Data'!AB33</f>
        <v>97775.785289260108</v>
      </c>
      <c r="F33" s="33">
        <f t="shared" ca="1" si="12"/>
        <v>54.974791666666668</v>
      </c>
      <c r="G33" s="33">
        <f t="shared" ca="1" si="12"/>
        <v>280.40312500000005</v>
      </c>
      <c r="I33" s="18">
        <f>'GS&gt;50 Predicted Monthly (no LC)'!$P$9</f>
        <v>4121039.41701539</v>
      </c>
      <c r="J33" s="18">
        <f ca="1">F33*'GS&gt;50 Predicted Monthly (no LC)'!$P$10</f>
        <v>127293.89573387343</v>
      </c>
      <c r="K33" s="18">
        <f ca="1">G33*'GS&gt;50 Predicted Monthly (no LC)'!$P$11</f>
        <v>1514799.9012931532</v>
      </c>
      <c r="L33" s="18">
        <f t="shared" ca="1" si="2"/>
        <v>5763133.2140424168</v>
      </c>
      <c r="M33" s="18">
        <f>'Monthly Data'!Y33</f>
        <v>24426</v>
      </c>
      <c r="N33" s="18">
        <f>'Monthly Data'!DN33</f>
        <v>0</v>
      </c>
      <c r="O33" s="18">
        <f>'Monthly Data'!DO33</f>
        <v>0</v>
      </c>
      <c r="P33" s="18">
        <f t="shared" ca="1" si="3"/>
        <v>54.974791666666668</v>
      </c>
      <c r="Q33" s="18">
        <f>'Monthly Data'!BR33</f>
        <v>0</v>
      </c>
      <c r="R33" s="18"/>
      <c r="S33" s="18">
        <f>'LC Predicted Monthly'!$T$9</f>
        <v>-22694.781953278001</v>
      </c>
      <c r="T33" s="18">
        <f>N33*'LC Predicted Monthly'!$T$10</f>
        <v>0</v>
      </c>
      <c r="U33" s="18">
        <f>O33*'LC Predicted Monthly'!$T$11</f>
        <v>0</v>
      </c>
      <c r="V33" s="18">
        <f ca="1">P33*'LC Predicted Monthly'!$T$12</f>
        <v>11255.171646789209</v>
      </c>
      <c r="W33" s="18">
        <f>Q33*'LC Predicted Monthly'!$T$13</f>
        <v>0</v>
      </c>
      <c r="X33" s="18">
        <f t="shared" ca="1" si="4"/>
        <v>-11439.610306488792</v>
      </c>
      <c r="Y33" s="18">
        <f t="shared" ca="1" si="5"/>
        <v>5751693.6037359284</v>
      </c>
      <c r="AO33" s="33">
        <f t="shared" ca="1" si="13"/>
        <v>49.124072238240799</v>
      </c>
      <c r="AP33" s="33">
        <f t="shared" ca="1" si="13"/>
        <v>60.700143300459935</v>
      </c>
      <c r="AQ33" s="33">
        <f t="shared" ca="1" si="13"/>
        <v>237.00604354969119</v>
      </c>
      <c r="AR33" s="33">
        <f t="shared" ca="1" si="13"/>
        <v>304.17534473510392</v>
      </c>
      <c r="AT33" s="18">
        <f ca="1">AO33*'GS&gt;50 Predicted Monthly (no LC)'!$P$10</f>
        <v>113746.57984032786</v>
      </c>
      <c r="AU33" s="18">
        <f ca="1">AP33*'GS&gt;50 Predicted Monthly (no LC)'!$P$10</f>
        <v>140550.92303341921</v>
      </c>
      <c r="AV33" s="18">
        <f ca="1">AQ33*'GS&gt;50 Predicted Monthly (no LC)'!$P$11</f>
        <v>1280359.2377044759</v>
      </c>
      <c r="AW33" s="18">
        <f ca="1">AR33*'GS&gt;50 Predicted Monthly (no LC)'!$P$11</f>
        <v>1643222.7072381813</v>
      </c>
      <c r="AY33" s="18">
        <f ca="1">AO33*'LC Predicted Monthly'!$T$12</f>
        <v>10057.334430353416</v>
      </c>
      <c r="AZ33" s="18">
        <f ca="1">AP33*'LC Predicted Monthly'!$T$12</f>
        <v>12427.341898334529</v>
      </c>
      <c r="BB33" s="31">
        <f t="shared" ca="1" si="6"/>
        <v>5502507.7870372701</v>
      </c>
      <c r="BC33" s="31">
        <f t="shared" ca="1" si="7"/>
        <v>5894545.6072320472</v>
      </c>
    </row>
    <row r="34" spans="1:55">
      <c r="A34" s="541">
        <f>'Monthly Data'!A34</f>
        <v>43344</v>
      </c>
      <c r="B34">
        <f t="shared" si="8"/>
        <v>2018</v>
      </c>
      <c r="C34">
        <f t="shared" si="9"/>
        <v>9</v>
      </c>
      <c r="D34" s="30">
        <f>'Monthly Data'!N34</f>
        <v>125355.45582645046</v>
      </c>
      <c r="E34" s="30">
        <f>'Monthly Data'!AB34</f>
        <v>122343.45582645046</v>
      </c>
      <c r="F34" s="33">
        <f t="shared" ca="1" si="12"/>
        <v>166.50624999999999</v>
      </c>
      <c r="G34" s="33">
        <f t="shared" ca="1" si="12"/>
        <v>144.00333333333333</v>
      </c>
      <c r="I34" s="18">
        <f>'GS&gt;50 Predicted Monthly (no LC)'!$P$9</f>
        <v>4121039.41701539</v>
      </c>
      <c r="J34" s="18">
        <f ca="1">F34*'GS&gt;50 Predicted Monthly (no LC)'!$P$10</f>
        <v>385544.51202022011</v>
      </c>
      <c r="K34" s="18">
        <f ca="1">G34*'GS&gt;50 Predicted Monthly (no LC)'!$P$11</f>
        <v>777937.96028206998</v>
      </c>
      <c r="L34" s="18">
        <f t="shared" ca="1" si="2"/>
        <v>5284521.8893176802</v>
      </c>
      <c r="M34" s="18">
        <f>'Monthly Data'!Y34</f>
        <v>3012</v>
      </c>
      <c r="N34" s="18">
        <f>'Monthly Data'!DN34</f>
        <v>0</v>
      </c>
      <c r="O34" s="18">
        <f>'Monthly Data'!DO34</f>
        <v>0</v>
      </c>
      <c r="P34" s="18">
        <f t="shared" ca="1" si="3"/>
        <v>166.50624999999999</v>
      </c>
      <c r="Q34" s="18">
        <f>'Monthly Data'!BR34</f>
        <v>1</v>
      </c>
      <c r="R34" s="18"/>
      <c r="S34" s="18">
        <f>'LC Predicted Monthly'!$T$9</f>
        <v>-22694.781953278001</v>
      </c>
      <c r="T34" s="18">
        <f>N34*'LC Predicted Monthly'!$T$10</f>
        <v>0</v>
      </c>
      <c r="U34" s="18">
        <f>O34*'LC Predicted Monthly'!$T$11</f>
        <v>0</v>
      </c>
      <c r="V34" s="18">
        <f ca="1">P34*'LC Predicted Monthly'!$T$12</f>
        <v>34089.377461879645</v>
      </c>
      <c r="W34" s="18">
        <f>Q34*'LC Predicted Monthly'!$T$13</f>
        <v>97970.228068396304</v>
      </c>
      <c r="X34" s="18">
        <f t="shared" ca="1" si="4"/>
        <v>109364.82357699795</v>
      </c>
      <c r="Y34" s="18">
        <f t="shared" ca="1" si="5"/>
        <v>5393886.7128946781</v>
      </c>
      <c r="AO34" s="33">
        <f t="shared" ca="1" si="13"/>
        <v>148.78573988445157</v>
      </c>
      <c r="AP34" s="33">
        <f t="shared" ca="1" si="13"/>
        <v>183.84704932952829</v>
      </c>
      <c r="AQ34" s="33">
        <f t="shared" ca="1" si="13"/>
        <v>121.71640487708792</v>
      </c>
      <c r="AR34" s="33">
        <f t="shared" ca="1" si="13"/>
        <v>156.21175248910205</v>
      </c>
      <c r="AT34" s="18">
        <f ca="1">AO34*'GS&gt;50 Predicted Monthly (no LC)'!$P$10</f>
        <v>344512.74639431422</v>
      </c>
      <c r="AU34" s="18">
        <f ca="1">AP34*'GS&gt;50 Predicted Monthly (no LC)'!$P$10</f>
        <v>425697.05893989158</v>
      </c>
      <c r="AV34" s="18">
        <f ca="1">AQ34*'GS&gt;50 Predicted Monthly (no LC)'!$P$11</f>
        <v>657539.02740409982</v>
      </c>
      <c r="AW34" s="18">
        <f ca="1">AR34*'GS&gt;50 Predicted Monthly (no LC)'!$P$11</f>
        <v>843890.54954834119</v>
      </c>
      <c r="AY34" s="18">
        <f ca="1">AO34*'LC Predicted Monthly'!$T$12</f>
        <v>30461.398583333124</v>
      </c>
      <c r="AZ34" s="18">
        <f ca="1">AP34*'LC Predicted Monthly'!$T$12</f>
        <v>37639.616890339537</v>
      </c>
      <c r="BB34" s="31">
        <f t="shared" ca="1" si="6"/>
        <v>5228828.0355122555</v>
      </c>
      <c r="BC34" s="31">
        <f t="shared" ca="1" si="7"/>
        <v>5503542.0885090809</v>
      </c>
    </row>
    <row r="35" spans="1:55">
      <c r="A35" s="541">
        <f>'Monthly Data'!A35</f>
        <v>43374</v>
      </c>
      <c r="B35">
        <f t="shared" si="8"/>
        <v>2018</v>
      </c>
      <c r="C35">
        <f t="shared" si="9"/>
        <v>10</v>
      </c>
      <c r="D35" s="30">
        <f>'Monthly Data'!N35</f>
        <v>128509.12636364081</v>
      </c>
      <c r="E35" s="30">
        <f>'Monthly Data'!AB35</f>
        <v>125362.72636364082</v>
      </c>
      <c r="F35" s="33">
        <f t="shared" ca="1" si="12"/>
        <v>363.47645833333326</v>
      </c>
      <c r="G35" s="33">
        <f t="shared" ca="1" si="12"/>
        <v>40.02791666666667</v>
      </c>
      <c r="I35" s="18">
        <f>'GS&gt;50 Predicted Monthly (no LC)'!$P$9</f>
        <v>4121039.41701539</v>
      </c>
      <c r="J35" s="18">
        <f ca="1">F35*'GS&gt;50 Predicted Monthly (no LC)'!$P$10</f>
        <v>841628.18968635018</v>
      </c>
      <c r="K35" s="18">
        <f ca="1">G35*'GS&gt;50 Predicted Monthly (no LC)'!$P$11</f>
        <v>216239.6878267217</v>
      </c>
      <c r="L35" s="18">
        <f t="shared" ca="1" si="2"/>
        <v>5178907.294528462</v>
      </c>
      <c r="M35" s="18">
        <f>'Monthly Data'!Y35</f>
        <v>3146.4</v>
      </c>
      <c r="N35" s="18">
        <f>'Monthly Data'!DN35</f>
        <v>0</v>
      </c>
      <c r="O35" s="18">
        <f>'Monthly Data'!DO35</f>
        <v>0</v>
      </c>
      <c r="P35" s="18">
        <f t="shared" ca="1" si="3"/>
        <v>363.47645833333326</v>
      </c>
      <c r="Q35" s="18">
        <f>'Monthly Data'!BR35</f>
        <v>1</v>
      </c>
      <c r="R35" s="18"/>
      <c r="S35" s="18">
        <f>'LC Predicted Monthly'!$T$9</f>
        <v>-22694.781953278001</v>
      </c>
      <c r="T35" s="18">
        <f>N35*'LC Predicted Monthly'!$T$10</f>
        <v>0</v>
      </c>
      <c r="U35" s="18">
        <f>O35*'LC Predicted Monthly'!$T$11</f>
        <v>0</v>
      </c>
      <c r="V35" s="18">
        <f ca="1">P35*'LC Predicted Monthly'!$T$12</f>
        <v>74415.742271729541</v>
      </c>
      <c r="W35" s="18">
        <f>Q35*'LC Predicted Monthly'!$T$13</f>
        <v>97970.228068396304</v>
      </c>
      <c r="X35" s="18">
        <f t="shared" ca="1" si="4"/>
        <v>149691.18838684785</v>
      </c>
      <c r="Y35" s="18">
        <f t="shared" ca="1" si="5"/>
        <v>5328598.4829153102</v>
      </c>
      <c r="AO35" s="33">
        <f t="shared" ca="1" si="13"/>
        <v>324.79329624987065</v>
      </c>
      <c r="AP35" s="33">
        <f t="shared" ca="1" si="13"/>
        <v>401.33072701673694</v>
      </c>
      <c r="AQ35" s="33">
        <f t="shared" ca="1" si="13"/>
        <v>33.832925937267667</v>
      </c>
      <c r="AR35" s="33">
        <f t="shared" ca="1" si="13"/>
        <v>43.421432450552551</v>
      </c>
      <c r="AT35" s="18">
        <f ca="1">AO35*'GS&gt;50 Predicted Monthly (no LC)'!$P$10</f>
        <v>752057.49279738846</v>
      </c>
      <c r="AU35" s="18">
        <f ca="1">AP35*'GS&gt;50 Predicted Monthly (no LC)'!$P$10</f>
        <v>929279.58744124032</v>
      </c>
      <c r="AV35" s="18">
        <f ca="1">AQ35*'GS&gt;50 Predicted Monthly (no LC)'!$P$11</f>
        <v>182772.97326922306</v>
      </c>
      <c r="AW35" s="18">
        <f ca="1">AR35*'GS&gt;50 Predicted Monthly (no LC)'!$P$11</f>
        <v>234572.21309535802</v>
      </c>
      <c r="AY35" s="18">
        <f ca="1">AO35*'LC Predicted Monthly'!$T$12</f>
        <v>66496.010047370233</v>
      </c>
      <c r="AZ35" s="18">
        <f ca="1">AP35*'LC Predicted Monthly'!$T$12</f>
        <v>82165.772397877707</v>
      </c>
      <c r="BB35" s="31">
        <f t="shared" ca="1" si="6"/>
        <v>5197641.3392444905</v>
      </c>
      <c r="BC35" s="31">
        <f t="shared" ca="1" si="7"/>
        <v>5442332.4360649846</v>
      </c>
    </row>
    <row r="36" spans="1:55">
      <c r="A36" s="541">
        <f>'Monthly Data'!A36</f>
        <v>43405</v>
      </c>
      <c r="B36">
        <f t="shared" si="8"/>
        <v>2018</v>
      </c>
      <c r="C36">
        <f t="shared" si="9"/>
        <v>11</v>
      </c>
      <c r="D36" s="30">
        <f>'Monthly Data'!N36</f>
        <v>131662.79690083116</v>
      </c>
      <c r="E36" s="30">
        <f>'Monthly Data'!AB36</f>
        <v>-37267.203099168837</v>
      </c>
      <c r="F36" s="33">
        <f t="shared" ca="1" si="12"/>
        <v>586.00395833333334</v>
      </c>
      <c r="G36" s="33">
        <f t="shared" ca="1" si="12"/>
        <v>4.5920833333333331</v>
      </c>
      <c r="I36" s="18">
        <f>'GS&gt;50 Predicted Monthly (no LC)'!$P$9</f>
        <v>4121039.41701539</v>
      </c>
      <c r="J36" s="18">
        <f ca="1">F36*'GS&gt;50 Predicted Monthly (no LC)'!$P$10</f>
        <v>1356889.6672499825</v>
      </c>
      <c r="K36" s="18">
        <f ca="1">G36*'GS&gt;50 Predicted Monthly (no LC)'!$P$11</f>
        <v>24807.453126862496</v>
      </c>
      <c r="L36" s="18">
        <f t="shared" ca="1" si="2"/>
        <v>5502736.5373922354</v>
      </c>
      <c r="M36" s="18">
        <f>'Monthly Data'!Y36</f>
        <v>168930</v>
      </c>
      <c r="N36" s="18">
        <f>'Monthly Data'!DN36</f>
        <v>0</v>
      </c>
      <c r="O36" s="18">
        <f>'Monthly Data'!DO36</f>
        <v>0</v>
      </c>
      <c r="P36" s="18">
        <f t="shared" ca="1" si="3"/>
        <v>586.00395833333334</v>
      </c>
      <c r="Q36" s="18">
        <f>'Monthly Data'!BR36</f>
        <v>1</v>
      </c>
      <c r="R36" s="18"/>
      <c r="S36" s="18">
        <f>'LC Predicted Monthly'!$T$9</f>
        <v>-22694.781953278001</v>
      </c>
      <c r="T36" s="18">
        <f>N36*'LC Predicted Monthly'!$T$10</f>
        <v>0</v>
      </c>
      <c r="U36" s="18">
        <f>O36*'LC Predicted Monthly'!$T$11</f>
        <v>0</v>
      </c>
      <c r="V36" s="18">
        <f ca="1">P36*'LC Predicted Monthly'!$T$12</f>
        <v>119974.53626984327</v>
      </c>
      <c r="W36" s="18">
        <f>Q36*'LC Predicted Monthly'!$T$13</f>
        <v>97970.228068396304</v>
      </c>
      <c r="X36" s="18">
        <f t="shared" ca="1" si="4"/>
        <v>195249.98238496156</v>
      </c>
      <c r="Y36" s="18">
        <f t="shared" ca="1" si="5"/>
        <v>5697986.5197771974</v>
      </c>
      <c r="AO36" s="33">
        <f t="shared" ca="1" si="13"/>
        <v>523.63819685953126</v>
      </c>
      <c r="AP36" s="33">
        <f t="shared" ca="1" si="13"/>
        <v>647.03336142041019</v>
      </c>
      <c r="AQ36" s="33">
        <f t="shared" ca="1" si="13"/>
        <v>3.8813815020207452</v>
      </c>
      <c r="AR36" s="33">
        <f t="shared" ca="1" si="13"/>
        <v>4.9813943085298762</v>
      </c>
      <c r="AT36" s="18">
        <f ca="1">AO36*'GS&gt;50 Predicted Monthly (no LC)'!$P$10</f>
        <v>1212482.0124371063</v>
      </c>
      <c r="AU36" s="18">
        <f ca="1">AP36*'GS&gt;50 Predicted Monthly (no LC)'!$P$10</f>
        <v>1498202.9899156024</v>
      </c>
      <c r="AV36" s="18">
        <f ca="1">AQ36*'GS&gt;50 Predicted Monthly (no LC)'!$P$11</f>
        <v>20968.084132949996</v>
      </c>
      <c r="AW36" s="18">
        <f ca="1">AR36*'GS&gt;50 Predicted Monthly (no LC)'!$P$11</f>
        <v>26910.597401021583</v>
      </c>
      <c r="AY36" s="18">
        <f ca="1">AO36*'LC Predicted Monthly'!$T$12</f>
        <v>107206.18683204145</v>
      </c>
      <c r="AZ36" s="18">
        <f ca="1">AP36*'LC Predicted Monthly'!$T$12</f>
        <v>132469.28861762941</v>
      </c>
      <c r="BB36" s="31">
        <f t="shared" ca="1" si="6"/>
        <v>5536971.1465326073</v>
      </c>
      <c r="BC36" s="31">
        <f t="shared" ca="1" si="7"/>
        <v>5853897.7390647624</v>
      </c>
    </row>
    <row r="37" spans="1:55">
      <c r="A37" s="541">
        <f>'Monthly Data'!A37</f>
        <v>43435</v>
      </c>
      <c r="B37">
        <f t="shared" si="8"/>
        <v>2018</v>
      </c>
      <c r="C37">
        <f t="shared" si="9"/>
        <v>12</v>
      </c>
      <c r="D37" s="30">
        <f>'Monthly Data'!N37</f>
        <v>71637155.467438027</v>
      </c>
      <c r="E37" s="30">
        <f>'Monthly Data'!AB37</f>
        <v>71595238.267438024</v>
      </c>
      <c r="F37" s="33">
        <f t="shared" ca="1" si="12"/>
        <v>812.36333333333334</v>
      </c>
      <c r="G37" s="33">
        <f t="shared" ca="1" si="12"/>
        <v>0</v>
      </c>
      <c r="I37" s="18">
        <f>'GS&gt;50 Predicted Monthly (no LC)'!$P$9</f>
        <v>4121039.41701539</v>
      </c>
      <c r="J37" s="18">
        <f ca="1">F37*'GS&gt;50 Predicted Monthly (no LC)'!$P$10</f>
        <v>1881023.8350399425</v>
      </c>
      <c r="K37" s="18">
        <f ca="1">G37*'GS&gt;50 Predicted Monthly (no LC)'!$P$11</f>
        <v>0</v>
      </c>
      <c r="L37" s="18">
        <f t="shared" ca="1" si="2"/>
        <v>6002063.2520553321</v>
      </c>
      <c r="M37" s="18">
        <f>'Monthly Data'!Y37</f>
        <v>41917.199999999997</v>
      </c>
      <c r="N37" s="18">
        <f>'Monthly Data'!DN37</f>
        <v>0</v>
      </c>
      <c r="O37" s="18">
        <f>'Monthly Data'!DO37</f>
        <v>0</v>
      </c>
      <c r="P37" s="18">
        <f t="shared" ca="1" si="3"/>
        <v>812.36333333333334</v>
      </c>
      <c r="Q37" s="18">
        <f>'Monthly Data'!BR37</f>
        <v>0</v>
      </c>
      <c r="R37" s="18"/>
      <c r="S37" s="18">
        <f>'LC Predicted Monthly'!$T$9</f>
        <v>-22694.781953278001</v>
      </c>
      <c r="T37" s="18">
        <f>N37*'LC Predicted Monthly'!$T$10</f>
        <v>0</v>
      </c>
      <c r="U37" s="18">
        <f>O37*'LC Predicted Monthly'!$T$11</f>
        <v>0</v>
      </c>
      <c r="V37" s="18">
        <f ca="1">P37*'LC Predicted Monthly'!$T$12</f>
        <v>166317.84276080181</v>
      </c>
      <c r="W37" s="18">
        <f>Q37*'LC Predicted Monthly'!$T$13</f>
        <v>0</v>
      </c>
      <c r="X37" s="18">
        <f t="shared" ca="1" si="4"/>
        <v>143623.06080752381</v>
      </c>
      <c r="Y37" s="18">
        <f t="shared" ca="1" si="5"/>
        <v>6145686.3128628563</v>
      </c>
      <c r="AO37" s="33">
        <f t="shared" ca="1" si="13"/>
        <v>725.90716327464804</v>
      </c>
      <c r="AP37" s="33">
        <f t="shared" ca="1" si="13"/>
        <v>896.96694158227319</v>
      </c>
      <c r="AQ37" s="33">
        <f t="shared" ca="1" si="13"/>
        <v>0</v>
      </c>
      <c r="AR37" s="33">
        <f t="shared" ca="1" si="13"/>
        <v>0</v>
      </c>
      <c r="AT37" s="18">
        <f ca="1">AO37*'GS&gt;50 Predicted Monthly (no LC)'!$P$10</f>
        <v>1680834.941851771</v>
      </c>
      <c r="AU37" s="18">
        <f ca="1">AP37*'GS&gt;50 Predicted Monthly (no LC)'!$P$10</f>
        <v>2076923.1292555493</v>
      </c>
      <c r="AV37" s="18">
        <f ca="1">AQ37*'GS&gt;50 Predicted Monthly (no LC)'!$P$11</f>
        <v>0</v>
      </c>
      <c r="AW37" s="18">
        <f ca="1">AR37*'GS&gt;50 Predicted Monthly (no LC)'!$P$11</f>
        <v>0</v>
      </c>
      <c r="AY37" s="18">
        <f ca="1">AO37*'LC Predicted Monthly'!$T$12</f>
        <v>148617.38397899043</v>
      </c>
      <c r="AZ37" s="18">
        <f ca="1">AP37*'LC Predicted Monthly'!$T$12</f>
        <v>183639.02041170144</v>
      </c>
      <c r="BB37" s="31">
        <f t="shared" ca="1" si="6"/>
        <v>5927796.9608928729</v>
      </c>
      <c r="BC37" s="31">
        <f t="shared" ca="1" si="7"/>
        <v>6358906.7847293625</v>
      </c>
    </row>
    <row r="38" spans="1:55">
      <c r="A38" s="541">
        <f>'Monthly Data'!A38</f>
        <v>43466</v>
      </c>
      <c r="B38">
        <f t="shared" si="8"/>
        <v>2019</v>
      </c>
      <c r="C38">
        <f t="shared" si="9"/>
        <v>1</v>
      </c>
      <c r="D38" s="30">
        <f>'Monthly Data'!N38</f>
        <v>128861.79026130038</v>
      </c>
      <c r="E38" s="30">
        <f>'Monthly Data'!AB38</f>
        <v>-89125.009738699606</v>
      </c>
      <c r="F38" s="33">
        <f t="shared" ca="1" si="12"/>
        <v>914.55166666666662</v>
      </c>
      <c r="G38" s="33">
        <f t="shared" ca="1" si="12"/>
        <v>0</v>
      </c>
      <c r="I38" s="18">
        <f>'GS&gt;50 Predicted Monthly (no LC)'!$P$9</f>
        <v>4121039.41701539</v>
      </c>
      <c r="J38" s="18">
        <f ca="1">F38*'GS&gt;50 Predicted Monthly (no LC)'!$P$10</f>
        <v>2117640.4852206991</v>
      </c>
      <c r="K38" s="18">
        <f ca="1">G38*'GS&gt;50 Predicted Monthly (no LC)'!$P$11</f>
        <v>0</v>
      </c>
      <c r="L38" s="18">
        <f t="shared" ca="1" si="2"/>
        <v>6238679.9022360891</v>
      </c>
      <c r="M38" s="18">
        <f>'Monthly Data'!Y38</f>
        <v>217986.8</v>
      </c>
      <c r="N38" s="18">
        <f>'Monthly Data'!DN38</f>
        <v>0</v>
      </c>
      <c r="O38" s="18">
        <f>'Monthly Data'!DO38</f>
        <v>0</v>
      </c>
      <c r="P38" s="18">
        <f t="shared" ca="1" si="3"/>
        <v>914.55166666666662</v>
      </c>
      <c r="Q38" s="18">
        <f>'Monthly Data'!BR38</f>
        <v>0</v>
      </c>
      <c r="R38" s="18"/>
      <c r="S38" s="18">
        <f>'LC Predicted Monthly'!$T$9</f>
        <v>-22694.781953278001</v>
      </c>
      <c r="T38" s="18">
        <f>N38*'LC Predicted Monthly'!$T$10</f>
        <v>0</v>
      </c>
      <c r="U38" s="18">
        <f>O38*'LC Predicted Monthly'!$T$11</f>
        <v>0</v>
      </c>
      <c r="V38" s="18">
        <f ca="1">P38*'LC Predicted Monthly'!$T$12</f>
        <v>187239.19956993285</v>
      </c>
      <c r="W38" s="18">
        <f>Q38*'LC Predicted Monthly'!$T$13</f>
        <v>0</v>
      </c>
      <c r="X38" s="18">
        <f t="shared" ca="1" si="4"/>
        <v>164544.41761665486</v>
      </c>
      <c r="Y38" s="18">
        <f t="shared" ca="1" si="5"/>
        <v>6403224.3198527442</v>
      </c>
      <c r="AO38" s="33">
        <f t="shared" ca="1" si="13"/>
        <v>817.22005262600237</v>
      </c>
      <c r="AP38" s="33">
        <f t="shared" ca="1" si="13"/>
        <v>1009.7976825258449</v>
      </c>
      <c r="AQ38" s="33">
        <f t="shared" ca="1" si="13"/>
        <v>0</v>
      </c>
      <c r="AR38" s="33">
        <f t="shared" ca="1" si="13"/>
        <v>0</v>
      </c>
      <c r="AT38" s="18">
        <f ca="1">AO38*'GS&gt;50 Predicted Monthly (no LC)'!$P$10</f>
        <v>1892269.5478567963</v>
      </c>
      <c r="AU38" s="18">
        <f ca="1">AP38*'GS&gt;50 Predicted Monthly (no LC)'!$P$10</f>
        <v>2338182.2288867598</v>
      </c>
      <c r="AV38" s="18">
        <f ca="1">AQ38*'GS&gt;50 Predicted Monthly (no LC)'!$P$11</f>
        <v>0</v>
      </c>
      <c r="AW38" s="18">
        <f ca="1">AR38*'GS&gt;50 Predicted Monthly (no LC)'!$P$11</f>
        <v>0</v>
      </c>
      <c r="AY38" s="18">
        <f ca="1">AO38*'LC Predicted Monthly'!$T$12</f>
        <v>167312.17502877486</v>
      </c>
      <c r="AZ38" s="18">
        <f ca="1">AP38*'LC Predicted Monthly'!$T$12</f>
        <v>206739.23266997386</v>
      </c>
      <c r="BB38" s="31">
        <f t="shared" ca="1" si="6"/>
        <v>6157926.3579476839</v>
      </c>
      <c r="BC38" s="31">
        <f t="shared" ca="1" si="7"/>
        <v>6643266.0966188461</v>
      </c>
    </row>
    <row r="39" spans="1:55">
      <c r="A39" s="541">
        <f>'Monthly Data'!A39</f>
        <v>43497</v>
      </c>
      <c r="B39">
        <f t="shared" si="8"/>
        <v>2019</v>
      </c>
      <c r="C39">
        <f t="shared" si="9"/>
        <v>2</v>
      </c>
      <c r="D39" s="30">
        <f>'Monthly Data'!N39</f>
        <v>130380.52503167716</v>
      </c>
      <c r="E39" s="30">
        <f>'Monthly Data'!AB39</f>
        <v>56815.725031677153</v>
      </c>
      <c r="F39" s="33">
        <f t="shared" ca="1" si="12"/>
        <v>803.82854166666664</v>
      </c>
      <c r="G39" s="33">
        <f t="shared" ca="1" si="12"/>
        <v>0</v>
      </c>
      <c r="I39" s="18">
        <f>'GS&gt;50 Predicted Monthly (no LC)'!$P$9</f>
        <v>4121039.41701539</v>
      </c>
      <c r="J39" s="18">
        <f ca="1">F39*'GS&gt;50 Predicted Monthly (no LC)'!$P$10</f>
        <v>1861261.5613215731</v>
      </c>
      <c r="K39" s="18">
        <f ca="1">G39*'GS&gt;50 Predicted Monthly (no LC)'!$P$11</f>
        <v>0</v>
      </c>
      <c r="L39" s="18">
        <f t="shared" ca="1" si="2"/>
        <v>5982300.9783369629</v>
      </c>
      <c r="M39" s="18">
        <f>'Monthly Data'!Y39</f>
        <v>73564.800000000003</v>
      </c>
      <c r="N39" s="18">
        <f>'Monthly Data'!DN39</f>
        <v>0</v>
      </c>
      <c r="O39" s="18">
        <f>'Monthly Data'!DO39</f>
        <v>0</v>
      </c>
      <c r="P39" s="18">
        <f t="shared" ca="1" si="3"/>
        <v>803.82854166666664</v>
      </c>
      <c r="Q39" s="18">
        <f>'Monthly Data'!BR39</f>
        <v>0</v>
      </c>
      <c r="R39" s="18"/>
      <c r="S39" s="18">
        <f>'LC Predicted Monthly'!$T$9</f>
        <v>-22694.781953278001</v>
      </c>
      <c r="T39" s="18">
        <f>N39*'LC Predicted Monthly'!$T$10</f>
        <v>0</v>
      </c>
      <c r="U39" s="18">
        <f>O39*'LC Predicted Monthly'!$T$11</f>
        <v>0</v>
      </c>
      <c r="V39" s="18">
        <f ca="1">P39*'LC Predicted Monthly'!$T$12</f>
        <v>164570.48652232124</v>
      </c>
      <c r="W39" s="18">
        <f>Q39*'LC Predicted Monthly'!$T$13</f>
        <v>0</v>
      </c>
      <c r="X39" s="18">
        <f t="shared" ca="1" si="4"/>
        <v>141875.70456904324</v>
      </c>
      <c r="Y39" s="18">
        <f t="shared" ca="1" si="5"/>
        <v>6124176.6829060065</v>
      </c>
      <c r="AO39" s="33">
        <f t="shared" ca="1" si="13"/>
        <v>718.28069103781206</v>
      </c>
      <c r="AP39" s="33">
        <f t="shared" ca="1" si="13"/>
        <v>887.54329373386554</v>
      </c>
      <c r="AQ39" s="33">
        <f t="shared" ca="1" si="13"/>
        <v>0</v>
      </c>
      <c r="AR39" s="33">
        <f t="shared" ca="1" si="13"/>
        <v>0</v>
      </c>
      <c r="AT39" s="18">
        <f ca="1">AO39*'GS&gt;50 Predicted Monthly (no LC)'!$P$10</f>
        <v>1663175.8779007981</v>
      </c>
      <c r="AU39" s="18">
        <f ca="1">AP39*'GS&gt;50 Predicted Monthly (no LC)'!$P$10</f>
        <v>2055102.7128377589</v>
      </c>
      <c r="AV39" s="18">
        <f ca="1">AQ39*'GS&gt;50 Predicted Monthly (no LC)'!$P$11</f>
        <v>0</v>
      </c>
      <c r="AW39" s="18">
        <f ca="1">AR39*'GS&gt;50 Predicted Monthly (no LC)'!$P$11</f>
        <v>0</v>
      </c>
      <c r="AY39" s="18">
        <f ca="1">AO39*'LC Predicted Monthly'!$T$12</f>
        <v>147055.99099353765</v>
      </c>
      <c r="AZ39" s="18">
        <f ca="1">AP39*'LC Predicted Monthly'!$T$12</f>
        <v>181709.68569560398</v>
      </c>
      <c r="BB39" s="31">
        <f t="shared" ca="1" si="6"/>
        <v>5908576.5039564483</v>
      </c>
      <c r="BC39" s="31">
        <f t="shared" ca="1" si="7"/>
        <v>6335157.0335954754</v>
      </c>
    </row>
    <row r="40" spans="1:55">
      <c r="A40" s="541">
        <f>'Monthly Data'!A40</f>
        <v>43525</v>
      </c>
      <c r="B40">
        <f t="shared" si="8"/>
        <v>2019</v>
      </c>
      <c r="C40">
        <f t="shared" si="9"/>
        <v>3</v>
      </c>
      <c r="D40" s="30">
        <f>'Monthly Data'!N40</f>
        <v>131899.25980205394</v>
      </c>
      <c r="E40" s="30">
        <f>'Monthly Data'!AB40</f>
        <v>126434.45980205394</v>
      </c>
      <c r="F40" s="33">
        <f t="shared" ca="1" si="12"/>
        <v>698.29604166666672</v>
      </c>
      <c r="G40" s="33">
        <f t="shared" ca="1" si="12"/>
        <v>0.11000000000000032</v>
      </c>
      <c r="I40" s="18">
        <f>'GS&gt;50 Predicted Monthly (no LC)'!$P$9</f>
        <v>4121039.41701539</v>
      </c>
      <c r="J40" s="18">
        <f ca="1">F40*'GS&gt;50 Predicted Monthly (no LC)'!$P$10</f>
        <v>1616901.5074811084</v>
      </c>
      <c r="K40" s="18">
        <f ca="1">G40*'GS&gt;50 Predicted Monthly (no LC)'!$P$11</f>
        <v>594.2444084467578</v>
      </c>
      <c r="L40" s="18">
        <f t="shared" ca="1" si="2"/>
        <v>5738535.1689049443</v>
      </c>
      <c r="M40" s="18">
        <f>'Monthly Data'!Y40</f>
        <v>5464.8</v>
      </c>
      <c r="N40" s="18">
        <f>'Monthly Data'!DN40</f>
        <v>0</v>
      </c>
      <c r="O40" s="18">
        <f>'Monthly Data'!DO40</f>
        <v>0</v>
      </c>
      <c r="P40" s="18">
        <f t="shared" ca="1" si="3"/>
        <v>698.29604166666672</v>
      </c>
      <c r="Q40" s="18">
        <f>'Monthly Data'!BR40</f>
        <v>0</v>
      </c>
      <c r="R40" s="18"/>
      <c r="S40" s="18">
        <f>'LC Predicted Monthly'!$T$9</f>
        <v>-22694.781953278001</v>
      </c>
      <c r="T40" s="18">
        <f>N40*'LC Predicted Monthly'!$T$10</f>
        <v>0</v>
      </c>
      <c r="U40" s="18">
        <f>O40*'LC Predicted Monthly'!$T$11</f>
        <v>0</v>
      </c>
      <c r="V40" s="18">
        <f ca="1">P40*'LC Predicted Monthly'!$T$12</f>
        <v>142964.46736690929</v>
      </c>
      <c r="W40" s="18">
        <f>Q40*'LC Predicted Monthly'!$T$13</f>
        <v>0</v>
      </c>
      <c r="X40" s="18">
        <f t="shared" ca="1" si="4"/>
        <v>120269.68541363129</v>
      </c>
      <c r="Y40" s="18">
        <f t="shared" ca="1" si="5"/>
        <v>5858804.8543185759</v>
      </c>
      <c r="AO40" s="33">
        <f t="shared" ca="1" si="13"/>
        <v>623.97953961343092</v>
      </c>
      <c r="AP40" s="33">
        <f t="shared" ca="1" si="13"/>
        <v>771.02010776716202</v>
      </c>
      <c r="AQ40" s="33">
        <f t="shared" ca="1" si="13"/>
        <v>9.2975657066825132E-2</v>
      </c>
      <c r="AR40" s="33">
        <f t="shared" ca="1" si="13"/>
        <v>0.11932565987223402</v>
      </c>
      <c r="AT40" s="18">
        <f ca="1">AO40*'GS&gt;50 Predicted Monthly (no LC)'!$P$10</f>
        <v>1444821.9638053337</v>
      </c>
      <c r="AU40" s="18">
        <f ca="1">AP40*'GS&gt;50 Predicted Monthly (no LC)'!$P$10</f>
        <v>1785293.7724972367</v>
      </c>
      <c r="AV40" s="18">
        <f ca="1">AQ40*'GS&gt;50 Predicted Monthly (no LC)'!$P$11</f>
        <v>502.27513030567235</v>
      </c>
      <c r="AW40" s="18">
        <f ca="1">AR40*'GS&gt;50 Predicted Monthly (no LC)'!$P$11</f>
        <v>644.62369239358668</v>
      </c>
      <c r="AY40" s="18">
        <f ca="1">AO40*'LC Predicted Monthly'!$T$12</f>
        <v>127749.40312674227</v>
      </c>
      <c r="AZ40" s="18">
        <f ca="1">AP40*'LC Predicted Monthly'!$T$12</f>
        <v>157853.50690664109</v>
      </c>
      <c r="BB40" s="31">
        <f t="shared" ca="1" si="6"/>
        <v>5671418.2771244934</v>
      </c>
      <c r="BC40" s="31">
        <f t="shared" ca="1" si="7"/>
        <v>6042136.5381583832</v>
      </c>
    </row>
    <row r="41" spans="1:55">
      <c r="A41" s="541">
        <f>'Monthly Data'!A41</f>
        <v>43556</v>
      </c>
      <c r="B41">
        <f t="shared" si="8"/>
        <v>2019</v>
      </c>
      <c r="C41">
        <f t="shared" si="9"/>
        <v>4</v>
      </c>
      <c r="D41" s="30">
        <f>'Monthly Data'!N41</f>
        <v>133417.9945724307</v>
      </c>
      <c r="E41" s="30">
        <f>'Monthly Data'!AB41</f>
        <v>59522.794572430706</v>
      </c>
      <c r="F41" s="33">
        <f t="shared" ca="1" si="12"/>
        <v>468.60374999999993</v>
      </c>
      <c r="G41" s="33">
        <f t="shared" ca="1" si="12"/>
        <v>7.7354166666666684</v>
      </c>
      <c r="I41" s="18">
        <f>'GS&gt;50 Predicted Monthly (no LC)'!$P$9</f>
        <v>4121039.41701539</v>
      </c>
      <c r="J41" s="18">
        <f ca="1">F41*'GS&gt;50 Predicted Monthly (no LC)'!$P$10</f>
        <v>1085049.9853584787</v>
      </c>
      <c r="K41" s="18">
        <f ca="1">G41*'GS&gt;50 Predicted Monthly (no LC)'!$P$11</f>
        <v>41788.437283386476</v>
      </c>
      <c r="L41" s="18">
        <f t="shared" ca="1" si="2"/>
        <v>5247877.8396572554</v>
      </c>
      <c r="M41" s="18">
        <f>'Monthly Data'!Y41</f>
        <v>73895.199999999997</v>
      </c>
      <c r="N41" s="18">
        <f>'Monthly Data'!DN41</f>
        <v>0</v>
      </c>
      <c r="O41" s="18">
        <f>'Monthly Data'!DO41</f>
        <v>0</v>
      </c>
      <c r="P41" s="18">
        <f t="shared" ca="1" si="3"/>
        <v>468.60374999999993</v>
      </c>
      <c r="Q41" s="18">
        <f>'Monthly Data'!BR41</f>
        <v>0</v>
      </c>
      <c r="R41" s="18"/>
      <c r="S41" s="18">
        <f>'LC Predicted Monthly'!$T$9</f>
        <v>-22694.781953278001</v>
      </c>
      <c r="T41" s="18">
        <f>N41*'LC Predicted Monthly'!$T$10</f>
        <v>0</v>
      </c>
      <c r="U41" s="18">
        <f>O41*'LC Predicted Monthly'!$T$11</f>
        <v>0</v>
      </c>
      <c r="V41" s="18">
        <f ca="1">P41*'LC Predicted Monthly'!$T$12</f>
        <v>95938.80177952649</v>
      </c>
      <c r="W41" s="18">
        <f>Q41*'LC Predicted Monthly'!$T$13</f>
        <v>0</v>
      </c>
      <c r="X41" s="18">
        <f t="shared" ca="1" si="4"/>
        <v>73244.019826248492</v>
      </c>
      <c r="Y41" s="18">
        <f t="shared" ca="1" si="5"/>
        <v>5321121.8594835037</v>
      </c>
      <c r="AO41" s="33">
        <f t="shared" ca="1" si="13"/>
        <v>418.73236383846591</v>
      </c>
      <c r="AP41" s="33">
        <f t="shared" ca="1" si="13"/>
        <v>517.40650421381736</v>
      </c>
      <c r="AQ41" s="33">
        <f t="shared" ca="1" si="13"/>
        <v>6.5382313388091058</v>
      </c>
      <c r="AR41" s="33">
        <f t="shared" ca="1" si="13"/>
        <v>8.3912154376061316</v>
      </c>
      <c r="AT41" s="18">
        <f ca="1">AO41*'GS&gt;50 Predicted Monthly (no LC)'!$P$10</f>
        <v>969573.00331473805</v>
      </c>
      <c r="AU41" s="18">
        <f ca="1">AP41*'GS&gt;50 Predicted Monthly (no LC)'!$P$10</f>
        <v>1198052.5546831076</v>
      </c>
      <c r="AV41" s="18">
        <f ca="1">AQ41*'GS&gt;50 Predicted Monthly (no LC)'!$P$11</f>
        <v>35320.976492896902</v>
      </c>
      <c r="AW41" s="18">
        <f ca="1">AR41*'GS&gt;50 Predicted Monthly (no LC)'!$P$11</f>
        <v>45331.207762450395</v>
      </c>
      <c r="AY41" s="18">
        <f ca="1">AO41*'LC Predicted Monthly'!$T$12</f>
        <v>85728.467288132349</v>
      </c>
      <c r="AZ41" s="18">
        <f ca="1">AP41*'LC Predicted Monthly'!$T$12</f>
        <v>105930.35170377353</v>
      </c>
      <c r="BB41" s="31">
        <f t="shared" ca="1" si="6"/>
        <v>5188967.0821578791</v>
      </c>
      <c r="BC41" s="31">
        <f t="shared" ca="1" si="7"/>
        <v>5447658.7492114436</v>
      </c>
    </row>
    <row r="42" spans="1:55">
      <c r="A42" s="541">
        <f>'Monthly Data'!A42</f>
        <v>43586</v>
      </c>
      <c r="B42">
        <f t="shared" si="8"/>
        <v>2019</v>
      </c>
      <c r="C42">
        <f t="shared" si="9"/>
        <v>5</v>
      </c>
      <c r="D42" s="30">
        <f>'Monthly Data'!N42</f>
        <v>134936.72934280749</v>
      </c>
      <c r="E42" s="30">
        <f>'Monthly Data'!AB42</f>
        <v>40738.729342807492</v>
      </c>
      <c r="F42" s="33">
        <f t="shared" ca="1" si="12"/>
        <v>232.88687500000006</v>
      </c>
      <c r="G42" s="33">
        <f t="shared" ca="1" si="12"/>
        <v>111.43645833333332</v>
      </c>
      <c r="I42" s="18">
        <f>'GS&gt;50 Predicted Monthly (no LC)'!$P$9</f>
        <v>4121039.41701539</v>
      </c>
      <c r="J42" s="18">
        <f ca="1">F42*'GS&gt;50 Predicted Monthly (no LC)'!$P$10</f>
        <v>539248.5662117129</v>
      </c>
      <c r="K42" s="18">
        <f ca="1">G42*'GS&gt;50 Predicted Monthly (no LC)'!$P$11</f>
        <v>602004.47510630218</v>
      </c>
      <c r="L42" s="18">
        <f t="shared" ca="1" si="2"/>
        <v>5262292.4583334047</v>
      </c>
      <c r="M42" s="18">
        <f>'Monthly Data'!Y42</f>
        <v>94198</v>
      </c>
      <c r="N42" s="18">
        <f>'Monthly Data'!DN42</f>
        <v>0</v>
      </c>
      <c r="O42" s="18">
        <f>'Monthly Data'!DO42</f>
        <v>0</v>
      </c>
      <c r="P42" s="18">
        <f t="shared" ca="1" si="3"/>
        <v>232.88687500000006</v>
      </c>
      <c r="Q42" s="18">
        <f>'Monthly Data'!BR42</f>
        <v>0</v>
      </c>
      <c r="R42" s="18"/>
      <c r="S42" s="18">
        <f>'LC Predicted Monthly'!$T$9</f>
        <v>-22694.781953278001</v>
      </c>
      <c r="T42" s="18">
        <f>N42*'LC Predicted Monthly'!$T$10</f>
        <v>0</v>
      </c>
      <c r="U42" s="18">
        <f>O42*'LC Predicted Monthly'!$T$11</f>
        <v>0</v>
      </c>
      <c r="V42" s="18">
        <f ca="1">P42*'LC Predicted Monthly'!$T$12</f>
        <v>47679.703241125091</v>
      </c>
      <c r="W42" s="18">
        <f>Q42*'LC Predicted Monthly'!$T$13</f>
        <v>0</v>
      </c>
      <c r="X42" s="18">
        <f t="shared" ca="1" si="4"/>
        <v>24984.92128784709</v>
      </c>
      <c r="Y42" s="18">
        <f t="shared" ca="1" si="5"/>
        <v>5287277.3796212515</v>
      </c>
      <c r="AO42" s="33">
        <f t="shared" ca="1" si="13"/>
        <v>208.10177399498693</v>
      </c>
      <c r="AP42" s="33">
        <f t="shared" ca="1" si="13"/>
        <v>257.1408868815717</v>
      </c>
      <c r="AQ42" s="33">
        <f t="shared" ca="1" si="13"/>
        <v>94.189799406741059</v>
      </c>
      <c r="AR42" s="33">
        <f t="shared" ca="1" si="13"/>
        <v>120.88389931317884</v>
      </c>
      <c r="AT42" s="18">
        <f ca="1">AO42*'GS&gt;50 Predicted Monthly (no LC)'!$P$10</f>
        <v>481858.77049924171</v>
      </c>
      <c r="AU42" s="18">
        <f ca="1">AP42*'GS&gt;50 Predicted Monthly (no LC)'!$P$10</f>
        <v>595408.62732301152</v>
      </c>
      <c r="AV42" s="18">
        <f ca="1">AQ42*'GS&gt;50 Predicted Monthly (no LC)'!$P$11</f>
        <v>508834.19663797691</v>
      </c>
      <c r="AW42" s="18">
        <f ca="1">AR42*'GS&gt;50 Predicted Monthly (no LC)'!$P$11</f>
        <v>653041.64761906536</v>
      </c>
      <c r="AY42" s="18">
        <f ca="1">AO42*'LC Predicted Monthly'!$T$12</f>
        <v>42605.367211152006</v>
      </c>
      <c r="AZ42" s="18">
        <f ca="1">AP42*'LC Predicted Monthly'!$T$12</f>
        <v>52645.307631325515</v>
      </c>
      <c r="BB42" s="31">
        <f t="shared" ca="1" si="6"/>
        <v>5131642.9694104819</v>
      </c>
      <c r="BC42" s="31">
        <f t="shared" ca="1" si="7"/>
        <v>5399440.2176355133</v>
      </c>
    </row>
    <row r="43" spans="1:55">
      <c r="A43" s="541">
        <f>'Monthly Data'!A43</f>
        <v>43617</v>
      </c>
      <c r="B43">
        <f t="shared" si="8"/>
        <v>2019</v>
      </c>
      <c r="C43">
        <f t="shared" si="9"/>
        <v>6</v>
      </c>
      <c r="D43" s="30">
        <f>'Monthly Data'!N43</f>
        <v>136455.46411318425</v>
      </c>
      <c r="E43" s="30">
        <f>'Monthly Data'!AB43</f>
        <v>121493.06411318426</v>
      </c>
      <c r="F43" s="33">
        <f t="shared" ca="1" si="12"/>
        <v>92.751249999999999</v>
      </c>
      <c r="G43" s="33">
        <f t="shared" ca="1" si="12"/>
        <v>227.31958333333333</v>
      </c>
      <c r="I43" s="18">
        <f>'GS&gt;50 Predicted Monthly (no LC)'!$P$9</f>
        <v>4121039.41701539</v>
      </c>
      <c r="J43" s="18">
        <f ca="1">F43*'GS&gt;50 Predicted Monthly (no LC)'!$P$10</f>
        <v>214765.12395489923</v>
      </c>
      <c r="K43" s="18">
        <f ca="1">G43*'GS&gt;50 Predicted Monthly (no LC)'!$P$11</f>
        <v>1228030.8302389067</v>
      </c>
      <c r="L43" s="18">
        <f t="shared" ca="1" si="2"/>
        <v>5563835.3712091958</v>
      </c>
      <c r="M43" s="18">
        <f>'Monthly Data'!Y43</f>
        <v>14962.4</v>
      </c>
      <c r="N43" s="18">
        <f>'Monthly Data'!DN43</f>
        <v>0</v>
      </c>
      <c r="O43" s="18">
        <f>'Monthly Data'!DO43</f>
        <v>0</v>
      </c>
      <c r="P43" s="18">
        <f t="shared" ca="1" si="3"/>
        <v>92.751249999999999</v>
      </c>
      <c r="Q43" s="18">
        <f>'Monthly Data'!BR43</f>
        <v>0</v>
      </c>
      <c r="R43" s="18"/>
      <c r="S43" s="18">
        <f>'LC Predicted Monthly'!$T$9</f>
        <v>-22694.781953278001</v>
      </c>
      <c r="T43" s="18">
        <f>N43*'LC Predicted Monthly'!$T$10</f>
        <v>0</v>
      </c>
      <c r="U43" s="18">
        <f>O43*'LC Predicted Monthly'!$T$11</f>
        <v>0</v>
      </c>
      <c r="V43" s="18">
        <f ca="1">P43*'LC Predicted Monthly'!$T$12</f>
        <v>18989.271401591017</v>
      </c>
      <c r="W43" s="18">
        <f>Q43*'LC Predicted Monthly'!$T$13</f>
        <v>0</v>
      </c>
      <c r="X43" s="18">
        <f t="shared" ca="1" si="4"/>
        <v>-3705.5105516869844</v>
      </c>
      <c r="Y43" s="18">
        <f t="shared" ca="1" si="5"/>
        <v>5560129.8606575085</v>
      </c>
      <c r="AO43" s="33">
        <f t="shared" ca="1" si="13"/>
        <v>82.880152285321046</v>
      </c>
      <c r="AP43" s="33">
        <f t="shared" ca="1" si="13"/>
        <v>102.41083223077457</v>
      </c>
      <c r="AQ43" s="33">
        <f t="shared" ca="1" si="13"/>
        <v>192.13806931430472</v>
      </c>
      <c r="AR43" s="33">
        <f t="shared" ca="1" si="13"/>
        <v>246.59144802846558</v>
      </c>
      <c r="AT43" s="18">
        <f ca="1">AO43*'GS&gt;50 Predicted Monthly (no LC)'!$P$10</f>
        <v>191908.63927934016</v>
      </c>
      <c r="AU43" s="18">
        <f ca="1">AP43*'GS&gt;50 Predicted Monthly (no LC)'!$P$10</f>
        <v>237131.8454292173</v>
      </c>
      <c r="AV43" s="18">
        <f ca="1">AQ43*'GS&gt;50 Predicted Monthly (no LC)'!$P$11</f>
        <v>1037972.4849070985</v>
      </c>
      <c r="AW43" s="18">
        <f ca="1">AR43*'GS&gt;50 Predicted Monthly (no LC)'!$P$11</f>
        <v>1332141.7196518595</v>
      </c>
      <c r="AY43" s="18">
        <f ca="1">AO43*'LC Predicted Monthly'!$T$12</f>
        <v>16968.328788573257</v>
      </c>
      <c r="AZ43" s="18">
        <f ca="1">AP43*'LC Predicted Monthly'!$T$12</f>
        <v>20966.909747232337</v>
      </c>
      <c r="BB43" s="31">
        <f t="shared" ca="1" si="6"/>
        <v>5345194.088037123</v>
      </c>
      <c r="BC43" s="31">
        <f t="shared" ca="1" si="7"/>
        <v>5688585.1098904209</v>
      </c>
    </row>
    <row r="44" spans="1:55">
      <c r="A44" s="541">
        <f>'Monthly Data'!A44</f>
        <v>43647</v>
      </c>
      <c r="B44">
        <f t="shared" si="8"/>
        <v>2019</v>
      </c>
      <c r="C44">
        <f t="shared" si="9"/>
        <v>7</v>
      </c>
      <c r="D44" s="30">
        <f>'Monthly Data'!N44</f>
        <v>137974.19888356104</v>
      </c>
      <c r="E44" s="30">
        <f>'Monthly Data'!AB44</f>
        <v>118370.59888356103</v>
      </c>
      <c r="F44" s="33">
        <f t="shared" ca="1" si="12"/>
        <v>25.464999999999996</v>
      </c>
      <c r="G44" s="33">
        <f t="shared" ca="1" si="12"/>
        <v>327.99625000000003</v>
      </c>
      <c r="I44" s="18">
        <f>'GS&gt;50 Predicted Monthly (no LC)'!$P$9</f>
        <v>4121039.41701539</v>
      </c>
      <c r="J44" s="18">
        <f ca="1">F44*'GS&gt;50 Predicted Monthly (no LC)'!$P$10</f>
        <v>58964.098936796094</v>
      </c>
      <c r="K44" s="18">
        <f ca="1">G44*'GS&gt;50 Predicted Monthly (no LC)'!$P$11</f>
        <v>1771908.5232182215</v>
      </c>
      <c r="L44" s="18">
        <f t="shared" ca="1" si="2"/>
        <v>5951912.0391704077</v>
      </c>
      <c r="M44" s="18">
        <f>'Monthly Data'!Y44</f>
        <v>19603.599999999999</v>
      </c>
      <c r="N44" s="18">
        <f>'Monthly Data'!DN44</f>
        <v>0</v>
      </c>
      <c r="O44" s="18">
        <f>'Monthly Data'!DO44</f>
        <v>0</v>
      </c>
      <c r="P44" s="18">
        <f t="shared" ca="1" si="3"/>
        <v>25.464999999999996</v>
      </c>
      <c r="Q44" s="18">
        <f>'Monthly Data'!BR44</f>
        <v>0</v>
      </c>
      <c r="R44" s="18"/>
      <c r="S44" s="18">
        <f>'LC Predicted Monthly'!$T$9</f>
        <v>-22694.781953278001</v>
      </c>
      <c r="T44" s="18">
        <f>N44*'LC Predicted Monthly'!$T$10</f>
        <v>0</v>
      </c>
      <c r="U44" s="18">
        <f>O44*'LC Predicted Monthly'!$T$11</f>
        <v>0</v>
      </c>
      <c r="V44" s="18">
        <f ca="1">P44*'LC Predicted Monthly'!$T$12</f>
        <v>5213.5340088841413</v>
      </c>
      <c r="W44" s="18">
        <f>Q44*'LC Predicted Monthly'!$T$13</f>
        <v>0</v>
      </c>
      <c r="X44" s="18">
        <f t="shared" ca="1" si="4"/>
        <v>-17481.247944393861</v>
      </c>
      <c r="Y44" s="18">
        <f t="shared" ca="1" si="5"/>
        <v>5934430.7912260136</v>
      </c>
      <c r="AO44" s="33">
        <f t="shared" ca="1" si="13"/>
        <v>22.754874763905612</v>
      </c>
      <c r="AP44" s="33">
        <f t="shared" ca="1" si="13"/>
        <v>28.117053330889604</v>
      </c>
      <c r="AQ44" s="33">
        <f t="shared" ca="1" si="13"/>
        <v>277.23333508367784</v>
      </c>
      <c r="AR44" s="33">
        <f t="shared" ca="1" si="13"/>
        <v>355.80335424425579</v>
      </c>
      <c r="AT44" s="18">
        <f ca="1">AO44*'GS&gt;50 Predicted Monthly (no LC)'!$P$10</f>
        <v>52688.815506512285</v>
      </c>
      <c r="AU44" s="18">
        <f ca="1">AP44*'GS&gt;50 Predicted Monthly (no LC)'!$P$10</f>
        <v>65104.917118152247</v>
      </c>
      <c r="AV44" s="18">
        <f ca="1">AQ44*'GS&gt;50 Predicted Monthly (no LC)'!$P$11</f>
        <v>1497675.9928047406</v>
      </c>
      <c r="AW44" s="18">
        <f ca="1">AR44*'GS&gt;50 Predicted Monthly (no LC)'!$P$11</f>
        <v>1922128.6706022671</v>
      </c>
      <c r="AY44" s="18">
        <f ca="1">AO44*'LC Predicted Monthly'!$T$12</f>
        <v>4658.6810700774167</v>
      </c>
      <c r="AZ44" s="18">
        <f ca="1">AP44*'LC Predicted Monthly'!$T$12</f>
        <v>5756.4976937051679</v>
      </c>
      <c r="BB44" s="31">
        <f t="shared" ca="1" si="6"/>
        <v>5653368.1244434416</v>
      </c>
      <c r="BC44" s="31">
        <f t="shared" ca="1" si="7"/>
        <v>6091334.7204762362</v>
      </c>
    </row>
    <row r="45" spans="1:55">
      <c r="A45" s="541">
        <f>'Monthly Data'!A45</f>
        <v>43678</v>
      </c>
      <c r="B45">
        <f t="shared" si="8"/>
        <v>2019</v>
      </c>
      <c r="C45">
        <f t="shared" si="9"/>
        <v>8</v>
      </c>
      <c r="D45" s="30">
        <f>'Monthly Data'!N45</f>
        <v>139492.9336539378</v>
      </c>
      <c r="E45" s="30">
        <f>'Monthly Data'!AB45</f>
        <v>124986.9336539378</v>
      </c>
      <c r="F45" s="33">
        <f t="shared" ca="1" si="12"/>
        <v>54.974791666666668</v>
      </c>
      <c r="G45" s="33">
        <f t="shared" ca="1" si="12"/>
        <v>280.40312500000005</v>
      </c>
      <c r="I45" s="18">
        <f>'GS&gt;50 Predicted Monthly (no LC)'!$P$9</f>
        <v>4121039.41701539</v>
      </c>
      <c r="J45" s="18">
        <f ca="1">F45*'GS&gt;50 Predicted Monthly (no LC)'!$P$10</f>
        <v>127293.89573387343</v>
      </c>
      <c r="K45" s="18">
        <f ca="1">G45*'GS&gt;50 Predicted Monthly (no LC)'!$P$11</f>
        <v>1514799.9012931532</v>
      </c>
      <c r="L45" s="18">
        <f t="shared" ca="1" si="2"/>
        <v>5763133.2140424168</v>
      </c>
      <c r="M45" s="18">
        <f>'Monthly Data'!Y45</f>
        <v>14506</v>
      </c>
      <c r="N45" s="18">
        <f>'Monthly Data'!DN45</f>
        <v>0</v>
      </c>
      <c r="O45" s="18">
        <f>'Monthly Data'!DO45</f>
        <v>0</v>
      </c>
      <c r="P45" s="18">
        <f t="shared" ca="1" si="3"/>
        <v>54.974791666666668</v>
      </c>
      <c r="Q45" s="18">
        <f>'Monthly Data'!BR45</f>
        <v>0</v>
      </c>
      <c r="R45" s="18"/>
      <c r="S45" s="18">
        <f>'LC Predicted Monthly'!$T$9</f>
        <v>-22694.781953278001</v>
      </c>
      <c r="T45" s="18">
        <f>N45*'LC Predicted Monthly'!$T$10</f>
        <v>0</v>
      </c>
      <c r="U45" s="18">
        <f>O45*'LC Predicted Monthly'!$T$11</f>
        <v>0</v>
      </c>
      <c r="V45" s="18">
        <f ca="1">P45*'LC Predicted Monthly'!$T$12</f>
        <v>11255.171646789209</v>
      </c>
      <c r="W45" s="18">
        <f>Q45*'LC Predicted Monthly'!$T$13</f>
        <v>0</v>
      </c>
      <c r="X45" s="18">
        <f t="shared" ca="1" si="4"/>
        <v>-11439.610306488792</v>
      </c>
      <c r="Y45" s="18">
        <f t="shared" ca="1" si="5"/>
        <v>5751693.6037359284</v>
      </c>
      <c r="AO45" s="33">
        <f t="shared" ca="1" si="13"/>
        <v>49.124072238240799</v>
      </c>
      <c r="AP45" s="33">
        <f t="shared" ca="1" si="13"/>
        <v>60.700143300459935</v>
      </c>
      <c r="AQ45" s="33">
        <f t="shared" ca="1" si="13"/>
        <v>237.00604354969119</v>
      </c>
      <c r="AR45" s="33">
        <f t="shared" ca="1" si="13"/>
        <v>304.17534473510392</v>
      </c>
      <c r="AT45" s="18">
        <f ca="1">AO45*'GS&gt;50 Predicted Monthly (no LC)'!$P$10</f>
        <v>113746.57984032786</v>
      </c>
      <c r="AU45" s="18">
        <f ca="1">AP45*'GS&gt;50 Predicted Monthly (no LC)'!$P$10</f>
        <v>140550.92303341921</v>
      </c>
      <c r="AV45" s="18">
        <f ca="1">AQ45*'GS&gt;50 Predicted Monthly (no LC)'!$P$11</f>
        <v>1280359.2377044759</v>
      </c>
      <c r="AW45" s="18">
        <f ca="1">AR45*'GS&gt;50 Predicted Monthly (no LC)'!$P$11</f>
        <v>1643222.7072381813</v>
      </c>
      <c r="AY45" s="18">
        <f ca="1">AO45*'LC Predicted Monthly'!$T$12</f>
        <v>10057.334430353416</v>
      </c>
      <c r="AZ45" s="18">
        <f ca="1">AP45*'LC Predicted Monthly'!$T$12</f>
        <v>12427.341898334529</v>
      </c>
      <c r="BB45" s="31">
        <f t="shared" ca="1" si="6"/>
        <v>5502507.7870372701</v>
      </c>
      <c r="BC45" s="31">
        <f t="shared" ca="1" si="7"/>
        <v>5894545.6072320472</v>
      </c>
    </row>
    <row r="46" spans="1:55">
      <c r="A46" s="541">
        <f>'Monthly Data'!A46</f>
        <v>43709</v>
      </c>
      <c r="B46">
        <f t="shared" si="8"/>
        <v>2019</v>
      </c>
      <c r="C46">
        <f t="shared" si="9"/>
        <v>9</v>
      </c>
      <c r="D46" s="30">
        <f>'Monthly Data'!N46</f>
        <v>141011.66842431459</v>
      </c>
      <c r="E46" s="30">
        <f>'Monthly Data'!AB46</f>
        <v>133920.06842431458</v>
      </c>
      <c r="F46" s="33">
        <f t="shared" ref="F46:G61" ca="1" si="14">F34</f>
        <v>166.50624999999999</v>
      </c>
      <c r="G46" s="33">
        <f t="shared" ca="1" si="14"/>
        <v>144.00333333333333</v>
      </c>
      <c r="I46" s="18">
        <f>'GS&gt;50 Predicted Monthly (no LC)'!$P$9</f>
        <v>4121039.41701539</v>
      </c>
      <c r="J46" s="18">
        <f ca="1">F46*'GS&gt;50 Predicted Monthly (no LC)'!$P$10</f>
        <v>385544.51202022011</v>
      </c>
      <c r="K46" s="18">
        <f ca="1">G46*'GS&gt;50 Predicted Monthly (no LC)'!$P$11</f>
        <v>777937.96028206998</v>
      </c>
      <c r="L46" s="18">
        <f t="shared" ca="1" si="2"/>
        <v>5284521.8893176802</v>
      </c>
      <c r="M46" s="18">
        <f>'Monthly Data'!Y46</f>
        <v>7091.6</v>
      </c>
      <c r="N46" s="18">
        <f>'Monthly Data'!DN46</f>
        <v>0</v>
      </c>
      <c r="O46" s="18">
        <f>'Monthly Data'!DO46</f>
        <v>0</v>
      </c>
      <c r="P46" s="18">
        <f t="shared" ca="1" si="3"/>
        <v>166.50624999999999</v>
      </c>
      <c r="Q46" s="18">
        <f>'Monthly Data'!BR46</f>
        <v>1</v>
      </c>
      <c r="R46" s="18"/>
      <c r="S46" s="18">
        <f>'LC Predicted Monthly'!$T$9</f>
        <v>-22694.781953278001</v>
      </c>
      <c r="T46" s="18">
        <f>N46*'LC Predicted Monthly'!$T$10</f>
        <v>0</v>
      </c>
      <c r="U46" s="18">
        <f>O46*'LC Predicted Monthly'!$T$11</f>
        <v>0</v>
      </c>
      <c r="V46" s="18">
        <f ca="1">P46*'LC Predicted Monthly'!$T$12</f>
        <v>34089.377461879645</v>
      </c>
      <c r="W46" s="18">
        <f>Q46*'LC Predicted Monthly'!$T$13</f>
        <v>97970.228068396304</v>
      </c>
      <c r="X46" s="18">
        <f t="shared" ca="1" si="4"/>
        <v>109364.82357699795</v>
      </c>
      <c r="Y46" s="18">
        <f t="shared" ca="1" si="5"/>
        <v>5393886.7128946781</v>
      </c>
      <c r="AO46" s="33">
        <f t="shared" ref="AO46:AR61" ca="1" si="15">AO34</f>
        <v>148.78573988445157</v>
      </c>
      <c r="AP46" s="33">
        <f t="shared" ca="1" si="15"/>
        <v>183.84704932952829</v>
      </c>
      <c r="AQ46" s="33">
        <f t="shared" ca="1" si="15"/>
        <v>121.71640487708792</v>
      </c>
      <c r="AR46" s="33">
        <f t="shared" ca="1" si="15"/>
        <v>156.21175248910205</v>
      </c>
      <c r="AT46" s="18">
        <f ca="1">AO46*'GS&gt;50 Predicted Monthly (no LC)'!$P$10</f>
        <v>344512.74639431422</v>
      </c>
      <c r="AU46" s="18">
        <f ca="1">AP46*'GS&gt;50 Predicted Monthly (no LC)'!$P$10</f>
        <v>425697.05893989158</v>
      </c>
      <c r="AV46" s="18">
        <f ca="1">AQ46*'GS&gt;50 Predicted Monthly (no LC)'!$P$11</f>
        <v>657539.02740409982</v>
      </c>
      <c r="AW46" s="18">
        <f ca="1">AR46*'GS&gt;50 Predicted Monthly (no LC)'!$P$11</f>
        <v>843890.54954834119</v>
      </c>
      <c r="AY46" s="18">
        <f ca="1">AO46*'LC Predicted Monthly'!$T$12</f>
        <v>30461.398583333124</v>
      </c>
      <c r="AZ46" s="18">
        <f ca="1">AP46*'LC Predicted Monthly'!$T$12</f>
        <v>37639.616890339537</v>
      </c>
      <c r="BB46" s="31">
        <f t="shared" ca="1" si="6"/>
        <v>5228828.0355122555</v>
      </c>
      <c r="BC46" s="31">
        <f t="shared" ca="1" si="7"/>
        <v>5503542.0885090809</v>
      </c>
    </row>
    <row r="47" spans="1:55">
      <c r="A47" s="541">
        <f>'Monthly Data'!A47</f>
        <v>43739</v>
      </c>
      <c r="B47">
        <f t="shared" si="8"/>
        <v>2019</v>
      </c>
      <c r="C47">
        <f t="shared" si="9"/>
        <v>10</v>
      </c>
      <c r="D47" s="30">
        <f>'Monthly Data'!N47</f>
        <v>142530.40319469135</v>
      </c>
      <c r="E47" s="30">
        <f>'Monthly Data'!AB47</f>
        <v>137378.00319469135</v>
      </c>
      <c r="F47" s="33">
        <f t="shared" ca="1" si="14"/>
        <v>363.47645833333326</v>
      </c>
      <c r="G47" s="33">
        <f t="shared" ca="1" si="14"/>
        <v>40.02791666666667</v>
      </c>
      <c r="I47" s="18">
        <f>'GS&gt;50 Predicted Monthly (no LC)'!$P$9</f>
        <v>4121039.41701539</v>
      </c>
      <c r="J47" s="18">
        <f ca="1">F47*'GS&gt;50 Predicted Monthly (no LC)'!$P$10</f>
        <v>841628.18968635018</v>
      </c>
      <c r="K47" s="18">
        <f ca="1">G47*'GS&gt;50 Predicted Monthly (no LC)'!$P$11</f>
        <v>216239.6878267217</v>
      </c>
      <c r="L47" s="18">
        <f t="shared" ca="1" si="2"/>
        <v>5178907.294528462</v>
      </c>
      <c r="M47" s="18">
        <f>'Monthly Data'!Y47</f>
        <v>5152.3999999999996</v>
      </c>
      <c r="N47" s="18">
        <f>'Monthly Data'!DN47</f>
        <v>0</v>
      </c>
      <c r="O47" s="18">
        <f>'Monthly Data'!DO47</f>
        <v>0</v>
      </c>
      <c r="P47" s="18">
        <f t="shared" ca="1" si="3"/>
        <v>363.47645833333326</v>
      </c>
      <c r="Q47" s="18">
        <f>'Monthly Data'!BR47</f>
        <v>1</v>
      </c>
      <c r="R47" s="18"/>
      <c r="S47" s="18">
        <f>'LC Predicted Monthly'!$T$9</f>
        <v>-22694.781953278001</v>
      </c>
      <c r="T47" s="18">
        <f>N47*'LC Predicted Monthly'!$T$10</f>
        <v>0</v>
      </c>
      <c r="U47" s="18">
        <f>O47*'LC Predicted Monthly'!$T$11</f>
        <v>0</v>
      </c>
      <c r="V47" s="18">
        <f ca="1">P47*'LC Predicted Monthly'!$T$12</f>
        <v>74415.742271729541</v>
      </c>
      <c r="W47" s="18">
        <f>Q47*'LC Predicted Monthly'!$T$13</f>
        <v>97970.228068396304</v>
      </c>
      <c r="X47" s="18">
        <f t="shared" ca="1" si="4"/>
        <v>149691.18838684785</v>
      </c>
      <c r="Y47" s="18">
        <f t="shared" ca="1" si="5"/>
        <v>5328598.4829153102</v>
      </c>
      <c r="AO47" s="33">
        <f t="shared" ca="1" si="15"/>
        <v>324.79329624987065</v>
      </c>
      <c r="AP47" s="33">
        <f t="shared" ca="1" si="15"/>
        <v>401.33072701673694</v>
      </c>
      <c r="AQ47" s="33">
        <f t="shared" ca="1" si="15"/>
        <v>33.832925937267667</v>
      </c>
      <c r="AR47" s="33">
        <f t="shared" ca="1" si="15"/>
        <v>43.421432450552551</v>
      </c>
      <c r="AT47" s="18">
        <f ca="1">AO47*'GS&gt;50 Predicted Monthly (no LC)'!$P$10</f>
        <v>752057.49279738846</v>
      </c>
      <c r="AU47" s="18">
        <f ca="1">AP47*'GS&gt;50 Predicted Monthly (no LC)'!$P$10</f>
        <v>929279.58744124032</v>
      </c>
      <c r="AV47" s="18">
        <f ca="1">AQ47*'GS&gt;50 Predicted Monthly (no LC)'!$P$11</f>
        <v>182772.97326922306</v>
      </c>
      <c r="AW47" s="18">
        <f ca="1">AR47*'GS&gt;50 Predicted Monthly (no LC)'!$P$11</f>
        <v>234572.21309535802</v>
      </c>
      <c r="AY47" s="18">
        <f ca="1">AO47*'LC Predicted Monthly'!$T$12</f>
        <v>66496.010047370233</v>
      </c>
      <c r="AZ47" s="18">
        <f ca="1">AP47*'LC Predicted Monthly'!$T$12</f>
        <v>82165.772397877707</v>
      </c>
      <c r="BB47" s="31">
        <f t="shared" ca="1" si="6"/>
        <v>5197641.3392444905</v>
      </c>
      <c r="BC47" s="31">
        <f t="shared" ca="1" si="7"/>
        <v>5442332.4360649846</v>
      </c>
    </row>
    <row r="48" spans="1:55">
      <c r="A48" s="541">
        <f>'Monthly Data'!A48</f>
        <v>43770</v>
      </c>
      <c r="B48">
        <f t="shared" si="8"/>
        <v>2019</v>
      </c>
      <c r="C48">
        <f t="shared" si="9"/>
        <v>11</v>
      </c>
      <c r="D48" s="30">
        <f>'Monthly Data'!N48</f>
        <v>144049.13796506813</v>
      </c>
      <c r="E48" s="30">
        <f>'Monthly Data'!AB48</f>
        <v>10289.937965068122</v>
      </c>
      <c r="F48" s="33">
        <f t="shared" ca="1" si="14"/>
        <v>586.00395833333334</v>
      </c>
      <c r="G48" s="33">
        <f t="shared" ca="1" si="14"/>
        <v>4.5920833333333331</v>
      </c>
      <c r="I48" s="18">
        <f>'GS&gt;50 Predicted Monthly (no LC)'!$P$9</f>
        <v>4121039.41701539</v>
      </c>
      <c r="J48" s="18">
        <f ca="1">F48*'GS&gt;50 Predicted Monthly (no LC)'!$P$10</f>
        <v>1356889.6672499825</v>
      </c>
      <c r="K48" s="18">
        <f ca="1">G48*'GS&gt;50 Predicted Monthly (no LC)'!$P$11</f>
        <v>24807.453126862496</v>
      </c>
      <c r="L48" s="18">
        <f t="shared" ca="1" si="2"/>
        <v>5502736.5373922354</v>
      </c>
      <c r="M48" s="18">
        <f>'Monthly Data'!Y48</f>
        <v>133759.20000000001</v>
      </c>
      <c r="N48" s="18">
        <f>'Monthly Data'!DN48</f>
        <v>0</v>
      </c>
      <c r="O48" s="18">
        <f>'Monthly Data'!DO48</f>
        <v>0</v>
      </c>
      <c r="P48" s="18">
        <f t="shared" ca="1" si="3"/>
        <v>586.00395833333334</v>
      </c>
      <c r="Q48" s="18">
        <f>'Monthly Data'!BR48</f>
        <v>1</v>
      </c>
      <c r="R48" s="18"/>
      <c r="S48" s="18">
        <f>'LC Predicted Monthly'!$T$9</f>
        <v>-22694.781953278001</v>
      </c>
      <c r="T48" s="18">
        <f>N48*'LC Predicted Monthly'!$T$10</f>
        <v>0</v>
      </c>
      <c r="U48" s="18">
        <f>O48*'LC Predicted Monthly'!$T$11</f>
        <v>0</v>
      </c>
      <c r="V48" s="18">
        <f ca="1">P48*'LC Predicted Monthly'!$T$12</f>
        <v>119974.53626984327</v>
      </c>
      <c r="W48" s="18">
        <f>Q48*'LC Predicted Monthly'!$T$13</f>
        <v>97970.228068396304</v>
      </c>
      <c r="X48" s="18">
        <f t="shared" ca="1" si="4"/>
        <v>195249.98238496156</v>
      </c>
      <c r="Y48" s="18">
        <f t="shared" ca="1" si="5"/>
        <v>5697986.5197771974</v>
      </c>
      <c r="AO48" s="33">
        <f t="shared" ca="1" si="15"/>
        <v>523.63819685953126</v>
      </c>
      <c r="AP48" s="33">
        <f t="shared" ca="1" si="15"/>
        <v>647.03336142041019</v>
      </c>
      <c r="AQ48" s="33">
        <f t="shared" ca="1" si="15"/>
        <v>3.8813815020207452</v>
      </c>
      <c r="AR48" s="33">
        <f t="shared" ca="1" si="15"/>
        <v>4.9813943085298762</v>
      </c>
      <c r="AT48" s="18">
        <f ca="1">AO48*'GS&gt;50 Predicted Monthly (no LC)'!$P$10</f>
        <v>1212482.0124371063</v>
      </c>
      <c r="AU48" s="18">
        <f ca="1">AP48*'GS&gt;50 Predicted Monthly (no LC)'!$P$10</f>
        <v>1498202.9899156024</v>
      </c>
      <c r="AV48" s="18">
        <f ca="1">AQ48*'GS&gt;50 Predicted Monthly (no LC)'!$P$11</f>
        <v>20968.084132949996</v>
      </c>
      <c r="AW48" s="18">
        <f ca="1">AR48*'GS&gt;50 Predicted Monthly (no LC)'!$P$11</f>
        <v>26910.597401021583</v>
      </c>
      <c r="AY48" s="18">
        <f ca="1">AO48*'LC Predicted Monthly'!$T$12</f>
        <v>107206.18683204145</v>
      </c>
      <c r="AZ48" s="18">
        <f ca="1">AP48*'LC Predicted Monthly'!$T$12</f>
        <v>132469.28861762941</v>
      </c>
      <c r="BB48" s="31">
        <f t="shared" ca="1" si="6"/>
        <v>5536971.1465326073</v>
      </c>
      <c r="BC48" s="31">
        <f t="shared" ca="1" si="7"/>
        <v>5853897.7390647624</v>
      </c>
    </row>
    <row r="49" spans="1:55">
      <c r="A49" s="541">
        <f>'Monthly Data'!A49</f>
        <v>43800</v>
      </c>
      <c r="B49">
        <f t="shared" si="8"/>
        <v>2019</v>
      </c>
      <c r="C49">
        <f t="shared" si="9"/>
        <v>12</v>
      </c>
      <c r="D49" s="30">
        <f>'Monthly Data'!N49</f>
        <v>73677719.872735441</v>
      </c>
      <c r="E49" s="30">
        <f>'Monthly Data'!AB49</f>
        <v>73625863.48273544</v>
      </c>
      <c r="F49" s="33">
        <f t="shared" ca="1" si="14"/>
        <v>812.36333333333334</v>
      </c>
      <c r="G49" s="33">
        <f t="shared" ca="1" si="14"/>
        <v>0</v>
      </c>
      <c r="I49" s="18">
        <f>'GS&gt;50 Predicted Monthly (no LC)'!$P$9</f>
        <v>4121039.41701539</v>
      </c>
      <c r="J49" s="18">
        <f ca="1">F49*'GS&gt;50 Predicted Monthly (no LC)'!$P$10</f>
        <v>1881023.8350399425</v>
      </c>
      <c r="K49" s="18">
        <f ca="1">G49*'GS&gt;50 Predicted Monthly (no LC)'!$P$11</f>
        <v>0</v>
      </c>
      <c r="L49" s="18">
        <f t="shared" ca="1" si="2"/>
        <v>6002063.2520553321</v>
      </c>
      <c r="M49" s="18">
        <f>'Monthly Data'!Y49</f>
        <v>51856.39</v>
      </c>
      <c r="N49" s="18">
        <f>'Monthly Data'!DN49</f>
        <v>0</v>
      </c>
      <c r="O49" s="18">
        <f>'Monthly Data'!DO49</f>
        <v>0</v>
      </c>
      <c r="P49" s="18">
        <f t="shared" ca="1" si="3"/>
        <v>812.36333333333334</v>
      </c>
      <c r="Q49" s="18">
        <f>'Monthly Data'!BR49</f>
        <v>0</v>
      </c>
      <c r="R49" s="18"/>
      <c r="S49" s="18">
        <f>'LC Predicted Monthly'!$T$9</f>
        <v>-22694.781953278001</v>
      </c>
      <c r="T49" s="18">
        <f>N49*'LC Predicted Monthly'!$T$10</f>
        <v>0</v>
      </c>
      <c r="U49" s="18">
        <f>O49*'LC Predicted Monthly'!$T$11</f>
        <v>0</v>
      </c>
      <c r="V49" s="18">
        <f ca="1">P49*'LC Predicted Monthly'!$T$12</f>
        <v>166317.84276080181</v>
      </c>
      <c r="W49" s="18">
        <f>Q49*'LC Predicted Monthly'!$T$13</f>
        <v>0</v>
      </c>
      <c r="X49" s="18">
        <f t="shared" ca="1" si="4"/>
        <v>143623.06080752381</v>
      </c>
      <c r="Y49" s="18">
        <f t="shared" ca="1" si="5"/>
        <v>6145686.3128628563</v>
      </c>
      <c r="AO49" s="33">
        <f t="shared" ca="1" si="15"/>
        <v>725.90716327464804</v>
      </c>
      <c r="AP49" s="33">
        <f t="shared" ca="1" si="15"/>
        <v>896.96694158227319</v>
      </c>
      <c r="AQ49" s="33">
        <f t="shared" ca="1" si="15"/>
        <v>0</v>
      </c>
      <c r="AR49" s="33">
        <f t="shared" ca="1" si="15"/>
        <v>0</v>
      </c>
      <c r="AT49" s="18">
        <f ca="1">AO49*'GS&gt;50 Predicted Monthly (no LC)'!$P$10</f>
        <v>1680834.941851771</v>
      </c>
      <c r="AU49" s="18">
        <f ca="1">AP49*'GS&gt;50 Predicted Monthly (no LC)'!$P$10</f>
        <v>2076923.1292555493</v>
      </c>
      <c r="AV49" s="18">
        <f ca="1">AQ49*'GS&gt;50 Predicted Monthly (no LC)'!$P$11</f>
        <v>0</v>
      </c>
      <c r="AW49" s="18">
        <f ca="1">AR49*'GS&gt;50 Predicted Monthly (no LC)'!$P$11</f>
        <v>0</v>
      </c>
      <c r="AY49" s="18">
        <f ca="1">AO49*'LC Predicted Monthly'!$T$12</f>
        <v>148617.38397899043</v>
      </c>
      <c r="AZ49" s="18">
        <f ca="1">AP49*'LC Predicted Monthly'!$T$12</f>
        <v>183639.02041170144</v>
      </c>
      <c r="BB49" s="31">
        <f t="shared" ca="1" si="6"/>
        <v>5927796.9608928729</v>
      </c>
      <c r="BC49" s="31">
        <f t="shared" ca="1" si="7"/>
        <v>6358906.7847293625</v>
      </c>
    </row>
    <row r="50" spans="1:55">
      <c r="A50" s="541">
        <f>'Monthly Data'!A50</f>
        <v>43831</v>
      </c>
      <c r="B50">
        <f t="shared" si="8"/>
        <v>2020</v>
      </c>
      <c r="C50">
        <f t="shared" si="9"/>
        <v>1</v>
      </c>
      <c r="D50" s="30">
        <f>'Monthly Data'!N50</f>
        <v>6576915.9627391547</v>
      </c>
      <c r="E50" s="30">
        <f>'Monthly Data'!AB50</f>
        <v>6499104.5027391547</v>
      </c>
      <c r="F50" s="33">
        <f t="shared" ca="1" si="14"/>
        <v>914.55166666666662</v>
      </c>
      <c r="G50" s="33">
        <f t="shared" ca="1" si="14"/>
        <v>0</v>
      </c>
      <c r="I50" s="18">
        <f>'GS&gt;50 Predicted Monthly (no LC)'!$P$9</f>
        <v>4121039.41701539</v>
      </c>
      <c r="J50" s="18">
        <f ca="1">F50*'GS&gt;50 Predicted Monthly (no LC)'!$P$10</f>
        <v>2117640.4852206991</v>
      </c>
      <c r="K50" s="18">
        <f ca="1">G50*'GS&gt;50 Predicted Monthly (no LC)'!$P$11</f>
        <v>0</v>
      </c>
      <c r="L50" s="18">
        <f t="shared" ca="1" si="2"/>
        <v>6238679.9022360891</v>
      </c>
      <c r="M50" s="18">
        <f>'Monthly Data'!Y50</f>
        <v>77811.460000000006</v>
      </c>
      <c r="N50" s="18">
        <f>'Monthly Data'!DN50</f>
        <v>0</v>
      </c>
      <c r="O50" s="18">
        <f>'Monthly Data'!DO50</f>
        <v>0</v>
      </c>
      <c r="P50" s="18">
        <f t="shared" ca="1" si="3"/>
        <v>914.55166666666662</v>
      </c>
      <c r="Q50" s="18">
        <f>'Monthly Data'!BR50</f>
        <v>0</v>
      </c>
      <c r="R50" s="18"/>
      <c r="S50" s="18">
        <f>'LC Predicted Monthly'!$T$9</f>
        <v>-22694.781953278001</v>
      </c>
      <c r="T50" s="18">
        <f>N50*'LC Predicted Monthly'!$T$10</f>
        <v>0</v>
      </c>
      <c r="U50" s="18">
        <f>O50*'LC Predicted Monthly'!$T$11</f>
        <v>0</v>
      </c>
      <c r="V50" s="18">
        <f ca="1">P50*'LC Predicted Monthly'!$T$12</f>
        <v>187239.19956993285</v>
      </c>
      <c r="W50" s="18">
        <f>Q50*'LC Predicted Monthly'!$T$13</f>
        <v>0</v>
      </c>
      <c r="X50" s="18">
        <f t="shared" ca="1" si="4"/>
        <v>164544.41761665486</v>
      </c>
      <c r="Y50" s="18">
        <f t="shared" ca="1" si="5"/>
        <v>6403224.3198527442</v>
      </c>
      <c r="AO50" s="33">
        <f t="shared" ca="1" si="15"/>
        <v>817.22005262600237</v>
      </c>
      <c r="AP50" s="33">
        <f t="shared" ca="1" si="15"/>
        <v>1009.7976825258449</v>
      </c>
      <c r="AQ50" s="33">
        <f t="shared" ca="1" si="15"/>
        <v>0</v>
      </c>
      <c r="AR50" s="33">
        <f t="shared" ca="1" si="15"/>
        <v>0</v>
      </c>
      <c r="AT50" s="18">
        <f ca="1">AO50*'GS&gt;50 Predicted Monthly (no LC)'!$P$10</f>
        <v>1892269.5478567963</v>
      </c>
      <c r="AU50" s="18">
        <f ca="1">AP50*'GS&gt;50 Predicted Monthly (no LC)'!$P$10</f>
        <v>2338182.2288867598</v>
      </c>
      <c r="AV50" s="18">
        <f ca="1">AQ50*'GS&gt;50 Predicted Monthly (no LC)'!$P$11</f>
        <v>0</v>
      </c>
      <c r="AW50" s="18">
        <f ca="1">AR50*'GS&gt;50 Predicted Monthly (no LC)'!$P$11</f>
        <v>0</v>
      </c>
      <c r="AY50" s="18">
        <f ca="1">AO50*'LC Predicted Monthly'!$T$12</f>
        <v>167312.17502877486</v>
      </c>
      <c r="AZ50" s="18">
        <f ca="1">AP50*'LC Predicted Monthly'!$T$12</f>
        <v>206739.23266997386</v>
      </c>
      <c r="BB50" s="31">
        <f t="shared" ca="1" si="6"/>
        <v>6157926.3579476839</v>
      </c>
      <c r="BC50" s="31">
        <f t="shared" ca="1" si="7"/>
        <v>6643266.0966188461</v>
      </c>
    </row>
    <row r="51" spans="1:55">
      <c r="A51" s="541">
        <f>'Monthly Data'!A51</f>
        <v>43862</v>
      </c>
      <c r="B51">
        <f t="shared" si="8"/>
        <v>2020</v>
      </c>
      <c r="C51">
        <f t="shared" si="9"/>
        <v>2</v>
      </c>
      <c r="D51" s="30">
        <f>'Monthly Data'!N51</f>
        <v>6044045.580237926</v>
      </c>
      <c r="E51" s="30">
        <f>'Monthly Data'!AB51</f>
        <v>5826037.580237926</v>
      </c>
      <c r="F51" s="33">
        <f t="shared" ca="1" si="14"/>
        <v>803.82854166666664</v>
      </c>
      <c r="G51" s="33">
        <f t="shared" ca="1" si="14"/>
        <v>0</v>
      </c>
      <c r="I51" s="18">
        <f>'GS&gt;50 Predicted Monthly (no LC)'!$P$9</f>
        <v>4121039.41701539</v>
      </c>
      <c r="J51" s="18">
        <f ca="1">F51*'GS&gt;50 Predicted Monthly (no LC)'!$P$10</f>
        <v>1861261.5613215731</v>
      </c>
      <c r="K51" s="18">
        <f ca="1">G51*'GS&gt;50 Predicted Monthly (no LC)'!$P$11</f>
        <v>0</v>
      </c>
      <c r="L51" s="18">
        <f t="shared" ca="1" si="2"/>
        <v>5982300.9783369629</v>
      </c>
      <c r="M51" s="18">
        <f>'Monthly Data'!Y51</f>
        <v>218008</v>
      </c>
      <c r="N51" s="18">
        <f>'Monthly Data'!DN51</f>
        <v>0</v>
      </c>
      <c r="O51" s="18">
        <f>'Monthly Data'!DO51</f>
        <v>0</v>
      </c>
      <c r="P51" s="18">
        <f t="shared" ca="1" si="3"/>
        <v>803.82854166666664</v>
      </c>
      <c r="Q51" s="18">
        <f>'Monthly Data'!BR51</f>
        <v>0</v>
      </c>
      <c r="R51" s="18"/>
      <c r="S51" s="18">
        <f>'LC Predicted Monthly'!$T$9</f>
        <v>-22694.781953278001</v>
      </c>
      <c r="T51" s="18">
        <f>N51*'LC Predicted Monthly'!$T$10</f>
        <v>0</v>
      </c>
      <c r="U51" s="18">
        <f>O51*'LC Predicted Monthly'!$T$11</f>
        <v>0</v>
      </c>
      <c r="V51" s="18">
        <f ca="1">P51*'LC Predicted Monthly'!$T$12</f>
        <v>164570.48652232124</v>
      </c>
      <c r="W51" s="18">
        <f>Q51*'LC Predicted Monthly'!$T$13</f>
        <v>0</v>
      </c>
      <c r="X51" s="18">
        <f t="shared" ca="1" si="4"/>
        <v>141875.70456904324</v>
      </c>
      <c r="Y51" s="18">
        <f t="shared" ca="1" si="5"/>
        <v>6124176.6829060065</v>
      </c>
      <c r="AO51" s="33">
        <f t="shared" ca="1" si="15"/>
        <v>718.28069103781206</v>
      </c>
      <c r="AP51" s="33">
        <f t="shared" ca="1" si="15"/>
        <v>887.54329373386554</v>
      </c>
      <c r="AQ51" s="33">
        <f t="shared" ca="1" si="15"/>
        <v>0</v>
      </c>
      <c r="AR51" s="33">
        <f t="shared" ca="1" si="15"/>
        <v>0</v>
      </c>
      <c r="AT51" s="18">
        <f ca="1">AO51*'GS&gt;50 Predicted Monthly (no LC)'!$P$10</f>
        <v>1663175.8779007981</v>
      </c>
      <c r="AU51" s="18">
        <f ca="1">AP51*'GS&gt;50 Predicted Monthly (no LC)'!$P$10</f>
        <v>2055102.7128377589</v>
      </c>
      <c r="AV51" s="18">
        <f ca="1">AQ51*'GS&gt;50 Predicted Monthly (no LC)'!$P$11</f>
        <v>0</v>
      </c>
      <c r="AW51" s="18">
        <f ca="1">AR51*'GS&gt;50 Predicted Monthly (no LC)'!$P$11</f>
        <v>0</v>
      </c>
      <c r="AY51" s="18">
        <f ca="1">AO51*'LC Predicted Monthly'!$T$12</f>
        <v>147055.99099353765</v>
      </c>
      <c r="AZ51" s="18">
        <f ca="1">AP51*'LC Predicted Monthly'!$T$12</f>
        <v>181709.68569560398</v>
      </c>
      <c r="BB51" s="31">
        <f t="shared" ca="1" si="6"/>
        <v>5908576.5039564483</v>
      </c>
      <c r="BC51" s="31">
        <f t="shared" ca="1" si="7"/>
        <v>6335157.0335954754</v>
      </c>
    </row>
    <row r="52" spans="1:55">
      <c r="A52" s="541">
        <f>'Monthly Data'!A52</f>
        <v>43891</v>
      </c>
      <c r="B52">
        <f t="shared" si="8"/>
        <v>2020</v>
      </c>
      <c r="C52">
        <f t="shared" si="9"/>
        <v>3</v>
      </c>
      <c r="D52" s="30">
        <f>'Monthly Data'!N52</f>
        <v>5746554.1977366973</v>
      </c>
      <c r="E52" s="30">
        <f>'Monthly Data'!AB52</f>
        <v>5729872.4377366975</v>
      </c>
      <c r="F52" s="33">
        <f t="shared" ca="1" si="14"/>
        <v>698.29604166666672</v>
      </c>
      <c r="G52" s="33">
        <f t="shared" ca="1" si="14"/>
        <v>0.11000000000000032</v>
      </c>
      <c r="I52" s="18">
        <f>'GS&gt;50 Predicted Monthly (no LC)'!$P$9</f>
        <v>4121039.41701539</v>
      </c>
      <c r="J52" s="18">
        <f ca="1">F52*'GS&gt;50 Predicted Monthly (no LC)'!$P$10</f>
        <v>1616901.5074811084</v>
      </c>
      <c r="K52" s="18">
        <f ca="1">G52*'GS&gt;50 Predicted Monthly (no LC)'!$P$11</f>
        <v>594.2444084467578</v>
      </c>
      <c r="L52" s="18">
        <f t="shared" ca="1" si="2"/>
        <v>5738535.1689049443</v>
      </c>
      <c r="M52" s="18">
        <f>'Monthly Data'!Y52</f>
        <v>16681.759999999998</v>
      </c>
      <c r="N52" s="18">
        <f>'Monthly Data'!DN52</f>
        <v>0</v>
      </c>
      <c r="O52" s="18">
        <f>'Monthly Data'!DO52</f>
        <v>0</v>
      </c>
      <c r="P52" s="18">
        <f t="shared" ca="1" si="3"/>
        <v>698.29604166666672</v>
      </c>
      <c r="Q52" s="18">
        <f>'Monthly Data'!BR52</f>
        <v>0</v>
      </c>
      <c r="R52" s="18"/>
      <c r="S52" s="18">
        <f>'LC Predicted Monthly'!$T$9</f>
        <v>-22694.781953278001</v>
      </c>
      <c r="T52" s="18">
        <f>N52*'LC Predicted Monthly'!$T$10</f>
        <v>0</v>
      </c>
      <c r="U52" s="18">
        <f>O52*'LC Predicted Monthly'!$T$11</f>
        <v>0</v>
      </c>
      <c r="V52" s="18">
        <f ca="1">P52*'LC Predicted Monthly'!$T$12</f>
        <v>142964.46736690929</v>
      </c>
      <c r="W52" s="18">
        <f>Q52*'LC Predicted Monthly'!$T$13</f>
        <v>0</v>
      </c>
      <c r="X52" s="18">
        <f t="shared" ca="1" si="4"/>
        <v>120269.68541363129</v>
      </c>
      <c r="Y52" s="18">
        <f t="shared" ca="1" si="5"/>
        <v>5858804.8543185759</v>
      </c>
      <c r="AO52" s="33">
        <f t="shared" ca="1" si="15"/>
        <v>623.97953961343092</v>
      </c>
      <c r="AP52" s="33">
        <f t="shared" ca="1" si="15"/>
        <v>771.02010776716202</v>
      </c>
      <c r="AQ52" s="33">
        <f t="shared" ca="1" si="15"/>
        <v>9.2975657066825132E-2</v>
      </c>
      <c r="AR52" s="33">
        <f t="shared" ca="1" si="15"/>
        <v>0.11932565987223402</v>
      </c>
      <c r="AT52" s="18">
        <f ca="1">AO52*'GS&gt;50 Predicted Monthly (no LC)'!$P$10</f>
        <v>1444821.9638053337</v>
      </c>
      <c r="AU52" s="18">
        <f ca="1">AP52*'GS&gt;50 Predicted Monthly (no LC)'!$P$10</f>
        <v>1785293.7724972367</v>
      </c>
      <c r="AV52" s="18">
        <f ca="1">AQ52*'GS&gt;50 Predicted Monthly (no LC)'!$P$11</f>
        <v>502.27513030567235</v>
      </c>
      <c r="AW52" s="18">
        <f ca="1">AR52*'GS&gt;50 Predicted Monthly (no LC)'!$P$11</f>
        <v>644.62369239358668</v>
      </c>
      <c r="AY52" s="18">
        <f ca="1">AO52*'LC Predicted Monthly'!$T$12</f>
        <v>127749.40312674227</v>
      </c>
      <c r="AZ52" s="18">
        <f ca="1">AP52*'LC Predicted Monthly'!$T$12</f>
        <v>157853.50690664109</v>
      </c>
      <c r="BB52" s="31">
        <f t="shared" ca="1" si="6"/>
        <v>5671418.2771244934</v>
      </c>
      <c r="BC52" s="31">
        <f t="shared" ca="1" si="7"/>
        <v>6042136.5381583832</v>
      </c>
    </row>
    <row r="53" spans="1:55">
      <c r="A53" s="541">
        <f>'Monthly Data'!A53</f>
        <v>43922</v>
      </c>
      <c r="B53">
        <f t="shared" si="8"/>
        <v>2020</v>
      </c>
      <c r="C53">
        <f t="shared" si="9"/>
        <v>4</v>
      </c>
      <c r="D53" s="30">
        <f>'Monthly Data'!N53</f>
        <v>5135085.8152354676</v>
      </c>
      <c r="E53" s="30">
        <f>'Monthly Data'!AB53</f>
        <v>5131116.3752354672</v>
      </c>
      <c r="F53" s="33">
        <f t="shared" ca="1" si="14"/>
        <v>468.60374999999993</v>
      </c>
      <c r="G53" s="33">
        <f t="shared" ca="1" si="14"/>
        <v>7.7354166666666684</v>
      </c>
      <c r="I53" s="18">
        <f>'GS&gt;50 Predicted Monthly (no LC)'!$P$9</f>
        <v>4121039.41701539</v>
      </c>
      <c r="J53" s="18">
        <f ca="1">F53*'GS&gt;50 Predicted Monthly (no LC)'!$P$10</f>
        <v>1085049.9853584787</v>
      </c>
      <c r="K53" s="18">
        <f ca="1">G53*'GS&gt;50 Predicted Monthly (no LC)'!$P$11</f>
        <v>41788.437283386476</v>
      </c>
      <c r="L53" s="18">
        <f t="shared" ca="1" si="2"/>
        <v>5247877.8396572554</v>
      </c>
      <c r="M53" s="18">
        <f>'Monthly Data'!Y53</f>
        <v>3969.44</v>
      </c>
      <c r="N53" s="18">
        <f>'Monthly Data'!DN53</f>
        <v>0</v>
      </c>
      <c r="O53" s="18">
        <f>'Monthly Data'!DO53</f>
        <v>0</v>
      </c>
      <c r="P53" s="18">
        <f t="shared" ca="1" si="3"/>
        <v>468.60374999999993</v>
      </c>
      <c r="Q53" s="18">
        <f>'Monthly Data'!BR53</f>
        <v>0</v>
      </c>
      <c r="R53" s="18"/>
      <c r="S53" s="18">
        <f>'LC Predicted Monthly'!$T$9</f>
        <v>-22694.781953278001</v>
      </c>
      <c r="T53" s="18">
        <f>N53*'LC Predicted Monthly'!$T$10</f>
        <v>0</v>
      </c>
      <c r="U53" s="18">
        <f>O53*'LC Predicted Monthly'!$T$11</f>
        <v>0</v>
      </c>
      <c r="V53" s="18">
        <f ca="1">P53*'LC Predicted Monthly'!$T$12</f>
        <v>95938.80177952649</v>
      </c>
      <c r="W53" s="18">
        <f>Q53*'LC Predicted Monthly'!$T$13</f>
        <v>0</v>
      </c>
      <c r="X53" s="18">
        <f t="shared" ca="1" si="4"/>
        <v>73244.019826248492</v>
      </c>
      <c r="Y53" s="18">
        <f t="shared" ca="1" si="5"/>
        <v>5321121.8594835037</v>
      </c>
      <c r="AO53" s="33">
        <f t="shared" ca="1" si="15"/>
        <v>418.73236383846591</v>
      </c>
      <c r="AP53" s="33">
        <f t="shared" ca="1" si="15"/>
        <v>517.40650421381736</v>
      </c>
      <c r="AQ53" s="33">
        <f t="shared" ca="1" si="15"/>
        <v>6.5382313388091058</v>
      </c>
      <c r="AR53" s="33">
        <f t="shared" ca="1" si="15"/>
        <v>8.3912154376061316</v>
      </c>
      <c r="AT53" s="18">
        <f ca="1">AO53*'GS&gt;50 Predicted Monthly (no LC)'!$P$10</f>
        <v>969573.00331473805</v>
      </c>
      <c r="AU53" s="18">
        <f ca="1">AP53*'GS&gt;50 Predicted Monthly (no LC)'!$P$10</f>
        <v>1198052.5546831076</v>
      </c>
      <c r="AV53" s="18">
        <f ca="1">AQ53*'GS&gt;50 Predicted Monthly (no LC)'!$P$11</f>
        <v>35320.976492896902</v>
      </c>
      <c r="AW53" s="18">
        <f ca="1">AR53*'GS&gt;50 Predicted Monthly (no LC)'!$P$11</f>
        <v>45331.207762450395</v>
      </c>
      <c r="AY53" s="18">
        <f ca="1">AO53*'LC Predicted Monthly'!$T$12</f>
        <v>85728.467288132349</v>
      </c>
      <c r="AZ53" s="18">
        <f ca="1">AP53*'LC Predicted Monthly'!$T$12</f>
        <v>105930.35170377353</v>
      </c>
      <c r="BB53" s="31">
        <f t="shared" ca="1" si="6"/>
        <v>5188967.0821578791</v>
      </c>
      <c r="BC53" s="31">
        <f t="shared" ca="1" si="7"/>
        <v>5447658.7492114436</v>
      </c>
    </row>
    <row r="54" spans="1:55">
      <c r="A54" s="541">
        <f>'Monthly Data'!A54</f>
        <v>43952</v>
      </c>
      <c r="B54">
        <f t="shared" si="8"/>
        <v>2020</v>
      </c>
      <c r="C54">
        <f t="shared" si="9"/>
        <v>5</v>
      </c>
      <c r="D54" s="30">
        <f>'Monthly Data'!N54</f>
        <v>4880397.4327342389</v>
      </c>
      <c r="E54" s="30">
        <f>'Monthly Data'!AB54</f>
        <v>4879869.4327342389</v>
      </c>
      <c r="F54" s="33">
        <f t="shared" ca="1" si="14"/>
        <v>232.88687500000006</v>
      </c>
      <c r="G54" s="33">
        <f t="shared" ca="1" si="14"/>
        <v>111.43645833333332</v>
      </c>
      <c r="I54" s="18">
        <f>'GS&gt;50 Predicted Monthly (no LC)'!$P$9</f>
        <v>4121039.41701539</v>
      </c>
      <c r="J54" s="18">
        <f ca="1">F54*'GS&gt;50 Predicted Monthly (no LC)'!$P$10</f>
        <v>539248.5662117129</v>
      </c>
      <c r="K54" s="18">
        <f ca="1">G54*'GS&gt;50 Predicted Monthly (no LC)'!$P$11</f>
        <v>602004.47510630218</v>
      </c>
      <c r="L54" s="18">
        <f t="shared" ca="1" si="2"/>
        <v>5262292.4583334047</v>
      </c>
      <c r="M54" s="18">
        <f>'Monthly Data'!Y54</f>
        <v>528</v>
      </c>
      <c r="N54" s="18">
        <f>'Monthly Data'!DN54</f>
        <v>0</v>
      </c>
      <c r="O54" s="18">
        <f>'Monthly Data'!DO54</f>
        <v>0</v>
      </c>
      <c r="P54" s="18">
        <f t="shared" ca="1" si="3"/>
        <v>232.88687500000006</v>
      </c>
      <c r="Q54" s="18">
        <f>'Monthly Data'!BR54</f>
        <v>0</v>
      </c>
      <c r="R54" s="18"/>
      <c r="S54" s="18">
        <f>'LC Predicted Monthly'!$T$9</f>
        <v>-22694.781953278001</v>
      </c>
      <c r="T54" s="18">
        <f>N54*'LC Predicted Monthly'!$T$10</f>
        <v>0</v>
      </c>
      <c r="U54" s="18">
        <f>O54*'LC Predicted Monthly'!$T$11</f>
        <v>0</v>
      </c>
      <c r="V54" s="18">
        <f ca="1">P54*'LC Predicted Monthly'!$T$12</f>
        <v>47679.703241125091</v>
      </c>
      <c r="W54" s="18">
        <f>Q54*'LC Predicted Monthly'!$T$13</f>
        <v>0</v>
      </c>
      <c r="X54" s="18">
        <f t="shared" ca="1" si="4"/>
        <v>24984.92128784709</v>
      </c>
      <c r="Y54" s="18">
        <f t="shared" ca="1" si="5"/>
        <v>5287277.3796212515</v>
      </c>
      <c r="AO54" s="33">
        <f t="shared" ca="1" si="15"/>
        <v>208.10177399498693</v>
      </c>
      <c r="AP54" s="33">
        <f t="shared" ca="1" si="15"/>
        <v>257.1408868815717</v>
      </c>
      <c r="AQ54" s="33">
        <f t="shared" ca="1" si="15"/>
        <v>94.189799406741059</v>
      </c>
      <c r="AR54" s="33">
        <f t="shared" ca="1" si="15"/>
        <v>120.88389931317884</v>
      </c>
      <c r="AT54" s="18">
        <f ca="1">AO54*'GS&gt;50 Predicted Monthly (no LC)'!$P$10</f>
        <v>481858.77049924171</v>
      </c>
      <c r="AU54" s="18">
        <f ca="1">AP54*'GS&gt;50 Predicted Monthly (no LC)'!$P$10</f>
        <v>595408.62732301152</v>
      </c>
      <c r="AV54" s="18">
        <f ca="1">AQ54*'GS&gt;50 Predicted Monthly (no LC)'!$P$11</f>
        <v>508834.19663797691</v>
      </c>
      <c r="AW54" s="18">
        <f ca="1">AR54*'GS&gt;50 Predicted Monthly (no LC)'!$P$11</f>
        <v>653041.64761906536</v>
      </c>
      <c r="AY54" s="18">
        <f ca="1">AO54*'LC Predicted Monthly'!$T$12</f>
        <v>42605.367211152006</v>
      </c>
      <c r="AZ54" s="18">
        <f ca="1">AP54*'LC Predicted Monthly'!$T$12</f>
        <v>52645.307631325515</v>
      </c>
      <c r="BB54" s="31">
        <f t="shared" ca="1" si="6"/>
        <v>5131642.9694104819</v>
      </c>
      <c r="BC54" s="31">
        <f t="shared" ca="1" si="7"/>
        <v>5399440.2176355133</v>
      </c>
    </row>
    <row r="55" spans="1:55">
      <c r="A55" s="541">
        <f>'Monthly Data'!A55</f>
        <v>43983</v>
      </c>
      <c r="B55">
        <f t="shared" si="8"/>
        <v>2020</v>
      </c>
      <c r="C55">
        <f t="shared" si="9"/>
        <v>6</v>
      </c>
      <c r="D55" s="30">
        <f>'Monthly Data'!N55</f>
        <v>5172414.0502330102</v>
      </c>
      <c r="E55" s="30">
        <f>'Monthly Data'!AB55</f>
        <v>5169273.0902330102</v>
      </c>
      <c r="F55" s="33">
        <f t="shared" ca="1" si="14"/>
        <v>92.751249999999999</v>
      </c>
      <c r="G55" s="33">
        <f t="shared" ca="1" si="14"/>
        <v>227.31958333333333</v>
      </c>
      <c r="I55" s="18">
        <f>'GS&gt;50 Predicted Monthly (no LC)'!$P$9</f>
        <v>4121039.41701539</v>
      </c>
      <c r="J55" s="18">
        <f ca="1">F55*'GS&gt;50 Predicted Monthly (no LC)'!$P$10</f>
        <v>214765.12395489923</v>
      </c>
      <c r="K55" s="18">
        <f ca="1">G55*'GS&gt;50 Predicted Monthly (no LC)'!$P$11</f>
        <v>1228030.8302389067</v>
      </c>
      <c r="L55" s="18">
        <f t="shared" ca="1" si="2"/>
        <v>5563835.3712091958</v>
      </c>
      <c r="M55" s="18">
        <f>'Monthly Data'!Y55</f>
        <v>3140.96</v>
      </c>
      <c r="N55" s="18">
        <f>'Monthly Data'!DN55</f>
        <v>0</v>
      </c>
      <c r="O55" s="18">
        <f>'Monthly Data'!DO55</f>
        <v>0</v>
      </c>
      <c r="P55" s="18">
        <f t="shared" ca="1" si="3"/>
        <v>92.751249999999999</v>
      </c>
      <c r="Q55" s="18">
        <f>'Monthly Data'!BR55</f>
        <v>0</v>
      </c>
      <c r="R55" s="18"/>
      <c r="S55" s="18">
        <f>'LC Predicted Monthly'!$T$9</f>
        <v>-22694.781953278001</v>
      </c>
      <c r="T55" s="18">
        <f>N55*'LC Predicted Monthly'!$T$10</f>
        <v>0</v>
      </c>
      <c r="U55" s="18">
        <f>O55*'LC Predicted Monthly'!$T$11</f>
        <v>0</v>
      </c>
      <c r="V55" s="18">
        <f ca="1">P55*'LC Predicted Monthly'!$T$12</f>
        <v>18989.271401591017</v>
      </c>
      <c r="W55" s="18">
        <f>Q55*'LC Predicted Monthly'!$T$13</f>
        <v>0</v>
      </c>
      <c r="X55" s="18">
        <f t="shared" ca="1" si="4"/>
        <v>-3705.5105516869844</v>
      </c>
      <c r="Y55" s="18">
        <f t="shared" ca="1" si="5"/>
        <v>5560129.8606575085</v>
      </c>
      <c r="AO55" s="33">
        <f t="shared" ca="1" si="15"/>
        <v>82.880152285321046</v>
      </c>
      <c r="AP55" s="33">
        <f t="shared" ca="1" si="15"/>
        <v>102.41083223077457</v>
      </c>
      <c r="AQ55" s="33">
        <f t="shared" ca="1" si="15"/>
        <v>192.13806931430472</v>
      </c>
      <c r="AR55" s="33">
        <f t="shared" ca="1" si="15"/>
        <v>246.59144802846558</v>
      </c>
      <c r="AT55" s="18">
        <f ca="1">AO55*'GS&gt;50 Predicted Monthly (no LC)'!$P$10</f>
        <v>191908.63927934016</v>
      </c>
      <c r="AU55" s="18">
        <f ca="1">AP55*'GS&gt;50 Predicted Monthly (no LC)'!$P$10</f>
        <v>237131.8454292173</v>
      </c>
      <c r="AV55" s="18">
        <f ca="1">AQ55*'GS&gt;50 Predicted Monthly (no LC)'!$P$11</f>
        <v>1037972.4849070985</v>
      </c>
      <c r="AW55" s="18">
        <f ca="1">AR55*'GS&gt;50 Predicted Monthly (no LC)'!$P$11</f>
        <v>1332141.7196518595</v>
      </c>
      <c r="AY55" s="18">
        <f ca="1">AO55*'LC Predicted Monthly'!$T$12</f>
        <v>16968.328788573257</v>
      </c>
      <c r="AZ55" s="18">
        <f ca="1">AP55*'LC Predicted Monthly'!$T$12</f>
        <v>20966.909747232337</v>
      </c>
      <c r="BB55" s="31">
        <f t="shared" ca="1" si="6"/>
        <v>5345194.088037123</v>
      </c>
      <c r="BC55" s="31">
        <f t="shared" ca="1" si="7"/>
        <v>5688585.1098904209</v>
      </c>
    </row>
    <row r="56" spans="1:55">
      <c r="A56" s="541">
        <f>'Monthly Data'!A56</f>
        <v>44013</v>
      </c>
      <c r="B56">
        <f t="shared" si="8"/>
        <v>2020</v>
      </c>
      <c r="C56">
        <f t="shared" si="9"/>
        <v>7</v>
      </c>
      <c r="D56" s="30">
        <f>'Monthly Data'!N56</f>
        <v>5878605.6677317806</v>
      </c>
      <c r="E56" s="30">
        <f>'Monthly Data'!AB56</f>
        <v>5834268.8677317807</v>
      </c>
      <c r="F56" s="33">
        <f t="shared" ca="1" si="14"/>
        <v>25.464999999999996</v>
      </c>
      <c r="G56" s="33">
        <f t="shared" ca="1" si="14"/>
        <v>327.99625000000003</v>
      </c>
      <c r="I56" s="18">
        <f>'GS&gt;50 Predicted Monthly (no LC)'!$P$9</f>
        <v>4121039.41701539</v>
      </c>
      <c r="J56" s="18">
        <f ca="1">F56*'GS&gt;50 Predicted Monthly (no LC)'!$P$10</f>
        <v>58964.098936796094</v>
      </c>
      <c r="K56" s="18">
        <f ca="1">G56*'GS&gt;50 Predicted Monthly (no LC)'!$P$11</f>
        <v>1771908.5232182215</v>
      </c>
      <c r="L56" s="18">
        <f t="shared" ca="1" si="2"/>
        <v>5951912.0391704077</v>
      </c>
      <c r="M56" s="18">
        <f>'Monthly Data'!Y56</f>
        <v>44336.800000000003</v>
      </c>
      <c r="N56" s="18">
        <f>'Monthly Data'!DN56</f>
        <v>0</v>
      </c>
      <c r="O56" s="18">
        <f>'Monthly Data'!DO56</f>
        <v>0</v>
      </c>
      <c r="P56" s="18">
        <f t="shared" ca="1" si="3"/>
        <v>25.464999999999996</v>
      </c>
      <c r="Q56" s="18">
        <f>'Monthly Data'!BR56</f>
        <v>0</v>
      </c>
      <c r="R56" s="18"/>
      <c r="S56" s="18">
        <f>'LC Predicted Monthly'!$T$9</f>
        <v>-22694.781953278001</v>
      </c>
      <c r="T56" s="18">
        <f>N56*'LC Predicted Monthly'!$T$10</f>
        <v>0</v>
      </c>
      <c r="U56" s="18">
        <f>O56*'LC Predicted Monthly'!$T$11</f>
        <v>0</v>
      </c>
      <c r="V56" s="18">
        <f ca="1">P56*'LC Predicted Monthly'!$T$12</f>
        <v>5213.5340088841413</v>
      </c>
      <c r="W56" s="18">
        <f>Q56*'LC Predicted Monthly'!$T$13</f>
        <v>0</v>
      </c>
      <c r="X56" s="18">
        <f t="shared" ca="1" si="4"/>
        <v>-17481.247944393861</v>
      </c>
      <c r="Y56" s="18">
        <f t="shared" ca="1" si="5"/>
        <v>5934430.7912260136</v>
      </c>
      <c r="AO56" s="33">
        <f t="shared" ca="1" si="15"/>
        <v>22.754874763905612</v>
      </c>
      <c r="AP56" s="33">
        <f t="shared" ca="1" si="15"/>
        <v>28.117053330889604</v>
      </c>
      <c r="AQ56" s="33">
        <f t="shared" ca="1" si="15"/>
        <v>277.23333508367784</v>
      </c>
      <c r="AR56" s="33">
        <f t="shared" ca="1" si="15"/>
        <v>355.80335424425579</v>
      </c>
      <c r="AT56" s="18">
        <f ca="1">AO56*'GS&gt;50 Predicted Monthly (no LC)'!$P$10</f>
        <v>52688.815506512285</v>
      </c>
      <c r="AU56" s="18">
        <f ca="1">AP56*'GS&gt;50 Predicted Monthly (no LC)'!$P$10</f>
        <v>65104.917118152247</v>
      </c>
      <c r="AV56" s="18">
        <f ca="1">AQ56*'GS&gt;50 Predicted Monthly (no LC)'!$P$11</f>
        <v>1497675.9928047406</v>
      </c>
      <c r="AW56" s="18">
        <f ca="1">AR56*'GS&gt;50 Predicted Monthly (no LC)'!$P$11</f>
        <v>1922128.6706022671</v>
      </c>
      <c r="AY56" s="18">
        <f ca="1">AO56*'LC Predicted Monthly'!$T$12</f>
        <v>4658.6810700774167</v>
      </c>
      <c r="AZ56" s="18">
        <f ca="1">AP56*'LC Predicted Monthly'!$T$12</f>
        <v>5756.4976937051679</v>
      </c>
      <c r="BB56" s="31">
        <f t="shared" ca="1" si="6"/>
        <v>5653368.1244434416</v>
      </c>
      <c r="BC56" s="31">
        <f t="shared" ca="1" si="7"/>
        <v>6091334.7204762362</v>
      </c>
    </row>
    <row r="57" spans="1:55">
      <c r="A57" s="541">
        <f>'Monthly Data'!A57</f>
        <v>44044</v>
      </c>
      <c r="B57">
        <f t="shared" si="8"/>
        <v>2020</v>
      </c>
      <c r="C57">
        <f t="shared" si="9"/>
        <v>8</v>
      </c>
      <c r="D57" s="30">
        <f>'Monthly Data'!N57</f>
        <v>5677799.2852305518</v>
      </c>
      <c r="E57" s="30">
        <f>'Monthly Data'!AB57</f>
        <v>5670245.6852305522</v>
      </c>
      <c r="F57" s="33">
        <f t="shared" ca="1" si="14"/>
        <v>54.974791666666668</v>
      </c>
      <c r="G57" s="33">
        <f t="shared" ca="1" si="14"/>
        <v>280.40312500000005</v>
      </c>
      <c r="I57" s="18">
        <f>'GS&gt;50 Predicted Monthly (no LC)'!$P$9</f>
        <v>4121039.41701539</v>
      </c>
      <c r="J57" s="18">
        <f ca="1">F57*'GS&gt;50 Predicted Monthly (no LC)'!$P$10</f>
        <v>127293.89573387343</v>
      </c>
      <c r="K57" s="18">
        <f ca="1">G57*'GS&gt;50 Predicted Monthly (no LC)'!$P$11</f>
        <v>1514799.9012931532</v>
      </c>
      <c r="L57" s="18">
        <f t="shared" ca="1" si="2"/>
        <v>5763133.2140424168</v>
      </c>
      <c r="M57" s="18">
        <f>'Monthly Data'!Y57</f>
        <v>7553.6</v>
      </c>
      <c r="N57" s="18">
        <f>'Monthly Data'!DN57</f>
        <v>0</v>
      </c>
      <c r="O57" s="18">
        <f>'Monthly Data'!DO57</f>
        <v>0</v>
      </c>
      <c r="P57" s="18">
        <f t="shared" ca="1" si="3"/>
        <v>54.974791666666668</v>
      </c>
      <c r="Q57" s="18">
        <f>'Monthly Data'!BR57</f>
        <v>0</v>
      </c>
      <c r="R57" s="18"/>
      <c r="S57" s="18">
        <f>'LC Predicted Monthly'!$T$9</f>
        <v>-22694.781953278001</v>
      </c>
      <c r="T57" s="18">
        <f>N57*'LC Predicted Monthly'!$T$10</f>
        <v>0</v>
      </c>
      <c r="U57" s="18">
        <f>O57*'LC Predicted Monthly'!$T$11</f>
        <v>0</v>
      </c>
      <c r="V57" s="18">
        <f ca="1">P57*'LC Predicted Monthly'!$T$12</f>
        <v>11255.171646789209</v>
      </c>
      <c r="W57" s="18">
        <f>Q57*'LC Predicted Monthly'!$T$13</f>
        <v>0</v>
      </c>
      <c r="X57" s="18">
        <f t="shared" ca="1" si="4"/>
        <v>-11439.610306488792</v>
      </c>
      <c r="Y57" s="18">
        <f t="shared" ca="1" si="5"/>
        <v>5751693.6037359284</v>
      </c>
      <c r="AO57" s="33">
        <f t="shared" ca="1" si="15"/>
        <v>49.124072238240799</v>
      </c>
      <c r="AP57" s="33">
        <f t="shared" ca="1" si="15"/>
        <v>60.700143300459935</v>
      </c>
      <c r="AQ57" s="33">
        <f t="shared" ca="1" si="15"/>
        <v>237.00604354969119</v>
      </c>
      <c r="AR57" s="33">
        <f t="shared" ca="1" si="15"/>
        <v>304.17534473510392</v>
      </c>
      <c r="AT57" s="18">
        <f ca="1">AO57*'GS&gt;50 Predicted Monthly (no LC)'!$P$10</f>
        <v>113746.57984032786</v>
      </c>
      <c r="AU57" s="18">
        <f ca="1">AP57*'GS&gt;50 Predicted Monthly (no LC)'!$P$10</f>
        <v>140550.92303341921</v>
      </c>
      <c r="AV57" s="18">
        <f ca="1">AQ57*'GS&gt;50 Predicted Monthly (no LC)'!$P$11</f>
        <v>1280359.2377044759</v>
      </c>
      <c r="AW57" s="18">
        <f ca="1">AR57*'GS&gt;50 Predicted Monthly (no LC)'!$P$11</f>
        <v>1643222.7072381813</v>
      </c>
      <c r="AY57" s="18">
        <f ca="1">AO57*'LC Predicted Monthly'!$T$12</f>
        <v>10057.334430353416</v>
      </c>
      <c r="AZ57" s="18">
        <f ca="1">AP57*'LC Predicted Monthly'!$T$12</f>
        <v>12427.341898334529</v>
      </c>
      <c r="BB57" s="31">
        <f t="shared" ca="1" si="6"/>
        <v>5502507.7870372701</v>
      </c>
      <c r="BC57" s="31">
        <f t="shared" ca="1" si="7"/>
        <v>5894545.6072320472</v>
      </c>
    </row>
    <row r="58" spans="1:55">
      <c r="A58" s="541">
        <f>'Monthly Data'!A58</f>
        <v>44075</v>
      </c>
      <c r="B58">
        <f t="shared" si="8"/>
        <v>2020</v>
      </c>
      <c r="C58">
        <f t="shared" si="9"/>
        <v>9</v>
      </c>
      <c r="D58" s="30">
        <f>'Monthly Data'!N58</f>
        <v>4853861.9027293231</v>
      </c>
      <c r="E58" s="30">
        <f>'Monthly Data'!AB58</f>
        <v>4852010.7027293229</v>
      </c>
      <c r="F58" s="33">
        <f t="shared" ca="1" si="14"/>
        <v>166.50624999999999</v>
      </c>
      <c r="G58" s="33">
        <f t="shared" ca="1" si="14"/>
        <v>144.00333333333333</v>
      </c>
      <c r="I58" s="18">
        <f>'GS&gt;50 Predicted Monthly (no LC)'!$P$9</f>
        <v>4121039.41701539</v>
      </c>
      <c r="J58" s="18">
        <f ca="1">F58*'GS&gt;50 Predicted Monthly (no LC)'!$P$10</f>
        <v>385544.51202022011</v>
      </c>
      <c r="K58" s="18">
        <f ca="1">G58*'GS&gt;50 Predicted Monthly (no LC)'!$P$11</f>
        <v>777937.96028206998</v>
      </c>
      <c r="L58" s="18">
        <f t="shared" ca="1" si="2"/>
        <v>5284521.8893176802</v>
      </c>
      <c r="M58" s="18">
        <f>'Monthly Data'!Y58</f>
        <v>1851.2</v>
      </c>
      <c r="N58" s="18">
        <f>'Monthly Data'!DN58</f>
        <v>0</v>
      </c>
      <c r="O58" s="18">
        <f>'Monthly Data'!DO58</f>
        <v>0</v>
      </c>
      <c r="P58" s="18">
        <f t="shared" ca="1" si="3"/>
        <v>166.50624999999999</v>
      </c>
      <c r="Q58" s="18">
        <f>'Monthly Data'!BR58</f>
        <v>1</v>
      </c>
      <c r="R58" s="18"/>
      <c r="S58" s="18">
        <f>'LC Predicted Monthly'!$T$9</f>
        <v>-22694.781953278001</v>
      </c>
      <c r="T58" s="18">
        <f>N58*'LC Predicted Monthly'!$T$10</f>
        <v>0</v>
      </c>
      <c r="U58" s="18">
        <f>O58*'LC Predicted Monthly'!$T$11</f>
        <v>0</v>
      </c>
      <c r="V58" s="18">
        <f ca="1">P58*'LC Predicted Monthly'!$T$12</f>
        <v>34089.377461879645</v>
      </c>
      <c r="W58" s="18">
        <f>Q58*'LC Predicted Monthly'!$T$13</f>
        <v>97970.228068396304</v>
      </c>
      <c r="X58" s="18">
        <f t="shared" ca="1" si="4"/>
        <v>109364.82357699795</v>
      </c>
      <c r="Y58" s="18">
        <f t="shared" ca="1" si="5"/>
        <v>5393886.7128946781</v>
      </c>
      <c r="AO58" s="33">
        <f t="shared" ca="1" si="15"/>
        <v>148.78573988445157</v>
      </c>
      <c r="AP58" s="33">
        <f t="shared" ca="1" si="15"/>
        <v>183.84704932952829</v>
      </c>
      <c r="AQ58" s="33">
        <f t="shared" ca="1" si="15"/>
        <v>121.71640487708792</v>
      </c>
      <c r="AR58" s="33">
        <f t="shared" ca="1" si="15"/>
        <v>156.21175248910205</v>
      </c>
      <c r="AT58" s="18">
        <f ca="1">AO58*'GS&gt;50 Predicted Monthly (no LC)'!$P$10</f>
        <v>344512.74639431422</v>
      </c>
      <c r="AU58" s="18">
        <f ca="1">AP58*'GS&gt;50 Predicted Monthly (no LC)'!$P$10</f>
        <v>425697.05893989158</v>
      </c>
      <c r="AV58" s="18">
        <f ca="1">AQ58*'GS&gt;50 Predicted Monthly (no LC)'!$P$11</f>
        <v>657539.02740409982</v>
      </c>
      <c r="AW58" s="18">
        <f ca="1">AR58*'GS&gt;50 Predicted Monthly (no LC)'!$P$11</f>
        <v>843890.54954834119</v>
      </c>
      <c r="AY58" s="18">
        <f ca="1">AO58*'LC Predicted Monthly'!$T$12</f>
        <v>30461.398583333124</v>
      </c>
      <c r="AZ58" s="18">
        <f ca="1">AP58*'LC Predicted Monthly'!$T$12</f>
        <v>37639.616890339537</v>
      </c>
      <c r="BB58" s="31">
        <f t="shared" ca="1" si="6"/>
        <v>5228828.0355122555</v>
      </c>
      <c r="BC58" s="31">
        <f t="shared" ca="1" si="7"/>
        <v>5503542.0885090809</v>
      </c>
    </row>
    <row r="59" spans="1:55">
      <c r="A59" s="541">
        <f>'Monthly Data'!A59</f>
        <v>44105</v>
      </c>
      <c r="B59">
        <f t="shared" si="8"/>
        <v>2020</v>
      </c>
      <c r="C59">
        <f t="shared" si="9"/>
        <v>10</v>
      </c>
      <c r="D59" s="30">
        <f>'Monthly Data'!N59</f>
        <v>5147410.5202280935</v>
      </c>
      <c r="E59" s="30">
        <f>'Monthly Data'!AB59</f>
        <v>5145419.3202280933</v>
      </c>
      <c r="F59" s="33">
        <f t="shared" ca="1" si="14"/>
        <v>363.47645833333326</v>
      </c>
      <c r="G59" s="33">
        <f t="shared" ca="1" si="14"/>
        <v>40.02791666666667</v>
      </c>
      <c r="I59" s="18">
        <f>'GS&gt;50 Predicted Monthly (no LC)'!$P$9</f>
        <v>4121039.41701539</v>
      </c>
      <c r="J59" s="18">
        <f ca="1">F59*'GS&gt;50 Predicted Monthly (no LC)'!$P$10</f>
        <v>841628.18968635018</v>
      </c>
      <c r="K59" s="18">
        <f ca="1">G59*'GS&gt;50 Predicted Monthly (no LC)'!$P$11</f>
        <v>216239.6878267217</v>
      </c>
      <c r="L59" s="18">
        <f t="shared" ca="1" si="2"/>
        <v>5178907.294528462</v>
      </c>
      <c r="M59" s="18">
        <f>'Monthly Data'!Y59</f>
        <v>1991.2</v>
      </c>
      <c r="N59" s="18">
        <f>'Monthly Data'!DN59</f>
        <v>0</v>
      </c>
      <c r="O59" s="18">
        <f>'Monthly Data'!DO59</f>
        <v>0</v>
      </c>
      <c r="P59" s="18">
        <f t="shared" ca="1" si="3"/>
        <v>363.47645833333326</v>
      </c>
      <c r="Q59" s="18">
        <f>'Monthly Data'!BR59</f>
        <v>1</v>
      </c>
      <c r="R59" s="18"/>
      <c r="S59" s="18">
        <f>'LC Predicted Monthly'!$T$9</f>
        <v>-22694.781953278001</v>
      </c>
      <c r="T59" s="18">
        <f>N59*'LC Predicted Monthly'!$T$10</f>
        <v>0</v>
      </c>
      <c r="U59" s="18">
        <f>O59*'LC Predicted Monthly'!$T$11</f>
        <v>0</v>
      </c>
      <c r="V59" s="18">
        <f ca="1">P59*'LC Predicted Monthly'!$T$12</f>
        <v>74415.742271729541</v>
      </c>
      <c r="W59" s="18">
        <f>Q59*'LC Predicted Monthly'!$T$13</f>
        <v>97970.228068396304</v>
      </c>
      <c r="X59" s="18">
        <f t="shared" ca="1" si="4"/>
        <v>149691.18838684785</v>
      </c>
      <c r="Y59" s="18">
        <f t="shared" ca="1" si="5"/>
        <v>5328598.4829153102</v>
      </c>
      <c r="AO59" s="33">
        <f t="shared" ca="1" si="15"/>
        <v>324.79329624987065</v>
      </c>
      <c r="AP59" s="33">
        <f t="shared" ca="1" si="15"/>
        <v>401.33072701673694</v>
      </c>
      <c r="AQ59" s="33">
        <f t="shared" ca="1" si="15"/>
        <v>33.832925937267667</v>
      </c>
      <c r="AR59" s="33">
        <f t="shared" ca="1" si="15"/>
        <v>43.421432450552551</v>
      </c>
      <c r="AT59" s="18">
        <f ca="1">AO59*'GS&gt;50 Predicted Monthly (no LC)'!$P$10</f>
        <v>752057.49279738846</v>
      </c>
      <c r="AU59" s="18">
        <f ca="1">AP59*'GS&gt;50 Predicted Monthly (no LC)'!$P$10</f>
        <v>929279.58744124032</v>
      </c>
      <c r="AV59" s="18">
        <f ca="1">AQ59*'GS&gt;50 Predicted Monthly (no LC)'!$P$11</f>
        <v>182772.97326922306</v>
      </c>
      <c r="AW59" s="18">
        <f ca="1">AR59*'GS&gt;50 Predicted Monthly (no LC)'!$P$11</f>
        <v>234572.21309535802</v>
      </c>
      <c r="AY59" s="18">
        <f ca="1">AO59*'LC Predicted Monthly'!$T$12</f>
        <v>66496.010047370233</v>
      </c>
      <c r="AZ59" s="18">
        <f ca="1">AP59*'LC Predicted Monthly'!$T$12</f>
        <v>82165.772397877707</v>
      </c>
      <c r="BB59" s="31">
        <f t="shared" ca="1" si="6"/>
        <v>5197641.3392444905</v>
      </c>
      <c r="BC59" s="31">
        <f t="shared" ca="1" si="7"/>
        <v>5442332.4360649846</v>
      </c>
    </row>
    <row r="60" spans="1:55">
      <c r="A60" s="541">
        <f>'Monthly Data'!A60</f>
        <v>44136</v>
      </c>
      <c r="B60">
        <f t="shared" si="8"/>
        <v>2020</v>
      </c>
      <c r="C60">
        <f t="shared" si="9"/>
        <v>11</v>
      </c>
      <c r="D60" s="30">
        <f>'Monthly Data'!N60</f>
        <v>5346134.1377268648</v>
      </c>
      <c r="E60" s="30">
        <f>'Monthly Data'!AB60</f>
        <v>5342094.1377268648</v>
      </c>
      <c r="F60" s="33">
        <f t="shared" ca="1" si="14"/>
        <v>586.00395833333334</v>
      </c>
      <c r="G60" s="33">
        <f t="shared" ca="1" si="14"/>
        <v>4.5920833333333331</v>
      </c>
      <c r="I60" s="18">
        <f>'GS&gt;50 Predicted Monthly (no LC)'!$P$9</f>
        <v>4121039.41701539</v>
      </c>
      <c r="J60" s="18">
        <f ca="1">F60*'GS&gt;50 Predicted Monthly (no LC)'!$P$10</f>
        <v>1356889.6672499825</v>
      </c>
      <c r="K60" s="18">
        <f ca="1">G60*'GS&gt;50 Predicted Monthly (no LC)'!$P$11</f>
        <v>24807.453126862496</v>
      </c>
      <c r="L60" s="18">
        <f t="shared" ca="1" si="2"/>
        <v>5502736.5373922354</v>
      </c>
      <c r="M60" s="18">
        <f>'Monthly Data'!Y60</f>
        <v>4040</v>
      </c>
      <c r="N60" s="18">
        <f>'Monthly Data'!DN60</f>
        <v>0</v>
      </c>
      <c r="O60" s="18">
        <f>'Monthly Data'!DO60</f>
        <v>0</v>
      </c>
      <c r="P60" s="18">
        <f t="shared" ca="1" si="3"/>
        <v>586.00395833333334</v>
      </c>
      <c r="Q60" s="18">
        <f>'Monthly Data'!BR60</f>
        <v>1</v>
      </c>
      <c r="R60" s="18"/>
      <c r="S60" s="18">
        <f>'LC Predicted Monthly'!$T$9</f>
        <v>-22694.781953278001</v>
      </c>
      <c r="T60" s="18">
        <f>N60*'LC Predicted Monthly'!$T$10</f>
        <v>0</v>
      </c>
      <c r="U60" s="18">
        <f>O60*'LC Predicted Monthly'!$T$11</f>
        <v>0</v>
      </c>
      <c r="V60" s="18">
        <f ca="1">P60*'LC Predicted Monthly'!$T$12</f>
        <v>119974.53626984327</v>
      </c>
      <c r="W60" s="18">
        <f>Q60*'LC Predicted Monthly'!$T$13</f>
        <v>97970.228068396304</v>
      </c>
      <c r="X60" s="18">
        <f t="shared" ca="1" si="4"/>
        <v>195249.98238496156</v>
      </c>
      <c r="Y60" s="18">
        <f t="shared" ca="1" si="5"/>
        <v>5697986.5197771974</v>
      </c>
      <c r="AO60" s="33">
        <f t="shared" ca="1" si="15"/>
        <v>523.63819685953126</v>
      </c>
      <c r="AP60" s="33">
        <f t="shared" ca="1" si="15"/>
        <v>647.03336142041019</v>
      </c>
      <c r="AQ60" s="33">
        <f t="shared" ca="1" si="15"/>
        <v>3.8813815020207452</v>
      </c>
      <c r="AR60" s="33">
        <f t="shared" ca="1" si="15"/>
        <v>4.9813943085298762</v>
      </c>
      <c r="AT60" s="18">
        <f ca="1">AO60*'GS&gt;50 Predicted Monthly (no LC)'!$P$10</f>
        <v>1212482.0124371063</v>
      </c>
      <c r="AU60" s="18">
        <f ca="1">AP60*'GS&gt;50 Predicted Monthly (no LC)'!$P$10</f>
        <v>1498202.9899156024</v>
      </c>
      <c r="AV60" s="18">
        <f ca="1">AQ60*'GS&gt;50 Predicted Monthly (no LC)'!$P$11</f>
        <v>20968.084132949996</v>
      </c>
      <c r="AW60" s="18">
        <f ca="1">AR60*'GS&gt;50 Predicted Monthly (no LC)'!$P$11</f>
        <v>26910.597401021583</v>
      </c>
      <c r="AY60" s="18">
        <f ca="1">AO60*'LC Predicted Monthly'!$T$12</f>
        <v>107206.18683204145</v>
      </c>
      <c r="AZ60" s="18">
        <f ca="1">AP60*'LC Predicted Monthly'!$T$12</f>
        <v>132469.28861762941</v>
      </c>
      <c r="BB60" s="31">
        <f t="shared" ca="1" si="6"/>
        <v>5536971.1465326073</v>
      </c>
      <c r="BC60" s="31">
        <f t="shared" ca="1" si="7"/>
        <v>5853897.7390647624</v>
      </c>
    </row>
    <row r="61" spans="1:55">
      <c r="A61" s="541">
        <f>'Monthly Data'!A61</f>
        <v>44166</v>
      </c>
      <c r="B61">
        <f t="shared" si="8"/>
        <v>2020</v>
      </c>
      <c r="C61">
        <f t="shared" si="9"/>
        <v>12</v>
      </c>
      <c r="D61" s="30">
        <f>'Monthly Data'!N61</f>
        <v>6328103.7552256361</v>
      </c>
      <c r="E61" s="30">
        <f>'Monthly Data'!AB61</f>
        <v>6319796.5552256359</v>
      </c>
      <c r="F61" s="33">
        <f t="shared" ca="1" si="14"/>
        <v>812.36333333333334</v>
      </c>
      <c r="G61" s="33">
        <f t="shared" ca="1" si="14"/>
        <v>0</v>
      </c>
      <c r="I61" s="18">
        <f>'GS&gt;50 Predicted Monthly (no LC)'!$P$9</f>
        <v>4121039.41701539</v>
      </c>
      <c r="J61" s="18">
        <f ca="1">F61*'GS&gt;50 Predicted Monthly (no LC)'!$P$10</f>
        <v>1881023.8350399425</v>
      </c>
      <c r="K61" s="18">
        <f ca="1">G61*'GS&gt;50 Predicted Monthly (no LC)'!$P$11</f>
        <v>0</v>
      </c>
      <c r="L61" s="18">
        <f t="shared" ca="1" si="2"/>
        <v>6002063.2520553321</v>
      </c>
      <c r="M61" s="18">
        <f>'Monthly Data'!Y61</f>
        <v>8307.2000000000007</v>
      </c>
      <c r="N61" s="18">
        <f>'Monthly Data'!DN61</f>
        <v>0</v>
      </c>
      <c r="O61" s="18">
        <f>'Monthly Data'!DO61</f>
        <v>0</v>
      </c>
      <c r="P61" s="18">
        <f t="shared" ca="1" si="3"/>
        <v>812.36333333333334</v>
      </c>
      <c r="Q61" s="18">
        <f>'Monthly Data'!BR61</f>
        <v>0</v>
      </c>
      <c r="R61" s="18"/>
      <c r="S61" s="18">
        <f>'LC Predicted Monthly'!$T$9</f>
        <v>-22694.781953278001</v>
      </c>
      <c r="T61" s="18">
        <f>N61*'LC Predicted Monthly'!$T$10</f>
        <v>0</v>
      </c>
      <c r="U61" s="18">
        <f>O61*'LC Predicted Monthly'!$T$11</f>
        <v>0</v>
      </c>
      <c r="V61" s="18">
        <f ca="1">P61*'LC Predicted Monthly'!$T$12</f>
        <v>166317.84276080181</v>
      </c>
      <c r="W61" s="18">
        <f>Q61*'LC Predicted Monthly'!$T$13</f>
        <v>0</v>
      </c>
      <c r="X61" s="18">
        <f t="shared" ca="1" si="4"/>
        <v>143623.06080752381</v>
      </c>
      <c r="Y61" s="18">
        <f t="shared" ca="1" si="5"/>
        <v>6145686.3128628563</v>
      </c>
      <c r="AO61" s="33">
        <f t="shared" ca="1" si="15"/>
        <v>725.90716327464804</v>
      </c>
      <c r="AP61" s="33">
        <f t="shared" ca="1" si="15"/>
        <v>896.96694158227319</v>
      </c>
      <c r="AQ61" s="33">
        <f t="shared" ca="1" si="15"/>
        <v>0</v>
      </c>
      <c r="AR61" s="33">
        <f t="shared" ca="1" si="15"/>
        <v>0</v>
      </c>
      <c r="AT61" s="18">
        <f ca="1">AO61*'GS&gt;50 Predicted Monthly (no LC)'!$P$10</f>
        <v>1680834.941851771</v>
      </c>
      <c r="AU61" s="18">
        <f ca="1">AP61*'GS&gt;50 Predicted Monthly (no LC)'!$P$10</f>
        <v>2076923.1292555493</v>
      </c>
      <c r="AV61" s="18">
        <f ca="1">AQ61*'GS&gt;50 Predicted Monthly (no LC)'!$P$11</f>
        <v>0</v>
      </c>
      <c r="AW61" s="18">
        <f ca="1">AR61*'GS&gt;50 Predicted Monthly (no LC)'!$P$11</f>
        <v>0</v>
      </c>
      <c r="AY61" s="18">
        <f ca="1">AO61*'LC Predicted Monthly'!$T$12</f>
        <v>148617.38397899043</v>
      </c>
      <c r="AZ61" s="18">
        <f ca="1">AP61*'LC Predicted Monthly'!$T$12</f>
        <v>183639.02041170144</v>
      </c>
      <c r="BB61" s="31">
        <f t="shared" ca="1" si="6"/>
        <v>5927796.9608928729</v>
      </c>
      <c r="BC61" s="31">
        <f t="shared" ca="1" si="7"/>
        <v>6358906.7847293625</v>
      </c>
    </row>
    <row r="62" spans="1:55">
      <c r="A62" s="541">
        <f>'Monthly Data'!A62</f>
        <v>44197</v>
      </c>
      <c r="B62">
        <f t="shared" si="8"/>
        <v>2021</v>
      </c>
      <c r="C62">
        <f t="shared" si="9"/>
        <v>1</v>
      </c>
      <c r="D62" s="30">
        <f>'Monthly Data'!N62</f>
        <v>5892807.3511189306</v>
      </c>
      <c r="E62" s="30">
        <f>'Monthly Data'!AB62</f>
        <v>5884963.3511189306</v>
      </c>
      <c r="F62" s="33">
        <f t="shared" ref="F62:G73" ca="1" si="16">F50</f>
        <v>914.55166666666662</v>
      </c>
      <c r="G62" s="33">
        <f t="shared" ca="1" si="16"/>
        <v>0</v>
      </c>
      <c r="I62" s="18">
        <f>'GS&gt;50 Predicted Monthly (no LC)'!$P$9</f>
        <v>4121039.41701539</v>
      </c>
      <c r="J62" s="18">
        <f ca="1">F62*'GS&gt;50 Predicted Monthly (no LC)'!$P$10</f>
        <v>2117640.4852206991</v>
      </c>
      <c r="K62" s="18">
        <f ca="1">G62*'GS&gt;50 Predicted Monthly (no LC)'!$P$11</f>
        <v>0</v>
      </c>
      <c r="L62" s="18">
        <f t="shared" ca="1" si="2"/>
        <v>6238679.9022360891</v>
      </c>
      <c r="M62" s="18">
        <f>'Monthly Data'!Y62</f>
        <v>7844</v>
      </c>
      <c r="N62" s="18">
        <f>'Monthly Data'!DN62</f>
        <v>0</v>
      </c>
      <c r="O62" s="18">
        <f>'Monthly Data'!DO62</f>
        <v>0</v>
      </c>
      <c r="P62" s="18">
        <f t="shared" ca="1" si="3"/>
        <v>914.55166666666662</v>
      </c>
      <c r="Q62" s="18">
        <f>'Monthly Data'!BR62</f>
        <v>0</v>
      </c>
      <c r="R62" s="18"/>
      <c r="S62" s="18">
        <f>'LC Predicted Monthly'!$T$9</f>
        <v>-22694.781953278001</v>
      </c>
      <c r="T62" s="18">
        <f>N62*'LC Predicted Monthly'!$T$10</f>
        <v>0</v>
      </c>
      <c r="U62" s="18">
        <f>O62*'LC Predicted Monthly'!$T$11</f>
        <v>0</v>
      </c>
      <c r="V62" s="18">
        <f ca="1">P62*'LC Predicted Monthly'!$T$12</f>
        <v>187239.19956993285</v>
      </c>
      <c r="W62" s="18">
        <f>Q62*'LC Predicted Monthly'!$T$13</f>
        <v>0</v>
      </c>
      <c r="X62" s="18">
        <f t="shared" ca="1" si="4"/>
        <v>164544.41761665486</v>
      </c>
      <c r="Y62" s="18">
        <f t="shared" ca="1" si="5"/>
        <v>6403224.3198527442</v>
      </c>
      <c r="AO62" s="33">
        <f t="shared" ref="AO62:AR77" ca="1" si="17">AO50</f>
        <v>817.22005262600237</v>
      </c>
      <c r="AP62" s="33">
        <f t="shared" ca="1" si="17"/>
        <v>1009.7976825258449</v>
      </c>
      <c r="AQ62" s="33">
        <f t="shared" ca="1" si="17"/>
        <v>0</v>
      </c>
      <c r="AR62" s="33">
        <f t="shared" ca="1" si="17"/>
        <v>0</v>
      </c>
      <c r="AT62" s="18">
        <f ca="1">AO62*'GS&gt;50 Predicted Monthly (no LC)'!$P$10</f>
        <v>1892269.5478567963</v>
      </c>
      <c r="AU62" s="18">
        <f ca="1">AP62*'GS&gt;50 Predicted Monthly (no LC)'!$P$10</f>
        <v>2338182.2288867598</v>
      </c>
      <c r="AV62" s="18">
        <f ca="1">AQ62*'GS&gt;50 Predicted Monthly (no LC)'!$P$11</f>
        <v>0</v>
      </c>
      <c r="AW62" s="18">
        <f ca="1">AR62*'GS&gt;50 Predicted Monthly (no LC)'!$P$11</f>
        <v>0</v>
      </c>
      <c r="AY62" s="18">
        <f ca="1">AO62*'LC Predicted Monthly'!$T$12</f>
        <v>167312.17502877486</v>
      </c>
      <c r="AZ62" s="18">
        <f ca="1">AP62*'LC Predicted Monthly'!$T$12</f>
        <v>206739.23266997386</v>
      </c>
      <c r="BB62" s="31">
        <f t="shared" ca="1" si="6"/>
        <v>6157926.3579476839</v>
      </c>
      <c r="BC62" s="31">
        <f t="shared" ca="1" si="7"/>
        <v>6643266.0966188461</v>
      </c>
    </row>
    <row r="63" spans="1:55">
      <c r="A63" s="541">
        <f>'Monthly Data'!A63</f>
        <v>44228</v>
      </c>
      <c r="B63">
        <f t="shared" si="8"/>
        <v>2021</v>
      </c>
      <c r="C63">
        <f t="shared" si="9"/>
        <v>2</v>
      </c>
      <c r="D63" s="30">
        <f>'Monthly Data'!N63</f>
        <v>5662759.9500704687</v>
      </c>
      <c r="E63" s="30">
        <f>'Monthly Data'!AB63</f>
        <v>5632137.5500704683</v>
      </c>
      <c r="F63" s="33">
        <f t="shared" ca="1" si="16"/>
        <v>803.82854166666664</v>
      </c>
      <c r="G63" s="33">
        <f t="shared" ca="1" si="16"/>
        <v>0</v>
      </c>
      <c r="I63" s="18">
        <f>'GS&gt;50 Predicted Monthly (no LC)'!$P$9</f>
        <v>4121039.41701539</v>
      </c>
      <c r="J63" s="18">
        <f ca="1">F63*'GS&gt;50 Predicted Monthly (no LC)'!$P$10</f>
        <v>1861261.5613215731</v>
      </c>
      <c r="K63" s="18">
        <f ca="1">G63*'GS&gt;50 Predicted Monthly (no LC)'!$P$11</f>
        <v>0</v>
      </c>
      <c r="L63" s="18">
        <f t="shared" ca="1" si="2"/>
        <v>5982300.9783369629</v>
      </c>
      <c r="M63" s="18">
        <f>'Monthly Data'!Y63</f>
        <v>30622.400000000001</v>
      </c>
      <c r="N63" s="18">
        <f>'Monthly Data'!DN63</f>
        <v>0</v>
      </c>
      <c r="O63" s="18">
        <f>'Monthly Data'!DO63</f>
        <v>0</v>
      </c>
      <c r="P63" s="18">
        <f t="shared" ca="1" si="3"/>
        <v>803.82854166666664</v>
      </c>
      <c r="Q63" s="18">
        <f>'Monthly Data'!BR63</f>
        <v>0</v>
      </c>
      <c r="R63" s="18"/>
      <c r="S63" s="18">
        <f>'LC Predicted Monthly'!$T$9</f>
        <v>-22694.781953278001</v>
      </c>
      <c r="T63" s="18">
        <f>N63*'LC Predicted Monthly'!$T$10</f>
        <v>0</v>
      </c>
      <c r="U63" s="18">
        <f>O63*'LC Predicted Monthly'!$T$11</f>
        <v>0</v>
      </c>
      <c r="V63" s="18">
        <f ca="1">P63*'LC Predicted Monthly'!$T$12</f>
        <v>164570.48652232124</v>
      </c>
      <c r="W63" s="18">
        <f>Q63*'LC Predicted Monthly'!$T$13</f>
        <v>0</v>
      </c>
      <c r="X63" s="18">
        <f t="shared" ca="1" si="4"/>
        <v>141875.70456904324</v>
      </c>
      <c r="Y63" s="18">
        <f t="shared" ca="1" si="5"/>
        <v>6124176.6829060065</v>
      </c>
      <c r="AO63" s="33">
        <f t="shared" ca="1" si="17"/>
        <v>718.28069103781206</v>
      </c>
      <c r="AP63" s="33">
        <f t="shared" ca="1" si="17"/>
        <v>887.54329373386554</v>
      </c>
      <c r="AQ63" s="33">
        <f t="shared" ca="1" si="17"/>
        <v>0</v>
      </c>
      <c r="AR63" s="33">
        <f t="shared" ca="1" si="17"/>
        <v>0</v>
      </c>
      <c r="AT63" s="18">
        <f ca="1">AO63*'GS&gt;50 Predicted Monthly (no LC)'!$P$10</f>
        <v>1663175.8779007981</v>
      </c>
      <c r="AU63" s="18">
        <f ca="1">AP63*'GS&gt;50 Predicted Monthly (no LC)'!$P$10</f>
        <v>2055102.7128377589</v>
      </c>
      <c r="AV63" s="18">
        <f ca="1">AQ63*'GS&gt;50 Predicted Monthly (no LC)'!$P$11</f>
        <v>0</v>
      </c>
      <c r="AW63" s="18">
        <f ca="1">AR63*'GS&gt;50 Predicted Monthly (no LC)'!$P$11</f>
        <v>0</v>
      </c>
      <c r="AY63" s="18">
        <f ca="1">AO63*'LC Predicted Monthly'!$T$12</f>
        <v>147055.99099353765</v>
      </c>
      <c r="AZ63" s="18">
        <f ca="1">AP63*'LC Predicted Monthly'!$T$12</f>
        <v>181709.68569560398</v>
      </c>
      <c r="BB63" s="31">
        <f t="shared" ca="1" si="6"/>
        <v>5908576.5039564483</v>
      </c>
      <c r="BC63" s="31">
        <f t="shared" ca="1" si="7"/>
        <v>6335157.0335954754</v>
      </c>
    </row>
    <row r="64" spans="1:55">
      <c r="A64" s="541">
        <f>'Monthly Data'!A64</f>
        <v>44256</v>
      </c>
      <c r="B64">
        <f t="shared" si="8"/>
        <v>2021</v>
      </c>
      <c r="C64">
        <f t="shared" si="9"/>
        <v>3</v>
      </c>
      <c r="D64" s="30">
        <f>'Monthly Data'!N64</f>
        <v>5830922.5490220068</v>
      </c>
      <c r="E64" s="30">
        <f>'Monthly Data'!AB64</f>
        <v>5796811.3490220066</v>
      </c>
      <c r="F64" s="33">
        <f t="shared" ca="1" si="16"/>
        <v>698.29604166666672</v>
      </c>
      <c r="G64" s="33">
        <f t="shared" ca="1" si="16"/>
        <v>0.11000000000000032</v>
      </c>
      <c r="I64" s="18">
        <f>'GS&gt;50 Predicted Monthly (no LC)'!$P$9</f>
        <v>4121039.41701539</v>
      </c>
      <c r="J64" s="18">
        <f ca="1">F64*'GS&gt;50 Predicted Monthly (no LC)'!$P$10</f>
        <v>1616901.5074811084</v>
      </c>
      <c r="K64" s="18">
        <f ca="1">G64*'GS&gt;50 Predicted Monthly (no LC)'!$P$11</f>
        <v>594.2444084467578</v>
      </c>
      <c r="L64" s="18">
        <f t="shared" ca="1" si="2"/>
        <v>5738535.1689049443</v>
      </c>
      <c r="M64" s="18">
        <f>'Monthly Data'!Y64</f>
        <v>34111.199999999997</v>
      </c>
      <c r="N64" s="18">
        <f>'Monthly Data'!DN64</f>
        <v>0</v>
      </c>
      <c r="O64" s="18">
        <f>'Monthly Data'!DO64</f>
        <v>0</v>
      </c>
      <c r="P64" s="18">
        <f t="shared" ca="1" si="3"/>
        <v>698.29604166666672</v>
      </c>
      <c r="Q64" s="18">
        <f>'Monthly Data'!BR64</f>
        <v>0</v>
      </c>
      <c r="R64" s="18"/>
      <c r="S64" s="18">
        <f>'LC Predicted Monthly'!$T$9</f>
        <v>-22694.781953278001</v>
      </c>
      <c r="T64" s="18">
        <f>N64*'LC Predicted Monthly'!$T$10</f>
        <v>0</v>
      </c>
      <c r="U64" s="18">
        <f>O64*'LC Predicted Monthly'!$T$11</f>
        <v>0</v>
      </c>
      <c r="V64" s="18">
        <f ca="1">P64*'LC Predicted Monthly'!$T$12</f>
        <v>142964.46736690929</v>
      </c>
      <c r="W64" s="18">
        <f>Q64*'LC Predicted Monthly'!$T$13</f>
        <v>0</v>
      </c>
      <c r="X64" s="18">
        <f t="shared" ca="1" si="4"/>
        <v>120269.68541363129</v>
      </c>
      <c r="Y64" s="18">
        <f t="shared" ca="1" si="5"/>
        <v>5858804.8543185759</v>
      </c>
      <c r="AO64" s="33">
        <f t="shared" ca="1" si="17"/>
        <v>623.97953961343092</v>
      </c>
      <c r="AP64" s="33">
        <f t="shared" ca="1" si="17"/>
        <v>771.02010776716202</v>
      </c>
      <c r="AQ64" s="33">
        <f t="shared" ca="1" si="17"/>
        <v>9.2975657066825132E-2</v>
      </c>
      <c r="AR64" s="33">
        <f t="shared" ca="1" si="17"/>
        <v>0.11932565987223402</v>
      </c>
      <c r="AT64" s="18">
        <f ca="1">AO64*'GS&gt;50 Predicted Monthly (no LC)'!$P$10</f>
        <v>1444821.9638053337</v>
      </c>
      <c r="AU64" s="18">
        <f ca="1">AP64*'GS&gt;50 Predicted Monthly (no LC)'!$P$10</f>
        <v>1785293.7724972367</v>
      </c>
      <c r="AV64" s="18">
        <f ca="1">AQ64*'GS&gt;50 Predicted Monthly (no LC)'!$P$11</f>
        <v>502.27513030567235</v>
      </c>
      <c r="AW64" s="18">
        <f ca="1">AR64*'GS&gt;50 Predicted Monthly (no LC)'!$P$11</f>
        <v>644.62369239358668</v>
      </c>
      <c r="AY64" s="18">
        <f ca="1">AO64*'LC Predicted Monthly'!$T$12</f>
        <v>127749.40312674227</v>
      </c>
      <c r="AZ64" s="18">
        <f ca="1">AP64*'LC Predicted Monthly'!$T$12</f>
        <v>157853.50690664109</v>
      </c>
      <c r="BB64" s="31">
        <f t="shared" ca="1" si="6"/>
        <v>5671418.2771244934</v>
      </c>
      <c r="BC64" s="31">
        <f t="shared" ca="1" si="7"/>
        <v>6042136.5381583832</v>
      </c>
    </row>
    <row r="65" spans="1:55">
      <c r="A65" s="541">
        <f>'Monthly Data'!A65</f>
        <v>44287</v>
      </c>
      <c r="B65">
        <f t="shared" si="8"/>
        <v>2021</v>
      </c>
      <c r="C65">
        <f t="shared" si="9"/>
        <v>4</v>
      </c>
      <c r="D65" s="30">
        <f>'Monthly Data'!N65</f>
        <v>4671495.1705421582</v>
      </c>
      <c r="E65" s="30">
        <f>'Monthly Data'!AB65</f>
        <v>4671495.1705421582</v>
      </c>
      <c r="F65" s="33">
        <f t="shared" ca="1" si="16"/>
        <v>468.60374999999993</v>
      </c>
      <c r="G65" s="33">
        <f t="shared" ca="1" si="16"/>
        <v>7.7354166666666684</v>
      </c>
      <c r="I65" s="18">
        <f>'GS&gt;50 Predicted Monthly (no LC)'!$P$9</f>
        <v>4121039.41701539</v>
      </c>
      <c r="J65" s="18">
        <f ca="1">F65*'GS&gt;50 Predicted Monthly (no LC)'!$P$10</f>
        <v>1085049.9853584787</v>
      </c>
      <c r="K65" s="18">
        <f ca="1">G65*'GS&gt;50 Predicted Monthly (no LC)'!$P$11</f>
        <v>41788.437283386476</v>
      </c>
      <c r="L65" s="18">
        <f t="shared" ca="1" si="2"/>
        <v>5247877.8396572554</v>
      </c>
      <c r="M65" s="18">
        <f>'Monthly Data'!Y65</f>
        <v>0</v>
      </c>
      <c r="N65" s="18">
        <f>'Monthly Data'!DN65</f>
        <v>0</v>
      </c>
      <c r="O65" s="18">
        <f>'Monthly Data'!DO65</f>
        <v>0</v>
      </c>
      <c r="P65" s="18">
        <f t="shared" ca="1" si="3"/>
        <v>468.60374999999993</v>
      </c>
      <c r="Q65" s="18">
        <f>'Monthly Data'!BR65</f>
        <v>0</v>
      </c>
      <c r="R65" s="18"/>
      <c r="S65" s="18">
        <f>'LC Predicted Monthly'!$T$9</f>
        <v>-22694.781953278001</v>
      </c>
      <c r="T65" s="18">
        <f>N65*'LC Predicted Monthly'!$T$10</f>
        <v>0</v>
      </c>
      <c r="U65" s="18">
        <f>O65*'LC Predicted Monthly'!$T$11</f>
        <v>0</v>
      </c>
      <c r="V65" s="18">
        <f ca="1">P65*'LC Predicted Monthly'!$T$12</f>
        <v>95938.80177952649</v>
      </c>
      <c r="W65" s="18">
        <f>Q65*'LC Predicted Monthly'!$T$13</f>
        <v>0</v>
      </c>
      <c r="X65" s="18">
        <f t="shared" ca="1" si="4"/>
        <v>73244.019826248492</v>
      </c>
      <c r="Y65" s="18">
        <f t="shared" ca="1" si="5"/>
        <v>5321121.8594835037</v>
      </c>
      <c r="AO65" s="33">
        <f t="shared" ca="1" si="17"/>
        <v>418.73236383846591</v>
      </c>
      <c r="AP65" s="33">
        <f t="shared" ca="1" si="17"/>
        <v>517.40650421381736</v>
      </c>
      <c r="AQ65" s="33">
        <f t="shared" ca="1" si="17"/>
        <v>6.5382313388091058</v>
      </c>
      <c r="AR65" s="33">
        <f t="shared" ca="1" si="17"/>
        <v>8.3912154376061316</v>
      </c>
      <c r="AT65" s="18">
        <f ca="1">AO65*'GS&gt;50 Predicted Monthly (no LC)'!$P$10</f>
        <v>969573.00331473805</v>
      </c>
      <c r="AU65" s="18">
        <f ca="1">AP65*'GS&gt;50 Predicted Monthly (no LC)'!$P$10</f>
        <v>1198052.5546831076</v>
      </c>
      <c r="AV65" s="18">
        <f ca="1">AQ65*'GS&gt;50 Predicted Monthly (no LC)'!$P$11</f>
        <v>35320.976492896902</v>
      </c>
      <c r="AW65" s="18">
        <f ca="1">AR65*'GS&gt;50 Predicted Monthly (no LC)'!$P$11</f>
        <v>45331.207762450395</v>
      </c>
      <c r="AY65" s="18">
        <f ca="1">AO65*'LC Predicted Monthly'!$T$12</f>
        <v>85728.467288132349</v>
      </c>
      <c r="AZ65" s="18">
        <f ca="1">AP65*'LC Predicted Monthly'!$T$12</f>
        <v>105930.35170377353</v>
      </c>
      <c r="BB65" s="31">
        <f t="shared" ca="1" si="6"/>
        <v>5188967.0821578791</v>
      </c>
      <c r="BC65" s="31">
        <f t="shared" ca="1" si="7"/>
        <v>5447658.7492114436</v>
      </c>
    </row>
    <row r="66" spans="1:55">
      <c r="A66" s="541">
        <f>'Monthly Data'!A66</f>
        <v>44317</v>
      </c>
      <c r="B66">
        <f t="shared" si="8"/>
        <v>2021</v>
      </c>
      <c r="C66">
        <f t="shared" si="9"/>
        <v>5</v>
      </c>
      <c r="D66" s="30">
        <f>'Monthly Data'!N66</f>
        <v>4967977.1562202908</v>
      </c>
      <c r="E66" s="30">
        <f>'Monthly Data'!AB66</f>
        <v>4966693.1562202908</v>
      </c>
      <c r="F66" s="33">
        <f t="shared" ca="1" si="16"/>
        <v>232.88687500000006</v>
      </c>
      <c r="G66" s="33">
        <f t="shared" ca="1" si="16"/>
        <v>111.43645833333332</v>
      </c>
      <c r="I66" s="18">
        <f>'GS&gt;50 Predicted Monthly (no LC)'!$P$9</f>
        <v>4121039.41701539</v>
      </c>
      <c r="J66" s="18">
        <f ca="1">F66*'GS&gt;50 Predicted Monthly (no LC)'!$P$10</f>
        <v>539248.5662117129</v>
      </c>
      <c r="K66" s="18">
        <f ca="1">G66*'GS&gt;50 Predicted Monthly (no LC)'!$P$11</f>
        <v>602004.47510630218</v>
      </c>
      <c r="L66" s="18">
        <f t="shared" ca="1" si="2"/>
        <v>5262292.4583334047</v>
      </c>
      <c r="M66" s="18">
        <f>'Monthly Data'!Y66</f>
        <v>1284</v>
      </c>
      <c r="N66" s="18">
        <f>'Monthly Data'!DN66</f>
        <v>0</v>
      </c>
      <c r="O66" s="18">
        <f>'Monthly Data'!DO66</f>
        <v>0</v>
      </c>
      <c r="P66" s="18">
        <f t="shared" ca="1" si="3"/>
        <v>232.88687500000006</v>
      </c>
      <c r="Q66" s="18">
        <f>'Monthly Data'!BR66</f>
        <v>0</v>
      </c>
      <c r="R66" s="18"/>
      <c r="S66" s="18">
        <f>'LC Predicted Monthly'!$T$9</f>
        <v>-22694.781953278001</v>
      </c>
      <c r="T66" s="18">
        <f>N66*'LC Predicted Monthly'!$T$10</f>
        <v>0</v>
      </c>
      <c r="U66" s="18">
        <f>O66*'LC Predicted Monthly'!$T$11</f>
        <v>0</v>
      </c>
      <c r="V66" s="18">
        <f ca="1">P66*'LC Predicted Monthly'!$T$12</f>
        <v>47679.703241125091</v>
      </c>
      <c r="W66" s="18">
        <f>Q66*'LC Predicted Monthly'!$T$13</f>
        <v>0</v>
      </c>
      <c r="X66" s="18">
        <f t="shared" ca="1" si="4"/>
        <v>24984.92128784709</v>
      </c>
      <c r="Y66" s="18">
        <f t="shared" ca="1" si="5"/>
        <v>5287277.3796212515</v>
      </c>
      <c r="AO66" s="33">
        <f t="shared" ca="1" si="17"/>
        <v>208.10177399498693</v>
      </c>
      <c r="AP66" s="33">
        <f t="shared" ca="1" si="17"/>
        <v>257.1408868815717</v>
      </c>
      <c r="AQ66" s="33">
        <f t="shared" ca="1" si="17"/>
        <v>94.189799406741059</v>
      </c>
      <c r="AR66" s="33">
        <f t="shared" ca="1" si="17"/>
        <v>120.88389931317884</v>
      </c>
      <c r="AT66" s="18">
        <f ca="1">AO66*'GS&gt;50 Predicted Monthly (no LC)'!$P$10</f>
        <v>481858.77049924171</v>
      </c>
      <c r="AU66" s="18">
        <f ca="1">AP66*'GS&gt;50 Predicted Monthly (no LC)'!$P$10</f>
        <v>595408.62732301152</v>
      </c>
      <c r="AV66" s="18">
        <f ca="1">AQ66*'GS&gt;50 Predicted Monthly (no LC)'!$P$11</f>
        <v>508834.19663797691</v>
      </c>
      <c r="AW66" s="18">
        <f ca="1">AR66*'GS&gt;50 Predicted Monthly (no LC)'!$P$11</f>
        <v>653041.64761906536</v>
      </c>
      <c r="AY66" s="18">
        <f ca="1">AO66*'LC Predicted Monthly'!$T$12</f>
        <v>42605.367211152006</v>
      </c>
      <c r="AZ66" s="18">
        <f ca="1">AP66*'LC Predicted Monthly'!$T$12</f>
        <v>52645.307631325515</v>
      </c>
      <c r="BB66" s="31">
        <f t="shared" ca="1" si="6"/>
        <v>5131642.9694104819</v>
      </c>
      <c r="BC66" s="31">
        <f t="shared" ca="1" si="7"/>
        <v>5399440.2176355133</v>
      </c>
    </row>
    <row r="67" spans="1:55">
      <c r="A67" s="541">
        <f>'Monthly Data'!A67</f>
        <v>44348</v>
      </c>
      <c r="B67">
        <f t="shared" si="8"/>
        <v>2021</v>
      </c>
      <c r="C67">
        <f t="shared" si="9"/>
        <v>6</v>
      </c>
      <c r="D67" s="30">
        <f>'Monthly Data'!N67</f>
        <v>5386931.1568166604</v>
      </c>
      <c r="E67" s="30">
        <f>'Monthly Data'!AB67</f>
        <v>5384669.5568166608</v>
      </c>
      <c r="F67" s="33">
        <f t="shared" ca="1" si="16"/>
        <v>92.751249999999999</v>
      </c>
      <c r="G67" s="33">
        <f t="shared" ca="1" si="16"/>
        <v>227.31958333333333</v>
      </c>
      <c r="I67" s="18">
        <f>'GS&gt;50 Predicted Monthly (no LC)'!$P$9</f>
        <v>4121039.41701539</v>
      </c>
      <c r="J67" s="18">
        <f ca="1">F67*'GS&gt;50 Predicted Monthly (no LC)'!$P$10</f>
        <v>214765.12395489923</v>
      </c>
      <c r="K67" s="18">
        <f ca="1">G67*'GS&gt;50 Predicted Monthly (no LC)'!$P$11</f>
        <v>1228030.8302389067</v>
      </c>
      <c r="L67" s="18">
        <f t="shared" ref="L67:L130" ca="1" si="18">SUM(I67:K67)</f>
        <v>5563835.3712091958</v>
      </c>
      <c r="M67" s="18">
        <f>'Monthly Data'!Y67</f>
        <v>2261.6</v>
      </c>
      <c r="N67" s="18">
        <f>'Monthly Data'!DN67</f>
        <v>0</v>
      </c>
      <c r="O67" s="18">
        <f>'Monthly Data'!DO67</f>
        <v>0</v>
      </c>
      <c r="P67" s="18">
        <f t="shared" ref="P67:P130" ca="1" si="19">F67</f>
        <v>92.751249999999999</v>
      </c>
      <c r="Q67" s="18">
        <f>'Monthly Data'!BR67</f>
        <v>0</v>
      </c>
      <c r="R67" s="18"/>
      <c r="S67" s="18">
        <f>'LC Predicted Monthly'!$T$9</f>
        <v>-22694.781953278001</v>
      </c>
      <c r="T67" s="18">
        <f>N67*'LC Predicted Monthly'!$T$10</f>
        <v>0</v>
      </c>
      <c r="U67" s="18">
        <f>O67*'LC Predicted Monthly'!$T$11</f>
        <v>0</v>
      </c>
      <c r="V67" s="18">
        <f ca="1">P67*'LC Predicted Monthly'!$T$12</f>
        <v>18989.271401591017</v>
      </c>
      <c r="W67" s="18">
        <f>Q67*'LC Predicted Monthly'!$T$13</f>
        <v>0</v>
      </c>
      <c r="X67" s="18">
        <f t="shared" ref="X67:X130" ca="1" si="20">SUM(S67:W67)</f>
        <v>-3705.5105516869844</v>
      </c>
      <c r="Y67" s="18">
        <f t="shared" ref="Y67:Y130" ca="1" si="21">SUM(I67:K67,S67:W67)</f>
        <v>5560129.8606575085</v>
      </c>
      <c r="AO67" s="33">
        <f t="shared" ca="1" si="17"/>
        <v>82.880152285321046</v>
      </c>
      <c r="AP67" s="33">
        <f t="shared" ca="1" si="17"/>
        <v>102.41083223077457</v>
      </c>
      <c r="AQ67" s="33">
        <f t="shared" ca="1" si="17"/>
        <v>192.13806931430472</v>
      </c>
      <c r="AR67" s="33">
        <f t="shared" ca="1" si="17"/>
        <v>246.59144802846558</v>
      </c>
      <c r="AT67" s="18">
        <f ca="1">AO67*'GS&gt;50 Predicted Monthly (no LC)'!$P$10</f>
        <v>191908.63927934016</v>
      </c>
      <c r="AU67" s="18">
        <f ca="1">AP67*'GS&gt;50 Predicted Monthly (no LC)'!$P$10</f>
        <v>237131.8454292173</v>
      </c>
      <c r="AV67" s="18">
        <f ca="1">AQ67*'GS&gt;50 Predicted Monthly (no LC)'!$P$11</f>
        <v>1037972.4849070985</v>
      </c>
      <c r="AW67" s="18">
        <f ca="1">AR67*'GS&gt;50 Predicted Monthly (no LC)'!$P$11</f>
        <v>1332141.7196518595</v>
      </c>
      <c r="AY67" s="18">
        <f ca="1">AO67*'LC Predicted Monthly'!$T$12</f>
        <v>16968.328788573257</v>
      </c>
      <c r="AZ67" s="18">
        <f ca="1">AP67*'LC Predicted Monthly'!$T$12</f>
        <v>20966.909747232337</v>
      </c>
      <c r="BB67" s="31">
        <f t="shared" ref="BB67:BB130" ca="1" si="22">AT67+AV67+AY67-J67-K67-V67+Y67</f>
        <v>5345194.088037123</v>
      </c>
      <c r="BC67" s="31">
        <f t="shared" ref="BC67:BC130" ca="1" si="23">AU67+AW67+AZ67-J67-K67-V67+Y67</f>
        <v>5688585.1098904209</v>
      </c>
    </row>
    <row r="68" spans="1:55">
      <c r="A68" s="541">
        <f>'Monthly Data'!A68</f>
        <v>44378</v>
      </c>
      <c r="B68">
        <f t="shared" si="8"/>
        <v>2021</v>
      </c>
      <c r="C68">
        <f t="shared" si="9"/>
        <v>7</v>
      </c>
      <c r="D68" s="30">
        <f>'Monthly Data'!N68</f>
        <v>5505749.9418636365</v>
      </c>
      <c r="E68" s="30">
        <f>'Monthly Data'!AB68</f>
        <v>5489211.7018636363</v>
      </c>
      <c r="F68" s="33">
        <f t="shared" ca="1" si="16"/>
        <v>25.464999999999996</v>
      </c>
      <c r="G68" s="33">
        <f t="shared" ca="1" si="16"/>
        <v>327.99625000000003</v>
      </c>
      <c r="I68" s="18">
        <f>'GS&gt;50 Predicted Monthly (no LC)'!$P$9</f>
        <v>4121039.41701539</v>
      </c>
      <c r="J68" s="18">
        <f ca="1">F68*'GS&gt;50 Predicted Monthly (no LC)'!$P$10</f>
        <v>58964.098936796094</v>
      </c>
      <c r="K68" s="18">
        <f ca="1">G68*'GS&gt;50 Predicted Monthly (no LC)'!$P$11</f>
        <v>1771908.5232182215</v>
      </c>
      <c r="L68" s="18">
        <f t="shared" ca="1" si="18"/>
        <v>5951912.0391704077</v>
      </c>
      <c r="M68" s="18">
        <f>'Monthly Data'!Y68</f>
        <v>16538.240000000002</v>
      </c>
      <c r="N68" s="18">
        <f>'Monthly Data'!DN68</f>
        <v>0</v>
      </c>
      <c r="O68" s="18">
        <f>'Monthly Data'!DO68</f>
        <v>0</v>
      </c>
      <c r="P68" s="18">
        <f t="shared" ca="1" si="19"/>
        <v>25.464999999999996</v>
      </c>
      <c r="Q68" s="18">
        <f>'Monthly Data'!BR68</f>
        <v>0</v>
      </c>
      <c r="R68" s="18"/>
      <c r="S68" s="18">
        <f>'LC Predicted Monthly'!$T$9</f>
        <v>-22694.781953278001</v>
      </c>
      <c r="T68" s="18">
        <f>N68*'LC Predicted Monthly'!$T$10</f>
        <v>0</v>
      </c>
      <c r="U68" s="18">
        <f>O68*'LC Predicted Monthly'!$T$11</f>
        <v>0</v>
      </c>
      <c r="V68" s="18">
        <f ca="1">P68*'LC Predicted Monthly'!$T$12</f>
        <v>5213.5340088841413</v>
      </c>
      <c r="W68" s="18">
        <f>Q68*'LC Predicted Monthly'!$T$13</f>
        <v>0</v>
      </c>
      <c r="X68" s="18">
        <f t="shared" ca="1" si="20"/>
        <v>-17481.247944393861</v>
      </c>
      <c r="Y68" s="18">
        <f t="shared" ca="1" si="21"/>
        <v>5934430.7912260136</v>
      </c>
      <c r="AO68" s="33">
        <f t="shared" ca="1" si="17"/>
        <v>22.754874763905612</v>
      </c>
      <c r="AP68" s="33">
        <f t="shared" ca="1" si="17"/>
        <v>28.117053330889604</v>
      </c>
      <c r="AQ68" s="33">
        <f t="shared" ca="1" si="17"/>
        <v>277.23333508367784</v>
      </c>
      <c r="AR68" s="33">
        <f t="shared" ca="1" si="17"/>
        <v>355.80335424425579</v>
      </c>
      <c r="AT68" s="18">
        <f ca="1">AO68*'GS&gt;50 Predicted Monthly (no LC)'!$P$10</f>
        <v>52688.815506512285</v>
      </c>
      <c r="AU68" s="18">
        <f ca="1">AP68*'GS&gt;50 Predicted Monthly (no LC)'!$P$10</f>
        <v>65104.917118152247</v>
      </c>
      <c r="AV68" s="18">
        <f ca="1">AQ68*'GS&gt;50 Predicted Monthly (no LC)'!$P$11</f>
        <v>1497675.9928047406</v>
      </c>
      <c r="AW68" s="18">
        <f ca="1">AR68*'GS&gt;50 Predicted Monthly (no LC)'!$P$11</f>
        <v>1922128.6706022671</v>
      </c>
      <c r="AY68" s="18">
        <f ca="1">AO68*'LC Predicted Monthly'!$T$12</f>
        <v>4658.6810700774167</v>
      </c>
      <c r="AZ68" s="18">
        <f ca="1">AP68*'LC Predicted Monthly'!$T$12</f>
        <v>5756.4976937051679</v>
      </c>
      <c r="BB68" s="31">
        <f t="shared" ca="1" si="22"/>
        <v>5653368.1244434416</v>
      </c>
      <c r="BC68" s="31">
        <f t="shared" ca="1" si="23"/>
        <v>6091334.7204762362</v>
      </c>
    </row>
    <row r="69" spans="1:55">
      <c r="A69" s="541">
        <f>'Monthly Data'!A69</f>
        <v>44409</v>
      </c>
      <c r="B69">
        <f t="shared" si="8"/>
        <v>2021</v>
      </c>
      <c r="C69">
        <f t="shared" si="9"/>
        <v>8</v>
      </c>
      <c r="D69" s="30">
        <f>'Monthly Data'!N69</f>
        <v>7520564.8088652845</v>
      </c>
      <c r="E69" s="30">
        <f>'Monthly Data'!AB69</f>
        <v>7520564.3288652841</v>
      </c>
      <c r="F69" s="33">
        <f t="shared" ca="1" si="16"/>
        <v>54.974791666666668</v>
      </c>
      <c r="G69" s="33">
        <f t="shared" ca="1" si="16"/>
        <v>280.40312500000005</v>
      </c>
      <c r="I69" s="18">
        <f>'GS&gt;50 Predicted Monthly (no LC)'!$P$9</f>
        <v>4121039.41701539</v>
      </c>
      <c r="J69" s="18">
        <f ca="1">F69*'GS&gt;50 Predicted Monthly (no LC)'!$P$10</f>
        <v>127293.89573387343</v>
      </c>
      <c r="K69" s="18">
        <f ca="1">G69*'GS&gt;50 Predicted Monthly (no LC)'!$P$11</f>
        <v>1514799.9012931532</v>
      </c>
      <c r="L69" s="18">
        <f t="shared" ca="1" si="18"/>
        <v>5763133.2140424168</v>
      </c>
      <c r="M69" s="18">
        <f>'Monthly Data'!Y69</f>
        <v>0.48</v>
      </c>
      <c r="N69" s="18">
        <f>'Monthly Data'!DN69</f>
        <v>0</v>
      </c>
      <c r="O69" s="18">
        <f>'Monthly Data'!DO69</f>
        <v>0</v>
      </c>
      <c r="P69" s="18">
        <f t="shared" ca="1" si="19"/>
        <v>54.974791666666668</v>
      </c>
      <c r="Q69" s="18">
        <f>'Monthly Data'!BR69</f>
        <v>0</v>
      </c>
      <c r="R69" s="18"/>
      <c r="S69" s="18">
        <f>'LC Predicted Monthly'!$T$9</f>
        <v>-22694.781953278001</v>
      </c>
      <c r="T69" s="18">
        <f>N69*'LC Predicted Monthly'!$T$10</f>
        <v>0</v>
      </c>
      <c r="U69" s="18">
        <f>O69*'LC Predicted Monthly'!$T$11</f>
        <v>0</v>
      </c>
      <c r="V69" s="18">
        <f ca="1">P69*'LC Predicted Monthly'!$T$12</f>
        <v>11255.171646789209</v>
      </c>
      <c r="W69" s="18">
        <f>Q69*'LC Predicted Monthly'!$T$13</f>
        <v>0</v>
      </c>
      <c r="X69" s="18">
        <f t="shared" ca="1" si="20"/>
        <v>-11439.610306488792</v>
      </c>
      <c r="Y69" s="18">
        <f t="shared" ca="1" si="21"/>
        <v>5751693.6037359284</v>
      </c>
      <c r="AO69" s="33">
        <f t="shared" ca="1" si="17"/>
        <v>49.124072238240799</v>
      </c>
      <c r="AP69" s="33">
        <f t="shared" ca="1" si="17"/>
        <v>60.700143300459935</v>
      </c>
      <c r="AQ69" s="33">
        <f t="shared" ca="1" si="17"/>
        <v>237.00604354969119</v>
      </c>
      <c r="AR69" s="33">
        <f t="shared" ca="1" si="17"/>
        <v>304.17534473510392</v>
      </c>
      <c r="AT69" s="18">
        <f ca="1">AO69*'GS&gt;50 Predicted Monthly (no LC)'!$P$10</f>
        <v>113746.57984032786</v>
      </c>
      <c r="AU69" s="18">
        <f ca="1">AP69*'GS&gt;50 Predicted Monthly (no LC)'!$P$10</f>
        <v>140550.92303341921</v>
      </c>
      <c r="AV69" s="18">
        <f ca="1">AQ69*'GS&gt;50 Predicted Monthly (no LC)'!$P$11</f>
        <v>1280359.2377044759</v>
      </c>
      <c r="AW69" s="18">
        <f ca="1">AR69*'GS&gt;50 Predicted Monthly (no LC)'!$P$11</f>
        <v>1643222.7072381813</v>
      </c>
      <c r="AY69" s="18">
        <f ca="1">AO69*'LC Predicted Monthly'!$T$12</f>
        <v>10057.334430353416</v>
      </c>
      <c r="AZ69" s="18">
        <f ca="1">AP69*'LC Predicted Monthly'!$T$12</f>
        <v>12427.341898334529</v>
      </c>
      <c r="BB69" s="31">
        <f t="shared" ca="1" si="22"/>
        <v>5502507.7870372701</v>
      </c>
      <c r="BC69" s="31">
        <f t="shared" ca="1" si="23"/>
        <v>5894545.6072320472</v>
      </c>
    </row>
    <row r="70" spans="1:55">
      <c r="A70" s="541">
        <f>'Monthly Data'!A70</f>
        <v>44440</v>
      </c>
      <c r="B70">
        <f t="shared" si="8"/>
        <v>2021</v>
      </c>
      <c r="C70">
        <f t="shared" si="9"/>
        <v>9</v>
      </c>
      <c r="D70" s="30">
        <f>'Monthly Data'!N70</f>
        <v>7138503.3877345817</v>
      </c>
      <c r="E70" s="30">
        <f>'Monthly Data'!AB70</f>
        <v>7128334.4277345818</v>
      </c>
      <c r="F70" s="33">
        <f t="shared" ca="1" si="16"/>
        <v>166.50624999999999</v>
      </c>
      <c r="G70" s="33">
        <f t="shared" ca="1" si="16"/>
        <v>144.00333333333333</v>
      </c>
      <c r="I70" s="18">
        <f>'GS&gt;50 Predicted Monthly (no LC)'!$P$9</f>
        <v>4121039.41701539</v>
      </c>
      <c r="J70" s="18">
        <f ca="1">F70*'GS&gt;50 Predicted Monthly (no LC)'!$P$10</f>
        <v>385544.51202022011</v>
      </c>
      <c r="K70" s="18">
        <f ca="1">G70*'GS&gt;50 Predicted Monthly (no LC)'!$P$11</f>
        <v>777937.96028206998</v>
      </c>
      <c r="L70" s="18">
        <f t="shared" ca="1" si="18"/>
        <v>5284521.8893176802</v>
      </c>
      <c r="M70" s="18">
        <f>'Monthly Data'!Y70</f>
        <v>10168.959999999999</v>
      </c>
      <c r="N70" s="18">
        <f>'Monthly Data'!DN70</f>
        <v>0</v>
      </c>
      <c r="O70" s="18">
        <f>'Monthly Data'!DO70</f>
        <v>0</v>
      </c>
      <c r="P70" s="18">
        <f t="shared" ca="1" si="19"/>
        <v>166.50624999999999</v>
      </c>
      <c r="Q70" s="18">
        <f>'Monthly Data'!BR70</f>
        <v>1</v>
      </c>
      <c r="R70" s="18"/>
      <c r="S70" s="18">
        <f>'LC Predicted Monthly'!$T$9</f>
        <v>-22694.781953278001</v>
      </c>
      <c r="T70" s="18">
        <f>N70*'LC Predicted Monthly'!$T$10</f>
        <v>0</v>
      </c>
      <c r="U70" s="18">
        <f>O70*'LC Predicted Monthly'!$T$11</f>
        <v>0</v>
      </c>
      <c r="V70" s="18">
        <f ca="1">P70*'LC Predicted Monthly'!$T$12</f>
        <v>34089.377461879645</v>
      </c>
      <c r="W70" s="18">
        <f>Q70*'LC Predicted Monthly'!$T$13</f>
        <v>97970.228068396304</v>
      </c>
      <c r="X70" s="18">
        <f t="shared" ca="1" si="20"/>
        <v>109364.82357699795</v>
      </c>
      <c r="Y70" s="18">
        <f t="shared" ca="1" si="21"/>
        <v>5393886.7128946781</v>
      </c>
      <c r="AO70" s="33">
        <f t="shared" ca="1" si="17"/>
        <v>148.78573988445157</v>
      </c>
      <c r="AP70" s="33">
        <f t="shared" ca="1" si="17"/>
        <v>183.84704932952829</v>
      </c>
      <c r="AQ70" s="33">
        <f t="shared" ca="1" si="17"/>
        <v>121.71640487708792</v>
      </c>
      <c r="AR70" s="33">
        <f t="shared" ca="1" si="17"/>
        <v>156.21175248910205</v>
      </c>
      <c r="AT70" s="18">
        <f ca="1">AO70*'GS&gt;50 Predicted Monthly (no LC)'!$P$10</f>
        <v>344512.74639431422</v>
      </c>
      <c r="AU70" s="18">
        <f ca="1">AP70*'GS&gt;50 Predicted Monthly (no LC)'!$P$10</f>
        <v>425697.05893989158</v>
      </c>
      <c r="AV70" s="18">
        <f ca="1">AQ70*'GS&gt;50 Predicted Monthly (no LC)'!$P$11</f>
        <v>657539.02740409982</v>
      </c>
      <c r="AW70" s="18">
        <f ca="1">AR70*'GS&gt;50 Predicted Monthly (no LC)'!$P$11</f>
        <v>843890.54954834119</v>
      </c>
      <c r="AY70" s="18">
        <f ca="1">AO70*'LC Predicted Monthly'!$T$12</f>
        <v>30461.398583333124</v>
      </c>
      <c r="AZ70" s="18">
        <f ca="1">AP70*'LC Predicted Monthly'!$T$12</f>
        <v>37639.616890339537</v>
      </c>
      <c r="BB70" s="31">
        <f t="shared" ca="1" si="22"/>
        <v>5228828.0355122555</v>
      </c>
      <c r="BC70" s="31">
        <f t="shared" ca="1" si="23"/>
        <v>5503542.0885090809</v>
      </c>
    </row>
    <row r="71" spans="1:55">
      <c r="A71" s="541">
        <f>'Monthly Data'!A71</f>
        <v>44470</v>
      </c>
      <c r="B71">
        <f t="shared" si="8"/>
        <v>2021</v>
      </c>
      <c r="C71">
        <f t="shared" si="9"/>
        <v>10</v>
      </c>
      <c r="D71" s="30">
        <f>'Monthly Data'!N71</f>
        <v>5536607.3747515306</v>
      </c>
      <c r="E71" s="30">
        <f>'Monthly Data'!AB71</f>
        <v>5534871.3747515306</v>
      </c>
      <c r="F71" s="33">
        <f t="shared" ca="1" si="16"/>
        <v>363.47645833333326</v>
      </c>
      <c r="G71" s="33">
        <f t="shared" ca="1" si="16"/>
        <v>40.02791666666667</v>
      </c>
      <c r="I71" s="18">
        <f>'GS&gt;50 Predicted Monthly (no LC)'!$P$9</f>
        <v>4121039.41701539</v>
      </c>
      <c r="J71" s="18">
        <f ca="1">F71*'GS&gt;50 Predicted Monthly (no LC)'!$P$10</f>
        <v>841628.18968635018</v>
      </c>
      <c r="K71" s="18">
        <f ca="1">G71*'GS&gt;50 Predicted Monthly (no LC)'!$P$11</f>
        <v>216239.6878267217</v>
      </c>
      <c r="L71" s="18">
        <f t="shared" ca="1" si="18"/>
        <v>5178907.294528462</v>
      </c>
      <c r="M71" s="18">
        <f>'Monthly Data'!Y71</f>
        <v>1736</v>
      </c>
      <c r="N71" s="18">
        <f>'Monthly Data'!DN71</f>
        <v>0</v>
      </c>
      <c r="O71" s="18">
        <f>'Monthly Data'!DO71</f>
        <v>0</v>
      </c>
      <c r="P71" s="18">
        <f t="shared" ca="1" si="19"/>
        <v>363.47645833333326</v>
      </c>
      <c r="Q71" s="18">
        <f>'Monthly Data'!BR71</f>
        <v>1</v>
      </c>
      <c r="R71" s="18"/>
      <c r="S71" s="18">
        <f>'LC Predicted Monthly'!$T$9</f>
        <v>-22694.781953278001</v>
      </c>
      <c r="T71" s="18">
        <f>N71*'LC Predicted Monthly'!$T$10</f>
        <v>0</v>
      </c>
      <c r="U71" s="18">
        <f>O71*'LC Predicted Monthly'!$T$11</f>
        <v>0</v>
      </c>
      <c r="V71" s="18">
        <f ca="1">P71*'LC Predicted Monthly'!$T$12</f>
        <v>74415.742271729541</v>
      </c>
      <c r="W71" s="18">
        <f>Q71*'LC Predicted Monthly'!$T$13</f>
        <v>97970.228068396304</v>
      </c>
      <c r="X71" s="18">
        <f t="shared" ca="1" si="20"/>
        <v>149691.18838684785</v>
      </c>
      <c r="Y71" s="18">
        <f t="shared" ca="1" si="21"/>
        <v>5328598.4829153102</v>
      </c>
      <c r="AO71" s="33">
        <f t="shared" ca="1" si="17"/>
        <v>324.79329624987065</v>
      </c>
      <c r="AP71" s="33">
        <f t="shared" ca="1" si="17"/>
        <v>401.33072701673694</v>
      </c>
      <c r="AQ71" s="33">
        <f t="shared" ca="1" si="17"/>
        <v>33.832925937267667</v>
      </c>
      <c r="AR71" s="33">
        <f t="shared" ca="1" si="17"/>
        <v>43.421432450552551</v>
      </c>
      <c r="AT71" s="18">
        <f ca="1">AO71*'GS&gt;50 Predicted Monthly (no LC)'!$P$10</f>
        <v>752057.49279738846</v>
      </c>
      <c r="AU71" s="18">
        <f ca="1">AP71*'GS&gt;50 Predicted Monthly (no LC)'!$P$10</f>
        <v>929279.58744124032</v>
      </c>
      <c r="AV71" s="18">
        <f ca="1">AQ71*'GS&gt;50 Predicted Monthly (no LC)'!$P$11</f>
        <v>182772.97326922306</v>
      </c>
      <c r="AW71" s="18">
        <f ca="1">AR71*'GS&gt;50 Predicted Monthly (no LC)'!$P$11</f>
        <v>234572.21309535802</v>
      </c>
      <c r="AY71" s="18">
        <f ca="1">AO71*'LC Predicted Monthly'!$T$12</f>
        <v>66496.010047370233</v>
      </c>
      <c r="AZ71" s="18">
        <f ca="1">AP71*'LC Predicted Monthly'!$T$12</f>
        <v>82165.772397877707</v>
      </c>
      <c r="BB71" s="31">
        <f t="shared" ca="1" si="22"/>
        <v>5197641.3392444905</v>
      </c>
      <c r="BC71" s="31">
        <f t="shared" ca="1" si="23"/>
        <v>5442332.4360649846</v>
      </c>
    </row>
    <row r="72" spans="1:55">
      <c r="A72" s="541">
        <f>'Monthly Data'!A72</f>
        <v>44501</v>
      </c>
      <c r="B72">
        <f t="shared" si="8"/>
        <v>2021</v>
      </c>
      <c r="C72">
        <f t="shared" si="9"/>
        <v>11</v>
      </c>
      <c r="D72" s="30">
        <f>'Monthly Data'!N72</f>
        <v>5589896.3406343106</v>
      </c>
      <c r="E72" s="30">
        <f>'Monthly Data'!AB72</f>
        <v>5539307.5406343108</v>
      </c>
      <c r="F72" s="33">
        <f t="shared" ca="1" si="16"/>
        <v>586.00395833333334</v>
      </c>
      <c r="G72" s="33">
        <f t="shared" ca="1" si="16"/>
        <v>4.5920833333333331</v>
      </c>
      <c r="I72" s="18">
        <f>'GS&gt;50 Predicted Monthly (no LC)'!$P$9</f>
        <v>4121039.41701539</v>
      </c>
      <c r="J72" s="18">
        <f ca="1">F72*'GS&gt;50 Predicted Monthly (no LC)'!$P$10</f>
        <v>1356889.6672499825</v>
      </c>
      <c r="K72" s="18">
        <f ca="1">G72*'GS&gt;50 Predicted Monthly (no LC)'!$P$11</f>
        <v>24807.453126862496</v>
      </c>
      <c r="L72" s="18">
        <f t="shared" ca="1" si="18"/>
        <v>5502736.5373922354</v>
      </c>
      <c r="M72" s="18">
        <f>'Monthly Data'!Y72</f>
        <v>50588.800000000003</v>
      </c>
      <c r="N72" s="18">
        <f>'Monthly Data'!DN72</f>
        <v>0</v>
      </c>
      <c r="O72" s="18">
        <f>'Monthly Data'!DO72</f>
        <v>0</v>
      </c>
      <c r="P72" s="18">
        <f t="shared" ca="1" si="19"/>
        <v>586.00395833333334</v>
      </c>
      <c r="Q72" s="18">
        <f>'Monthly Data'!BR72</f>
        <v>1</v>
      </c>
      <c r="R72" s="18"/>
      <c r="S72" s="18">
        <f>'LC Predicted Monthly'!$T$9</f>
        <v>-22694.781953278001</v>
      </c>
      <c r="T72" s="18">
        <f>N72*'LC Predicted Monthly'!$T$10</f>
        <v>0</v>
      </c>
      <c r="U72" s="18">
        <f>O72*'LC Predicted Monthly'!$T$11</f>
        <v>0</v>
      </c>
      <c r="V72" s="18">
        <f ca="1">P72*'LC Predicted Monthly'!$T$12</f>
        <v>119974.53626984327</v>
      </c>
      <c r="W72" s="18">
        <f>Q72*'LC Predicted Monthly'!$T$13</f>
        <v>97970.228068396304</v>
      </c>
      <c r="X72" s="18">
        <f t="shared" ca="1" si="20"/>
        <v>195249.98238496156</v>
      </c>
      <c r="Y72" s="18">
        <f t="shared" ca="1" si="21"/>
        <v>5697986.5197771974</v>
      </c>
      <c r="AO72" s="33">
        <f t="shared" ca="1" si="17"/>
        <v>523.63819685953126</v>
      </c>
      <c r="AP72" s="33">
        <f t="shared" ca="1" si="17"/>
        <v>647.03336142041019</v>
      </c>
      <c r="AQ72" s="33">
        <f t="shared" ca="1" si="17"/>
        <v>3.8813815020207452</v>
      </c>
      <c r="AR72" s="33">
        <f t="shared" ca="1" si="17"/>
        <v>4.9813943085298762</v>
      </c>
      <c r="AT72" s="18">
        <f ca="1">AO72*'GS&gt;50 Predicted Monthly (no LC)'!$P$10</f>
        <v>1212482.0124371063</v>
      </c>
      <c r="AU72" s="18">
        <f ca="1">AP72*'GS&gt;50 Predicted Monthly (no LC)'!$P$10</f>
        <v>1498202.9899156024</v>
      </c>
      <c r="AV72" s="18">
        <f ca="1">AQ72*'GS&gt;50 Predicted Monthly (no LC)'!$P$11</f>
        <v>20968.084132949996</v>
      </c>
      <c r="AW72" s="18">
        <f ca="1">AR72*'GS&gt;50 Predicted Monthly (no LC)'!$P$11</f>
        <v>26910.597401021583</v>
      </c>
      <c r="AY72" s="18">
        <f ca="1">AO72*'LC Predicted Monthly'!$T$12</f>
        <v>107206.18683204145</v>
      </c>
      <c r="AZ72" s="18">
        <f ca="1">AP72*'LC Predicted Monthly'!$T$12</f>
        <v>132469.28861762941</v>
      </c>
      <c r="BB72" s="31">
        <f t="shared" ca="1" si="22"/>
        <v>5536971.1465326073</v>
      </c>
      <c r="BC72" s="31">
        <f t="shared" ca="1" si="23"/>
        <v>5853897.7390647624</v>
      </c>
    </row>
    <row r="73" spans="1:55">
      <c r="A73" s="541">
        <f>'Monthly Data'!A73</f>
        <v>44531</v>
      </c>
      <c r="B73">
        <f t="shared" si="8"/>
        <v>2021</v>
      </c>
      <c r="C73">
        <f t="shared" si="9"/>
        <v>12</v>
      </c>
      <c r="D73" s="30">
        <f>'Monthly Data'!N73</f>
        <v>6040034.3795858482</v>
      </c>
      <c r="E73" s="30">
        <f>'Monthly Data'!AB73</f>
        <v>6020987.6595858485</v>
      </c>
      <c r="F73" s="33">
        <f t="shared" ca="1" si="16"/>
        <v>812.36333333333334</v>
      </c>
      <c r="G73" s="33">
        <f t="shared" ca="1" si="16"/>
        <v>0</v>
      </c>
      <c r="I73" s="18">
        <f>'GS&gt;50 Predicted Monthly (no LC)'!$P$9</f>
        <v>4121039.41701539</v>
      </c>
      <c r="J73" s="18">
        <f ca="1">F73*'GS&gt;50 Predicted Monthly (no LC)'!$P$10</f>
        <v>1881023.8350399425</v>
      </c>
      <c r="K73" s="18">
        <f ca="1">G73*'GS&gt;50 Predicted Monthly (no LC)'!$P$11</f>
        <v>0</v>
      </c>
      <c r="L73" s="18">
        <f t="shared" ca="1" si="18"/>
        <v>6002063.2520553321</v>
      </c>
      <c r="M73" s="18">
        <f>'Monthly Data'!Y73</f>
        <v>19046.72</v>
      </c>
      <c r="N73" s="18">
        <f>'Monthly Data'!DN73</f>
        <v>0</v>
      </c>
      <c r="O73" s="18">
        <f>'Monthly Data'!DO73</f>
        <v>0</v>
      </c>
      <c r="P73" s="18">
        <f t="shared" ca="1" si="19"/>
        <v>812.36333333333334</v>
      </c>
      <c r="Q73" s="18">
        <f>'Monthly Data'!BR73</f>
        <v>0</v>
      </c>
      <c r="R73" s="18"/>
      <c r="S73" s="18">
        <f>'LC Predicted Monthly'!$T$9</f>
        <v>-22694.781953278001</v>
      </c>
      <c r="T73" s="18">
        <f>N73*'LC Predicted Monthly'!$T$10</f>
        <v>0</v>
      </c>
      <c r="U73" s="18">
        <f>O73*'LC Predicted Monthly'!$T$11</f>
        <v>0</v>
      </c>
      <c r="V73" s="18">
        <f ca="1">P73*'LC Predicted Monthly'!$T$12</f>
        <v>166317.84276080181</v>
      </c>
      <c r="W73" s="18">
        <f>Q73*'LC Predicted Monthly'!$T$13</f>
        <v>0</v>
      </c>
      <c r="X73" s="18">
        <f t="shared" ca="1" si="20"/>
        <v>143623.06080752381</v>
      </c>
      <c r="Y73" s="18">
        <f t="shared" ca="1" si="21"/>
        <v>6145686.3128628563</v>
      </c>
      <c r="AO73" s="33">
        <f t="shared" ca="1" si="17"/>
        <v>725.90716327464804</v>
      </c>
      <c r="AP73" s="33">
        <f t="shared" ca="1" si="17"/>
        <v>896.96694158227319</v>
      </c>
      <c r="AQ73" s="33">
        <f t="shared" ca="1" si="17"/>
        <v>0</v>
      </c>
      <c r="AR73" s="33">
        <f t="shared" ca="1" si="17"/>
        <v>0</v>
      </c>
      <c r="AT73" s="18">
        <f ca="1">AO73*'GS&gt;50 Predicted Monthly (no LC)'!$P$10</f>
        <v>1680834.941851771</v>
      </c>
      <c r="AU73" s="18">
        <f ca="1">AP73*'GS&gt;50 Predicted Monthly (no LC)'!$P$10</f>
        <v>2076923.1292555493</v>
      </c>
      <c r="AV73" s="18">
        <f ca="1">AQ73*'GS&gt;50 Predicted Monthly (no LC)'!$P$11</f>
        <v>0</v>
      </c>
      <c r="AW73" s="18">
        <f ca="1">AR73*'GS&gt;50 Predicted Monthly (no LC)'!$P$11</f>
        <v>0</v>
      </c>
      <c r="AY73" s="18">
        <f ca="1">AO73*'LC Predicted Monthly'!$T$12</f>
        <v>148617.38397899043</v>
      </c>
      <c r="AZ73" s="18">
        <f ca="1">AP73*'LC Predicted Monthly'!$T$12</f>
        <v>183639.02041170144</v>
      </c>
      <c r="BB73" s="31">
        <f t="shared" ca="1" si="22"/>
        <v>5927796.9608928729</v>
      </c>
      <c r="BC73" s="31">
        <f t="shared" ca="1" si="23"/>
        <v>6358906.7847293625</v>
      </c>
    </row>
    <row r="74" spans="1:55">
      <c r="A74" s="541">
        <f>'Monthly Data'!A74</f>
        <v>44562</v>
      </c>
      <c r="B74">
        <f t="shared" ref="B74:B127" si="24">YEAR(A74)</f>
        <v>2022</v>
      </c>
      <c r="C74">
        <f t="shared" ref="C74:C127" si="25">MONTH(A74)</f>
        <v>1</v>
      </c>
      <c r="D74" s="30">
        <f>'Monthly Data'!N74</f>
        <v>7168571.6108332537</v>
      </c>
      <c r="E74" s="30">
        <f>'Monthly Data'!AB74</f>
        <v>6617393.2108332533</v>
      </c>
      <c r="F74" s="33">
        <f t="shared" ref="F74:G93" ca="1" si="26">F62</f>
        <v>914.55166666666662</v>
      </c>
      <c r="G74" s="33">
        <f t="shared" ca="1" si="26"/>
        <v>0</v>
      </c>
      <c r="I74" s="18">
        <f>'GS&gt;50 Predicted Monthly (no LC)'!$P$9</f>
        <v>4121039.41701539</v>
      </c>
      <c r="J74" s="18">
        <f ca="1">F74*'GS&gt;50 Predicted Monthly (no LC)'!$P$10</f>
        <v>2117640.4852206991</v>
      </c>
      <c r="K74" s="18">
        <f ca="1">G74*'GS&gt;50 Predicted Monthly (no LC)'!$P$11</f>
        <v>0</v>
      </c>
      <c r="L74" s="18">
        <f t="shared" ca="1" si="18"/>
        <v>6238679.9022360891</v>
      </c>
      <c r="M74" s="18">
        <f>'Monthly Data'!Y74</f>
        <v>551178.4</v>
      </c>
      <c r="N74" s="18">
        <f>'Monthly Data'!DN74</f>
        <v>0</v>
      </c>
      <c r="O74" s="18">
        <f>'Monthly Data'!DO74</f>
        <v>0</v>
      </c>
      <c r="P74" s="18">
        <f t="shared" ca="1" si="19"/>
        <v>914.55166666666662</v>
      </c>
      <c r="Q74" s="18">
        <f>'Monthly Data'!BR74</f>
        <v>0</v>
      </c>
      <c r="R74" s="18"/>
      <c r="S74" s="18">
        <f>'LC Predicted Monthly'!$T$9</f>
        <v>-22694.781953278001</v>
      </c>
      <c r="T74" s="18">
        <f>N74*'LC Predicted Monthly'!$T$10</f>
        <v>0</v>
      </c>
      <c r="U74" s="18">
        <f>O74*'LC Predicted Monthly'!$T$11</f>
        <v>0</v>
      </c>
      <c r="V74" s="18">
        <f ca="1">P74*'LC Predicted Monthly'!$T$12</f>
        <v>187239.19956993285</v>
      </c>
      <c r="W74" s="18">
        <f>Q74*'LC Predicted Monthly'!$T$13</f>
        <v>0</v>
      </c>
      <c r="X74" s="18">
        <f t="shared" ca="1" si="20"/>
        <v>164544.41761665486</v>
      </c>
      <c r="Y74" s="18">
        <f t="shared" ca="1" si="21"/>
        <v>6403224.3198527442</v>
      </c>
      <c r="AO74" s="33">
        <f t="shared" ca="1" si="17"/>
        <v>817.22005262600237</v>
      </c>
      <c r="AP74" s="33">
        <f t="shared" ca="1" si="17"/>
        <v>1009.7976825258449</v>
      </c>
      <c r="AQ74" s="33">
        <f t="shared" ca="1" si="17"/>
        <v>0</v>
      </c>
      <c r="AR74" s="33">
        <f t="shared" ca="1" si="17"/>
        <v>0</v>
      </c>
      <c r="AT74" s="18">
        <f ca="1">AO74*'GS&gt;50 Predicted Monthly (no LC)'!$P$10</f>
        <v>1892269.5478567963</v>
      </c>
      <c r="AU74" s="18">
        <f ca="1">AP74*'GS&gt;50 Predicted Monthly (no LC)'!$P$10</f>
        <v>2338182.2288867598</v>
      </c>
      <c r="AV74" s="18">
        <f ca="1">AQ74*'GS&gt;50 Predicted Monthly (no LC)'!$P$11</f>
        <v>0</v>
      </c>
      <c r="AW74" s="18">
        <f ca="1">AR74*'GS&gt;50 Predicted Monthly (no LC)'!$P$11</f>
        <v>0</v>
      </c>
      <c r="AY74" s="18">
        <f ca="1">AO74*'LC Predicted Monthly'!$T$12</f>
        <v>167312.17502877486</v>
      </c>
      <c r="AZ74" s="18">
        <f ca="1">AP74*'LC Predicted Monthly'!$T$12</f>
        <v>206739.23266997386</v>
      </c>
      <c r="BB74" s="31">
        <f t="shared" ca="1" si="22"/>
        <v>6157926.3579476839</v>
      </c>
      <c r="BC74" s="31">
        <f t="shared" ca="1" si="23"/>
        <v>6643266.0966188461</v>
      </c>
    </row>
    <row r="75" spans="1:55">
      <c r="A75" s="541">
        <f>'Monthly Data'!A75</f>
        <v>44593</v>
      </c>
      <c r="B75">
        <f t="shared" si="24"/>
        <v>2022</v>
      </c>
      <c r="C75">
        <f t="shared" si="25"/>
        <v>2</v>
      </c>
      <c r="D75" s="30">
        <f>'Monthly Data'!N75</f>
        <v>6519634.1395640364</v>
      </c>
      <c r="E75" s="30">
        <f>'Monthly Data'!AB75</f>
        <v>5876978.9395640362</v>
      </c>
      <c r="F75" s="33">
        <f t="shared" ca="1" si="26"/>
        <v>803.82854166666664</v>
      </c>
      <c r="G75" s="33">
        <f t="shared" ca="1" si="26"/>
        <v>0</v>
      </c>
      <c r="I75" s="18">
        <f>'GS&gt;50 Predicted Monthly (no LC)'!$P$9</f>
        <v>4121039.41701539</v>
      </c>
      <c r="J75" s="18">
        <f ca="1">F75*'GS&gt;50 Predicted Monthly (no LC)'!$P$10</f>
        <v>1861261.5613215731</v>
      </c>
      <c r="K75" s="18">
        <f ca="1">G75*'GS&gt;50 Predicted Monthly (no LC)'!$P$11</f>
        <v>0</v>
      </c>
      <c r="L75" s="18">
        <f t="shared" ca="1" si="18"/>
        <v>5982300.9783369629</v>
      </c>
      <c r="M75" s="18">
        <f>'Monthly Data'!Y75</f>
        <v>642655.19999999995</v>
      </c>
      <c r="N75" s="18">
        <f>'Monthly Data'!DN75</f>
        <v>0</v>
      </c>
      <c r="O75" s="18">
        <f>'Monthly Data'!DO75</f>
        <v>0</v>
      </c>
      <c r="P75" s="18">
        <f t="shared" ca="1" si="19"/>
        <v>803.82854166666664</v>
      </c>
      <c r="Q75" s="18">
        <f>'Monthly Data'!BR75</f>
        <v>0</v>
      </c>
      <c r="R75" s="18"/>
      <c r="S75" s="18">
        <f>'LC Predicted Monthly'!$T$9</f>
        <v>-22694.781953278001</v>
      </c>
      <c r="T75" s="18">
        <f>N75*'LC Predicted Monthly'!$T$10</f>
        <v>0</v>
      </c>
      <c r="U75" s="18">
        <f>O75*'LC Predicted Monthly'!$T$11</f>
        <v>0</v>
      </c>
      <c r="V75" s="18">
        <f ca="1">P75*'LC Predicted Monthly'!$T$12</f>
        <v>164570.48652232124</v>
      </c>
      <c r="W75" s="18">
        <f>Q75*'LC Predicted Monthly'!$T$13</f>
        <v>0</v>
      </c>
      <c r="X75" s="18">
        <f t="shared" ca="1" si="20"/>
        <v>141875.70456904324</v>
      </c>
      <c r="Y75" s="18">
        <f t="shared" ca="1" si="21"/>
        <v>6124176.6829060065</v>
      </c>
      <c r="AO75" s="33">
        <f t="shared" ca="1" si="17"/>
        <v>718.28069103781206</v>
      </c>
      <c r="AP75" s="33">
        <f t="shared" ca="1" si="17"/>
        <v>887.54329373386554</v>
      </c>
      <c r="AQ75" s="33">
        <f t="shared" ca="1" si="17"/>
        <v>0</v>
      </c>
      <c r="AR75" s="33">
        <f t="shared" ca="1" si="17"/>
        <v>0</v>
      </c>
      <c r="AT75" s="18">
        <f ca="1">AO75*'GS&gt;50 Predicted Monthly (no LC)'!$P$10</f>
        <v>1663175.8779007981</v>
      </c>
      <c r="AU75" s="18">
        <f ca="1">AP75*'GS&gt;50 Predicted Monthly (no LC)'!$P$10</f>
        <v>2055102.7128377589</v>
      </c>
      <c r="AV75" s="18">
        <f ca="1">AQ75*'GS&gt;50 Predicted Monthly (no LC)'!$P$11</f>
        <v>0</v>
      </c>
      <c r="AW75" s="18">
        <f ca="1">AR75*'GS&gt;50 Predicted Monthly (no LC)'!$P$11</f>
        <v>0</v>
      </c>
      <c r="AY75" s="18">
        <f ca="1">AO75*'LC Predicted Monthly'!$T$12</f>
        <v>147055.99099353765</v>
      </c>
      <c r="AZ75" s="18">
        <f ca="1">AP75*'LC Predicted Monthly'!$T$12</f>
        <v>181709.68569560398</v>
      </c>
      <c r="BB75" s="31">
        <f t="shared" ca="1" si="22"/>
        <v>5908576.5039564483</v>
      </c>
      <c r="BC75" s="31">
        <f t="shared" ca="1" si="23"/>
        <v>6335157.0335954754</v>
      </c>
    </row>
    <row r="76" spans="1:55">
      <c r="A76" s="541">
        <f>'Monthly Data'!A76</f>
        <v>44621</v>
      </c>
      <c r="B76">
        <f t="shared" si="24"/>
        <v>2022</v>
      </c>
      <c r="C76">
        <f t="shared" si="25"/>
        <v>3</v>
      </c>
      <c r="D76" s="30">
        <f>'Monthly Data'!N76</f>
        <v>6029488.6682948181</v>
      </c>
      <c r="E76" s="30">
        <f>'Monthly Data'!AB76</f>
        <v>6015307.8682948183</v>
      </c>
      <c r="F76" s="33">
        <f t="shared" ca="1" si="26"/>
        <v>698.29604166666672</v>
      </c>
      <c r="G76" s="33">
        <f t="shared" ca="1" si="26"/>
        <v>0.11000000000000032</v>
      </c>
      <c r="I76" s="18">
        <f>'GS&gt;50 Predicted Monthly (no LC)'!$P$9</f>
        <v>4121039.41701539</v>
      </c>
      <c r="J76" s="18">
        <f ca="1">F76*'GS&gt;50 Predicted Monthly (no LC)'!$P$10</f>
        <v>1616901.5074811084</v>
      </c>
      <c r="K76" s="18">
        <f ca="1">G76*'GS&gt;50 Predicted Monthly (no LC)'!$P$11</f>
        <v>594.2444084467578</v>
      </c>
      <c r="L76" s="18">
        <f t="shared" ca="1" si="18"/>
        <v>5738535.1689049443</v>
      </c>
      <c r="M76" s="18">
        <f>'Monthly Data'!Y76</f>
        <v>14180.8</v>
      </c>
      <c r="N76" s="18">
        <f>'Monthly Data'!DN76</f>
        <v>0</v>
      </c>
      <c r="O76" s="18">
        <f>'Monthly Data'!DO76</f>
        <v>0</v>
      </c>
      <c r="P76" s="18">
        <f t="shared" ca="1" si="19"/>
        <v>698.29604166666672</v>
      </c>
      <c r="Q76" s="18">
        <f>'Monthly Data'!BR76</f>
        <v>0</v>
      </c>
      <c r="R76" s="18"/>
      <c r="S76" s="18">
        <f>'LC Predicted Monthly'!$T$9</f>
        <v>-22694.781953278001</v>
      </c>
      <c r="T76" s="18">
        <f>N76*'LC Predicted Monthly'!$T$10</f>
        <v>0</v>
      </c>
      <c r="U76" s="18">
        <f>O76*'LC Predicted Monthly'!$T$11</f>
        <v>0</v>
      </c>
      <c r="V76" s="18">
        <f ca="1">P76*'LC Predicted Monthly'!$T$12</f>
        <v>142964.46736690929</v>
      </c>
      <c r="W76" s="18">
        <f>Q76*'LC Predicted Monthly'!$T$13</f>
        <v>0</v>
      </c>
      <c r="X76" s="18">
        <f t="shared" ca="1" si="20"/>
        <v>120269.68541363129</v>
      </c>
      <c r="Y76" s="18">
        <f t="shared" ca="1" si="21"/>
        <v>5858804.8543185759</v>
      </c>
      <c r="AO76" s="33">
        <f t="shared" ca="1" si="17"/>
        <v>623.97953961343092</v>
      </c>
      <c r="AP76" s="33">
        <f t="shared" ca="1" si="17"/>
        <v>771.02010776716202</v>
      </c>
      <c r="AQ76" s="33">
        <f t="shared" ca="1" si="17"/>
        <v>9.2975657066825132E-2</v>
      </c>
      <c r="AR76" s="33">
        <f t="shared" ca="1" si="17"/>
        <v>0.11932565987223402</v>
      </c>
      <c r="AT76" s="18">
        <f ca="1">AO76*'GS&gt;50 Predicted Monthly (no LC)'!$P$10</f>
        <v>1444821.9638053337</v>
      </c>
      <c r="AU76" s="18">
        <f ca="1">AP76*'GS&gt;50 Predicted Monthly (no LC)'!$P$10</f>
        <v>1785293.7724972367</v>
      </c>
      <c r="AV76" s="18">
        <f ca="1">AQ76*'GS&gt;50 Predicted Monthly (no LC)'!$P$11</f>
        <v>502.27513030567235</v>
      </c>
      <c r="AW76" s="18">
        <f ca="1">AR76*'GS&gt;50 Predicted Monthly (no LC)'!$P$11</f>
        <v>644.62369239358668</v>
      </c>
      <c r="AY76" s="18">
        <f ca="1">AO76*'LC Predicted Monthly'!$T$12</f>
        <v>127749.40312674227</v>
      </c>
      <c r="AZ76" s="18">
        <f ca="1">AP76*'LC Predicted Monthly'!$T$12</f>
        <v>157853.50690664109</v>
      </c>
      <c r="BB76" s="31">
        <f t="shared" ca="1" si="22"/>
        <v>5671418.2771244934</v>
      </c>
      <c r="BC76" s="31">
        <f t="shared" ca="1" si="23"/>
        <v>6042136.5381583832</v>
      </c>
    </row>
    <row r="77" spans="1:55">
      <c r="A77" s="541">
        <f>'Monthly Data'!A77</f>
        <v>44652</v>
      </c>
      <c r="B77">
        <f t="shared" si="24"/>
        <v>2022</v>
      </c>
      <c r="C77">
        <f t="shared" si="25"/>
        <v>4</v>
      </c>
      <c r="D77" s="30">
        <f>'Monthly Data'!N77</f>
        <v>5243870.1970255999</v>
      </c>
      <c r="E77" s="30">
        <f>'Monthly Data'!AB77</f>
        <v>5243000.5970256003</v>
      </c>
      <c r="F77" s="33">
        <f t="shared" ca="1" si="26"/>
        <v>468.60374999999993</v>
      </c>
      <c r="G77" s="33">
        <f t="shared" ca="1" si="26"/>
        <v>7.7354166666666684</v>
      </c>
      <c r="I77" s="18">
        <f>'GS&gt;50 Predicted Monthly (no LC)'!$P$9</f>
        <v>4121039.41701539</v>
      </c>
      <c r="J77" s="18">
        <f ca="1">F77*'GS&gt;50 Predicted Monthly (no LC)'!$P$10</f>
        <v>1085049.9853584787</v>
      </c>
      <c r="K77" s="18">
        <f ca="1">G77*'GS&gt;50 Predicted Monthly (no LC)'!$P$11</f>
        <v>41788.437283386476</v>
      </c>
      <c r="L77" s="18">
        <f t="shared" ca="1" si="18"/>
        <v>5247877.8396572554</v>
      </c>
      <c r="M77" s="18">
        <f>'Monthly Data'!Y77</f>
        <v>869.6</v>
      </c>
      <c r="N77" s="18">
        <f>'Monthly Data'!DN77</f>
        <v>0</v>
      </c>
      <c r="O77" s="18">
        <f>'Monthly Data'!DO77</f>
        <v>0</v>
      </c>
      <c r="P77" s="18">
        <f t="shared" ca="1" si="19"/>
        <v>468.60374999999993</v>
      </c>
      <c r="Q77" s="18">
        <f>'Monthly Data'!BR77</f>
        <v>0</v>
      </c>
      <c r="R77" s="18"/>
      <c r="S77" s="18">
        <f>'LC Predicted Monthly'!$T$9</f>
        <v>-22694.781953278001</v>
      </c>
      <c r="T77" s="18">
        <f>N77*'LC Predicted Monthly'!$T$10</f>
        <v>0</v>
      </c>
      <c r="U77" s="18">
        <f>O77*'LC Predicted Monthly'!$T$11</f>
        <v>0</v>
      </c>
      <c r="V77" s="18">
        <f ca="1">P77*'LC Predicted Monthly'!$T$12</f>
        <v>95938.80177952649</v>
      </c>
      <c r="W77" s="18">
        <f>Q77*'LC Predicted Monthly'!$T$13</f>
        <v>0</v>
      </c>
      <c r="X77" s="18">
        <f t="shared" ca="1" si="20"/>
        <v>73244.019826248492</v>
      </c>
      <c r="Y77" s="18">
        <f t="shared" ca="1" si="21"/>
        <v>5321121.8594835037</v>
      </c>
      <c r="AO77" s="33">
        <f t="shared" ca="1" si="17"/>
        <v>418.73236383846591</v>
      </c>
      <c r="AP77" s="33">
        <f t="shared" ca="1" si="17"/>
        <v>517.40650421381736</v>
      </c>
      <c r="AQ77" s="33">
        <f t="shared" ca="1" si="17"/>
        <v>6.5382313388091058</v>
      </c>
      <c r="AR77" s="33">
        <f t="shared" ca="1" si="17"/>
        <v>8.3912154376061316</v>
      </c>
      <c r="AT77" s="18">
        <f ca="1">AO77*'GS&gt;50 Predicted Monthly (no LC)'!$P$10</f>
        <v>969573.00331473805</v>
      </c>
      <c r="AU77" s="18">
        <f ca="1">AP77*'GS&gt;50 Predicted Monthly (no LC)'!$P$10</f>
        <v>1198052.5546831076</v>
      </c>
      <c r="AV77" s="18">
        <f ca="1">AQ77*'GS&gt;50 Predicted Monthly (no LC)'!$P$11</f>
        <v>35320.976492896902</v>
      </c>
      <c r="AW77" s="18">
        <f ca="1">AR77*'GS&gt;50 Predicted Monthly (no LC)'!$P$11</f>
        <v>45331.207762450395</v>
      </c>
      <c r="AY77" s="18">
        <f ca="1">AO77*'LC Predicted Monthly'!$T$12</f>
        <v>85728.467288132349</v>
      </c>
      <c r="AZ77" s="18">
        <f ca="1">AP77*'LC Predicted Monthly'!$T$12</f>
        <v>105930.35170377353</v>
      </c>
      <c r="BB77" s="31">
        <f t="shared" ca="1" si="22"/>
        <v>5188967.0821578791</v>
      </c>
      <c r="BC77" s="31">
        <f t="shared" ca="1" si="23"/>
        <v>5447658.7492114436</v>
      </c>
    </row>
    <row r="78" spans="1:55">
      <c r="A78" s="541">
        <f>'Monthly Data'!A78</f>
        <v>44682</v>
      </c>
      <c r="B78">
        <f t="shared" si="24"/>
        <v>2022</v>
      </c>
      <c r="C78">
        <f t="shared" si="25"/>
        <v>5</v>
      </c>
      <c r="D78" s="30">
        <f>'Monthly Data'!N78</f>
        <v>5283935.7257563816</v>
      </c>
      <c r="E78" s="30">
        <f>'Monthly Data'!AB78</f>
        <v>5279093.3257563813</v>
      </c>
      <c r="F78" s="33">
        <f t="shared" ca="1" si="26"/>
        <v>232.88687500000006</v>
      </c>
      <c r="G78" s="33">
        <f t="shared" ca="1" si="26"/>
        <v>111.43645833333332</v>
      </c>
      <c r="I78" s="18">
        <f>'GS&gt;50 Predicted Monthly (no LC)'!$P$9</f>
        <v>4121039.41701539</v>
      </c>
      <c r="J78" s="18">
        <f ca="1">F78*'GS&gt;50 Predicted Monthly (no LC)'!$P$10</f>
        <v>539248.5662117129</v>
      </c>
      <c r="K78" s="18">
        <f ca="1">G78*'GS&gt;50 Predicted Monthly (no LC)'!$P$11</f>
        <v>602004.47510630218</v>
      </c>
      <c r="L78" s="18">
        <f t="shared" ca="1" si="18"/>
        <v>5262292.4583334047</v>
      </c>
      <c r="M78" s="18">
        <f>'Monthly Data'!Y78</f>
        <v>4842.3999999999996</v>
      </c>
      <c r="N78" s="18">
        <f>'Monthly Data'!DN78</f>
        <v>0</v>
      </c>
      <c r="O78" s="18">
        <f>'Monthly Data'!DO78</f>
        <v>0</v>
      </c>
      <c r="P78" s="18">
        <f t="shared" ca="1" si="19"/>
        <v>232.88687500000006</v>
      </c>
      <c r="Q78" s="18">
        <f>'Monthly Data'!BR78</f>
        <v>0</v>
      </c>
      <c r="R78" s="18"/>
      <c r="S78" s="18">
        <f>'LC Predicted Monthly'!$T$9</f>
        <v>-22694.781953278001</v>
      </c>
      <c r="T78" s="18">
        <f>N78*'LC Predicted Monthly'!$T$10</f>
        <v>0</v>
      </c>
      <c r="U78" s="18">
        <f>O78*'LC Predicted Monthly'!$T$11</f>
        <v>0</v>
      </c>
      <c r="V78" s="18">
        <f ca="1">P78*'LC Predicted Monthly'!$T$12</f>
        <v>47679.703241125091</v>
      </c>
      <c r="W78" s="18">
        <f>Q78*'LC Predicted Monthly'!$T$13</f>
        <v>0</v>
      </c>
      <c r="X78" s="18">
        <f t="shared" ca="1" si="20"/>
        <v>24984.92128784709</v>
      </c>
      <c r="Y78" s="18">
        <f t="shared" ca="1" si="21"/>
        <v>5287277.3796212515</v>
      </c>
      <c r="AO78" s="33">
        <f t="shared" ref="AO78:AR93" ca="1" si="27">AO66</f>
        <v>208.10177399498693</v>
      </c>
      <c r="AP78" s="33">
        <f t="shared" ca="1" si="27"/>
        <v>257.1408868815717</v>
      </c>
      <c r="AQ78" s="33">
        <f t="shared" ca="1" si="27"/>
        <v>94.189799406741059</v>
      </c>
      <c r="AR78" s="33">
        <f t="shared" ca="1" si="27"/>
        <v>120.88389931317884</v>
      </c>
      <c r="AT78" s="18">
        <f ca="1">AO78*'GS&gt;50 Predicted Monthly (no LC)'!$P$10</f>
        <v>481858.77049924171</v>
      </c>
      <c r="AU78" s="18">
        <f ca="1">AP78*'GS&gt;50 Predicted Monthly (no LC)'!$P$10</f>
        <v>595408.62732301152</v>
      </c>
      <c r="AV78" s="18">
        <f ca="1">AQ78*'GS&gt;50 Predicted Monthly (no LC)'!$P$11</f>
        <v>508834.19663797691</v>
      </c>
      <c r="AW78" s="18">
        <f ca="1">AR78*'GS&gt;50 Predicted Monthly (no LC)'!$P$11</f>
        <v>653041.64761906536</v>
      </c>
      <c r="AY78" s="18">
        <f ca="1">AO78*'LC Predicted Monthly'!$T$12</f>
        <v>42605.367211152006</v>
      </c>
      <c r="AZ78" s="18">
        <f ca="1">AP78*'LC Predicted Monthly'!$T$12</f>
        <v>52645.307631325515</v>
      </c>
      <c r="BB78" s="31">
        <f t="shared" ca="1" si="22"/>
        <v>5131642.9694104819</v>
      </c>
      <c r="BC78" s="31">
        <f t="shared" ca="1" si="23"/>
        <v>5399440.2176355133</v>
      </c>
    </row>
    <row r="79" spans="1:55">
      <c r="A79" s="541">
        <f>'Monthly Data'!A79</f>
        <v>44713</v>
      </c>
      <c r="B79">
        <f t="shared" si="24"/>
        <v>2022</v>
      </c>
      <c r="C79">
        <f t="shared" si="25"/>
        <v>6</v>
      </c>
      <c r="D79" s="30">
        <f>'Monthly Data'!N79</f>
        <v>5270216.2544871643</v>
      </c>
      <c r="E79" s="30">
        <f>'Monthly Data'!AB79</f>
        <v>5269658.6544871647</v>
      </c>
      <c r="F79" s="33">
        <f t="shared" ca="1" si="26"/>
        <v>92.751249999999999</v>
      </c>
      <c r="G79" s="33">
        <f t="shared" ca="1" si="26"/>
        <v>227.31958333333333</v>
      </c>
      <c r="I79" s="18">
        <f>'GS&gt;50 Predicted Monthly (no LC)'!$P$9</f>
        <v>4121039.41701539</v>
      </c>
      <c r="J79" s="18">
        <f ca="1">F79*'GS&gt;50 Predicted Monthly (no LC)'!$P$10</f>
        <v>214765.12395489923</v>
      </c>
      <c r="K79" s="18">
        <f ca="1">G79*'GS&gt;50 Predicted Monthly (no LC)'!$P$11</f>
        <v>1228030.8302389067</v>
      </c>
      <c r="L79" s="18">
        <f t="shared" ca="1" si="18"/>
        <v>5563835.3712091958</v>
      </c>
      <c r="M79" s="18">
        <f>'Monthly Data'!Y79</f>
        <v>557.6</v>
      </c>
      <c r="N79" s="18">
        <f>'Monthly Data'!DN79</f>
        <v>0</v>
      </c>
      <c r="O79" s="18">
        <f>'Monthly Data'!DO79</f>
        <v>0</v>
      </c>
      <c r="P79" s="18">
        <f t="shared" ca="1" si="19"/>
        <v>92.751249999999999</v>
      </c>
      <c r="Q79" s="18">
        <f>'Monthly Data'!BR79</f>
        <v>0</v>
      </c>
      <c r="R79" s="18"/>
      <c r="S79" s="18">
        <f>'LC Predicted Monthly'!$T$9</f>
        <v>-22694.781953278001</v>
      </c>
      <c r="T79" s="18">
        <f>N79*'LC Predicted Monthly'!$T$10</f>
        <v>0</v>
      </c>
      <c r="U79" s="18">
        <f>O79*'LC Predicted Monthly'!$T$11</f>
        <v>0</v>
      </c>
      <c r="V79" s="18">
        <f ca="1">P79*'LC Predicted Monthly'!$T$12</f>
        <v>18989.271401591017</v>
      </c>
      <c r="W79" s="18">
        <f>Q79*'LC Predicted Monthly'!$T$13</f>
        <v>0</v>
      </c>
      <c r="X79" s="18">
        <f t="shared" ca="1" si="20"/>
        <v>-3705.5105516869844</v>
      </c>
      <c r="Y79" s="18">
        <f t="shared" ca="1" si="21"/>
        <v>5560129.8606575085</v>
      </c>
      <c r="AO79" s="33">
        <f t="shared" ca="1" si="27"/>
        <v>82.880152285321046</v>
      </c>
      <c r="AP79" s="33">
        <f t="shared" ca="1" si="27"/>
        <v>102.41083223077457</v>
      </c>
      <c r="AQ79" s="33">
        <f t="shared" ca="1" si="27"/>
        <v>192.13806931430472</v>
      </c>
      <c r="AR79" s="33">
        <f t="shared" ca="1" si="27"/>
        <v>246.59144802846558</v>
      </c>
      <c r="AT79" s="18">
        <f ca="1">AO79*'GS&gt;50 Predicted Monthly (no LC)'!$P$10</f>
        <v>191908.63927934016</v>
      </c>
      <c r="AU79" s="18">
        <f ca="1">AP79*'GS&gt;50 Predicted Monthly (no LC)'!$P$10</f>
        <v>237131.8454292173</v>
      </c>
      <c r="AV79" s="18">
        <f ca="1">AQ79*'GS&gt;50 Predicted Monthly (no LC)'!$P$11</f>
        <v>1037972.4849070985</v>
      </c>
      <c r="AW79" s="18">
        <f ca="1">AR79*'GS&gt;50 Predicted Monthly (no LC)'!$P$11</f>
        <v>1332141.7196518595</v>
      </c>
      <c r="AY79" s="18">
        <f ca="1">AO79*'LC Predicted Monthly'!$T$12</f>
        <v>16968.328788573257</v>
      </c>
      <c r="AZ79" s="18">
        <f ca="1">AP79*'LC Predicted Monthly'!$T$12</f>
        <v>20966.909747232337</v>
      </c>
      <c r="BB79" s="31">
        <f t="shared" ca="1" si="22"/>
        <v>5345194.088037123</v>
      </c>
      <c r="BC79" s="31">
        <f t="shared" ca="1" si="23"/>
        <v>5688585.1098904209</v>
      </c>
    </row>
    <row r="80" spans="1:55">
      <c r="A80" s="541">
        <f>'Monthly Data'!A80</f>
        <v>44743</v>
      </c>
      <c r="B80">
        <f t="shared" si="24"/>
        <v>2022</v>
      </c>
      <c r="C80">
        <f t="shared" si="25"/>
        <v>7</v>
      </c>
      <c r="D80" s="30">
        <f>'Monthly Data'!N80</f>
        <v>5765089.7832179461</v>
      </c>
      <c r="E80" s="30">
        <f>'Monthly Data'!AB80</f>
        <v>5762288.9832179463</v>
      </c>
      <c r="F80" s="33">
        <f t="shared" ca="1" si="26"/>
        <v>25.464999999999996</v>
      </c>
      <c r="G80" s="33">
        <f t="shared" ca="1" si="26"/>
        <v>327.99625000000003</v>
      </c>
      <c r="I80" s="18">
        <f>'GS&gt;50 Predicted Monthly (no LC)'!$P$9</f>
        <v>4121039.41701539</v>
      </c>
      <c r="J80" s="18">
        <f ca="1">F80*'GS&gt;50 Predicted Monthly (no LC)'!$P$10</f>
        <v>58964.098936796094</v>
      </c>
      <c r="K80" s="18">
        <f ca="1">G80*'GS&gt;50 Predicted Monthly (no LC)'!$P$11</f>
        <v>1771908.5232182215</v>
      </c>
      <c r="L80" s="18">
        <f t="shared" ca="1" si="18"/>
        <v>5951912.0391704077</v>
      </c>
      <c r="M80" s="18">
        <f>'Monthly Data'!Y80</f>
        <v>2800.8</v>
      </c>
      <c r="N80" s="18">
        <f>'Monthly Data'!DN80</f>
        <v>0</v>
      </c>
      <c r="O80" s="18">
        <f>'Monthly Data'!DO80</f>
        <v>0</v>
      </c>
      <c r="P80" s="18">
        <f t="shared" ca="1" si="19"/>
        <v>25.464999999999996</v>
      </c>
      <c r="Q80" s="18">
        <f>'Monthly Data'!BR80</f>
        <v>0</v>
      </c>
      <c r="R80" s="18"/>
      <c r="S80" s="18">
        <f>'LC Predicted Monthly'!$T$9</f>
        <v>-22694.781953278001</v>
      </c>
      <c r="T80" s="18">
        <f>N80*'LC Predicted Monthly'!$T$10</f>
        <v>0</v>
      </c>
      <c r="U80" s="18">
        <f>O80*'LC Predicted Monthly'!$T$11</f>
        <v>0</v>
      </c>
      <c r="V80" s="18">
        <f ca="1">P80*'LC Predicted Monthly'!$T$12</f>
        <v>5213.5340088841413</v>
      </c>
      <c r="W80" s="18">
        <f>Q80*'LC Predicted Monthly'!$T$13</f>
        <v>0</v>
      </c>
      <c r="X80" s="18">
        <f t="shared" ca="1" si="20"/>
        <v>-17481.247944393861</v>
      </c>
      <c r="Y80" s="18">
        <f t="shared" ca="1" si="21"/>
        <v>5934430.7912260136</v>
      </c>
      <c r="AO80" s="33">
        <f t="shared" ca="1" si="27"/>
        <v>22.754874763905612</v>
      </c>
      <c r="AP80" s="33">
        <f t="shared" ca="1" si="27"/>
        <v>28.117053330889604</v>
      </c>
      <c r="AQ80" s="33">
        <f t="shared" ca="1" si="27"/>
        <v>277.23333508367784</v>
      </c>
      <c r="AR80" s="33">
        <f t="shared" ca="1" si="27"/>
        <v>355.80335424425579</v>
      </c>
      <c r="AT80" s="18">
        <f ca="1">AO80*'GS&gt;50 Predicted Monthly (no LC)'!$P$10</f>
        <v>52688.815506512285</v>
      </c>
      <c r="AU80" s="18">
        <f ca="1">AP80*'GS&gt;50 Predicted Monthly (no LC)'!$P$10</f>
        <v>65104.917118152247</v>
      </c>
      <c r="AV80" s="18">
        <f ca="1">AQ80*'GS&gt;50 Predicted Monthly (no LC)'!$P$11</f>
        <v>1497675.9928047406</v>
      </c>
      <c r="AW80" s="18">
        <f ca="1">AR80*'GS&gt;50 Predicted Monthly (no LC)'!$P$11</f>
        <v>1922128.6706022671</v>
      </c>
      <c r="AY80" s="18">
        <f ca="1">AO80*'LC Predicted Monthly'!$T$12</f>
        <v>4658.6810700774167</v>
      </c>
      <c r="AZ80" s="18">
        <f ca="1">AP80*'LC Predicted Monthly'!$T$12</f>
        <v>5756.4976937051679</v>
      </c>
      <c r="BB80" s="31">
        <f t="shared" ca="1" si="22"/>
        <v>5653368.1244434416</v>
      </c>
      <c r="BC80" s="31">
        <f t="shared" ca="1" si="23"/>
        <v>6091334.7204762362</v>
      </c>
    </row>
    <row r="81" spans="1:55">
      <c r="A81" s="541">
        <f>'Monthly Data'!A81</f>
        <v>44774</v>
      </c>
      <c r="B81">
        <f t="shared" si="24"/>
        <v>2022</v>
      </c>
      <c r="C81">
        <f t="shared" si="25"/>
        <v>8</v>
      </c>
      <c r="D81" s="30">
        <f>'Monthly Data'!N81</f>
        <v>5800196.3119487278</v>
      </c>
      <c r="E81" s="30">
        <f>'Monthly Data'!AB81</f>
        <v>5786992.3119487278</v>
      </c>
      <c r="F81" s="33">
        <f t="shared" ca="1" si="26"/>
        <v>54.974791666666668</v>
      </c>
      <c r="G81" s="33">
        <f t="shared" ca="1" si="26"/>
        <v>280.40312500000005</v>
      </c>
      <c r="I81" s="18">
        <f>'GS&gt;50 Predicted Monthly (no LC)'!$P$9</f>
        <v>4121039.41701539</v>
      </c>
      <c r="J81" s="18">
        <f ca="1">F81*'GS&gt;50 Predicted Monthly (no LC)'!$P$10</f>
        <v>127293.89573387343</v>
      </c>
      <c r="K81" s="18">
        <f ca="1">G81*'GS&gt;50 Predicted Monthly (no LC)'!$P$11</f>
        <v>1514799.9012931532</v>
      </c>
      <c r="L81" s="18">
        <f t="shared" ca="1" si="18"/>
        <v>5763133.2140424168</v>
      </c>
      <c r="M81" s="18">
        <f>'Monthly Data'!Y81</f>
        <v>13204</v>
      </c>
      <c r="N81" s="18">
        <f>'Monthly Data'!DN81</f>
        <v>0</v>
      </c>
      <c r="O81" s="18">
        <f>'Monthly Data'!DO81</f>
        <v>0</v>
      </c>
      <c r="P81" s="18">
        <f t="shared" ca="1" si="19"/>
        <v>54.974791666666668</v>
      </c>
      <c r="Q81" s="18">
        <f>'Monthly Data'!BR81</f>
        <v>0</v>
      </c>
      <c r="R81" s="18"/>
      <c r="S81" s="18">
        <f>'LC Predicted Monthly'!$T$9</f>
        <v>-22694.781953278001</v>
      </c>
      <c r="T81" s="18">
        <f>N81*'LC Predicted Monthly'!$T$10</f>
        <v>0</v>
      </c>
      <c r="U81" s="18">
        <f>O81*'LC Predicted Monthly'!$T$11</f>
        <v>0</v>
      </c>
      <c r="V81" s="18">
        <f ca="1">P81*'LC Predicted Monthly'!$T$12</f>
        <v>11255.171646789209</v>
      </c>
      <c r="W81" s="18">
        <f>Q81*'LC Predicted Monthly'!$T$13</f>
        <v>0</v>
      </c>
      <c r="X81" s="18">
        <f t="shared" ca="1" si="20"/>
        <v>-11439.610306488792</v>
      </c>
      <c r="Y81" s="18">
        <f t="shared" ca="1" si="21"/>
        <v>5751693.6037359284</v>
      </c>
      <c r="AO81" s="33">
        <f t="shared" ca="1" si="27"/>
        <v>49.124072238240799</v>
      </c>
      <c r="AP81" s="33">
        <f t="shared" ca="1" si="27"/>
        <v>60.700143300459935</v>
      </c>
      <c r="AQ81" s="33">
        <f t="shared" ca="1" si="27"/>
        <v>237.00604354969119</v>
      </c>
      <c r="AR81" s="33">
        <f t="shared" ca="1" si="27"/>
        <v>304.17534473510392</v>
      </c>
      <c r="AT81" s="18">
        <f ca="1">AO81*'GS&gt;50 Predicted Monthly (no LC)'!$P$10</f>
        <v>113746.57984032786</v>
      </c>
      <c r="AU81" s="18">
        <f ca="1">AP81*'GS&gt;50 Predicted Monthly (no LC)'!$P$10</f>
        <v>140550.92303341921</v>
      </c>
      <c r="AV81" s="18">
        <f ca="1">AQ81*'GS&gt;50 Predicted Monthly (no LC)'!$P$11</f>
        <v>1280359.2377044759</v>
      </c>
      <c r="AW81" s="18">
        <f ca="1">AR81*'GS&gt;50 Predicted Monthly (no LC)'!$P$11</f>
        <v>1643222.7072381813</v>
      </c>
      <c r="AY81" s="18">
        <f ca="1">AO81*'LC Predicted Monthly'!$T$12</f>
        <v>10057.334430353416</v>
      </c>
      <c r="AZ81" s="18">
        <f ca="1">AP81*'LC Predicted Monthly'!$T$12</f>
        <v>12427.341898334529</v>
      </c>
      <c r="BB81" s="31">
        <f t="shared" ca="1" si="22"/>
        <v>5502507.7870372701</v>
      </c>
      <c r="BC81" s="31">
        <f t="shared" ca="1" si="23"/>
        <v>5894545.6072320472</v>
      </c>
    </row>
    <row r="82" spans="1:55">
      <c r="A82" s="541">
        <f>'Monthly Data'!A82</f>
        <v>44805</v>
      </c>
      <c r="B82">
        <f t="shared" si="24"/>
        <v>2022</v>
      </c>
      <c r="C82">
        <f t="shared" si="25"/>
        <v>9</v>
      </c>
      <c r="D82" s="30">
        <f>'Monthly Data'!N82</f>
        <v>5197018.8406795096</v>
      </c>
      <c r="E82" s="30">
        <f>'Monthly Data'!AB82</f>
        <v>5197002.8406795096</v>
      </c>
      <c r="F82" s="33">
        <f t="shared" ca="1" si="26"/>
        <v>166.50624999999999</v>
      </c>
      <c r="G82" s="33">
        <f t="shared" ca="1" si="26"/>
        <v>144.00333333333333</v>
      </c>
      <c r="I82" s="18">
        <f>'GS&gt;50 Predicted Monthly (no LC)'!$P$9</f>
        <v>4121039.41701539</v>
      </c>
      <c r="J82" s="18">
        <f ca="1">F82*'GS&gt;50 Predicted Monthly (no LC)'!$P$10</f>
        <v>385544.51202022011</v>
      </c>
      <c r="K82" s="18">
        <f ca="1">G82*'GS&gt;50 Predicted Monthly (no LC)'!$P$11</f>
        <v>777937.96028206998</v>
      </c>
      <c r="L82" s="18">
        <f t="shared" ca="1" si="18"/>
        <v>5284521.8893176802</v>
      </c>
      <c r="M82" s="18">
        <f>'Monthly Data'!Y82</f>
        <v>16</v>
      </c>
      <c r="N82" s="18">
        <f>'Monthly Data'!DN82</f>
        <v>0</v>
      </c>
      <c r="O82" s="18">
        <f>'Monthly Data'!DO82</f>
        <v>0</v>
      </c>
      <c r="P82" s="18">
        <f t="shared" ca="1" si="19"/>
        <v>166.50624999999999</v>
      </c>
      <c r="Q82" s="18">
        <f>'Monthly Data'!BR82</f>
        <v>1</v>
      </c>
      <c r="R82" s="18"/>
      <c r="S82" s="18">
        <f>'LC Predicted Monthly'!$T$9</f>
        <v>-22694.781953278001</v>
      </c>
      <c r="T82" s="18">
        <f>N82*'LC Predicted Monthly'!$T$10</f>
        <v>0</v>
      </c>
      <c r="U82" s="18">
        <f>O82*'LC Predicted Monthly'!$T$11</f>
        <v>0</v>
      </c>
      <c r="V82" s="18">
        <f ca="1">P82*'LC Predicted Monthly'!$T$12</f>
        <v>34089.377461879645</v>
      </c>
      <c r="W82" s="18">
        <f>Q82*'LC Predicted Monthly'!$T$13</f>
        <v>97970.228068396304</v>
      </c>
      <c r="X82" s="18">
        <f t="shared" ca="1" si="20"/>
        <v>109364.82357699795</v>
      </c>
      <c r="Y82" s="18">
        <f t="shared" ca="1" si="21"/>
        <v>5393886.7128946781</v>
      </c>
      <c r="AO82" s="33">
        <f t="shared" ca="1" si="27"/>
        <v>148.78573988445157</v>
      </c>
      <c r="AP82" s="33">
        <f t="shared" ca="1" si="27"/>
        <v>183.84704932952829</v>
      </c>
      <c r="AQ82" s="33">
        <f t="shared" ca="1" si="27"/>
        <v>121.71640487708792</v>
      </c>
      <c r="AR82" s="33">
        <f t="shared" ca="1" si="27"/>
        <v>156.21175248910205</v>
      </c>
      <c r="AT82" s="18">
        <f ca="1">AO82*'GS&gt;50 Predicted Monthly (no LC)'!$P$10</f>
        <v>344512.74639431422</v>
      </c>
      <c r="AU82" s="18">
        <f ca="1">AP82*'GS&gt;50 Predicted Monthly (no LC)'!$P$10</f>
        <v>425697.05893989158</v>
      </c>
      <c r="AV82" s="18">
        <f ca="1">AQ82*'GS&gt;50 Predicted Monthly (no LC)'!$P$11</f>
        <v>657539.02740409982</v>
      </c>
      <c r="AW82" s="18">
        <f ca="1">AR82*'GS&gt;50 Predicted Monthly (no LC)'!$P$11</f>
        <v>843890.54954834119</v>
      </c>
      <c r="AY82" s="18">
        <f ca="1">AO82*'LC Predicted Monthly'!$T$12</f>
        <v>30461.398583333124</v>
      </c>
      <c r="AZ82" s="18">
        <f ca="1">AP82*'LC Predicted Monthly'!$T$12</f>
        <v>37639.616890339537</v>
      </c>
      <c r="BB82" s="31">
        <f t="shared" ca="1" si="22"/>
        <v>5228828.0355122555</v>
      </c>
      <c r="BC82" s="31">
        <f t="shared" ca="1" si="23"/>
        <v>5503542.0885090809</v>
      </c>
    </row>
    <row r="83" spans="1:55">
      <c r="A83" s="541">
        <f>'Monthly Data'!A83</f>
        <v>44835</v>
      </c>
      <c r="B83">
        <f t="shared" si="24"/>
        <v>2022</v>
      </c>
      <c r="C83">
        <f t="shared" si="25"/>
        <v>10</v>
      </c>
      <c r="D83" s="30">
        <f>'Monthly Data'!N83</f>
        <v>5276473.3694102913</v>
      </c>
      <c r="E83" s="30">
        <f>'Monthly Data'!AB83</f>
        <v>5264967.7694102917</v>
      </c>
      <c r="F83" s="33">
        <f t="shared" ca="1" si="26"/>
        <v>363.47645833333326</v>
      </c>
      <c r="G83" s="33">
        <f t="shared" ca="1" si="26"/>
        <v>40.02791666666667</v>
      </c>
      <c r="I83" s="18">
        <f>'GS&gt;50 Predicted Monthly (no LC)'!$P$9</f>
        <v>4121039.41701539</v>
      </c>
      <c r="J83" s="18">
        <f ca="1">F83*'GS&gt;50 Predicted Monthly (no LC)'!$P$10</f>
        <v>841628.18968635018</v>
      </c>
      <c r="K83" s="18">
        <f ca="1">G83*'GS&gt;50 Predicted Monthly (no LC)'!$P$11</f>
        <v>216239.6878267217</v>
      </c>
      <c r="L83" s="18">
        <f t="shared" ca="1" si="18"/>
        <v>5178907.294528462</v>
      </c>
      <c r="M83" s="18">
        <f>'Monthly Data'!Y83</f>
        <v>11505.6</v>
      </c>
      <c r="N83" s="18">
        <f>'Monthly Data'!DN83</f>
        <v>0</v>
      </c>
      <c r="O83" s="18">
        <f>'Monthly Data'!DO83</f>
        <v>0</v>
      </c>
      <c r="P83" s="18">
        <f t="shared" ca="1" si="19"/>
        <v>363.47645833333326</v>
      </c>
      <c r="Q83" s="18">
        <f>'Monthly Data'!BR83</f>
        <v>1</v>
      </c>
      <c r="R83" s="18"/>
      <c r="S83" s="18">
        <f>'LC Predicted Monthly'!$T$9</f>
        <v>-22694.781953278001</v>
      </c>
      <c r="T83" s="18">
        <f>N83*'LC Predicted Monthly'!$T$10</f>
        <v>0</v>
      </c>
      <c r="U83" s="18">
        <f>O83*'LC Predicted Monthly'!$T$11</f>
        <v>0</v>
      </c>
      <c r="V83" s="18">
        <f ca="1">P83*'LC Predicted Monthly'!$T$12</f>
        <v>74415.742271729541</v>
      </c>
      <c r="W83" s="18">
        <f>Q83*'LC Predicted Monthly'!$T$13</f>
        <v>97970.228068396304</v>
      </c>
      <c r="X83" s="18">
        <f t="shared" ca="1" si="20"/>
        <v>149691.18838684785</v>
      </c>
      <c r="Y83" s="18">
        <f t="shared" ca="1" si="21"/>
        <v>5328598.4829153102</v>
      </c>
      <c r="AO83" s="33">
        <f t="shared" ca="1" si="27"/>
        <v>324.79329624987065</v>
      </c>
      <c r="AP83" s="33">
        <f t="shared" ca="1" si="27"/>
        <v>401.33072701673694</v>
      </c>
      <c r="AQ83" s="33">
        <f t="shared" ca="1" si="27"/>
        <v>33.832925937267667</v>
      </c>
      <c r="AR83" s="33">
        <f t="shared" ca="1" si="27"/>
        <v>43.421432450552551</v>
      </c>
      <c r="AT83" s="18">
        <f ca="1">AO83*'GS&gt;50 Predicted Monthly (no LC)'!$P$10</f>
        <v>752057.49279738846</v>
      </c>
      <c r="AU83" s="18">
        <f ca="1">AP83*'GS&gt;50 Predicted Monthly (no LC)'!$P$10</f>
        <v>929279.58744124032</v>
      </c>
      <c r="AV83" s="18">
        <f ca="1">AQ83*'GS&gt;50 Predicted Monthly (no LC)'!$P$11</f>
        <v>182772.97326922306</v>
      </c>
      <c r="AW83" s="18">
        <f ca="1">AR83*'GS&gt;50 Predicted Monthly (no LC)'!$P$11</f>
        <v>234572.21309535802</v>
      </c>
      <c r="AY83" s="18">
        <f ca="1">AO83*'LC Predicted Monthly'!$T$12</f>
        <v>66496.010047370233</v>
      </c>
      <c r="AZ83" s="18">
        <f ca="1">AP83*'LC Predicted Monthly'!$T$12</f>
        <v>82165.772397877707</v>
      </c>
      <c r="BB83" s="31">
        <f t="shared" ca="1" si="22"/>
        <v>5197641.3392444905</v>
      </c>
      <c r="BC83" s="31">
        <f t="shared" ca="1" si="23"/>
        <v>5442332.4360649846</v>
      </c>
    </row>
    <row r="84" spans="1:55">
      <c r="A84" s="541">
        <f>'Monthly Data'!A84</f>
        <v>44866</v>
      </c>
      <c r="B84">
        <f t="shared" si="24"/>
        <v>2022</v>
      </c>
      <c r="C84">
        <f t="shared" si="25"/>
        <v>11</v>
      </c>
      <c r="D84" s="30">
        <f>'Monthly Data'!N84</f>
        <v>6491309.6581410738</v>
      </c>
      <c r="E84" s="30">
        <f>'Monthly Data'!AB84</f>
        <v>5411251.898141074</v>
      </c>
      <c r="F84" s="33">
        <f t="shared" ca="1" si="26"/>
        <v>586.00395833333334</v>
      </c>
      <c r="G84" s="33">
        <f t="shared" ca="1" si="26"/>
        <v>4.5920833333333331</v>
      </c>
      <c r="I84" s="18">
        <f>'GS&gt;50 Predicted Monthly (no LC)'!$P$9</f>
        <v>4121039.41701539</v>
      </c>
      <c r="J84" s="18">
        <f ca="1">F84*'GS&gt;50 Predicted Monthly (no LC)'!$P$10</f>
        <v>1356889.6672499825</v>
      </c>
      <c r="K84" s="18">
        <f ca="1">G84*'GS&gt;50 Predicted Monthly (no LC)'!$P$11</f>
        <v>24807.453126862496</v>
      </c>
      <c r="L84" s="18">
        <f t="shared" ca="1" si="18"/>
        <v>5502736.5373922354</v>
      </c>
      <c r="M84" s="18">
        <f>'Monthly Data'!Y84</f>
        <v>1080057.76</v>
      </c>
      <c r="N84" s="18">
        <f>'Monthly Data'!DN84</f>
        <v>0</v>
      </c>
      <c r="O84" s="18">
        <f>'Monthly Data'!DO84</f>
        <v>0</v>
      </c>
      <c r="P84" s="18">
        <f t="shared" ca="1" si="19"/>
        <v>586.00395833333334</v>
      </c>
      <c r="Q84" s="18">
        <f>'Monthly Data'!BR84</f>
        <v>1</v>
      </c>
      <c r="R84" s="18"/>
      <c r="S84" s="18">
        <f>'LC Predicted Monthly'!$T$9</f>
        <v>-22694.781953278001</v>
      </c>
      <c r="T84" s="18">
        <f>N84*'LC Predicted Monthly'!$T$10</f>
        <v>0</v>
      </c>
      <c r="U84" s="18">
        <f>O84*'LC Predicted Monthly'!$T$11</f>
        <v>0</v>
      </c>
      <c r="V84" s="18">
        <f ca="1">P84*'LC Predicted Monthly'!$T$12</f>
        <v>119974.53626984327</v>
      </c>
      <c r="W84" s="18">
        <f>Q84*'LC Predicted Monthly'!$T$13</f>
        <v>97970.228068396304</v>
      </c>
      <c r="X84" s="18">
        <f t="shared" ca="1" si="20"/>
        <v>195249.98238496156</v>
      </c>
      <c r="Y84" s="18">
        <f t="shared" ca="1" si="21"/>
        <v>5697986.5197771974</v>
      </c>
      <c r="AO84" s="33">
        <f t="shared" ca="1" si="27"/>
        <v>523.63819685953126</v>
      </c>
      <c r="AP84" s="33">
        <f t="shared" ca="1" si="27"/>
        <v>647.03336142041019</v>
      </c>
      <c r="AQ84" s="33">
        <f t="shared" ca="1" si="27"/>
        <v>3.8813815020207452</v>
      </c>
      <c r="AR84" s="33">
        <f t="shared" ca="1" si="27"/>
        <v>4.9813943085298762</v>
      </c>
      <c r="AT84" s="18">
        <f ca="1">AO84*'GS&gt;50 Predicted Monthly (no LC)'!$P$10</f>
        <v>1212482.0124371063</v>
      </c>
      <c r="AU84" s="18">
        <f ca="1">AP84*'GS&gt;50 Predicted Monthly (no LC)'!$P$10</f>
        <v>1498202.9899156024</v>
      </c>
      <c r="AV84" s="18">
        <f ca="1">AQ84*'GS&gt;50 Predicted Monthly (no LC)'!$P$11</f>
        <v>20968.084132949996</v>
      </c>
      <c r="AW84" s="18">
        <f ca="1">AR84*'GS&gt;50 Predicted Monthly (no LC)'!$P$11</f>
        <v>26910.597401021583</v>
      </c>
      <c r="AY84" s="18">
        <f ca="1">AO84*'LC Predicted Monthly'!$T$12</f>
        <v>107206.18683204145</v>
      </c>
      <c r="AZ84" s="18">
        <f ca="1">AP84*'LC Predicted Monthly'!$T$12</f>
        <v>132469.28861762941</v>
      </c>
      <c r="BB84" s="31">
        <f t="shared" ca="1" si="22"/>
        <v>5536971.1465326073</v>
      </c>
      <c r="BC84" s="31">
        <f t="shared" ca="1" si="23"/>
        <v>5853897.7390647624</v>
      </c>
    </row>
    <row r="85" spans="1:55">
      <c r="A85" s="541">
        <f>'Monthly Data'!A85</f>
        <v>44896</v>
      </c>
      <c r="B85">
        <f t="shared" si="24"/>
        <v>2022</v>
      </c>
      <c r="C85">
        <f t="shared" si="25"/>
        <v>12</v>
      </c>
      <c r="D85" s="30">
        <f>'Monthly Data'!N85</f>
        <v>6383842.9468718553</v>
      </c>
      <c r="E85" s="30">
        <f>'Monthly Data'!AB85</f>
        <v>5865795.4268718548</v>
      </c>
      <c r="F85" s="33">
        <f t="shared" ca="1" si="26"/>
        <v>812.36333333333334</v>
      </c>
      <c r="G85" s="33">
        <f t="shared" ca="1" si="26"/>
        <v>0</v>
      </c>
      <c r="I85" s="18">
        <f>'GS&gt;50 Predicted Monthly (no LC)'!$P$9</f>
        <v>4121039.41701539</v>
      </c>
      <c r="J85" s="18">
        <f ca="1">F85*'GS&gt;50 Predicted Monthly (no LC)'!$P$10</f>
        <v>1881023.8350399425</v>
      </c>
      <c r="K85" s="18">
        <f ca="1">G85*'GS&gt;50 Predicted Monthly (no LC)'!$P$11</f>
        <v>0</v>
      </c>
      <c r="L85" s="18">
        <f t="shared" ca="1" si="18"/>
        <v>6002063.2520553321</v>
      </c>
      <c r="M85" s="18">
        <f>'Monthly Data'!Y85</f>
        <v>518047.52</v>
      </c>
      <c r="N85" s="18">
        <f>'Monthly Data'!DN85</f>
        <v>0</v>
      </c>
      <c r="O85" s="18">
        <f>'Monthly Data'!DO85</f>
        <v>0</v>
      </c>
      <c r="P85" s="18">
        <f t="shared" ca="1" si="19"/>
        <v>812.36333333333334</v>
      </c>
      <c r="Q85" s="18">
        <f>'Monthly Data'!BR85</f>
        <v>0</v>
      </c>
      <c r="R85" s="18"/>
      <c r="S85" s="18">
        <f>'LC Predicted Monthly'!$T$9</f>
        <v>-22694.781953278001</v>
      </c>
      <c r="T85" s="18">
        <f>N85*'LC Predicted Monthly'!$T$10</f>
        <v>0</v>
      </c>
      <c r="U85" s="18">
        <f>O85*'LC Predicted Monthly'!$T$11</f>
        <v>0</v>
      </c>
      <c r="V85" s="18">
        <f ca="1">P85*'LC Predicted Monthly'!$T$12</f>
        <v>166317.84276080181</v>
      </c>
      <c r="W85" s="18">
        <f>Q85*'LC Predicted Monthly'!$T$13</f>
        <v>0</v>
      </c>
      <c r="X85" s="18">
        <f t="shared" ca="1" si="20"/>
        <v>143623.06080752381</v>
      </c>
      <c r="Y85" s="18">
        <f t="shared" ca="1" si="21"/>
        <v>6145686.3128628563</v>
      </c>
      <c r="AO85" s="33">
        <f t="shared" ca="1" si="27"/>
        <v>725.90716327464804</v>
      </c>
      <c r="AP85" s="33">
        <f t="shared" ca="1" si="27"/>
        <v>896.96694158227319</v>
      </c>
      <c r="AQ85" s="33">
        <f t="shared" ca="1" si="27"/>
        <v>0</v>
      </c>
      <c r="AR85" s="33">
        <f t="shared" ca="1" si="27"/>
        <v>0</v>
      </c>
      <c r="AT85" s="18">
        <f ca="1">AO85*'GS&gt;50 Predicted Monthly (no LC)'!$P$10</f>
        <v>1680834.941851771</v>
      </c>
      <c r="AU85" s="18">
        <f ca="1">AP85*'GS&gt;50 Predicted Monthly (no LC)'!$P$10</f>
        <v>2076923.1292555493</v>
      </c>
      <c r="AV85" s="18">
        <f ca="1">AQ85*'GS&gt;50 Predicted Monthly (no LC)'!$P$11</f>
        <v>0</v>
      </c>
      <c r="AW85" s="18">
        <f ca="1">AR85*'GS&gt;50 Predicted Monthly (no LC)'!$P$11</f>
        <v>0</v>
      </c>
      <c r="AY85" s="18">
        <f ca="1">AO85*'LC Predicted Monthly'!$T$12</f>
        <v>148617.38397899043</v>
      </c>
      <c r="AZ85" s="18">
        <f ca="1">AP85*'LC Predicted Monthly'!$T$12</f>
        <v>183639.02041170144</v>
      </c>
      <c r="BB85" s="31">
        <f t="shared" ca="1" si="22"/>
        <v>5927796.9608928729</v>
      </c>
      <c r="BC85" s="31">
        <f t="shared" ca="1" si="23"/>
        <v>6358906.7847293625</v>
      </c>
    </row>
    <row r="86" spans="1:55">
      <c r="A86" s="541">
        <f>'Monthly Data'!A86</f>
        <v>44927</v>
      </c>
      <c r="B86">
        <f t="shared" si="24"/>
        <v>2023</v>
      </c>
      <c r="C86">
        <f t="shared" si="25"/>
        <v>1</v>
      </c>
      <c r="D86" s="30">
        <f>'Monthly Data'!N86</f>
        <v>6116806.1173214633</v>
      </c>
      <c r="E86" s="30">
        <f>'Monthly Data'!AB86</f>
        <v>6111484.5173214637</v>
      </c>
      <c r="F86" s="33">
        <f t="shared" ca="1" si="26"/>
        <v>914.55166666666662</v>
      </c>
      <c r="G86" s="33">
        <f t="shared" ca="1" si="26"/>
        <v>0</v>
      </c>
      <c r="I86" s="18">
        <f>'GS&gt;50 Predicted Monthly (no LC)'!$P$9</f>
        <v>4121039.41701539</v>
      </c>
      <c r="J86" s="18">
        <f ca="1">F86*'GS&gt;50 Predicted Monthly (no LC)'!$P$10</f>
        <v>2117640.4852206991</v>
      </c>
      <c r="K86" s="18">
        <f ca="1">G86*'GS&gt;50 Predicted Monthly (no LC)'!$P$11</f>
        <v>0</v>
      </c>
      <c r="L86" s="18">
        <f t="shared" ca="1" si="18"/>
        <v>6238679.9022360891</v>
      </c>
      <c r="M86" s="18">
        <f>'Monthly Data'!Y86</f>
        <v>5321.6</v>
      </c>
      <c r="N86" s="18">
        <f>'Monthly Data'!DN86</f>
        <v>0</v>
      </c>
      <c r="O86" s="18">
        <f>'Monthly Data'!DO86</f>
        <v>0</v>
      </c>
      <c r="P86" s="18">
        <f t="shared" ca="1" si="19"/>
        <v>914.55166666666662</v>
      </c>
      <c r="Q86" s="18">
        <f>'Monthly Data'!BR86</f>
        <v>0</v>
      </c>
      <c r="R86" s="18"/>
      <c r="S86" s="18">
        <f>'LC Predicted Monthly'!$T$9</f>
        <v>-22694.781953278001</v>
      </c>
      <c r="T86" s="18">
        <f>N86*'LC Predicted Monthly'!$T$10</f>
        <v>0</v>
      </c>
      <c r="U86" s="18">
        <f>O86*'LC Predicted Monthly'!$T$11</f>
        <v>0</v>
      </c>
      <c r="V86" s="18">
        <f ca="1">P86*'LC Predicted Monthly'!$T$12</f>
        <v>187239.19956993285</v>
      </c>
      <c r="W86" s="18">
        <f>Q86*'LC Predicted Monthly'!$T$13</f>
        <v>0</v>
      </c>
      <c r="X86" s="18">
        <f t="shared" ca="1" si="20"/>
        <v>164544.41761665486</v>
      </c>
      <c r="Y86" s="18">
        <f t="shared" ca="1" si="21"/>
        <v>6403224.3198527442</v>
      </c>
      <c r="AO86" s="33">
        <f t="shared" ca="1" si="27"/>
        <v>817.22005262600237</v>
      </c>
      <c r="AP86" s="33">
        <f t="shared" ca="1" si="27"/>
        <v>1009.7976825258449</v>
      </c>
      <c r="AQ86" s="33">
        <f t="shared" ca="1" si="27"/>
        <v>0</v>
      </c>
      <c r="AR86" s="33">
        <f t="shared" ca="1" si="27"/>
        <v>0</v>
      </c>
      <c r="AT86" s="18">
        <f ca="1">AO86*'GS&gt;50 Predicted Monthly (no LC)'!$P$10</f>
        <v>1892269.5478567963</v>
      </c>
      <c r="AU86" s="18">
        <f ca="1">AP86*'GS&gt;50 Predicted Monthly (no LC)'!$P$10</f>
        <v>2338182.2288867598</v>
      </c>
      <c r="AV86" s="18">
        <f ca="1">AQ86*'GS&gt;50 Predicted Monthly (no LC)'!$P$11</f>
        <v>0</v>
      </c>
      <c r="AW86" s="18">
        <f ca="1">AR86*'GS&gt;50 Predicted Monthly (no LC)'!$P$11</f>
        <v>0</v>
      </c>
      <c r="AY86" s="18">
        <f ca="1">AO86*'LC Predicted Monthly'!$T$12</f>
        <v>167312.17502877486</v>
      </c>
      <c r="AZ86" s="18">
        <f ca="1">AP86*'LC Predicted Monthly'!$T$12</f>
        <v>206739.23266997386</v>
      </c>
      <c r="BB86" s="31">
        <f t="shared" ca="1" si="22"/>
        <v>6157926.3579476839</v>
      </c>
      <c r="BC86" s="31">
        <f t="shared" ca="1" si="23"/>
        <v>6643266.0966188461</v>
      </c>
    </row>
    <row r="87" spans="1:55">
      <c r="A87" s="541">
        <f>'Monthly Data'!A87</f>
        <v>44958</v>
      </c>
      <c r="B87">
        <f t="shared" si="24"/>
        <v>2023</v>
      </c>
      <c r="C87">
        <f t="shared" si="25"/>
        <v>2</v>
      </c>
      <c r="D87" s="30">
        <f>'Monthly Data'!N87</f>
        <v>5696520.6104506506</v>
      </c>
      <c r="E87" s="30">
        <f>'Monthly Data'!AB87</f>
        <v>5612165.2504506502</v>
      </c>
      <c r="F87" s="33">
        <f t="shared" ca="1" si="26"/>
        <v>803.82854166666664</v>
      </c>
      <c r="G87" s="33">
        <f t="shared" ca="1" si="26"/>
        <v>0</v>
      </c>
      <c r="I87" s="18">
        <f>'GS&gt;50 Predicted Monthly (no LC)'!$P$9</f>
        <v>4121039.41701539</v>
      </c>
      <c r="J87" s="18">
        <f ca="1">F87*'GS&gt;50 Predicted Monthly (no LC)'!$P$10</f>
        <v>1861261.5613215731</v>
      </c>
      <c r="K87" s="18">
        <f ca="1">G87*'GS&gt;50 Predicted Monthly (no LC)'!$P$11</f>
        <v>0</v>
      </c>
      <c r="L87" s="18">
        <f t="shared" ca="1" si="18"/>
        <v>5982300.9783369629</v>
      </c>
      <c r="M87" s="18">
        <f>'Monthly Data'!Y87</f>
        <v>84355.36</v>
      </c>
      <c r="N87" s="18">
        <f>'Monthly Data'!DN87</f>
        <v>0</v>
      </c>
      <c r="O87" s="18">
        <f>'Monthly Data'!DO87</f>
        <v>0</v>
      </c>
      <c r="P87" s="18">
        <f t="shared" ca="1" si="19"/>
        <v>803.82854166666664</v>
      </c>
      <c r="Q87" s="18">
        <f>'Monthly Data'!BR87</f>
        <v>0</v>
      </c>
      <c r="R87" s="18"/>
      <c r="S87" s="18">
        <f>'LC Predicted Monthly'!$T$9</f>
        <v>-22694.781953278001</v>
      </c>
      <c r="T87" s="18">
        <f>N87*'LC Predicted Monthly'!$T$10</f>
        <v>0</v>
      </c>
      <c r="U87" s="18">
        <f>O87*'LC Predicted Monthly'!$T$11</f>
        <v>0</v>
      </c>
      <c r="V87" s="18">
        <f ca="1">P87*'LC Predicted Monthly'!$T$12</f>
        <v>164570.48652232124</v>
      </c>
      <c r="W87" s="18">
        <f>Q87*'LC Predicted Monthly'!$T$13</f>
        <v>0</v>
      </c>
      <c r="X87" s="18">
        <f t="shared" ca="1" si="20"/>
        <v>141875.70456904324</v>
      </c>
      <c r="Y87" s="18">
        <f t="shared" ca="1" si="21"/>
        <v>6124176.6829060065</v>
      </c>
      <c r="AO87" s="33">
        <f t="shared" ca="1" si="27"/>
        <v>718.28069103781206</v>
      </c>
      <c r="AP87" s="33">
        <f t="shared" ca="1" si="27"/>
        <v>887.54329373386554</v>
      </c>
      <c r="AQ87" s="33">
        <f t="shared" ca="1" si="27"/>
        <v>0</v>
      </c>
      <c r="AR87" s="33">
        <f t="shared" ca="1" si="27"/>
        <v>0</v>
      </c>
      <c r="AT87" s="18">
        <f ca="1">AO87*'GS&gt;50 Predicted Monthly (no LC)'!$P$10</f>
        <v>1663175.8779007981</v>
      </c>
      <c r="AU87" s="18">
        <f ca="1">AP87*'GS&gt;50 Predicted Monthly (no LC)'!$P$10</f>
        <v>2055102.7128377589</v>
      </c>
      <c r="AV87" s="18">
        <f ca="1">AQ87*'GS&gt;50 Predicted Monthly (no LC)'!$P$11</f>
        <v>0</v>
      </c>
      <c r="AW87" s="18">
        <f ca="1">AR87*'GS&gt;50 Predicted Monthly (no LC)'!$P$11</f>
        <v>0</v>
      </c>
      <c r="AY87" s="18">
        <f ca="1">AO87*'LC Predicted Monthly'!$T$12</f>
        <v>147055.99099353765</v>
      </c>
      <c r="AZ87" s="18">
        <f ca="1">AP87*'LC Predicted Monthly'!$T$12</f>
        <v>181709.68569560398</v>
      </c>
      <c r="BB87" s="31">
        <f t="shared" ca="1" si="22"/>
        <v>5908576.5039564483</v>
      </c>
      <c r="BC87" s="31">
        <f t="shared" ca="1" si="23"/>
        <v>6335157.0335954754</v>
      </c>
    </row>
    <row r="88" spans="1:55">
      <c r="A88" s="541">
        <f>'Monthly Data'!A88</f>
        <v>44986</v>
      </c>
      <c r="B88">
        <f t="shared" si="24"/>
        <v>2023</v>
      </c>
      <c r="C88">
        <f t="shared" si="25"/>
        <v>3</v>
      </c>
      <c r="D88" s="30">
        <f>'Monthly Data'!N88</f>
        <v>5718312.5835798392</v>
      </c>
      <c r="E88" s="30">
        <f>'Monthly Data'!AB88</f>
        <v>5717034.9835798396</v>
      </c>
      <c r="F88" s="33">
        <f t="shared" ca="1" si="26"/>
        <v>698.29604166666672</v>
      </c>
      <c r="G88" s="33">
        <f t="shared" ca="1" si="26"/>
        <v>0.11000000000000032</v>
      </c>
      <c r="I88" s="18">
        <f>'GS&gt;50 Predicted Monthly (no LC)'!$P$9</f>
        <v>4121039.41701539</v>
      </c>
      <c r="J88" s="18">
        <f ca="1">F88*'GS&gt;50 Predicted Monthly (no LC)'!$P$10</f>
        <v>1616901.5074811084</v>
      </c>
      <c r="K88" s="18">
        <f ca="1">G88*'GS&gt;50 Predicted Monthly (no LC)'!$P$11</f>
        <v>594.2444084467578</v>
      </c>
      <c r="L88" s="18">
        <f t="shared" ca="1" si="18"/>
        <v>5738535.1689049443</v>
      </c>
      <c r="M88" s="18">
        <f>'Monthly Data'!Y88</f>
        <v>1277.5999999999999</v>
      </c>
      <c r="N88" s="18">
        <f>'Monthly Data'!DN88</f>
        <v>0</v>
      </c>
      <c r="O88" s="18">
        <f>'Monthly Data'!DO88</f>
        <v>0</v>
      </c>
      <c r="P88" s="18">
        <f t="shared" ca="1" si="19"/>
        <v>698.29604166666672</v>
      </c>
      <c r="Q88" s="18">
        <f>'Monthly Data'!BR88</f>
        <v>0</v>
      </c>
      <c r="R88" s="18"/>
      <c r="S88" s="18">
        <f>'LC Predicted Monthly'!$T$9</f>
        <v>-22694.781953278001</v>
      </c>
      <c r="T88" s="18">
        <f>N88*'LC Predicted Monthly'!$T$10</f>
        <v>0</v>
      </c>
      <c r="U88" s="18">
        <f>O88*'LC Predicted Monthly'!$T$11</f>
        <v>0</v>
      </c>
      <c r="V88" s="18">
        <f ca="1">P88*'LC Predicted Monthly'!$T$12</f>
        <v>142964.46736690929</v>
      </c>
      <c r="W88" s="18">
        <f>Q88*'LC Predicted Monthly'!$T$13</f>
        <v>0</v>
      </c>
      <c r="X88" s="18">
        <f t="shared" ca="1" si="20"/>
        <v>120269.68541363129</v>
      </c>
      <c r="Y88" s="18">
        <f t="shared" ca="1" si="21"/>
        <v>5858804.8543185759</v>
      </c>
      <c r="AO88" s="33">
        <f t="shared" ca="1" si="27"/>
        <v>623.97953961343092</v>
      </c>
      <c r="AP88" s="33">
        <f t="shared" ca="1" si="27"/>
        <v>771.02010776716202</v>
      </c>
      <c r="AQ88" s="33">
        <f t="shared" ca="1" si="27"/>
        <v>9.2975657066825132E-2</v>
      </c>
      <c r="AR88" s="33">
        <f t="shared" ca="1" si="27"/>
        <v>0.11932565987223402</v>
      </c>
      <c r="AT88" s="18">
        <f ca="1">AO88*'GS&gt;50 Predicted Monthly (no LC)'!$P$10</f>
        <v>1444821.9638053337</v>
      </c>
      <c r="AU88" s="18">
        <f ca="1">AP88*'GS&gt;50 Predicted Monthly (no LC)'!$P$10</f>
        <v>1785293.7724972367</v>
      </c>
      <c r="AV88" s="18">
        <f ca="1">AQ88*'GS&gt;50 Predicted Monthly (no LC)'!$P$11</f>
        <v>502.27513030567235</v>
      </c>
      <c r="AW88" s="18">
        <f ca="1">AR88*'GS&gt;50 Predicted Monthly (no LC)'!$P$11</f>
        <v>644.62369239358668</v>
      </c>
      <c r="AY88" s="18">
        <f ca="1">AO88*'LC Predicted Monthly'!$T$12</f>
        <v>127749.40312674227</v>
      </c>
      <c r="AZ88" s="18">
        <f ca="1">AP88*'LC Predicted Monthly'!$T$12</f>
        <v>157853.50690664109</v>
      </c>
      <c r="BB88" s="31">
        <f t="shared" ca="1" si="22"/>
        <v>5671418.2771244934</v>
      </c>
      <c r="BC88" s="31">
        <f t="shared" ca="1" si="23"/>
        <v>6042136.5381583832</v>
      </c>
    </row>
    <row r="89" spans="1:55">
      <c r="A89" s="541">
        <f>'Monthly Data'!A89</f>
        <v>45017</v>
      </c>
      <c r="B89">
        <f t="shared" si="24"/>
        <v>2023</v>
      </c>
      <c r="C89">
        <f t="shared" si="25"/>
        <v>4</v>
      </c>
      <c r="D89" s="30">
        <f>'Monthly Data'!N89</f>
        <v>5301267.4367090268</v>
      </c>
      <c r="E89" s="30">
        <f>'Monthly Data'!AB89</f>
        <v>5295320.7167090271</v>
      </c>
      <c r="F89" s="33">
        <f t="shared" ca="1" si="26"/>
        <v>468.60374999999993</v>
      </c>
      <c r="G89" s="33">
        <f t="shared" ca="1" si="26"/>
        <v>7.7354166666666684</v>
      </c>
      <c r="I89" s="18">
        <f>'GS&gt;50 Predicted Monthly (no LC)'!$P$9</f>
        <v>4121039.41701539</v>
      </c>
      <c r="J89" s="18">
        <f ca="1">F89*'GS&gt;50 Predicted Monthly (no LC)'!$P$10</f>
        <v>1085049.9853584787</v>
      </c>
      <c r="K89" s="18">
        <f ca="1">G89*'GS&gt;50 Predicted Monthly (no LC)'!$P$11</f>
        <v>41788.437283386476</v>
      </c>
      <c r="L89" s="18">
        <f t="shared" ca="1" si="18"/>
        <v>5247877.8396572554</v>
      </c>
      <c r="M89" s="18">
        <f>'Monthly Data'!Y89</f>
        <v>5946.72</v>
      </c>
      <c r="N89" s="18">
        <f>'Monthly Data'!DN89</f>
        <v>0</v>
      </c>
      <c r="O89" s="18">
        <f>'Monthly Data'!DO89</f>
        <v>0</v>
      </c>
      <c r="P89" s="18">
        <f t="shared" ca="1" si="19"/>
        <v>468.60374999999993</v>
      </c>
      <c r="Q89" s="18">
        <f>'Monthly Data'!BR89</f>
        <v>0</v>
      </c>
      <c r="R89" s="18"/>
      <c r="S89" s="18">
        <f>'LC Predicted Monthly'!$T$9</f>
        <v>-22694.781953278001</v>
      </c>
      <c r="T89" s="18">
        <f>N89*'LC Predicted Monthly'!$T$10</f>
        <v>0</v>
      </c>
      <c r="U89" s="18">
        <f>O89*'LC Predicted Monthly'!$T$11</f>
        <v>0</v>
      </c>
      <c r="V89" s="18">
        <f ca="1">P89*'LC Predicted Monthly'!$T$12</f>
        <v>95938.80177952649</v>
      </c>
      <c r="W89" s="18">
        <f>Q89*'LC Predicted Monthly'!$T$13</f>
        <v>0</v>
      </c>
      <c r="X89" s="18">
        <f t="shared" ca="1" si="20"/>
        <v>73244.019826248492</v>
      </c>
      <c r="Y89" s="18">
        <f t="shared" ca="1" si="21"/>
        <v>5321121.8594835037</v>
      </c>
      <c r="AO89" s="33">
        <f t="shared" ca="1" si="27"/>
        <v>418.73236383846591</v>
      </c>
      <c r="AP89" s="33">
        <f t="shared" ca="1" si="27"/>
        <v>517.40650421381736</v>
      </c>
      <c r="AQ89" s="33">
        <f t="shared" ca="1" si="27"/>
        <v>6.5382313388091058</v>
      </c>
      <c r="AR89" s="33">
        <f t="shared" ca="1" si="27"/>
        <v>8.3912154376061316</v>
      </c>
      <c r="AT89" s="18">
        <f ca="1">AO89*'GS&gt;50 Predicted Monthly (no LC)'!$P$10</f>
        <v>969573.00331473805</v>
      </c>
      <c r="AU89" s="18">
        <f ca="1">AP89*'GS&gt;50 Predicted Monthly (no LC)'!$P$10</f>
        <v>1198052.5546831076</v>
      </c>
      <c r="AV89" s="18">
        <f ca="1">AQ89*'GS&gt;50 Predicted Monthly (no LC)'!$P$11</f>
        <v>35320.976492896902</v>
      </c>
      <c r="AW89" s="18">
        <f ca="1">AR89*'GS&gt;50 Predicted Monthly (no LC)'!$P$11</f>
        <v>45331.207762450395</v>
      </c>
      <c r="AY89" s="18">
        <f ca="1">AO89*'LC Predicted Monthly'!$T$12</f>
        <v>85728.467288132349</v>
      </c>
      <c r="AZ89" s="18">
        <f ca="1">AP89*'LC Predicted Monthly'!$T$12</f>
        <v>105930.35170377353</v>
      </c>
      <c r="BB89" s="31">
        <f t="shared" ca="1" si="22"/>
        <v>5188967.0821578791</v>
      </c>
      <c r="BC89" s="31">
        <f t="shared" ca="1" si="23"/>
        <v>5447658.7492114436</v>
      </c>
    </row>
    <row r="90" spans="1:55">
      <c r="A90" s="541">
        <f>'Monthly Data'!A90</f>
        <v>45047</v>
      </c>
      <c r="B90">
        <f t="shared" si="24"/>
        <v>2023</v>
      </c>
      <c r="C90">
        <f t="shared" si="25"/>
        <v>5</v>
      </c>
      <c r="D90" s="30">
        <f>'Monthly Data'!N90</f>
        <v>5199018.4498382146</v>
      </c>
      <c r="E90" s="30">
        <f>'Monthly Data'!AB90</f>
        <v>5193932.0498382142</v>
      </c>
      <c r="F90" s="33">
        <f t="shared" ca="1" si="26"/>
        <v>232.88687500000006</v>
      </c>
      <c r="G90" s="33">
        <f t="shared" ca="1" si="26"/>
        <v>111.43645833333332</v>
      </c>
      <c r="I90" s="18">
        <f>'GS&gt;50 Predicted Monthly (no LC)'!$P$9</f>
        <v>4121039.41701539</v>
      </c>
      <c r="J90" s="18">
        <f ca="1">F90*'GS&gt;50 Predicted Monthly (no LC)'!$P$10</f>
        <v>539248.5662117129</v>
      </c>
      <c r="K90" s="18">
        <f ca="1">G90*'GS&gt;50 Predicted Monthly (no LC)'!$P$11</f>
        <v>602004.47510630218</v>
      </c>
      <c r="L90" s="18">
        <f t="shared" ca="1" si="18"/>
        <v>5262292.4583334047</v>
      </c>
      <c r="M90" s="18">
        <f>'Monthly Data'!Y90</f>
        <v>5086.3999999999996</v>
      </c>
      <c r="N90" s="18">
        <f>'Monthly Data'!DN90</f>
        <v>0</v>
      </c>
      <c r="O90" s="18">
        <f>'Monthly Data'!DO90</f>
        <v>0</v>
      </c>
      <c r="P90" s="18">
        <f t="shared" ca="1" si="19"/>
        <v>232.88687500000006</v>
      </c>
      <c r="Q90" s="18">
        <f>'Monthly Data'!BR90</f>
        <v>0</v>
      </c>
      <c r="R90" s="18"/>
      <c r="S90" s="18">
        <f>'LC Predicted Monthly'!$T$9</f>
        <v>-22694.781953278001</v>
      </c>
      <c r="T90" s="18">
        <f>N90*'LC Predicted Monthly'!$T$10</f>
        <v>0</v>
      </c>
      <c r="U90" s="18">
        <f>O90*'LC Predicted Monthly'!$T$11</f>
        <v>0</v>
      </c>
      <c r="V90" s="18">
        <f ca="1">P90*'LC Predicted Monthly'!$T$12</f>
        <v>47679.703241125091</v>
      </c>
      <c r="W90" s="18">
        <f>Q90*'LC Predicted Monthly'!$T$13</f>
        <v>0</v>
      </c>
      <c r="X90" s="18">
        <f t="shared" ca="1" si="20"/>
        <v>24984.92128784709</v>
      </c>
      <c r="Y90" s="18">
        <f t="shared" ca="1" si="21"/>
        <v>5287277.3796212515</v>
      </c>
      <c r="AO90" s="33">
        <f t="shared" ca="1" si="27"/>
        <v>208.10177399498693</v>
      </c>
      <c r="AP90" s="33">
        <f t="shared" ca="1" si="27"/>
        <v>257.1408868815717</v>
      </c>
      <c r="AQ90" s="33">
        <f t="shared" ca="1" si="27"/>
        <v>94.189799406741059</v>
      </c>
      <c r="AR90" s="33">
        <f t="shared" ca="1" si="27"/>
        <v>120.88389931317884</v>
      </c>
      <c r="AT90" s="18">
        <f ca="1">AO90*'GS&gt;50 Predicted Monthly (no LC)'!$P$10</f>
        <v>481858.77049924171</v>
      </c>
      <c r="AU90" s="18">
        <f ca="1">AP90*'GS&gt;50 Predicted Monthly (no LC)'!$P$10</f>
        <v>595408.62732301152</v>
      </c>
      <c r="AV90" s="18">
        <f ca="1">AQ90*'GS&gt;50 Predicted Monthly (no LC)'!$P$11</f>
        <v>508834.19663797691</v>
      </c>
      <c r="AW90" s="18">
        <f ca="1">AR90*'GS&gt;50 Predicted Monthly (no LC)'!$P$11</f>
        <v>653041.64761906536</v>
      </c>
      <c r="AY90" s="18">
        <f ca="1">AO90*'LC Predicted Monthly'!$T$12</f>
        <v>42605.367211152006</v>
      </c>
      <c r="AZ90" s="18">
        <f ca="1">AP90*'LC Predicted Monthly'!$T$12</f>
        <v>52645.307631325515</v>
      </c>
      <c r="BB90" s="31">
        <f t="shared" ca="1" si="22"/>
        <v>5131642.9694104819</v>
      </c>
      <c r="BC90" s="31">
        <f t="shared" ca="1" si="23"/>
        <v>5399440.2176355133</v>
      </c>
    </row>
    <row r="91" spans="1:55">
      <c r="A91" s="541">
        <f>'Monthly Data'!A91</f>
        <v>45078</v>
      </c>
      <c r="B91">
        <f t="shared" si="24"/>
        <v>2023</v>
      </c>
      <c r="C91">
        <f t="shared" si="25"/>
        <v>6</v>
      </c>
      <c r="D91" s="30">
        <f>'Monthly Data'!N91</f>
        <v>5434895.9029674027</v>
      </c>
      <c r="E91" s="30">
        <f>'Monthly Data'!AB91</f>
        <v>5415159.1029674029</v>
      </c>
      <c r="F91" s="33">
        <f t="shared" ca="1" si="26"/>
        <v>92.751249999999999</v>
      </c>
      <c r="G91" s="33">
        <f t="shared" ca="1" si="26"/>
        <v>227.31958333333333</v>
      </c>
      <c r="I91" s="18">
        <f>'GS&gt;50 Predicted Monthly (no LC)'!$P$9</f>
        <v>4121039.41701539</v>
      </c>
      <c r="J91" s="18">
        <f ca="1">F91*'GS&gt;50 Predicted Monthly (no LC)'!$P$10</f>
        <v>214765.12395489923</v>
      </c>
      <c r="K91" s="18">
        <f ca="1">G91*'GS&gt;50 Predicted Monthly (no LC)'!$P$11</f>
        <v>1228030.8302389067</v>
      </c>
      <c r="L91" s="18">
        <f t="shared" ca="1" si="18"/>
        <v>5563835.3712091958</v>
      </c>
      <c r="M91" s="18">
        <f>'Monthly Data'!Y91</f>
        <v>19736.8</v>
      </c>
      <c r="N91" s="18">
        <f>'Monthly Data'!DN91</f>
        <v>0</v>
      </c>
      <c r="O91" s="18">
        <f>'Monthly Data'!DO91</f>
        <v>0</v>
      </c>
      <c r="P91" s="18">
        <f t="shared" ca="1" si="19"/>
        <v>92.751249999999999</v>
      </c>
      <c r="Q91" s="18">
        <f>'Monthly Data'!BR91</f>
        <v>0</v>
      </c>
      <c r="R91" s="18"/>
      <c r="S91" s="18">
        <f>'LC Predicted Monthly'!$T$9</f>
        <v>-22694.781953278001</v>
      </c>
      <c r="T91" s="18">
        <f>N91*'LC Predicted Monthly'!$T$10</f>
        <v>0</v>
      </c>
      <c r="U91" s="18">
        <f>O91*'LC Predicted Monthly'!$T$11</f>
        <v>0</v>
      </c>
      <c r="V91" s="18">
        <f ca="1">P91*'LC Predicted Monthly'!$T$12</f>
        <v>18989.271401591017</v>
      </c>
      <c r="W91" s="18">
        <f>Q91*'LC Predicted Monthly'!$T$13</f>
        <v>0</v>
      </c>
      <c r="X91" s="18">
        <f t="shared" ca="1" si="20"/>
        <v>-3705.5105516869844</v>
      </c>
      <c r="Y91" s="18">
        <f t="shared" ca="1" si="21"/>
        <v>5560129.8606575085</v>
      </c>
      <c r="AO91" s="33">
        <f t="shared" ca="1" si="27"/>
        <v>82.880152285321046</v>
      </c>
      <c r="AP91" s="33">
        <f t="shared" ca="1" si="27"/>
        <v>102.41083223077457</v>
      </c>
      <c r="AQ91" s="33">
        <f t="shared" ca="1" si="27"/>
        <v>192.13806931430472</v>
      </c>
      <c r="AR91" s="33">
        <f t="shared" ca="1" si="27"/>
        <v>246.59144802846558</v>
      </c>
      <c r="AT91" s="18">
        <f ca="1">AO91*'GS&gt;50 Predicted Monthly (no LC)'!$P$10</f>
        <v>191908.63927934016</v>
      </c>
      <c r="AU91" s="18">
        <f ca="1">AP91*'GS&gt;50 Predicted Monthly (no LC)'!$P$10</f>
        <v>237131.8454292173</v>
      </c>
      <c r="AV91" s="18">
        <f ca="1">AQ91*'GS&gt;50 Predicted Monthly (no LC)'!$P$11</f>
        <v>1037972.4849070985</v>
      </c>
      <c r="AW91" s="18">
        <f ca="1">AR91*'GS&gt;50 Predicted Monthly (no LC)'!$P$11</f>
        <v>1332141.7196518595</v>
      </c>
      <c r="AY91" s="18">
        <f ca="1">AO91*'LC Predicted Monthly'!$T$12</f>
        <v>16968.328788573257</v>
      </c>
      <c r="AZ91" s="18">
        <f ca="1">AP91*'LC Predicted Monthly'!$T$12</f>
        <v>20966.909747232337</v>
      </c>
      <c r="BB91" s="31">
        <f t="shared" ca="1" si="22"/>
        <v>5345194.088037123</v>
      </c>
      <c r="BC91" s="31">
        <f t="shared" ca="1" si="23"/>
        <v>5688585.1098904209</v>
      </c>
    </row>
    <row r="92" spans="1:55">
      <c r="A92" s="541">
        <f>'Monthly Data'!A92</f>
        <v>45108</v>
      </c>
      <c r="B92">
        <f t="shared" si="24"/>
        <v>2023</v>
      </c>
      <c r="C92">
        <f t="shared" si="25"/>
        <v>7</v>
      </c>
      <c r="D92" s="30">
        <f>'Monthly Data'!N92</f>
        <v>5911244.9160965905</v>
      </c>
      <c r="E92" s="30">
        <f>'Monthly Data'!AB92</f>
        <v>5909359.3160965908</v>
      </c>
      <c r="F92" s="33">
        <f t="shared" ca="1" si="26"/>
        <v>25.464999999999996</v>
      </c>
      <c r="G92" s="33">
        <f t="shared" ca="1" si="26"/>
        <v>327.99625000000003</v>
      </c>
      <c r="I92" s="18">
        <f>'GS&gt;50 Predicted Monthly (no LC)'!$P$9</f>
        <v>4121039.41701539</v>
      </c>
      <c r="J92" s="18">
        <f ca="1">F92*'GS&gt;50 Predicted Monthly (no LC)'!$P$10</f>
        <v>58964.098936796094</v>
      </c>
      <c r="K92" s="18">
        <f ca="1">G92*'GS&gt;50 Predicted Monthly (no LC)'!$P$11</f>
        <v>1771908.5232182215</v>
      </c>
      <c r="L92" s="18">
        <f t="shared" ca="1" si="18"/>
        <v>5951912.0391704077</v>
      </c>
      <c r="M92" s="18">
        <f>'Monthly Data'!Y92</f>
        <v>1885.6</v>
      </c>
      <c r="N92" s="18">
        <f>'Monthly Data'!DN92</f>
        <v>0</v>
      </c>
      <c r="O92" s="18">
        <f>'Monthly Data'!DO92</f>
        <v>0</v>
      </c>
      <c r="P92" s="18">
        <f t="shared" ca="1" si="19"/>
        <v>25.464999999999996</v>
      </c>
      <c r="Q92" s="18">
        <f>'Monthly Data'!BR92</f>
        <v>0</v>
      </c>
      <c r="R92" s="18"/>
      <c r="S92" s="18">
        <f>'LC Predicted Monthly'!$T$9</f>
        <v>-22694.781953278001</v>
      </c>
      <c r="T92" s="18">
        <f>N92*'LC Predicted Monthly'!$T$10</f>
        <v>0</v>
      </c>
      <c r="U92" s="18">
        <f>O92*'LC Predicted Monthly'!$T$11</f>
        <v>0</v>
      </c>
      <c r="V92" s="18">
        <f ca="1">P92*'LC Predicted Monthly'!$T$12</f>
        <v>5213.5340088841413</v>
      </c>
      <c r="W92" s="18">
        <f>Q92*'LC Predicted Monthly'!$T$13</f>
        <v>0</v>
      </c>
      <c r="X92" s="18">
        <f t="shared" ca="1" si="20"/>
        <v>-17481.247944393861</v>
      </c>
      <c r="Y92" s="18">
        <f t="shared" ca="1" si="21"/>
        <v>5934430.7912260136</v>
      </c>
      <c r="AO92" s="33">
        <f t="shared" ca="1" si="27"/>
        <v>22.754874763905612</v>
      </c>
      <c r="AP92" s="33">
        <f t="shared" ca="1" si="27"/>
        <v>28.117053330889604</v>
      </c>
      <c r="AQ92" s="33">
        <f t="shared" ca="1" si="27"/>
        <v>277.23333508367784</v>
      </c>
      <c r="AR92" s="33">
        <f t="shared" ca="1" si="27"/>
        <v>355.80335424425579</v>
      </c>
      <c r="AT92" s="18">
        <f ca="1">AO92*'GS&gt;50 Predicted Monthly (no LC)'!$P$10</f>
        <v>52688.815506512285</v>
      </c>
      <c r="AU92" s="18">
        <f ca="1">AP92*'GS&gt;50 Predicted Monthly (no LC)'!$P$10</f>
        <v>65104.917118152247</v>
      </c>
      <c r="AV92" s="18">
        <f ca="1">AQ92*'GS&gt;50 Predicted Monthly (no LC)'!$P$11</f>
        <v>1497675.9928047406</v>
      </c>
      <c r="AW92" s="18">
        <f ca="1">AR92*'GS&gt;50 Predicted Monthly (no LC)'!$P$11</f>
        <v>1922128.6706022671</v>
      </c>
      <c r="AY92" s="18">
        <f ca="1">AO92*'LC Predicted Monthly'!$T$12</f>
        <v>4658.6810700774167</v>
      </c>
      <c r="AZ92" s="18">
        <f ca="1">AP92*'LC Predicted Monthly'!$T$12</f>
        <v>5756.4976937051679</v>
      </c>
      <c r="BB92" s="31">
        <f t="shared" ca="1" si="22"/>
        <v>5653368.1244434416</v>
      </c>
      <c r="BC92" s="31">
        <f t="shared" ca="1" si="23"/>
        <v>6091334.7204762362</v>
      </c>
    </row>
    <row r="93" spans="1:55">
      <c r="A93" s="541">
        <f>'Monthly Data'!A93</f>
        <v>45139</v>
      </c>
      <c r="B93">
        <f t="shared" si="24"/>
        <v>2023</v>
      </c>
      <c r="C93">
        <f t="shared" si="25"/>
        <v>8</v>
      </c>
      <c r="D93" s="30">
        <f>'Monthly Data'!N93</f>
        <v>5504128.6492257779</v>
      </c>
      <c r="E93" s="30">
        <f>'Monthly Data'!AB93</f>
        <v>5453866.5692257779</v>
      </c>
      <c r="F93" s="33">
        <f t="shared" ca="1" si="26"/>
        <v>54.974791666666668</v>
      </c>
      <c r="G93" s="33">
        <f t="shared" ca="1" si="26"/>
        <v>280.40312500000005</v>
      </c>
      <c r="I93" s="18">
        <f>'GS&gt;50 Predicted Monthly (no LC)'!$P$9</f>
        <v>4121039.41701539</v>
      </c>
      <c r="J93" s="18">
        <f ca="1">F93*'GS&gt;50 Predicted Monthly (no LC)'!$P$10</f>
        <v>127293.89573387343</v>
      </c>
      <c r="K93" s="18">
        <f ca="1">G93*'GS&gt;50 Predicted Monthly (no LC)'!$P$11</f>
        <v>1514799.9012931532</v>
      </c>
      <c r="L93" s="18">
        <f t="shared" ca="1" si="18"/>
        <v>5763133.2140424168</v>
      </c>
      <c r="M93" s="18">
        <f>'Monthly Data'!Y93</f>
        <v>50262.080000000002</v>
      </c>
      <c r="N93" s="18">
        <f>'Monthly Data'!DN93</f>
        <v>0</v>
      </c>
      <c r="O93" s="18">
        <f>'Monthly Data'!DO93</f>
        <v>0</v>
      </c>
      <c r="P93" s="18">
        <f t="shared" ca="1" si="19"/>
        <v>54.974791666666668</v>
      </c>
      <c r="Q93" s="18">
        <f>'Monthly Data'!BR93</f>
        <v>0</v>
      </c>
      <c r="R93" s="18"/>
      <c r="S93" s="18">
        <f>'LC Predicted Monthly'!$T$9</f>
        <v>-22694.781953278001</v>
      </c>
      <c r="T93" s="18">
        <f>N93*'LC Predicted Monthly'!$T$10</f>
        <v>0</v>
      </c>
      <c r="U93" s="18">
        <f>O93*'LC Predicted Monthly'!$T$11</f>
        <v>0</v>
      </c>
      <c r="V93" s="18">
        <f ca="1">P93*'LC Predicted Monthly'!$T$12</f>
        <v>11255.171646789209</v>
      </c>
      <c r="W93" s="18">
        <f>Q93*'LC Predicted Monthly'!$T$13</f>
        <v>0</v>
      </c>
      <c r="X93" s="18">
        <f t="shared" ca="1" si="20"/>
        <v>-11439.610306488792</v>
      </c>
      <c r="Y93" s="18">
        <f t="shared" ca="1" si="21"/>
        <v>5751693.6037359284</v>
      </c>
      <c r="AO93" s="33">
        <f t="shared" ca="1" si="27"/>
        <v>49.124072238240799</v>
      </c>
      <c r="AP93" s="33">
        <f t="shared" ca="1" si="27"/>
        <v>60.700143300459935</v>
      </c>
      <c r="AQ93" s="33">
        <f t="shared" ca="1" si="27"/>
        <v>237.00604354969119</v>
      </c>
      <c r="AR93" s="33">
        <f t="shared" ca="1" si="27"/>
        <v>304.17534473510392</v>
      </c>
      <c r="AT93" s="18">
        <f ca="1">AO93*'GS&gt;50 Predicted Monthly (no LC)'!$P$10</f>
        <v>113746.57984032786</v>
      </c>
      <c r="AU93" s="18">
        <f ca="1">AP93*'GS&gt;50 Predicted Monthly (no LC)'!$P$10</f>
        <v>140550.92303341921</v>
      </c>
      <c r="AV93" s="18">
        <f ca="1">AQ93*'GS&gt;50 Predicted Monthly (no LC)'!$P$11</f>
        <v>1280359.2377044759</v>
      </c>
      <c r="AW93" s="18">
        <f ca="1">AR93*'GS&gt;50 Predicted Monthly (no LC)'!$P$11</f>
        <v>1643222.7072381813</v>
      </c>
      <c r="AY93" s="18">
        <f ca="1">AO93*'LC Predicted Monthly'!$T$12</f>
        <v>10057.334430353416</v>
      </c>
      <c r="AZ93" s="18">
        <f ca="1">AP93*'LC Predicted Monthly'!$T$12</f>
        <v>12427.341898334529</v>
      </c>
      <c r="BB93" s="31">
        <f t="shared" ca="1" si="22"/>
        <v>5502507.7870372701</v>
      </c>
      <c r="BC93" s="31">
        <f t="shared" ca="1" si="23"/>
        <v>5894545.6072320472</v>
      </c>
    </row>
    <row r="94" spans="1:55">
      <c r="A94" s="541">
        <f>'Monthly Data'!A94</f>
        <v>45170</v>
      </c>
      <c r="B94">
        <f t="shared" si="24"/>
        <v>2023</v>
      </c>
      <c r="C94">
        <f t="shared" si="25"/>
        <v>9</v>
      </c>
      <c r="D94" s="30">
        <f>'Monthly Data'!N94</f>
        <v>5342063.3823549664</v>
      </c>
      <c r="E94" s="30">
        <f>'Monthly Data'!AB94</f>
        <v>5341587.0623549661</v>
      </c>
      <c r="F94" s="33">
        <f t="shared" ref="F94:G113" ca="1" si="28">F82</f>
        <v>166.50624999999999</v>
      </c>
      <c r="G94" s="33">
        <f t="shared" ca="1" si="28"/>
        <v>144.00333333333333</v>
      </c>
      <c r="I94" s="18">
        <f>'GS&gt;50 Predicted Monthly (no LC)'!$P$9</f>
        <v>4121039.41701539</v>
      </c>
      <c r="J94" s="18">
        <f ca="1">F94*'GS&gt;50 Predicted Monthly (no LC)'!$P$10</f>
        <v>385544.51202022011</v>
      </c>
      <c r="K94" s="18">
        <f ca="1">G94*'GS&gt;50 Predicted Monthly (no LC)'!$P$11</f>
        <v>777937.96028206998</v>
      </c>
      <c r="L94" s="18">
        <f t="shared" ca="1" si="18"/>
        <v>5284521.8893176802</v>
      </c>
      <c r="M94" s="18">
        <f>'Monthly Data'!Y94</f>
        <v>476.32</v>
      </c>
      <c r="N94" s="18">
        <f>'Monthly Data'!DN94</f>
        <v>0</v>
      </c>
      <c r="O94" s="18">
        <f>'Monthly Data'!DO94</f>
        <v>0</v>
      </c>
      <c r="P94" s="18">
        <f t="shared" ca="1" si="19"/>
        <v>166.50624999999999</v>
      </c>
      <c r="Q94" s="18">
        <f>'Monthly Data'!BR94</f>
        <v>1</v>
      </c>
      <c r="R94" s="18"/>
      <c r="S94" s="18">
        <f>'LC Predicted Monthly'!$T$9</f>
        <v>-22694.781953278001</v>
      </c>
      <c r="T94" s="18">
        <f>N94*'LC Predicted Monthly'!$T$10</f>
        <v>0</v>
      </c>
      <c r="U94" s="18">
        <f>O94*'LC Predicted Monthly'!$T$11</f>
        <v>0</v>
      </c>
      <c r="V94" s="18">
        <f ca="1">P94*'LC Predicted Monthly'!$T$12</f>
        <v>34089.377461879645</v>
      </c>
      <c r="W94" s="18">
        <f>Q94*'LC Predicted Monthly'!$T$13</f>
        <v>97970.228068396304</v>
      </c>
      <c r="X94" s="18">
        <f t="shared" ca="1" si="20"/>
        <v>109364.82357699795</v>
      </c>
      <c r="Y94" s="18">
        <f t="shared" ca="1" si="21"/>
        <v>5393886.7128946781</v>
      </c>
      <c r="AO94" s="33">
        <f t="shared" ref="AO94:AR109" ca="1" si="29">AO82</f>
        <v>148.78573988445157</v>
      </c>
      <c r="AP94" s="33">
        <f t="shared" ca="1" si="29"/>
        <v>183.84704932952829</v>
      </c>
      <c r="AQ94" s="33">
        <f t="shared" ca="1" si="29"/>
        <v>121.71640487708792</v>
      </c>
      <c r="AR94" s="33">
        <f t="shared" ca="1" si="29"/>
        <v>156.21175248910205</v>
      </c>
      <c r="AT94" s="18">
        <f ca="1">AO94*'GS&gt;50 Predicted Monthly (no LC)'!$P$10</f>
        <v>344512.74639431422</v>
      </c>
      <c r="AU94" s="18">
        <f ca="1">AP94*'GS&gt;50 Predicted Monthly (no LC)'!$P$10</f>
        <v>425697.05893989158</v>
      </c>
      <c r="AV94" s="18">
        <f ca="1">AQ94*'GS&gt;50 Predicted Monthly (no LC)'!$P$11</f>
        <v>657539.02740409982</v>
      </c>
      <c r="AW94" s="18">
        <f ca="1">AR94*'GS&gt;50 Predicted Monthly (no LC)'!$P$11</f>
        <v>843890.54954834119</v>
      </c>
      <c r="AY94" s="18">
        <f ca="1">AO94*'LC Predicted Monthly'!$T$12</f>
        <v>30461.398583333124</v>
      </c>
      <c r="AZ94" s="18">
        <f ca="1">AP94*'LC Predicted Monthly'!$T$12</f>
        <v>37639.616890339537</v>
      </c>
      <c r="BB94" s="31">
        <f t="shared" ca="1" si="22"/>
        <v>5228828.0355122555</v>
      </c>
      <c r="BC94" s="31">
        <f t="shared" ca="1" si="23"/>
        <v>5503542.0885090809</v>
      </c>
    </row>
    <row r="95" spans="1:55">
      <c r="A95" s="541">
        <f>'Monthly Data'!A95</f>
        <v>45200</v>
      </c>
      <c r="B95">
        <f t="shared" si="24"/>
        <v>2023</v>
      </c>
      <c r="C95">
        <f t="shared" si="25"/>
        <v>10</v>
      </c>
      <c r="D95" s="30">
        <f>'Monthly Data'!N95</f>
        <v>5340766.1154841539</v>
      </c>
      <c r="E95" s="30">
        <f>'Monthly Data'!AB95</f>
        <v>5332068.0354841538</v>
      </c>
      <c r="F95" s="33">
        <f t="shared" ca="1" si="28"/>
        <v>363.47645833333326</v>
      </c>
      <c r="G95" s="33">
        <f t="shared" ca="1" si="28"/>
        <v>40.02791666666667</v>
      </c>
      <c r="I95" s="18">
        <f>'GS&gt;50 Predicted Monthly (no LC)'!$P$9</f>
        <v>4121039.41701539</v>
      </c>
      <c r="J95" s="18">
        <f ca="1">F95*'GS&gt;50 Predicted Monthly (no LC)'!$P$10</f>
        <v>841628.18968635018</v>
      </c>
      <c r="K95" s="18">
        <f ca="1">G95*'GS&gt;50 Predicted Monthly (no LC)'!$P$11</f>
        <v>216239.6878267217</v>
      </c>
      <c r="L95" s="18">
        <f t="shared" ca="1" si="18"/>
        <v>5178907.294528462</v>
      </c>
      <c r="M95" s="18">
        <f>'Monthly Data'!Y95</f>
        <v>8698.08</v>
      </c>
      <c r="N95" s="18">
        <f>'Monthly Data'!DN95</f>
        <v>0</v>
      </c>
      <c r="O95" s="18">
        <f>'Monthly Data'!DO95</f>
        <v>0</v>
      </c>
      <c r="P95" s="18">
        <f t="shared" ca="1" si="19"/>
        <v>363.47645833333326</v>
      </c>
      <c r="Q95" s="18">
        <f>'Monthly Data'!BR95</f>
        <v>1</v>
      </c>
      <c r="R95" s="18"/>
      <c r="S95" s="18">
        <f>'LC Predicted Monthly'!$T$9</f>
        <v>-22694.781953278001</v>
      </c>
      <c r="T95" s="18">
        <f>N95*'LC Predicted Monthly'!$T$10</f>
        <v>0</v>
      </c>
      <c r="U95" s="18">
        <f>O95*'LC Predicted Monthly'!$T$11</f>
        <v>0</v>
      </c>
      <c r="V95" s="18">
        <f ca="1">P95*'LC Predicted Monthly'!$T$12</f>
        <v>74415.742271729541</v>
      </c>
      <c r="W95" s="18">
        <f>Q95*'LC Predicted Monthly'!$T$13</f>
        <v>97970.228068396304</v>
      </c>
      <c r="X95" s="18">
        <f t="shared" ca="1" si="20"/>
        <v>149691.18838684785</v>
      </c>
      <c r="Y95" s="18">
        <f t="shared" ca="1" si="21"/>
        <v>5328598.4829153102</v>
      </c>
      <c r="AO95" s="33">
        <f t="shared" ca="1" si="29"/>
        <v>324.79329624987065</v>
      </c>
      <c r="AP95" s="33">
        <f t="shared" ca="1" si="29"/>
        <v>401.33072701673694</v>
      </c>
      <c r="AQ95" s="33">
        <f t="shared" ca="1" si="29"/>
        <v>33.832925937267667</v>
      </c>
      <c r="AR95" s="33">
        <f t="shared" ca="1" si="29"/>
        <v>43.421432450552551</v>
      </c>
      <c r="AT95" s="18">
        <f ca="1">AO95*'GS&gt;50 Predicted Monthly (no LC)'!$P$10</f>
        <v>752057.49279738846</v>
      </c>
      <c r="AU95" s="18">
        <f ca="1">AP95*'GS&gt;50 Predicted Monthly (no LC)'!$P$10</f>
        <v>929279.58744124032</v>
      </c>
      <c r="AV95" s="18">
        <f ca="1">AQ95*'GS&gt;50 Predicted Monthly (no LC)'!$P$11</f>
        <v>182772.97326922306</v>
      </c>
      <c r="AW95" s="18">
        <f ca="1">AR95*'GS&gt;50 Predicted Monthly (no LC)'!$P$11</f>
        <v>234572.21309535802</v>
      </c>
      <c r="AY95" s="18">
        <f ca="1">AO95*'LC Predicted Monthly'!$T$12</f>
        <v>66496.010047370233</v>
      </c>
      <c r="AZ95" s="18">
        <f ca="1">AP95*'LC Predicted Monthly'!$T$12</f>
        <v>82165.772397877707</v>
      </c>
      <c r="BB95" s="31">
        <f t="shared" ca="1" si="22"/>
        <v>5197641.3392444905</v>
      </c>
      <c r="BC95" s="31">
        <f t="shared" ca="1" si="23"/>
        <v>5442332.4360649846</v>
      </c>
    </row>
    <row r="96" spans="1:55">
      <c r="A96" s="541">
        <f>'Monthly Data'!A96</f>
        <v>45231</v>
      </c>
      <c r="B96">
        <f t="shared" si="24"/>
        <v>2023</v>
      </c>
      <c r="C96">
        <f t="shared" si="25"/>
        <v>11</v>
      </c>
      <c r="D96" s="30">
        <f>'Monthly Data'!N96</f>
        <v>5612278.8486133423</v>
      </c>
      <c r="E96" s="30">
        <f>'Monthly Data'!AB96</f>
        <v>5500255.8086133422</v>
      </c>
      <c r="F96" s="33">
        <f t="shared" ca="1" si="28"/>
        <v>586.00395833333334</v>
      </c>
      <c r="G96" s="33">
        <f t="shared" ca="1" si="28"/>
        <v>4.5920833333333331</v>
      </c>
      <c r="I96" s="18">
        <f>'GS&gt;50 Predicted Monthly (no LC)'!$P$9</f>
        <v>4121039.41701539</v>
      </c>
      <c r="J96" s="18">
        <f ca="1">F96*'GS&gt;50 Predicted Monthly (no LC)'!$P$10</f>
        <v>1356889.6672499825</v>
      </c>
      <c r="K96" s="18">
        <f ca="1">G96*'GS&gt;50 Predicted Monthly (no LC)'!$P$11</f>
        <v>24807.453126862496</v>
      </c>
      <c r="L96" s="18">
        <f t="shared" ca="1" si="18"/>
        <v>5502736.5373922354</v>
      </c>
      <c r="M96" s="18">
        <f>'Monthly Data'!Y96</f>
        <v>112023.03999999999</v>
      </c>
      <c r="N96" s="18">
        <f>'Monthly Data'!DN96</f>
        <v>0</v>
      </c>
      <c r="O96" s="18">
        <f>'Monthly Data'!DO96</f>
        <v>0</v>
      </c>
      <c r="P96" s="18">
        <f t="shared" ca="1" si="19"/>
        <v>586.00395833333334</v>
      </c>
      <c r="Q96" s="18">
        <f>'Monthly Data'!BR96</f>
        <v>1</v>
      </c>
      <c r="R96" s="18"/>
      <c r="S96" s="18">
        <f>'LC Predicted Monthly'!$T$9</f>
        <v>-22694.781953278001</v>
      </c>
      <c r="T96" s="18">
        <f>N96*'LC Predicted Monthly'!$T$10</f>
        <v>0</v>
      </c>
      <c r="U96" s="18">
        <f>O96*'LC Predicted Monthly'!$T$11</f>
        <v>0</v>
      </c>
      <c r="V96" s="18">
        <f ca="1">P96*'LC Predicted Monthly'!$T$12</f>
        <v>119974.53626984327</v>
      </c>
      <c r="W96" s="18">
        <f>Q96*'LC Predicted Monthly'!$T$13</f>
        <v>97970.228068396304</v>
      </c>
      <c r="X96" s="18">
        <f t="shared" ca="1" si="20"/>
        <v>195249.98238496156</v>
      </c>
      <c r="Y96" s="18">
        <f t="shared" ca="1" si="21"/>
        <v>5697986.5197771974</v>
      </c>
      <c r="AO96" s="33">
        <f t="shared" ca="1" si="29"/>
        <v>523.63819685953126</v>
      </c>
      <c r="AP96" s="33">
        <f t="shared" ca="1" si="29"/>
        <v>647.03336142041019</v>
      </c>
      <c r="AQ96" s="33">
        <f t="shared" ca="1" si="29"/>
        <v>3.8813815020207452</v>
      </c>
      <c r="AR96" s="33">
        <f t="shared" ca="1" si="29"/>
        <v>4.9813943085298762</v>
      </c>
      <c r="AT96" s="18">
        <f ca="1">AO96*'GS&gt;50 Predicted Monthly (no LC)'!$P$10</f>
        <v>1212482.0124371063</v>
      </c>
      <c r="AU96" s="18">
        <f ca="1">AP96*'GS&gt;50 Predicted Monthly (no LC)'!$P$10</f>
        <v>1498202.9899156024</v>
      </c>
      <c r="AV96" s="18">
        <f ca="1">AQ96*'GS&gt;50 Predicted Monthly (no LC)'!$P$11</f>
        <v>20968.084132949996</v>
      </c>
      <c r="AW96" s="18">
        <f ca="1">AR96*'GS&gt;50 Predicted Monthly (no LC)'!$P$11</f>
        <v>26910.597401021583</v>
      </c>
      <c r="AY96" s="18">
        <f ca="1">AO96*'LC Predicted Monthly'!$T$12</f>
        <v>107206.18683204145</v>
      </c>
      <c r="AZ96" s="18">
        <f ca="1">AP96*'LC Predicted Monthly'!$T$12</f>
        <v>132469.28861762941</v>
      </c>
      <c r="BB96" s="31">
        <f t="shared" ca="1" si="22"/>
        <v>5536971.1465326073</v>
      </c>
      <c r="BC96" s="31">
        <f t="shared" ca="1" si="23"/>
        <v>5853897.7390647624</v>
      </c>
    </row>
    <row r="97" spans="1:55">
      <c r="A97" s="541">
        <f>'Monthly Data'!A97</f>
        <v>45261</v>
      </c>
      <c r="B97">
        <f t="shared" si="24"/>
        <v>2023</v>
      </c>
      <c r="C97">
        <f t="shared" si="25"/>
        <v>12</v>
      </c>
      <c r="D97" s="30">
        <f>'Monthly Data'!N97</f>
        <v>6027285.5817425298</v>
      </c>
      <c r="E97" s="30">
        <f>'Monthly Data'!AB97</f>
        <v>5870549.5817425298</v>
      </c>
      <c r="F97" s="33">
        <f t="shared" ca="1" si="28"/>
        <v>812.36333333333334</v>
      </c>
      <c r="G97" s="33">
        <f t="shared" ca="1" si="28"/>
        <v>0</v>
      </c>
      <c r="I97" s="18">
        <f>'GS&gt;50 Predicted Monthly (no LC)'!$P$9</f>
        <v>4121039.41701539</v>
      </c>
      <c r="J97" s="18">
        <f ca="1">F97*'GS&gt;50 Predicted Monthly (no LC)'!$P$10</f>
        <v>1881023.8350399425</v>
      </c>
      <c r="K97" s="18">
        <f ca="1">G97*'GS&gt;50 Predicted Monthly (no LC)'!$P$11</f>
        <v>0</v>
      </c>
      <c r="L97" s="18">
        <f t="shared" ca="1" si="18"/>
        <v>6002063.2520553321</v>
      </c>
      <c r="M97" s="18">
        <f>'Monthly Data'!Y97</f>
        <v>156736</v>
      </c>
      <c r="N97" s="18">
        <f>'Monthly Data'!DN97</f>
        <v>0</v>
      </c>
      <c r="O97" s="18">
        <f>'Monthly Data'!DO97</f>
        <v>0</v>
      </c>
      <c r="P97" s="18">
        <f t="shared" ca="1" si="19"/>
        <v>812.36333333333334</v>
      </c>
      <c r="Q97" s="18">
        <f>'Monthly Data'!BR97</f>
        <v>0</v>
      </c>
      <c r="R97" s="18"/>
      <c r="S97" s="18">
        <f>'LC Predicted Monthly'!$T$9</f>
        <v>-22694.781953278001</v>
      </c>
      <c r="T97" s="18">
        <f>N97*'LC Predicted Monthly'!$T$10</f>
        <v>0</v>
      </c>
      <c r="U97" s="18">
        <f>O97*'LC Predicted Monthly'!$T$11</f>
        <v>0</v>
      </c>
      <c r="V97" s="18">
        <f ca="1">P97*'LC Predicted Monthly'!$T$12</f>
        <v>166317.84276080181</v>
      </c>
      <c r="W97" s="18">
        <f>Q97*'LC Predicted Monthly'!$T$13</f>
        <v>0</v>
      </c>
      <c r="X97" s="18">
        <f t="shared" ca="1" si="20"/>
        <v>143623.06080752381</v>
      </c>
      <c r="Y97" s="18">
        <f t="shared" ca="1" si="21"/>
        <v>6145686.3128628563</v>
      </c>
      <c r="AO97" s="33">
        <f t="shared" ca="1" si="29"/>
        <v>725.90716327464804</v>
      </c>
      <c r="AP97" s="33">
        <f t="shared" ca="1" si="29"/>
        <v>896.96694158227319</v>
      </c>
      <c r="AQ97" s="33">
        <f t="shared" ca="1" si="29"/>
        <v>0</v>
      </c>
      <c r="AR97" s="33">
        <f t="shared" ca="1" si="29"/>
        <v>0</v>
      </c>
      <c r="AT97" s="18">
        <f ca="1">AO97*'GS&gt;50 Predicted Monthly (no LC)'!$P$10</f>
        <v>1680834.941851771</v>
      </c>
      <c r="AU97" s="18">
        <f ca="1">AP97*'GS&gt;50 Predicted Monthly (no LC)'!$P$10</f>
        <v>2076923.1292555493</v>
      </c>
      <c r="AV97" s="18">
        <f ca="1">AQ97*'GS&gt;50 Predicted Monthly (no LC)'!$P$11</f>
        <v>0</v>
      </c>
      <c r="AW97" s="18">
        <f ca="1">AR97*'GS&gt;50 Predicted Monthly (no LC)'!$P$11</f>
        <v>0</v>
      </c>
      <c r="AY97" s="18">
        <f ca="1">AO97*'LC Predicted Monthly'!$T$12</f>
        <v>148617.38397899043</v>
      </c>
      <c r="AZ97" s="18">
        <f ca="1">AP97*'LC Predicted Monthly'!$T$12</f>
        <v>183639.02041170144</v>
      </c>
      <c r="BB97" s="31">
        <f t="shared" ca="1" si="22"/>
        <v>5927796.9608928729</v>
      </c>
      <c r="BC97" s="31">
        <f t="shared" ca="1" si="23"/>
        <v>6358906.7847293625</v>
      </c>
    </row>
    <row r="98" spans="1:55">
      <c r="A98" s="541">
        <f>'Monthly Data'!A98</f>
        <v>45292</v>
      </c>
      <c r="B98">
        <f t="shared" si="24"/>
        <v>2024</v>
      </c>
      <c r="C98">
        <f t="shared" si="25"/>
        <v>1</v>
      </c>
      <c r="D98" s="30">
        <f>'Monthly Data'!N98</f>
        <v>6253607.9586970024</v>
      </c>
      <c r="E98" s="30">
        <f>'Monthly Data'!AB98</f>
        <v>6249528.2786970027</v>
      </c>
      <c r="F98" s="33">
        <f t="shared" ca="1" si="28"/>
        <v>914.55166666666662</v>
      </c>
      <c r="G98" s="33">
        <f t="shared" ca="1" si="28"/>
        <v>0</v>
      </c>
      <c r="I98" s="18">
        <f>'GS&gt;50 Predicted Monthly (no LC)'!$P$9</f>
        <v>4121039.41701539</v>
      </c>
      <c r="J98" s="18">
        <f ca="1">F98*'GS&gt;50 Predicted Monthly (no LC)'!$P$10</f>
        <v>2117640.4852206991</v>
      </c>
      <c r="K98" s="18">
        <f ca="1">G98*'GS&gt;50 Predicted Monthly (no LC)'!$P$11</f>
        <v>0</v>
      </c>
      <c r="L98" s="18">
        <f t="shared" ca="1" si="18"/>
        <v>6238679.9022360891</v>
      </c>
      <c r="M98" s="18">
        <f>'Monthly Data'!Y98</f>
        <v>4079.68</v>
      </c>
      <c r="N98" s="18">
        <f>'Monthly Data'!DN98</f>
        <v>0</v>
      </c>
      <c r="O98" s="18">
        <f>'Monthly Data'!DO98</f>
        <v>0</v>
      </c>
      <c r="P98" s="18">
        <f t="shared" ca="1" si="19"/>
        <v>914.55166666666662</v>
      </c>
      <c r="Q98" s="18">
        <f>'Monthly Data'!BR98</f>
        <v>0</v>
      </c>
      <c r="R98" s="18"/>
      <c r="S98" s="18">
        <f>'LC Predicted Monthly'!$T$9</f>
        <v>-22694.781953278001</v>
      </c>
      <c r="T98" s="18">
        <f>N98*'LC Predicted Monthly'!$T$10</f>
        <v>0</v>
      </c>
      <c r="U98" s="18">
        <f>O98*'LC Predicted Monthly'!$T$11</f>
        <v>0</v>
      </c>
      <c r="V98" s="18">
        <f ca="1">P98*'LC Predicted Monthly'!$T$12</f>
        <v>187239.19956993285</v>
      </c>
      <c r="W98" s="18">
        <f>Q98*'LC Predicted Monthly'!$T$13</f>
        <v>0</v>
      </c>
      <c r="X98" s="18">
        <f t="shared" ca="1" si="20"/>
        <v>164544.41761665486</v>
      </c>
      <c r="Y98" s="18">
        <f t="shared" ca="1" si="21"/>
        <v>6403224.3198527442</v>
      </c>
      <c r="AO98" s="33">
        <f t="shared" ca="1" si="29"/>
        <v>817.22005262600237</v>
      </c>
      <c r="AP98" s="33">
        <f t="shared" ca="1" si="29"/>
        <v>1009.7976825258449</v>
      </c>
      <c r="AQ98" s="33">
        <f t="shared" ca="1" si="29"/>
        <v>0</v>
      </c>
      <c r="AR98" s="33">
        <f t="shared" ca="1" si="29"/>
        <v>0</v>
      </c>
      <c r="AT98" s="18">
        <f ca="1">AO98*'GS&gt;50 Predicted Monthly (no LC)'!$P$10</f>
        <v>1892269.5478567963</v>
      </c>
      <c r="AU98" s="18">
        <f ca="1">AP98*'GS&gt;50 Predicted Monthly (no LC)'!$P$10</f>
        <v>2338182.2288867598</v>
      </c>
      <c r="AV98" s="18">
        <f ca="1">AQ98*'GS&gt;50 Predicted Monthly (no LC)'!$P$11</f>
        <v>0</v>
      </c>
      <c r="AW98" s="18">
        <f ca="1">AR98*'GS&gt;50 Predicted Monthly (no LC)'!$P$11</f>
        <v>0</v>
      </c>
      <c r="AY98" s="18">
        <f ca="1">AO98*'LC Predicted Monthly'!$T$12</f>
        <v>167312.17502877486</v>
      </c>
      <c r="AZ98" s="18">
        <f ca="1">AP98*'LC Predicted Monthly'!$T$12</f>
        <v>206739.23266997386</v>
      </c>
      <c r="BB98" s="31">
        <f t="shared" ca="1" si="22"/>
        <v>6157926.3579476839</v>
      </c>
      <c r="BC98" s="31">
        <f t="shared" ca="1" si="23"/>
        <v>6643266.0966188461</v>
      </c>
    </row>
    <row r="99" spans="1:55">
      <c r="A99" s="541">
        <f>'Monthly Data'!A99</f>
        <v>45323</v>
      </c>
      <c r="B99">
        <f t="shared" si="24"/>
        <v>2024</v>
      </c>
      <c r="C99">
        <f t="shared" si="25"/>
        <v>2</v>
      </c>
      <c r="D99" s="30">
        <f>'Monthly Data'!N99</f>
        <v>5644985.0132523365</v>
      </c>
      <c r="E99" s="30">
        <f>'Monthly Data'!AB99</f>
        <v>5606591.5732523361</v>
      </c>
      <c r="F99" s="33">
        <f t="shared" ca="1" si="28"/>
        <v>803.82854166666664</v>
      </c>
      <c r="G99" s="33">
        <f t="shared" ca="1" si="28"/>
        <v>0</v>
      </c>
      <c r="I99" s="18">
        <f>'GS&gt;50 Predicted Monthly (no LC)'!$P$9</f>
        <v>4121039.41701539</v>
      </c>
      <c r="J99" s="18">
        <f ca="1">F99*'GS&gt;50 Predicted Monthly (no LC)'!$P$10</f>
        <v>1861261.5613215731</v>
      </c>
      <c r="K99" s="18">
        <f ca="1">G99*'GS&gt;50 Predicted Monthly (no LC)'!$P$11</f>
        <v>0</v>
      </c>
      <c r="L99" s="18">
        <f t="shared" ca="1" si="18"/>
        <v>5982300.9783369629</v>
      </c>
      <c r="M99" s="18">
        <f>'Monthly Data'!Y99</f>
        <v>38393.440000000002</v>
      </c>
      <c r="N99" s="18">
        <f>'Monthly Data'!DN99</f>
        <v>0</v>
      </c>
      <c r="O99" s="18">
        <f>'Monthly Data'!DO99</f>
        <v>0</v>
      </c>
      <c r="P99" s="18">
        <f t="shared" ca="1" si="19"/>
        <v>803.82854166666664</v>
      </c>
      <c r="Q99" s="18">
        <f>'Monthly Data'!BR99</f>
        <v>0</v>
      </c>
      <c r="R99" s="18"/>
      <c r="S99" s="18">
        <f>'LC Predicted Monthly'!$T$9</f>
        <v>-22694.781953278001</v>
      </c>
      <c r="T99" s="18">
        <f>N99*'LC Predicted Monthly'!$T$10</f>
        <v>0</v>
      </c>
      <c r="U99" s="18">
        <f>O99*'LC Predicted Monthly'!$T$11</f>
        <v>0</v>
      </c>
      <c r="V99" s="18">
        <f ca="1">P99*'LC Predicted Monthly'!$T$12</f>
        <v>164570.48652232124</v>
      </c>
      <c r="W99" s="18">
        <f>Q99*'LC Predicted Monthly'!$T$13</f>
        <v>0</v>
      </c>
      <c r="X99" s="18">
        <f t="shared" ca="1" si="20"/>
        <v>141875.70456904324</v>
      </c>
      <c r="Y99" s="18">
        <f t="shared" ca="1" si="21"/>
        <v>6124176.6829060065</v>
      </c>
      <c r="AO99" s="33">
        <f t="shared" ca="1" si="29"/>
        <v>718.28069103781206</v>
      </c>
      <c r="AP99" s="33">
        <f t="shared" ca="1" si="29"/>
        <v>887.54329373386554</v>
      </c>
      <c r="AQ99" s="33">
        <f t="shared" ca="1" si="29"/>
        <v>0</v>
      </c>
      <c r="AR99" s="33">
        <f t="shared" ca="1" si="29"/>
        <v>0</v>
      </c>
      <c r="AT99" s="18">
        <f ca="1">AO99*'GS&gt;50 Predicted Monthly (no LC)'!$P$10</f>
        <v>1663175.8779007981</v>
      </c>
      <c r="AU99" s="18">
        <f ca="1">AP99*'GS&gt;50 Predicted Monthly (no LC)'!$P$10</f>
        <v>2055102.7128377589</v>
      </c>
      <c r="AV99" s="18">
        <f ca="1">AQ99*'GS&gt;50 Predicted Monthly (no LC)'!$P$11</f>
        <v>0</v>
      </c>
      <c r="AW99" s="18">
        <f ca="1">AR99*'GS&gt;50 Predicted Monthly (no LC)'!$P$11</f>
        <v>0</v>
      </c>
      <c r="AY99" s="18">
        <f ca="1">AO99*'LC Predicted Monthly'!$T$12</f>
        <v>147055.99099353765</v>
      </c>
      <c r="AZ99" s="18">
        <f ca="1">AP99*'LC Predicted Monthly'!$T$12</f>
        <v>181709.68569560398</v>
      </c>
      <c r="BB99" s="31">
        <f t="shared" ca="1" si="22"/>
        <v>5908576.5039564483</v>
      </c>
      <c r="BC99" s="31">
        <f t="shared" ca="1" si="23"/>
        <v>6335157.0335954754</v>
      </c>
    </row>
    <row r="100" spans="1:55">
      <c r="A100" s="541">
        <f>'Monthly Data'!A100</f>
        <v>45352</v>
      </c>
      <c r="B100">
        <f t="shared" si="24"/>
        <v>2024</v>
      </c>
      <c r="C100">
        <f t="shared" si="25"/>
        <v>3</v>
      </c>
      <c r="D100" s="30">
        <f>'Monthly Data'!N100</f>
        <v>5687000.0678076707</v>
      </c>
      <c r="E100" s="30">
        <f>'Monthly Data'!AB100</f>
        <v>5626603.7478076704</v>
      </c>
      <c r="F100" s="33">
        <f t="shared" ca="1" si="28"/>
        <v>698.29604166666672</v>
      </c>
      <c r="G100" s="33">
        <f t="shared" ca="1" si="28"/>
        <v>0.11000000000000032</v>
      </c>
      <c r="I100" s="18">
        <f>'GS&gt;50 Predicted Monthly (no LC)'!$P$9</f>
        <v>4121039.41701539</v>
      </c>
      <c r="J100" s="18">
        <f ca="1">F100*'GS&gt;50 Predicted Monthly (no LC)'!$P$10</f>
        <v>1616901.5074811084</v>
      </c>
      <c r="K100" s="18">
        <f ca="1">G100*'GS&gt;50 Predicted Monthly (no LC)'!$P$11</f>
        <v>594.2444084467578</v>
      </c>
      <c r="L100" s="18">
        <f t="shared" ca="1" si="18"/>
        <v>5738535.1689049443</v>
      </c>
      <c r="M100" s="18">
        <f>'Monthly Data'!Y100</f>
        <v>60396.32</v>
      </c>
      <c r="N100" s="18">
        <f>'Monthly Data'!DN100</f>
        <v>0</v>
      </c>
      <c r="O100" s="18">
        <f>'Monthly Data'!DO100</f>
        <v>0</v>
      </c>
      <c r="P100" s="18">
        <f t="shared" ca="1" si="19"/>
        <v>698.29604166666672</v>
      </c>
      <c r="Q100" s="18">
        <f>'Monthly Data'!BR100</f>
        <v>0</v>
      </c>
      <c r="R100" s="18"/>
      <c r="S100" s="18">
        <f>'LC Predicted Monthly'!$T$9</f>
        <v>-22694.781953278001</v>
      </c>
      <c r="T100" s="18">
        <f>N100*'LC Predicted Monthly'!$T$10</f>
        <v>0</v>
      </c>
      <c r="U100" s="18">
        <f>O100*'LC Predicted Monthly'!$T$11</f>
        <v>0</v>
      </c>
      <c r="V100" s="18">
        <f ca="1">P100*'LC Predicted Monthly'!$T$12</f>
        <v>142964.46736690929</v>
      </c>
      <c r="W100" s="18">
        <f>Q100*'LC Predicted Monthly'!$T$13</f>
        <v>0</v>
      </c>
      <c r="X100" s="18">
        <f t="shared" ca="1" si="20"/>
        <v>120269.68541363129</v>
      </c>
      <c r="Y100" s="18">
        <f t="shared" ca="1" si="21"/>
        <v>5858804.8543185759</v>
      </c>
      <c r="AO100" s="33">
        <f t="shared" ca="1" si="29"/>
        <v>623.97953961343092</v>
      </c>
      <c r="AP100" s="33">
        <f t="shared" ca="1" si="29"/>
        <v>771.02010776716202</v>
      </c>
      <c r="AQ100" s="33">
        <f t="shared" ca="1" si="29"/>
        <v>9.2975657066825132E-2</v>
      </c>
      <c r="AR100" s="33">
        <f t="shared" ca="1" si="29"/>
        <v>0.11932565987223402</v>
      </c>
      <c r="AT100" s="18">
        <f ca="1">AO100*'GS&gt;50 Predicted Monthly (no LC)'!$P$10</f>
        <v>1444821.9638053337</v>
      </c>
      <c r="AU100" s="18">
        <f ca="1">AP100*'GS&gt;50 Predicted Monthly (no LC)'!$P$10</f>
        <v>1785293.7724972367</v>
      </c>
      <c r="AV100" s="18">
        <f ca="1">AQ100*'GS&gt;50 Predicted Monthly (no LC)'!$P$11</f>
        <v>502.27513030567235</v>
      </c>
      <c r="AW100" s="18">
        <f ca="1">AR100*'GS&gt;50 Predicted Monthly (no LC)'!$P$11</f>
        <v>644.62369239358668</v>
      </c>
      <c r="AY100" s="18">
        <f ca="1">AO100*'LC Predicted Monthly'!$T$12</f>
        <v>127749.40312674227</v>
      </c>
      <c r="AZ100" s="18">
        <f ca="1">AP100*'LC Predicted Monthly'!$T$12</f>
        <v>157853.50690664109</v>
      </c>
      <c r="BB100" s="31">
        <f t="shared" ca="1" si="22"/>
        <v>5671418.2771244934</v>
      </c>
      <c r="BC100" s="31">
        <f t="shared" ca="1" si="23"/>
        <v>6042136.5381583832</v>
      </c>
    </row>
    <row r="101" spans="1:55">
      <c r="A101" s="541">
        <f>'Monthly Data'!A101</f>
        <v>45383</v>
      </c>
      <c r="B101">
        <f t="shared" si="24"/>
        <v>2024</v>
      </c>
      <c r="C101">
        <f t="shared" si="25"/>
        <v>4</v>
      </c>
      <c r="D101" s="30">
        <f>'Monthly Data'!N101</f>
        <v>5089288.1223630048</v>
      </c>
      <c r="E101" s="30">
        <f>'Monthly Data'!AB101</f>
        <v>5088750.3623630051</v>
      </c>
      <c r="F101" s="33">
        <f t="shared" ca="1" si="28"/>
        <v>468.60374999999993</v>
      </c>
      <c r="G101" s="33">
        <f t="shared" ca="1" si="28"/>
        <v>7.7354166666666684</v>
      </c>
      <c r="I101" s="18">
        <f>'GS&gt;50 Predicted Monthly (no LC)'!$P$9</f>
        <v>4121039.41701539</v>
      </c>
      <c r="J101" s="18">
        <f ca="1">F101*'GS&gt;50 Predicted Monthly (no LC)'!$P$10</f>
        <v>1085049.9853584787</v>
      </c>
      <c r="K101" s="18">
        <f ca="1">G101*'GS&gt;50 Predicted Monthly (no LC)'!$P$11</f>
        <v>41788.437283386476</v>
      </c>
      <c r="L101" s="18">
        <f t="shared" ca="1" si="18"/>
        <v>5247877.8396572554</v>
      </c>
      <c r="M101" s="18">
        <f>'Monthly Data'!Y101</f>
        <v>537.76</v>
      </c>
      <c r="N101" s="18">
        <f>'Monthly Data'!DN101</f>
        <v>0</v>
      </c>
      <c r="O101" s="18">
        <f>'Monthly Data'!DO101</f>
        <v>0</v>
      </c>
      <c r="P101" s="18">
        <f t="shared" ca="1" si="19"/>
        <v>468.60374999999993</v>
      </c>
      <c r="Q101" s="18">
        <f>'Monthly Data'!BR101</f>
        <v>0</v>
      </c>
      <c r="R101" s="18"/>
      <c r="S101" s="18">
        <f>'LC Predicted Monthly'!$T$9</f>
        <v>-22694.781953278001</v>
      </c>
      <c r="T101" s="18">
        <f>N101*'LC Predicted Monthly'!$T$10</f>
        <v>0</v>
      </c>
      <c r="U101" s="18">
        <f>O101*'LC Predicted Monthly'!$T$11</f>
        <v>0</v>
      </c>
      <c r="V101" s="18">
        <f ca="1">P101*'LC Predicted Monthly'!$T$12</f>
        <v>95938.80177952649</v>
      </c>
      <c r="W101" s="18">
        <f>Q101*'LC Predicted Monthly'!$T$13</f>
        <v>0</v>
      </c>
      <c r="X101" s="18">
        <f t="shared" ca="1" si="20"/>
        <v>73244.019826248492</v>
      </c>
      <c r="Y101" s="18">
        <f t="shared" ca="1" si="21"/>
        <v>5321121.8594835037</v>
      </c>
      <c r="AO101" s="33">
        <f t="shared" ca="1" si="29"/>
        <v>418.73236383846591</v>
      </c>
      <c r="AP101" s="33">
        <f t="shared" ca="1" si="29"/>
        <v>517.40650421381736</v>
      </c>
      <c r="AQ101" s="33">
        <f t="shared" ca="1" si="29"/>
        <v>6.5382313388091058</v>
      </c>
      <c r="AR101" s="33">
        <f t="shared" ca="1" si="29"/>
        <v>8.3912154376061316</v>
      </c>
      <c r="AT101" s="18">
        <f ca="1">AO101*'GS&gt;50 Predicted Monthly (no LC)'!$P$10</f>
        <v>969573.00331473805</v>
      </c>
      <c r="AU101" s="18">
        <f ca="1">AP101*'GS&gt;50 Predicted Monthly (no LC)'!$P$10</f>
        <v>1198052.5546831076</v>
      </c>
      <c r="AV101" s="18">
        <f ca="1">AQ101*'GS&gt;50 Predicted Monthly (no LC)'!$P$11</f>
        <v>35320.976492896902</v>
      </c>
      <c r="AW101" s="18">
        <f ca="1">AR101*'GS&gt;50 Predicted Monthly (no LC)'!$P$11</f>
        <v>45331.207762450395</v>
      </c>
      <c r="AY101" s="18">
        <f ca="1">AO101*'LC Predicted Monthly'!$T$12</f>
        <v>85728.467288132349</v>
      </c>
      <c r="AZ101" s="18">
        <f ca="1">AP101*'LC Predicted Monthly'!$T$12</f>
        <v>105930.35170377353</v>
      </c>
      <c r="BB101" s="31">
        <f t="shared" ca="1" si="22"/>
        <v>5188967.0821578791</v>
      </c>
      <c r="BC101" s="31">
        <f t="shared" ca="1" si="23"/>
        <v>5447658.7492114436</v>
      </c>
    </row>
    <row r="102" spans="1:55">
      <c r="A102" s="541">
        <f>'Monthly Data'!A102</f>
        <v>45413</v>
      </c>
      <c r="B102">
        <f t="shared" si="24"/>
        <v>2024</v>
      </c>
      <c r="C102">
        <f t="shared" si="25"/>
        <v>5</v>
      </c>
      <c r="D102" s="30">
        <f>'Monthly Data'!N102</f>
        <v>5269158.176918339</v>
      </c>
      <c r="E102" s="30">
        <f>'Monthly Data'!AB102</f>
        <v>5269132.5769183394</v>
      </c>
      <c r="F102" s="33">
        <f t="shared" ca="1" si="28"/>
        <v>232.88687500000006</v>
      </c>
      <c r="G102" s="33">
        <f t="shared" ca="1" si="28"/>
        <v>111.43645833333332</v>
      </c>
      <c r="I102" s="18">
        <f>'GS&gt;50 Predicted Monthly (no LC)'!$P$9</f>
        <v>4121039.41701539</v>
      </c>
      <c r="J102" s="18">
        <f ca="1">F102*'GS&gt;50 Predicted Monthly (no LC)'!$P$10</f>
        <v>539248.5662117129</v>
      </c>
      <c r="K102" s="18">
        <f ca="1">G102*'GS&gt;50 Predicted Monthly (no LC)'!$P$11</f>
        <v>602004.47510630218</v>
      </c>
      <c r="L102" s="18">
        <f t="shared" ca="1" si="18"/>
        <v>5262292.4583334047</v>
      </c>
      <c r="M102" s="18">
        <f>'Monthly Data'!Y102</f>
        <v>25.6</v>
      </c>
      <c r="N102" s="18">
        <f>'Monthly Data'!DN102</f>
        <v>0</v>
      </c>
      <c r="O102" s="18">
        <f>'Monthly Data'!DO102</f>
        <v>0</v>
      </c>
      <c r="P102" s="18">
        <f t="shared" ca="1" si="19"/>
        <v>232.88687500000006</v>
      </c>
      <c r="Q102" s="18">
        <f>'Monthly Data'!BR102</f>
        <v>0</v>
      </c>
      <c r="R102" s="18"/>
      <c r="S102" s="18">
        <f>'LC Predicted Monthly'!$T$9</f>
        <v>-22694.781953278001</v>
      </c>
      <c r="T102" s="18">
        <f>N102*'LC Predicted Monthly'!$T$10</f>
        <v>0</v>
      </c>
      <c r="U102" s="18">
        <f>O102*'LC Predicted Monthly'!$T$11</f>
        <v>0</v>
      </c>
      <c r="V102" s="18">
        <f ca="1">P102*'LC Predicted Monthly'!$T$12</f>
        <v>47679.703241125091</v>
      </c>
      <c r="W102" s="18">
        <f>Q102*'LC Predicted Monthly'!$T$13</f>
        <v>0</v>
      </c>
      <c r="X102" s="18">
        <f t="shared" ca="1" si="20"/>
        <v>24984.92128784709</v>
      </c>
      <c r="Y102" s="18">
        <f t="shared" ca="1" si="21"/>
        <v>5287277.3796212515</v>
      </c>
      <c r="AO102" s="33">
        <f t="shared" ca="1" si="29"/>
        <v>208.10177399498693</v>
      </c>
      <c r="AP102" s="33">
        <f t="shared" ca="1" si="29"/>
        <v>257.1408868815717</v>
      </c>
      <c r="AQ102" s="33">
        <f t="shared" ca="1" si="29"/>
        <v>94.189799406741059</v>
      </c>
      <c r="AR102" s="33">
        <f t="shared" ca="1" si="29"/>
        <v>120.88389931317884</v>
      </c>
      <c r="AT102" s="18">
        <f ca="1">AO102*'GS&gt;50 Predicted Monthly (no LC)'!$P$10</f>
        <v>481858.77049924171</v>
      </c>
      <c r="AU102" s="18">
        <f ca="1">AP102*'GS&gt;50 Predicted Monthly (no LC)'!$P$10</f>
        <v>595408.62732301152</v>
      </c>
      <c r="AV102" s="18">
        <f ca="1">AQ102*'GS&gt;50 Predicted Monthly (no LC)'!$P$11</f>
        <v>508834.19663797691</v>
      </c>
      <c r="AW102" s="18">
        <f ca="1">AR102*'GS&gt;50 Predicted Monthly (no LC)'!$P$11</f>
        <v>653041.64761906536</v>
      </c>
      <c r="AY102" s="18">
        <f ca="1">AO102*'LC Predicted Monthly'!$T$12</f>
        <v>42605.367211152006</v>
      </c>
      <c r="AZ102" s="18">
        <f ca="1">AP102*'LC Predicted Monthly'!$T$12</f>
        <v>52645.307631325515</v>
      </c>
      <c r="BB102" s="31">
        <f t="shared" ca="1" si="22"/>
        <v>5131642.9694104819</v>
      </c>
      <c r="BC102" s="31">
        <f t="shared" ca="1" si="23"/>
        <v>5399440.2176355133</v>
      </c>
    </row>
    <row r="103" spans="1:55">
      <c r="A103" s="541">
        <f>'Monthly Data'!A103</f>
        <v>45444</v>
      </c>
      <c r="B103">
        <f t="shared" si="24"/>
        <v>2024</v>
      </c>
      <c r="C103">
        <f t="shared" si="25"/>
        <v>6</v>
      </c>
      <c r="D103" s="30">
        <f>'Monthly Data'!N103</f>
        <v>5374172.2314736731</v>
      </c>
      <c r="E103" s="30">
        <f>'Monthly Data'!AB103</f>
        <v>5374140.2314736731</v>
      </c>
      <c r="F103" s="33">
        <f t="shared" ca="1" si="28"/>
        <v>92.751249999999999</v>
      </c>
      <c r="G103" s="33">
        <f t="shared" ca="1" si="28"/>
        <v>227.31958333333333</v>
      </c>
      <c r="I103" s="18">
        <f>'GS&gt;50 Predicted Monthly (no LC)'!$P$9</f>
        <v>4121039.41701539</v>
      </c>
      <c r="J103" s="18">
        <f ca="1">F103*'GS&gt;50 Predicted Monthly (no LC)'!$P$10</f>
        <v>214765.12395489923</v>
      </c>
      <c r="K103" s="18">
        <f ca="1">G103*'GS&gt;50 Predicted Monthly (no LC)'!$P$11</f>
        <v>1228030.8302389067</v>
      </c>
      <c r="L103" s="18">
        <f t="shared" ca="1" si="18"/>
        <v>5563835.3712091958</v>
      </c>
      <c r="M103" s="18">
        <f>'Monthly Data'!Y103</f>
        <v>32</v>
      </c>
      <c r="N103" s="18">
        <f>'Monthly Data'!DN103</f>
        <v>0</v>
      </c>
      <c r="O103" s="18">
        <f>'Monthly Data'!DO103</f>
        <v>0</v>
      </c>
      <c r="P103" s="18">
        <f t="shared" ca="1" si="19"/>
        <v>92.751249999999999</v>
      </c>
      <c r="Q103" s="18">
        <f>'Monthly Data'!BR103</f>
        <v>0</v>
      </c>
      <c r="R103" s="18"/>
      <c r="S103" s="18">
        <f>'LC Predicted Monthly'!$T$9</f>
        <v>-22694.781953278001</v>
      </c>
      <c r="T103" s="18">
        <f>N103*'LC Predicted Monthly'!$T$10</f>
        <v>0</v>
      </c>
      <c r="U103" s="18">
        <f>O103*'LC Predicted Monthly'!$T$11</f>
        <v>0</v>
      </c>
      <c r="V103" s="18">
        <f ca="1">P103*'LC Predicted Monthly'!$T$12</f>
        <v>18989.271401591017</v>
      </c>
      <c r="W103" s="18">
        <f>Q103*'LC Predicted Monthly'!$T$13</f>
        <v>0</v>
      </c>
      <c r="X103" s="18">
        <f t="shared" ca="1" si="20"/>
        <v>-3705.5105516869844</v>
      </c>
      <c r="Y103" s="18">
        <f t="shared" ca="1" si="21"/>
        <v>5560129.8606575085</v>
      </c>
      <c r="AO103" s="33">
        <f t="shared" ca="1" si="29"/>
        <v>82.880152285321046</v>
      </c>
      <c r="AP103" s="33">
        <f t="shared" ca="1" si="29"/>
        <v>102.41083223077457</v>
      </c>
      <c r="AQ103" s="33">
        <f t="shared" ca="1" si="29"/>
        <v>192.13806931430472</v>
      </c>
      <c r="AR103" s="33">
        <f t="shared" ca="1" si="29"/>
        <v>246.59144802846558</v>
      </c>
      <c r="AT103" s="18">
        <f ca="1">AO103*'GS&gt;50 Predicted Monthly (no LC)'!$P$10</f>
        <v>191908.63927934016</v>
      </c>
      <c r="AU103" s="18">
        <f ca="1">AP103*'GS&gt;50 Predicted Monthly (no LC)'!$P$10</f>
        <v>237131.8454292173</v>
      </c>
      <c r="AV103" s="18">
        <f ca="1">AQ103*'GS&gt;50 Predicted Monthly (no LC)'!$P$11</f>
        <v>1037972.4849070985</v>
      </c>
      <c r="AW103" s="18">
        <f ca="1">AR103*'GS&gt;50 Predicted Monthly (no LC)'!$P$11</f>
        <v>1332141.7196518595</v>
      </c>
      <c r="AY103" s="18">
        <f ca="1">AO103*'LC Predicted Monthly'!$T$12</f>
        <v>16968.328788573257</v>
      </c>
      <c r="AZ103" s="18">
        <f ca="1">AP103*'LC Predicted Monthly'!$T$12</f>
        <v>20966.909747232337</v>
      </c>
      <c r="BB103" s="31">
        <f t="shared" ca="1" si="22"/>
        <v>5345194.088037123</v>
      </c>
      <c r="BC103" s="31">
        <f t="shared" ca="1" si="23"/>
        <v>5688585.1098904209</v>
      </c>
    </row>
    <row r="104" spans="1:55">
      <c r="A104" s="541">
        <f>'Monthly Data'!A104</f>
        <v>45474</v>
      </c>
      <c r="B104">
        <f t="shared" si="24"/>
        <v>2024</v>
      </c>
      <c r="C104">
        <f t="shared" si="25"/>
        <v>7</v>
      </c>
      <c r="D104" s="30">
        <f>'Monthly Data'!N104</f>
        <v>5847813.2860290073</v>
      </c>
      <c r="E104" s="30">
        <f>'Monthly Data'!AB104</f>
        <v>5841560.4860290075</v>
      </c>
      <c r="F104" s="33">
        <f t="shared" ca="1" si="28"/>
        <v>25.464999999999996</v>
      </c>
      <c r="G104" s="33">
        <f t="shared" ca="1" si="28"/>
        <v>327.99625000000003</v>
      </c>
      <c r="I104" s="18">
        <f>'GS&gt;50 Predicted Monthly (no LC)'!$P$9</f>
        <v>4121039.41701539</v>
      </c>
      <c r="J104" s="18">
        <f ca="1">F104*'GS&gt;50 Predicted Monthly (no LC)'!$P$10</f>
        <v>58964.098936796094</v>
      </c>
      <c r="K104" s="18">
        <f ca="1">G104*'GS&gt;50 Predicted Monthly (no LC)'!$P$11</f>
        <v>1771908.5232182215</v>
      </c>
      <c r="L104" s="18">
        <f t="shared" ca="1" si="18"/>
        <v>5951912.0391704077</v>
      </c>
      <c r="M104" s="18">
        <f>'Monthly Data'!Y104</f>
        <v>6252.8</v>
      </c>
      <c r="N104" s="18">
        <f>'Monthly Data'!DN104</f>
        <v>0</v>
      </c>
      <c r="O104" s="18">
        <f>'Monthly Data'!DO104</f>
        <v>0</v>
      </c>
      <c r="P104" s="18">
        <f t="shared" ca="1" si="19"/>
        <v>25.464999999999996</v>
      </c>
      <c r="Q104" s="18">
        <f>'Monthly Data'!BR104</f>
        <v>0</v>
      </c>
      <c r="R104" s="18"/>
      <c r="S104" s="18">
        <f>'LC Predicted Monthly'!$T$9</f>
        <v>-22694.781953278001</v>
      </c>
      <c r="T104" s="18">
        <f>N104*'LC Predicted Monthly'!$T$10</f>
        <v>0</v>
      </c>
      <c r="U104" s="18">
        <f>O104*'LC Predicted Monthly'!$T$11</f>
        <v>0</v>
      </c>
      <c r="V104" s="18">
        <f ca="1">P104*'LC Predicted Monthly'!$T$12</f>
        <v>5213.5340088841413</v>
      </c>
      <c r="W104" s="18">
        <f>Q104*'LC Predicted Monthly'!$T$13</f>
        <v>0</v>
      </c>
      <c r="X104" s="18">
        <f t="shared" ca="1" si="20"/>
        <v>-17481.247944393861</v>
      </c>
      <c r="Y104" s="18">
        <f t="shared" ca="1" si="21"/>
        <v>5934430.7912260136</v>
      </c>
      <c r="AO104" s="33">
        <f t="shared" ca="1" si="29"/>
        <v>22.754874763905612</v>
      </c>
      <c r="AP104" s="33">
        <f t="shared" ca="1" si="29"/>
        <v>28.117053330889604</v>
      </c>
      <c r="AQ104" s="33">
        <f t="shared" ca="1" si="29"/>
        <v>277.23333508367784</v>
      </c>
      <c r="AR104" s="33">
        <f t="shared" ca="1" si="29"/>
        <v>355.80335424425579</v>
      </c>
      <c r="AT104" s="18">
        <f ca="1">AO104*'GS&gt;50 Predicted Monthly (no LC)'!$P$10</f>
        <v>52688.815506512285</v>
      </c>
      <c r="AU104" s="18">
        <f ca="1">AP104*'GS&gt;50 Predicted Monthly (no LC)'!$P$10</f>
        <v>65104.917118152247</v>
      </c>
      <c r="AV104" s="18">
        <f ca="1">AQ104*'GS&gt;50 Predicted Monthly (no LC)'!$P$11</f>
        <v>1497675.9928047406</v>
      </c>
      <c r="AW104" s="18">
        <f ca="1">AR104*'GS&gt;50 Predicted Monthly (no LC)'!$P$11</f>
        <v>1922128.6706022671</v>
      </c>
      <c r="AY104" s="18">
        <f ca="1">AO104*'LC Predicted Monthly'!$T$12</f>
        <v>4658.6810700774167</v>
      </c>
      <c r="AZ104" s="18">
        <f ca="1">AP104*'LC Predicted Monthly'!$T$12</f>
        <v>5756.4976937051679</v>
      </c>
      <c r="BB104" s="31">
        <f t="shared" ca="1" si="22"/>
        <v>5653368.1244434416</v>
      </c>
      <c r="BC104" s="31">
        <f t="shared" ca="1" si="23"/>
        <v>6091334.7204762362</v>
      </c>
    </row>
    <row r="105" spans="1:55">
      <c r="A105" s="541">
        <f>'Monthly Data'!A105</f>
        <v>45505</v>
      </c>
      <c r="B105">
        <f t="shared" si="24"/>
        <v>2024</v>
      </c>
      <c r="C105">
        <f t="shared" si="25"/>
        <v>8</v>
      </c>
      <c r="D105" s="30">
        <f>'Monthly Data'!N105</f>
        <v>5588978.3405843414</v>
      </c>
      <c r="E105" s="30">
        <f>'Monthly Data'!AB105</f>
        <v>5588607.1405843413</v>
      </c>
      <c r="F105" s="33">
        <f t="shared" ca="1" si="28"/>
        <v>54.974791666666668</v>
      </c>
      <c r="G105" s="33">
        <f t="shared" ca="1" si="28"/>
        <v>280.40312500000005</v>
      </c>
      <c r="I105" s="18">
        <f>'GS&gt;50 Predicted Monthly (no LC)'!$P$9</f>
        <v>4121039.41701539</v>
      </c>
      <c r="J105" s="18">
        <f ca="1">F105*'GS&gt;50 Predicted Monthly (no LC)'!$P$10</f>
        <v>127293.89573387343</v>
      </c>
      <c r="K105" s="18">
        <f ca="1">G105*'GS&gt;50 Predicted Monthly (no LC)'!$P$11</f>
        <v>1514799.9012931532</v>
      </c>
      <c r="L105" s="18">
        <f t="shared" ca="1" si="18"/>
        <v>5763133.2140424168</v>
      </c>
      <c r="M105" s="18">
        <f>'Monthly Data'!Y105</f>
        <v>371.2</v>
      </c>
      <c r="N105" s="18">
        <f>'Monthly Data'!DN105</f>
        <v>0</v>
      </c>
      <c r="O105" s="18">
        <f>'Monthly Data'!DO105</f>
        <v>0</v>
      </c>
      <c r="P105" s="18">
        <f t="shared" ca="1" si="19"/>
        <v>54.974791666666668</v>
      </c>
      <c r="Q105" s="18">
        <f>'Monthly Data'!BR105</f>
        <v>0</v>
      </c>
      <c r="R105" s="18"/>
      <c r="S105" s="18">
        <f>'LC Predicted Monthly'!$T$9</f>
        <v>-22694.781953278001</v>
      </c>
      <c r="T105" s="18">
        <f>N105*'LC Predicted Monthly'!$T$10</f>
        <v>0</v>
      </c>
      <c r="U105" s="18">
        <f>O105*'LC Predicted Monthly'!$T$11</f>
        <v>0</v>
      </c>
      <c r="V105" s="18">
        <f ca="1">P105*'LC Predicted Monthly'!$T$12</f>
        <v>11255.171646789209</v>
      </c>
      <c r="W105" s="18">
        <f>Q105*'LC Predicted Monthly'!$T$13</f>
        <v>0</v>
      </c>
      <c r="X105" s="18">
        <f t="shared" ca="1" si="20"/>
        <v>-11439.610306488792</v>
      </c>
      <c r="Y105" s="18">
        <f t="shared" ca="1" si="21"/>
        <v>5751693.6037359284</v>
      </c>
      <c r="AO105" s="33">
        <f t="shared" ca="1" si="29"/>
        <v>49.124072238240799</v>
      </c>
      <c r="AP105" s="33">
        <f t="shared" ca="1" si="29"/>
        <v>60.700143300459935</v>
      </c>
      <c r="AQ105" s="33">
        <f t="shared" ca="1" si="29"/>
        <v>237.00604354969119</v>
      </c>
      <c r="AR105" s="33">
        <f t="shared" ca="1" si="29"/>
        <v>304.17534473510392</v>
      </c>
      <c r="AT105" s="18">
        <f ca="1">AO105*'GS&gt;50 Predicted Monthly (no LC)'!$P$10</f>
        <v>113746.57984032786</v>
      </c>
      <c r="AU105" s="18">
        <f ca="1">AP105*'GS&gt;50 Predicted Monthly (no LC)'!$P$10</f>
        <v>140550.92303341921</v>
      </c>
      <c r="AV105" s="18">
        <f ca="1">AQ105*'GS&gt;50 Predicted Monthly (no LC)'!$P$11</f>
        <v>1280359.2377044759</v>
      </c>
      <c r="AW105" s="18">
        <f ca="1">AR105*'GS&gt;50 Predicted Monthly (no LC)'!$P$11</f>
        <v>1643222.7072381813</v>
      </c>
      <c r="AY105" s="18">
        <f ca="1">AO105*'LC Predicted Monthly'!$T$12</f>
        <v>10057.334430353416</v>
      </c>
      <c r="AZ105" s="18">
        <f ca="1">AP105*'LC Predicted Monthly'!$T$12</f>
        <v>12427.341898334529</v>
      </c>
      <c r="BB105" s="31">
        <f t="shared" ca="1" si="22"/>
        <v>5502507.7870372701</v>
      </c>
      <c r="BC105" s="31">
        <f t="shared" ca="1" si="23"/>
        <v>5894545.6072320472</v>
      </c>
    </row>
    <row r="106" spans="1:55">
      <c r="A106" s="541">
        <f>'Monthly Data'!A106</f>
        <v>45536</v>
      </c>
      <c r="B106">
        <f t="shared" si="24"/>
        <v>2024</v>
      </c>
      <c r="C106">
        <f t="shared" si="25"/>
        <v>9</v>
      </c>
      <c r="D106" s="30">
        <f>'Monthly Data'!N106</f>
        <v>5358949.3951396765</v>
      </c>
      <c r="E106" s="30">
        <f>'Monthly Data'!AB106</f>
        <v>5358645.3951396765</v>
      </c>
      <c r="F106" s="33">
        <f t="shared" ca="1" si="28"/>
        <v>166.50624999999999</v>
      </c>
      <c r="G106" s="33">
        <f t="shared" ca="1" si="28"/>
        <v>144.00333333333333</v>
      </c>
      <c r="I106" s="18">
        <f>'GS&gt;50 Predicted Monthly (no LC)'!$P$9</f>
        <v>4121039.41701539</v>
      </c>
      <c r="J106" s="18">
        <f ca="1">F106*'GS&gt;50 Predicted Monthly (no LC)'!$P$10</f>
        <v>385544.51202022011</v>
      </c>
      <c r="K106" s="18">
        <f ca="1">G106*'GS&gt;50 Predicted Monthly (no LC)'!$P$11</f>
        <v>777937.96028206998</v>
      </c>
      <c r="L106" s="18">
        <f t="shared" ca="1" si="18"/>
        <v>5284521.8893176802</v>
      </c>
      <c r="M106" s="18">
        <f>'Monthly Data'!Y106</f>
        <v>304</v>
      </c>
      <c r="N106" s="18">
        <f>'Monthly Data'!DN106</f>
        <v>0</v>
      </c>
      <c r="O106" s="18">
        <f>'Monthly Data'!DO106</f>
        <v>0</v>
      </c>
      <c r="P106" s="18">
        <f t="shared" ca="1" si="19"/>
        <v>166.50624999999999</v>
      </c>
      <c r="Q106" s="18">
        <f>'Monthly Data'!BR106</f>
        <v>1</v>
      </c>
      <c r="R106" s="18"/>
      <c r="S106" s="18">
        <f>'LC Predicted Monthly'!$T$9</f>
        <v>-22694.781953278001</v>
      </c>
      <c r="T106" s="18">
        <f>N106*'LC Predicted Monthly'!$T$10</f>
        <v>0</v>
      </c>
      <c r="U106" s="18">
        <f>O106*'LC Predicted Monthly'!$T$11</f>
        <v>0</v>
      </c>
      <c r="V106" s="18">
        <f ca="1">P106*'LC Predicted Monthly'!$T$12</f>
        <v>34089.377461879645</v>
      </c>
      <c r="W106" s="18">
        <f>Q106*'LC Predicted Monthly'!$T$13</f>
        <v>97970.228068396304</v>
      </c>
      <c r="X106" s="18">
        <f t="shared" ca="1" si="20"/>
        <v>109364.82357699795</v>
      </c>
      <c r="Y106" s="18">
        <f t="shared" ca="1" si="21"/>
        <v>5393886.7128946781</v>
      </c>
      <c r="AO106" s="33">
        <f t="shared" ca="1" si="29"/>
        <v>148.78573988445157</v>
      </c>
      <c r="AP106" s="33">
        <f t="shared" ca="1" si="29"/>
        <v>183.84704932952829</v>
      </c>
      <c r="AQ106" s="33">
        <f t="shared" ca="1" si="29"/>
        <v>121.71640487708792</v>
      </c>
      <c r="AR106" s="33">
        <f t="shared" ca="1" si="29"/>
        <v>156.21175248910205</v>
      </c>
      <c r="AT106" s="18">
        <f ca="1">AO106*'GS&gt;50 Predicted Monthly (no LC)'!$P$10</f>
        <v>344512.74639431422</v>
      </c>
      <c r="AU106" s="18">
        <f ca="1">AP106*'GS&gt;50 Predicted Monthly (no LC)'!$P$10</f>
        <v>425697.05893989158</v>
      </c>
      <c r="AV106" s="18">
        <f ca="1">AQ106*'GS&gt;50 Predicted Monthly (no LC)'!$P$11</f>
        <v>657539.02740409982</v>
      </c>
      <c r="AW106" s="18">
        <f ca="1">AR106*'GS&gt;50 Predicted Monthly (no LC)'!$P$11</f>
        <v>843890.54954834119</v>
      </c>
      <c r="AY106" s="18">
        <f ca="1">AO106*'LC Predicted Monthly'!$T$12</f>
        <v>30461.398583333124</v>
      </c>
      <c r="AZ106" s="18">
        <f ca="1">AP106*'LC Predicted Monthly'!$T$12</f>
        <v>37639.616890339537</v>
      </c>
      <c r="BB106" s="31">
        <f t="shared" ca="1" si="22"/>
        <v>5228828.0355122555</v>
      </c>
      <c r="BC106" s="31">
        <f t="shared" ca="1" si="23"/>
        <v>5503542.0885090809</v>
      </c>
    </row>
    <row r="107" spans="1:55">
      <c r="A107" s="541">
        <f>'Monthly Data'!A107</f>
        <v>45566</v>
      </c>
      <c r="B107">
        <f t="shared" si="24"/>
        <v>2024</v>
      </c>
      <c r="C107">
        <f t="shared" si="25"/>
        <v>10</v>
      </c>
      <c r="D107" s="30">
        <f>'Monthly Data'!N107</f>
        <v>5365372.4496950107</v>
      </c>
      <c r="E107" s="30">
        <f>'Monthly Data'!AB107</f>
        <v>5216942.0496950103</v>
      </c>
      <c r="F107" s="33">
        <f t="shared" ca="1" si="28"/>
        <v>363.47645833333326</v>
      </c>
      <c r="G107" s="33">
        <f t="shared" ca="1" si="28"/>
        <v>40.02791666666667</v>
      </c>
      <c r="I107" s="18">
        <f>'GS&gt;50 Predicted Monthly (no LC)'!$P$9</f>
        <v>4121039.41701539</v>
      </c>
      <c r="J107" s="18">
        <f ca="1">F107*'GS&gt;50 Predicted Monthly (no LC)'!$P$10</f>
        <v>841628.18968635018</v>
      </c>
      <c r="K107" s="18">
        <f ca="1">G107*'GS&gt;50 Predicted Monthly (no LC)'!$P$11</f>
        <v>216239.6878267217</v>
      </c>
      <c r="L107" s="18">
        <f t="shared" ca="1" si="18"/>
        <v>5178907.294528462</v>
      </c>
      <c r="M107" s="18">
        <f>'Monthly Data'!Y107</f>
        <v>148430.39999999999</v>
      </c>
      <c r="N107" s="18">
        <f>'Monthly Data'!DN107</f>
        <v>0</v>
      </c>
      <c r="O107" s="18">
        <f>'Monthly Data'!DO107</f>
        <v>0</v>
      </c>
      <c r="P107" s="18">
        <f t="shared" ca="1" si="19"/>
        <v>363.47645833333326</v>
      </c>
      <c r="Q107" s="18">
        <f>'Monthly Data'!BR107</f>
        <v>1</v>
      </c>
      <c r="R107" s="18"/>
      <c r="S107" s="18">
        <f>'LC Predicted Monthly'!$T$9</f>
        <v>-22694.781953278001</v>
      </c>
      <c r="T107" s="18">
        <f>N107*'LC Predicted Monthly'!$T$10</f>
        <v>0</v>
      </c>
      <c r="U107" s="18">
        <f>O107*'LC Predicted Monthly'!$T$11</f>
        <v>0</v>
      </c>
      <c r="V107" s="18">
        <f ca="1">P107*'LC Predicted Monthly'!$T$12</f>
        <v>74415.742271729541</v>
      </c>
      <c r="W107" s="18">
        <f>Q107*'LC Predicted Monthly'!$T$13</f>
        <v>97970.228068396304</v>
      </c>
      <c r="X107" s="18">
        <f t="shared" ca="1" si="20"/>
        <v>149691.18838684785</v>
      </c>
      <c r="Y107" s="18">
        <f t="shared" ca="1" si="21"/>
        <v>5328598.4829153102</v>
      </c>
      <c r="AO107" s="33">
        <f t="shared" ca="1" si="29"/>
        <v>324.79329624987065</v>
      </c>
      <c r="AP107" s="33">
        <f t="shared" ca="1" si="29"/>
        <v>401.33072701673694</v>
      </c>
      <c r="AQ107" s="33">
        <f t="shared" ca="1" si="29"/>
        <v>33.832925937267667</v>
      </c>
      <c r="AR107" s="33">
        <f t="shared" ca="1" si="29"/>
        <v>43.421432450552551</v>
      </c>
      <c r="AT107" s="18">
        <f ca="1">AO107*'GS&gt;50 Predicted Monthly (no LC)'!$P$10</f>
        <v>752057.49279738846</v>
      </c>
      <c r="AU107" s="18">
        <f ca="1">AP107*'GS&gt;50 Predicted Monthly (no LC)'!$P$10</f>
        <v>929279.58744124032</v>
      </c>
      <c r="AV107" s="18">
        <f ca="1">AQ107*'GS&gt;50 Predicted Monthly (no LC)'!$P$11</f>
        <v>182772.97326922306</v>
      </c>
      <c r="AW107" s="18">
        <f ca="1">AR107*'GS&gt;50 Predicted Monthly (no LC)'!$P$11</f>
        <v>234572.21309535802</v>
      </c>
      <c r="AY107" s="18">
        <f ca="1">AO107*'LC Predicted Monthly'!$T$12</f>
        <v>66496.010047370233</v>
      </c>
      <c r="AZ107" s="18">
        <f ca="1">AP107*'LC Predicted Monthly'!$T$12</f>
        <v>82165.772397877707</v>
      </c>
      <c r="BB107" s="31">
        <f t="shared" ca="1" si="22"/>
        <v>5197641.3392444905</v>
      </c>
      <c r="BC107" s="31">
        <f t="shared" ca="1" si="23"/>
        <v>5442332.4360649846</v>
      </c>
    </row>
    <row r="108" spans="1:55">
      <c r="A108" s="541">
        <f>'Monthly Data'!A108</f>
        <v>45597</v>
      </c>
      <c r="B108">
        <f t="shared" si="24"/>
        <v>2024</v>
      </c>
      <c r="C108">
        <f t="shared" si="25"/>
        <v>11</v>
      </c>
      <c r="D108" s="30">
        <f>'Monthly Data'!N108</f>
        <v>5333654.5042503448</v>
      </c>
      <c r="E108" s="30">
        <f>'Monthly Data'!AB108</f>
        <v>5269712.9042503452</v>
      </c>
      <c r="F108" s="33">
        <f t="shared" ca="1" si="28"/>
        <v>586.00395833333334</v>
      </c>
      <c r="G108" s="33">
        <f t="shared" ca="1" si="28"/>
        <v>4.5920833333333331</v>
      </c>
      <c r="I108" s="18">
        <f>'GS&gt;50 Predicted Monthly (no LC)'!$P$9</f>
        <v>4121039.41701539</v>
      </c>
      <c r="J108" s="18">
        <f ca="1">F108*'GS&gt;50 Predicted Monthly (no LC)'!$P$10</f>
        <v>1356889.6672499825</v>
      </c>
      <c r="K108" s="18">
        <f ca="1">G108*'GS&gt;50 Predicted Monthly (no LC)'!$P$11</f>
        <v>24807.453126862496</v>
      </c>
      <c r="L108" s="18">
        <f t="shared" ca="1" si="18"/>
        <v>5502736.5373922354</v>
      </c>
      <c r="M108" s="18">
        <f>'Monthly Data'!Y108</f>
        <v>63941.599999999999</v>
      </c>
      <c r="N108" s="18">
        <f>'Monthly Data'!DN108</f>
        <v>0</v>
      </c>
      <c r="O108" s="18">
        <f>'Monthly Data'!DO108</f>
        <v>0</v>
      </c>
      <c r="P108" s="18">
        <f t="shared" ca="1" si="19"/>
        <v>586.00395833333334</v>
      </c>
      <c r="Q108" s="18">
        <f>'Monthly Data'!BR108</f>
        <v>1</v>
      </c>
      <c r="R108" s="18"/>
      <c r="S108" s="18">
        <f>'LC Predicted Monthly'!$T$9</f>
        <v>-22694.781953278001</v>
      </c>
      <c r="T108" s="18">
        <f>N108*'LC Predicted Monthly'!$T$10</f>
        <v>0</v>
      </c>
      <c r="U108" s="18">
        <f>O108*'LC Predicted Monthly'!$T$11</f>
        <v>0</v>
      </c>
      <c r="V108" s="18">
        <f ca="1">P108*'LC Predicted Monthly'!$T$12</f>
        <v>119974.53626984327</v>
      </c>
      <c r="W108" s="18">
        <f>Q108*'LC Predicted Monthly'!$T$13</f>
        <v>97970.228068396304</v>
      </c>
      <c r="X108" s="18">
        <f t="shared" ca="1" si="20"/>
        <v>195249.98238496156</v>
      </c>
      <c r="Y108" s="18">
        <f t="shared" ca="1" si="21"/>
        <v>5697986.5197771974</v>
      </c>
      <c r="AO108" s="33">
        <f t="shared" ca="1" si="29"/>
        <v>523.63819685953126</v>
      </c>
      <c r="AP108" s="33">
        <f t="shared" ca="1" si="29"/>
        <v>647.03336142041019</v>
      </c>
      <c r="AQ108" s="33">
        <f t="shared" ca="1" si="29"/>
        <v>3.8813815020207452</v>
      </c>
      <c r="AR108" s="33">
        <f t="shared" ca="1" si="29"/>
        <v>4.9813943085298762</v>
      </c>
      <c r="AT108" s="18">
        <f ca="1">AO108*'GS&gt;50 Predicted Monthly (no LC)'!$P$10</f>
        <v>1212482.0124371063</v>
      </c>
      <c r="AU108" s="18">
        <f ca="1">AP108*'GS&gt;50 Predicted Monthly (no LC)'!$P$10</f>
        <v>1498202.9899156024</v>
      </c>
      <c r="AV108" s="18">
        <f ca="1">AQ108*'GS&gt;50 Predicted Monthly (no LC)'!$P$11</f>
        <v>20968.084132949996</v>
      </c>
      <c r="AW108" s="18">
        <f ca="1">AR108*'GS&gt;50 Predicted Monthly (no LC)'!$P$11</f>
        <v>26910.597401021583</v>
      </c>
      <c r="AY108" s="18">
        <f ca="1">AO108*'LC Predicted Monthly'!$T$12</f>
        <v>107206.18683204145</v>
      </c>
      <c r="AZ108" s="18">
        <f ca="1">AP108*'LC Predicted Monthly'!$T$12</f>
        <v>132469.28861762941</v>
      </c>
      <c r="BB108" s="31">
        <f t="shared" ca="1" si="22"/>
        <v>5536971.1465326073</v>
      </c>
      <c r="BC108" s="31">
        <f t="shared" ca="1" si="23"/>
        <v>5853897.7390647624</v>
      </c>
    </row>
    <row r="109" spans="1:55">
      <c r="A109" s="541">
        <f>'Monthly Data'!A109</f>
        <v>45627</v>
      </c>
      <c r="B109">
        <f t="shared" si="24"/>
        <v>2024</v>
      </c>
      <c r="C109">
        <f t="shared" si="25"/>
        <v>12</v>
      </c>
      <c r="D109" s="30">
        <f>'Monthly Data'!N109</f>
        <v>6275377.558805679</v>
      </c>
      <c r="E109" s="30">
        <f>'Monthly Data'!AB109</f>
        <v>5848692.7588056792</v>
      </c>
      <c r="F109" s="33">
        <f t="shared" ca="1" si="28"/>
        <v>812.36333333333334</v>
      </c>
      <c r="G109" s="33">
        <f t="shared" ca="1" si="28"/>
        <v>0</v>
      </c>
      <c r="I109" s="18">
        <f>'GS&gt;50 Predicted Monthly (no LC)'!$P$9</f>
        <v>4121039.41701539</v>
      </c>
      <c r="J109" s="18">
        <f ca="1">F109*'GS&gt;50 Predicted Monthly (no LC)'!$P$10</f>
        <v>1881023.8350399425</v>
      </c>
      <c r="K109" s="18">
        <f ca="1">G109*'GS&gt;50 Predicted Monthly (no LC)'!$P$11</f>
        <v>0</v>
      </c>
      <c r="L109" s="18">
        <f t="shared" ca="1" si="18"/>
        <v>6002063.2520553321</v>
      </c>
      <c r="M109" s="18">
        <f>'Monthly Data'!Y109</f>
        <v>426684.8</v>
      </c>
      <c r="N109" s="18">
        <f>'Monthly Data'!DN109</f>
        <v>0</v>
      </c>
      <c r="O109" s="18">
        <f>'Monthly Data'!DO109</f>
        <v>0</v>
      </c>
      <c r="P109" s="18">
        <f t="shared" ca="1" si="19"/>
        <v>812.36333333333334</v>
      </c>
      <c r="Q109" s="18">
        <f>'Monthly Data'!BR109</f>
        <v>0</v>
      </c>
      <c r="R109" s="18"/>
      <c r="S109" s="18">
        <f>'LC Predicted Monthly'!$T$9</f>
        <v>-22694.781953278001</v>
      </c>
      <c r="T109" s="18">
        <f>N109*'LC Predicted Monthly'!$T$10</f>
        <v>0</v>
      </c>
      <c r="U109" s="18">
        <f>O109*'LC Predicted Monthly'!$T$11</f>
        <v>0</v>
      </c>
      <c r="V109" s="18">
        <f ca="1">P109*'LC Predicted Monthly'!$T$12</f>
        <v>166317.84276080181</v>
      </c>
      <c r="W109" s="18">
        <f>Q109*'LC Predicted Monthly'!$T$13</f>
        <v>0</v>
      </c>
      <c r="X109" s="18">
        <f t="shared" ca="1" si="20"/>
        <v>143623.06080752381</v>
      </c>
      <c r="Y109" s="18">
        <f t="shared" ca="1" si="21"/>
        <v>6145686.3128628563</v>
      </c>
      <c r="AO109" s="33">
        <f t="shared" ca="1" si="29"/>
        <v>725.90716327464804</v>
      </c>
      <c r="AP109" s="33">
        <f t="shared" ca="1" si="29"/>
        <v>896.96694158227319</v>
      </c>
      <c r="AQ109" s="33">
        <f t="shared" ca="1" si="29"/>
        <v>0</v>
      </c>
      <c r="AR109" s="33">
        <f t="shared" ca="1" si="29"/>
        <v>0</v>
      </c>
      <c r="AT109" s="18">
        <f ca="1">AO109*'GS&gt;50 Predicted Monthly (no LC)'!$P$10</f>
        <v>1680834.941851771</v>
      </c>
      <c r="AU109" s="18">
        <f ca="1">AP109*'GS&gt;50 Predicted Monthly (no LC)'!$P$10</f>
        <v>2076923.1292555493</v>
      </c>
      <c r="AV109" s="18">
        <f ca="1">AQ109*'GS&gt;50 Predicted Monthly (no LC)'!$P$11</f>
        <v>0</v>
      </c>
      <c r="AW109" s="18">
        <f ca="1">AR109*'GS&gt;50 Predicted Monthly (no LC)'!$P$11</f>
        <v>0</v>
      </c>
      <c r="AY109" s="18">
        <f ca="1">AO109*'LC Predicted Monthly'!$T$12</f>
        <v>148617.38397899043</v>
      </c>
      <c r="AZ109" s="18">
        <f ca="1">AP109*'LC Predicted Monthly'!$T$12</f>
        <v>183639.02041170144</v>
      </c>
      <c r="BB109" s="31">
        <f t="shared" ca="1" si="22"/>
        <v>5927796.9608928729</v>
      </c>
      <c r="BC109" s="31">
        <f t="shared" ca="1" si="23"/>
        <v>6358906.7847293625</v>
      </c>
    </row>
    <row r="110" spans="1:55">
      <c r="A110" s="541">
        <f>'Monthly Data'!A110</f>
        <v>45658</v>
      </c>
      <c r="B110">
        <f t="shared" si="24"/>
        <v>2025</v>
      </c>
      <c r="C110">
        <f t="shared" si="25"/>
        <v>1</v>
      </c>
      <c r="D110" s="30">
        <f>'Monthly Data'!N110</f>
        <v>6397150.1120626032</v>
      </c>
      <c r="E110" s="30">
        <f>'Monthly Data'!AB110</f>
        <v>6253700.5120626036</v>
      </c>
      <c r="F110" s="33">
        <f t="shared" ca="1" si="28"/>
        <v>914.55166666666662</v>
      </c>
      <c r="G110" s="33">
        <f t="shared" ca="1" si="28"/>
        <v>0</v>
      </c>
      <c r="I110" s="18">
        <f>'GS&gt;50 Predicted Monthly (no LC)'!$P$9</f>
        <v>4121039.41701539</v>
      </c>
      <c r="J110" s="18">
        <f ca="1">F110*'GS&gt;50 Predicted Monthly (no LC)'!$P$10</f>
        <v>2117640.4852206991</v>
      </c>
      <c r="K110" s="18">
        <f ca="1">G110*'GS&gt;50 Predicted Monthly (no LC)'!$P$11</f>
        <v>0</v>
      </c>
      <c r="L110" s="18">
        <f t="shared" ca="1" si="18"/>
        <v>6238679.9022360891</v>
      </c>
      <c r="M110" s="18">
        <f>'Monthly Data'!Y110</f>
        <v>143449.60000000001</v>
      </c>
      <c r="N110" s="18">
        <f>'Monthly Data'!DN110</f>
        <v>0</v>
      </c>
      <c r="O110" s="18">
        <f>'Monthly Data'!DO110</f>
        <v>0</v>
      </c>
      <c r="P110" s="18">
        <f t="shared" ca="1" si="19"/>
        <v>914.55166666666662</v>
      </c>
      <c r="Q110" s="18">
        <f>'Monthly Data'!BR110</f>
        <v>0</v>
      </c>
      <c r="R110" s="18"/>
      <c r="S110" s="18">
        <f>'LC Predicted Monthly'!$T$9</f>
        <v>-22694.781953278001</v>
      </c>
      <c r="T110" s="18">
        <f>N110*'LC Predicted Monthly'!$T$10</f>
        <v>0</v>
      </c>
      <c r="U110" s="18">
        <f>O110*'LC Predicted Monthly'!$T$11</f>
        <v>0</v>
      </c>
      <c r="V110" s="18">
        <f ca="1">P110*'LC Predicted Monthly'!$T$12</f>
        <v>187239.19956993285</v>
      </c>
      <c r="W110" s="18">
        <f>Q110*'LC Predicted Monthly'!$T$13</f>
        <v>0</v>
      </c>
      <c r="X110" s="18">
        <f t="shared" ca="1" si="20"/>
        <v>164544.41761665486</v>
      </c>
      <c r="Y110" s="18">
        <f t="shared" ca="1" si="21"/>
        <v>6403224.3198527442</v>
      </c>
      <c r="AO110" s="33">
        <f t="shared" ref="AO110:AR125" ca="1" si="30">AO98</f>
        <v>817.22005262600237</v>
      </c>
      <c r="AP110" s="33">
        <f t="shared" ca="1" si="30"/>
        <v>1009.7976825258449</v>
      </c>
      <c r="AQ110" s="33">
        <f t="shared" ca="1" si="30"/>
        <v>0</v>
      </c>
      <c r="AR110" s="33">
        <f t="shared" ca="1" si="30"/>
        <v>0</v>
      </c>
      <c r="AT110" s="18">
        <f ca="1">AO110*'GS&gt;50 Predicted Monthly (no LC)'!$P$10</f>
        <v>1892269.5478567963</v>
      </c>
      <c r="AU110" s="18">
        <f ca="1">AP110*'GS&gt;50 Predicted Monthly (no LC)'!$P$10</f>
        <v>2338182.2288867598</v>
      </c>
      <c r="AV110" s="18">
        <f ca="1">AQ110*'GS&gt;50 Predicted Monthly (no LC)'!$P$11</f>
        <v>0</v>
      </c>
      <c r="AW110" s="18">
        <f ca="1">AR110*'GS&gt;50 Predicted Monthly (no LC)'!$P$11</f>
        <v>0</v>
      </c>
      <c r="AY110" s="18">
        <f ca="1">AO110*'LC Predicted Monthly'!$T$12</f>
        <v>167312.17502877486</v>
      </c>
      <c r="AZ110" s="18">
        <f ca="1">AP110*'LC Predicted Monthly'!$T$12</f>
        <v>206739.23266997386</v>
      </c>
      <c r="BB110" s="31">
        <f t="shared" ca="1" si="22"/>
        <v>6157926.3579476839</v>
      </c>
      <c r="BC110" s="31">
        <f t="shared" ca="1" si="23"/>
        <v>6643266.0966188461</v>
      </c>
    </row>
    <row r="111" spans="1:55">
      <c r="A111" s="541">
        <f>'Monthly Data'!A111</f>
        <v>45689</v>
      </c>
      <c r="B111">
        <f t="shared" si="24"/>
        <v>2025</v>
      </c>
      <c r="C111">
        <f t="shared" si="25"/>
        <v>2</v>
      </c>
      <c r="D111" s="30">
        <f>'Monthly Data'!N111</f>
        <v>6043124.5591707714</v>
      </c>
      <c r="E111" s="30">
        <f>'Monthly Data'!AB111</f>
        <v>5650064.5591707714</v>
      </c>
      <c r="F111" s="33">
        <f t="shared" ca="1" si="28"/>
        <v>803.82854166666664</v>
      </c>
      <c r="G111" s="33">
        <f t="shared" ca="1" si="28"/>
        <v>0</v>
      </c>
      <c r="I111" s="18">
        <f>'GS&gt;50 Predicted Monthly (no LC)'!$P$9</f>
        <v>4121039.41701539</v>
      </c>
      <c r="J111" s="18">
        <f ca="1">F111*'GS&gt;50 Predicted Monthly (no LC)'!$P$10</f>
        <v>1861261.5613215731</v>
      </c>
      <c r="K111" s="18">
        <f ca="1">G111*'GS&gt;50 Predicted Monthly (no LC)'!$P$11</f>
        <v>0</v>
      </c>
      <c r="L111" s="18">
        <f t="shared" ca="1" si="18"/>
        <v>5982300.9783369629</v>
      </c>
      <c r="M111" s="18">
        <f>'Monthly Data'!Y111</f>
        <v>393060</v>
      </c>
      <c r="N111" s="18">
        <f>'Monthly Data'!DN111</f>
        <v>0</v>
      </c>
      <c r="O111" s="18">
        <f>'Monthly Data'!DO111</f>
        <v>0</v>
      </c>
      <c r="P111" s="18">
        <f t="shared" ca="1" si="19"/>
        <v>803.82854166666664</v>
      </c>
      <c r="Q111" s="18">
        <f>'Monthly Data'!BR111</f>
        <v>0</v>
      </c>
      <c r="R111" s="18"/>
      <c r="S111" s="18">
        <f>'LC Predicted Monthly'!$T$9</f>
        <v>-22694.781953278001</v>
      </c>
      <c r="T111" s="18">
        <f>N111*'LC Predicted Monthly'!$T$10</f>
        <v>0</v>
      </c>
      <c r="U111" s="18">
        <f>O111*'LC Predicted Monthly'!$T$11</f>
        <v>0</v>
      </c>
      <c r="V111" s="18">
        <f ca="1">P111*'LC Predicted Monthly'!$T$12</f>
        <v>164570.48652232124</v>
      </c>
      <c r="W111" s="18">
        <f>Q111*'LC Predicted Monthly'!$T$13</f>
        <v>0</v>
      </c>
      <c r="X111" s="18">
        <f t="shared" ca="1" si="20"/>
        <v>141875.70456904324</v>
      </c>
      <c r="Y111" s="18">
        <f t="shared" ca="1" si="21"/>
        <v>6124176.6829060065</v>
      </c>
      <c r="AO111" s="33">
        <f t="shared" ca="1" si="30"/>
        <v>718.28069103781206</v>
      </c>
      <c r="AP111" s="33">
        <f t="shared" ca="1" si="30"/>
        <v>887.54329373386554</v>
      </c>
      <c r="AQ111" s="33">
        <f t="shared" ca="1" si="30"/>
        <v>0</v>
      </c>
      <c r="AR111" s="33">
        <f t="shared" ca="1" si="30"/>
        <v>0</v>
      </c>
      <c r="AT111" s="18">
        <f ca="1">AO111*'GS&gt;50 Predicted Monthly (no LC)'!$P$10</f>
        <v>1663175.8779007981</v>
      </c>
      <c r="AU111" s="18">
        <f ca="1">AP111*'GS&gt;50 Predicted Monthly (no LC)'!$P$10</f>
        <v>2055102.7128377589</v>
      </c>
      <c r="AV111" s="18">
        <f ca="1">AQ111*'GS&gt;50 Predicted Monthly (no LC)'!$P$11</f>
        <v>0</v>
      </c>
      <c r="AW111" s="18">
        <f ca="1">AR111*'GS&gt;50 Predicted Monthly (no LC)'!$P$11</f>
        <v>0</v>
      </c>
      <c r="AY111" s="18">
        <f ca="1">AO111*'LC Predicted Monthly'!$T$12</f>
        <v>147055.99099353765</v>
      </c>
      <c r="AZ111" s="18">
        <f ca="1">AP111*'LC Predicted Monthly'!$T$12</f>
        <v>181709.68569560398</v>
      </c>
      <c r="BB111" s="31">
        <f t="shared" ca="1" si="22"/>
        <v>5908576.5039564483</v>
      </c>
      <c r="BC111" s="31">
        <f t="shared" ca="1" si="23"/>
        <v>6335157.0335954754</v>
      </c>
    </row>
    <row r="112" spans="1:55">
      <c r="A112" s="541">
        <f>'Monthly Data'!A112</f>
        <v>45717</v>
      </c>
      <c r="B112">
        <f t="shared" si="24"/>
        <v>2025</v>
      </c>
      <c r="C112">
        <f t="shared" si="25"/>
        <v>3</v>
      </c>
      <c r="D112" s="30">
        <f>'Monthly Data'!N112</f>
        <v>5823009.0062789395</v>
      </c>
      <c r="E112" s="30">
        <f>'Monthly Data'!AB112</f>
        <v>5728253.8062789394</v>
      </c>
      <c r="F112" s="33">
        <f t="shared" ca="1" si="28"/>
        <v>698.29604166666672</v>
      </c>
      <c r="G112" s="33">
        <f t="shared" ca="1" si="28"/>
        <v>0.11000000000000032</v>
      </c>
      <c r="I112" s="18">
        <f>'GS&gt;50 Predicted Monthly (no LC)'!$P$9</f>
        <v>4121039.41701539</v>
      </c>
      <c r="J112" s="18">
        <f ca="1">F112*'GS&gt;50 Predicted Monthly (no LC)'!$P$10</f>
        <v>1616901.5074811084</v>
      </c>
      <c r="K112" s="18">
        <f ca="1">G112*'GS&gt;50 Predicted Monthly (no LC)'!$P$11</f>
        <v>594.2444084467578</v>
      </c>
      <c r="L112" s="18">
        <f t="shared" ca="1" si="18"/>
        <v>5738535.1689049443</v>
      </c>
      <c r="M112" s="18">
        <f>'Monthly Data'!Y112</f>
        <v>94755.199999999997</v>
      </c>
      <c r="N112" s="18">
        <f>'Monthly Data'!DN112</f>
        <v>0</v>
      </c>
      <c r="O112" s="18">
        <f>'Monthly Data'!DO112</f>
        <v>0</v>
      </c>
      <c r="P112" s="18">
        <f t="shared" ca="1" si="19"/>
        <v>698.29604166666672</v>
      </c>
      <c r="Q112" s="18">
        <f>'Monthly Data'!BR112</f>
        <v>0</v>
      </c>
      <c r="R112" s="18"/>
      <c r="S112" s="18">
        <f>'LC Predicted Monthly'!$T$9</f>
        <v>-22694.781953278001</v>
      </c>
      <c r="T112" s="18">
        <f>N112*'LC Predicted Monthly'!$T$10</f>
        <v>0</v>
      </c>
      <c r="U112" s="18">
        <f>O112*'LC Predicted Monthly'!$T$11</f>
        <v>0</v>
      </c>
      <c r="V112" s="18">
        <f ca="1">P112*'LC Predicted Monthly'!$T$12</f>
        <v>142964.46736690929</v>
      </c>
      <c r="W112" s="18">
        <f>Q112*'LC Predicted Monthly'!$T$13</f>
        <v>0</v>
      </c>
      <c r="X112" s="18">
        <f t="shared" ca="1" si="20"/>
        <v>120269.68541363129</v>
      </c>
      <c r="Y112" s="18">
        <f t="shared" ca="1" si="21"/>
        <v>5858804.8543185759</v>
      </c>
      <c r="AB112" s="18"/>
      <c r="AC112" s="34"/>
      <c r="AO112" s="33">
        <f t="shared" ca="1" si="30"/>
        <v>623.97953961343092</v>
      </c>
      <c r="AP112" s="33">
        <f t="shared" ca="1" si="30"/>
        <v>771.02010776716202</v>
      </c>
      <c r="AQ112" s="33">
        <f t="shared" ca="1" si="30"/>
        <v>9.2975657066825132E-2</v>
      </c>
      <c r="AR112" s="33">
        <f t="shared" ca="1" si="30"/>
        <v>0.11932565987223402</v>
      </c>
      <c r="AT112" s="18">
        <f ca="1">AO112*'GS&gt;50 Predicted Monthly (no LC)'!$P$10</f>
        <v>1444821.9638053337</v>
      </c>
      <c r="AU112" s="18">
        <f ca="1">AP112*'GS&gt;50 Predicted Monthly (no LC)'!$P$10</f>
        <v>1785293.7724972367</v>
      </c>
      <c r="AV112" s="18">
        <f ca="1">AQ112*'GS&gt;50 Predicted Monthly (no LC)'!$P$11</f>
        <v>502.27513030567235</v>
      </c>
      <c r="AW112" s="18">
        <f ca="1">AR112*'GS&gt;50 Predicted Monthly (no LC)'!$P$11</f>
        <v>644.62369239358668</v>
      </c>
      <c r="AY112" s="18">
        <f ca="1">AO112*'LC Predicted Monthly'!$T$12</f>
        <v>127749.40312674227</v>
      </c>
      <c r="AZ112" s="18">
        <f ca="1">AP112*'LC Predicted Monthly'!$T$12</f>
        <v>157853.50690664109</v>
      </c>
      <c r="BB112" s="31">
        <f t="shared" ca="1" si="22"/>
        <v>5671418.2771244934</v>
      </c>
      <c r="BC112" s="31">
        <f t="shared" ca="1" si="23"/>
        <v>6042136.5381583832</v>
      </c>
    </row>
    <row r="113" spans="1:55">
      <c r="A113" s="541">
        <f>'Monthly Data'!A113</f>
        <v>45748</v>
      </c>
      <c r="B113">
        <f t="shared" si="24"/>
        <v>2025</v>
      </c>
      <c r="C113">
        <f t="shared" si="25"/>
        <v>4</v>
      </c>
      <c r="D113" s="30">
        <f>'Monthly Data'!N113</f>
        <v>5161102.4533871077</v>
      </c>
      <c r="E113" s="30">
        <f>'Monthly Data'!AB113</f>
        <v>5156675.2533871075</v>
      </c>
      <c r="F113" s="33">
        <f t="shared" ca="1" si="28"/>
        <v>468.60374999999993</v>
      </c>
      <c r="G113" s="33">
        <f t="shared" ca="1" si="28"/>
        <v>7.7354166666666684</v>
      </c>
      <c r="I113" s="18">
        <f>'GS&gt;50 Predicted Monthly (no LC)'!$P$9</f>
        <v>4121039.41701539</v>
      </c>
      <c r="J113" s="18">
        <f ca="1">F113*'GS&gt;50 Predicted Monthly (no LC)'!$P$10</f>
        <v>1085049.9853584787</v>
      </c>
      <c r="K113" s="18">
        <f ca="1">G113*'GS&gt;50 Predicted Monthly (no LC)'!$P$11</f>
        <v>41788.437283386476</v>
      </c>
      <c r="L113" s="18">
        <f t="shared" ca="1" si="18"/>
        <v>5247877.8396572554</v>
      </c>
      <c r="M113" s="18">
        <f>'Monthly Data'!Y113</f>
        <v>4427.2</v>
      </c>
      <c r="N113" s="18">
        <f>'Monthly Data'!DN113</f>
        <v>0</v>
      </c>
      <c r="O113" s="18">
        <f>'Monthly Data'!DO113</f>
        <v>0</v>
      </c>
      <c r="P113" s="18">
        <f t="shared" ca="1" si="19"/>
        <v>468.60374999999993</v>
      </c>
      <c r="Q113" s="18">
        <f>'Monthly Data'!BR113</f>
        <v>0</v>
      </c>
      <c r="R113" s="18"/>
      <c r="S113" s="18">
        <f>'LC Predicted Monthly'!$T$9</f>
        <v>-22694.781953278001</v>
      </c>
      <c r="T113" s="18">
        <f>N113*'LC Predicted Monthly'!$T$10</f>
        <v>0</v>
      </c>
      <c r="U113" s="18">
        <f>O113*'LC Predicted Monthly'!$T$11</f>
        <v>0</v>
      </c>
      <c r="V113" s="18">
        <f ca="1">P113*'LC Predicted Monthly'!$T$12</f>
        <v>95938.80177952649</v>
      </c>
      <c r="W113" s="18">
        <f>Q113*'LC Predicted Monthly'!$T$13</f>
        <v>0</v>
      </c>
      <c r="X113" s="18">
        <f t="shared" ca="1" si="20"/>
        <v>73244.019826248492</v>
      </c>
      <c r="Y113" s="18">
        <f t="shared" ca="1" si="21"/>
        <v>5321121.8594835037</v>
      </c>
      <c r="AB113" s="18"/>
      <c r="AC113" s="34"/>
      <c r="AO113" s="33">
        <f t="shared" ca="1" si="30"/>
        <v>418.73236383846591</v>
      </c>
      <c r="AP113" s="33">
        <f t="shared" ca="1" si="30"/>
        <v>517.40650421381736</v>
      </c>
      <c r="AQ113" s="33">
        <f t="shared" ca="1" si="30"/>
        <v>6.5382313388091058</v>
      </c>
      <c r="AR113" s="33">
        <f t="shared" ca="1" si="30"/>
        <v>8.3912154376061316</v>
      </c>
      <c r="AT113" s="18">
        <f ca="1">AO113*'GS&gt;50 Predicted Monthly (no LC)'!$P$10</f>
        <v>969573.00331473805</v>
      </c>
      <c r="AU113" s="18">
        <f ca="1">AP113*'GS&gt;50 Predicted Monthly (no LC)'!$P$10</f>
        <v>1198052.5546831076</v>
      </c>
      <c r="AV113" s="18">
        <f ca="1">AQ113*'GS&gt;50 Predicted Monthly (no LC)'!$P$11</f>
        <v>35320.976492896902</v>
      </c>
      <c r="AW113" s="18">
        <f ca="1">AR113*'GS&gt;50 Predicted Monthly (no LC)'!$P$11</f>
        <v>45331.207762450395</v>
      </c>
      <c r="AY113" s="18">
        <f ca="1">AO113*'LC Predicted Monthly'!$T$12</f>
        <v>85728.467288132349</v>
      </c>
      <c r="AZ113" s="18">
        <f ca="1">AP113*'LC Predicted Monthly'!$T$12</f>
        <v>105930.35170377353</v>
      </c>
      <c r="BB113" s="31">
        <f t="shared" ca="1" si="22"/>
        <v>5188967.0821578791</v>
      </c>
      <c r="BC113" s="31">
        <f t="shared" ca="1" si="23"/>
        <v>5447658.7492114436</v>
      </c>
    </row>
    <row r="114" spans="1:55">
      <c r="A114" s="541">
        <f>'Monthly Data'!A114</f>
        <v>45778</v>
      </c>
      <c r="B114">
        <f t="shared" si="24"/>
        <v>2025</v>
      </c>
      <c r="C114">
        <f t="shared" si="25"/>
        <v>5</v>
      </c>
      <c r="D114" s="30">
        <f>'Monthly Data'!N114</f>
        <v>5020546.9004952768</v>
      </c>
      <c r="E114" s="30">
        <f>'Monthly Data'!AB114</f>
        <v>5014022.9004952768</v>
      </c>
      <c r="F114" s="33">
        <f t="shared" ref="F114:G133" ca="1" si="31">F102</f>
        <v>232.88687500000006</v>
      </c>
      <c r="G114" s="33">
        <f t="shared" ca="1" si="31"/>
        <v>111.43645833333332</v>
      </c>
      <c r="I114" s="18">
        <f>'GS&gt;50 Predicted Monthly (no LC)'!$P$9</f>
        <v>4121039.41701539</v>
      </c>
      <c r="J114" s="18">
        <f ca="1">F114*'GS&gt;50 Predicted Monthly (no LC)'!$P$10</f>
        <v>539248.5662117129</v>
      </c>
      <c r="K114" s="18">
        <f ca="1">G114*'GS&gt;50 Predicted Monthly (no LC)'!$P$11</f>
        <v>602004.47510630218</v>
      </c>
      <c r="L114" s="18">
        <f t="shared" ca="1" si="18"/>
        <v>5262292.4583334047</v>
      </c>
      <c r="M114" s="18">
        <f>'Monthly Data'!Y114</f>
        <v>6524</v>
      </c>
      <c r="N114" s="18">
        <f>'Monthly Data'!DN114</f>
        <v>0</v>
      </c>
      <c r="O114" s="18">
        <f>'Monthly Data'!DO114</f>
        <v>0</v>
      </c>
      <c r="P114" s="18">
        <f t="shared" ca="1" si="19"/>
        <v>232.88687500000006</v>
      </c>
      <c r="Q114" s="18">
        <f>'Monthly Data'!BR114</f>
        <v>0</v>
      </c>
      <c r="R114" s="18"/>
      <c r="S114" s="18">
        <f>'LC Predicted Monthly'!$T$9</f>
        <v>-22694.781953278001</v>
      </c>
      <c r="T114" s="18">
        <f>N114*'LC Predicted Monthly'!$T$10</f>
        <v>0</v>
      </c>
      <c r="U114" s="18">
        <f>O114*'LC Predicted Monthly'!$T$11</f>
        <v>0</v>
      </c>
      <c r="V114" s="18">
        <f ca="1">P114*'LC Predicted Monthly'!$T$12</f>
        <v>47679.703241125091</v>
      </c>
      <c r="W114" s="18">
        <f>Q114*'LC Predicted Monthly'!$T$13</f>
        <v>0</v>
      </c>
      <c r="X114" s="18">
        <f t="shared" ca="1" si="20"/>
        <v>24984.92128784709</v>
      </c>
      <c r="Y114" s="18">
        <f t="shared" ca="1" si="21"/>
        <v>5287277.3796212515</v>
      </c>
      <c r="AB114" s="18"/>
      <c r="AC114" s="34"/>
      <c r="AO114" s="33">
        <f t="shared" ca="1" si="30"/>
        <v>208.10177399498693</v>
      </c>
      <c r="AP114" s="33">
        <f t="shared" ca="1" si="30"/>
        <v>257.1408868815717</v>
      </c>
      <c r="AQ114" s="33">
        <f t="shared" ca="1" si="30"/>
        <v>94.189799406741059</v>
      </c>
      <c r="AR114" s="33">
        <f t="shared" ca="1" si="30"/>
        <v>120.88389931317884</v>
      </c>
      <c r="AT114" s="18">
        <f ca="1">AO114*'GS&gt;50 Predicted Monthly (no LC)'!$P$10</f>
        <v>481858.77049924171</v>
      </c>
      <c r="AU114" s="18">
        <f ca="1">AP114*'GS&gt;50 Predicted Monthly (no LC)'!$P$10</f>
        <v>595408.62732301152</v>
      </c>
      <c r="AV114" s="18">
        <f ca="1">AQ114*'GS&gt;50 Predicted Monthly (no LC)'!$P$11</f>
        <v>508834.19663797691</v>
      </c>
      <c r="AW114" s="18">
        <f ca="1">AR114*'GS&gt;50 Predicted Monthly (no LC)'!$P$11</f>
        <v>653041.64761906536</v>
      </c>
      <c r="AY114" s="18">
        <f ca="1">AO114*'LC Predicted Monthly'!$T$12</f>
        <v>42605.367211152006</v>
      </c>
      <c r="AZ114" s="18">
        <f ca="1">AP114*'LC Predicted Monthly'!$T$12</f>
        <v>52645.307631325515</v>
      </c>
      <c r="BB114" s="31">
        <f t="shared" ca="1" si="22"/>
        <v>5131642.9694104819</v>
      </c>
      <c r="BC114" s="31">
        <f t="shared" ca="1" si="23"/>
        <v>5399440.2176355133</v>
      </c>
    </row>
    <row r="115" spans="1:55">
      <c r="A115" s="541">
        <f>'Monthly Data'!A115</f>
        <v>45809</v>
      </c>
      <c r="B115">
        <f t="shared" si="24"/>
        <v>2025</v>
      </c>
      <c r="C115">
        <f t="shared" si="25"/>
        <v>6</v>
      </c>
      <c r="D115" s="30">
        <f>'Monthly Data'!N115</f>
        <v>5552991.3476034449</v>
      </c>
      <c r="E115" s="30">
        <f>'Monthly Data'!AB115</f>
        <v>5552694.7476034453</v>
      </c>
      <c r="F115" s="33">
        <f t="shared" ca="1" si="31"/>
        <v>92.751249999999999</v>
      </c>
      <c r="G115" s="33">
        <f t="shared" ca="1" si="31"/>
        <v>227.31958333333333</v>
      </c>
      <c r="I115" s="18">
        <f>'GS&gt;50 Predicted Monthly (no LC)'!$P$9</f>
        <v>4121039.41701539</v>
      </c>
      <c r="J115" s="18">
        <f ca="1">F115*'GS&gt;50 Predicted Monthly (no LC)'!$P$10</f>
        <v>214765.12395489923</v>
      </c>
      <c r="K115" s="18">
        <f ca="1">G115*'GS&gt;50 Predicted Monthly (no LC)'!$P$11</f>
        <v>1228030.8302389067</v>
      </c>
      <c r="L115" s="18">
        <f t="shared" ca="1" si="18"/>
        <v>5563835.3712091958</v>
      </c>
      <c r="M115" s="18">
        <f>'Monthly Data'!Y115</f>
        <v>296.60000000000002</v>
      </c>
      <c r="N115" s="18">
        <f>'Monthly Data'!DN115</f>
        <v>0</v>
      </c>
      <c r="O115" s="18">
        <f>'Monthly Data'!DO115</f>
        <v>0</v>
      </c>
      <c r="P115" s="18">
        <f t="shared" ca="1" si="19"/>
        <v>92.751249999999999</v>
      </c>
      <c r="Q115" s="18">
        <f>'Monthly Data'!BR115</f>
        <v>0</v>
      </c>
      <c r="R115" s="18"/>
      <c r="S115" s="18">
        <f>'LC Predicted Monthly'!$T$9</f>
        <v>-22694.781953278001</v>
      </c>
      <c r="T115" s="18">
        <f>N115*'LC Predicted Monthly'!$T$10</f>
        <v>0</v>
      </c>
      <c r="U115" s="18">
        <f>O115*'LC Predicted Monthly'!$T$11</f>
        <v>0</v>
      </c>
      <c r="V115" s="18">
        <f ca="1">P115*'LC Predicted Monthly'!$T$12</f>
        <v>18989.271401591017</v>
      </c>
      <c r="W115" s="18">
        <f>Q115*'LC Predicted Monthly'!$T$13</f>
        <v>0</v>
      </c>
      <c r="X115" s="18">
        <f t="shared" ca="1" si="20"/>
        <v>-3705.5105516869844</v>
      </c>
      <c r="Y115" s="18">
        <f t="shared" ca="1" si="21"/>
        <v>5560129.8606575085</v>
      </c>
      <c r="AB115" s="18"/>
      <c r="AC115" s="34"/>
      <c r="AO115" s="33">
        <f t="shared" ca="1" si="30"/>
        <v>82.880152285321046</v>
      </c>
      <c r="AP115" s="33">
        <f t="shared" ca="1" si="30"/>
        <v>102.41083223077457</v>
      </c>
      <c r="AQ115" s="33">
        <f t="shared" ca="1" si="30"/>
        <v>192.13806931430472</v>
      </c>
      <c r="AR115" s="33">
        <f t="shared" ca="1" si="30"/>
        <v>246.59144802846558</v>
      </c>
      <c r="AT115" s="18">
        <f ca="1">AO115*'GS&gt;50 Predicted Monthly (no LC)'!$P$10</f>
        <v>191908.63927934016</v>
      </c>
      <c r="AU115" s="18">
        <f ca="1">AP115*'GS&gt;50 Predicted Monthly (no LC)'!$P$10</f>
        <v>237131.8454292173</v>
      </c>
      <c r="AV115" s="18">
        <f ca="1">AQ115*'GS&gt;50 Predicted Monthly (no LC)'!$P$11</f>
        <v>1037972.4849070985</v>
      </c>
      <c r="AW115" s="18">
        <f ca="1">AR115*'GS&gt;50 Predicted Monthly (no LC)'!$P$11</f>
        <v>1332141.7196518595</v>
      </c>
      <c r="AY115" s="18">
        <f ca="1">AO115*'LC Predicted Monthly'!$T$12</f>
        <v>16968.328788573257</v>
      </c>
      <c r="AZ115" s="18">
        <f ca="1">AP115*'LC Predicted Monthly'!$T$12</f>
        <v>20966.909747232337</v>
      </c>
      <c r="BB115" s="31">
        <f t="shared" ca="1" si="22"/>
        <v>5345194.088037123</v>
      </c>
      <c r="BC115" s="31">
        <f t="shared" ca="1" si="23"/>
        <v>5688585.1098904209</v>
      </c>
    </row>
    <row r="116" spans="1:55">
      <c r="A116" s="541">
        <f>'Monthly Data'!A116</f>
        <v>45839</v>
      </c>
      <c r="B116">
        <f t="shared" si="24"/>
        <v>2025</v>
      </c>
      <c r="C116">
        <f t="shared" si="25"/>
        <v>7</v>
      </c>
      <c r="D116" s="30">
        <f>'Monthly Data'!N116</f>
        <v>6041461.7947116131</v>
      </c>
      <c r="E116" s="30">
        <f>'Monthly Data'!AB116</f>
        <v>6038806.5947116129</v>
      </c>
      <c r="F116" s="33">
        <f t="shared" ca="1" si="31"/>
        <v>25.464999999999996</v>
      </c>
      <c r="G116" s="33">
        <f t="shared" ca="1" si="31"/>
        <v>327.99625000000003</v>
      </c>
      <c r="I116" s="18">
        <f>'GS&gt;50 Predicted Monthly (no LC)'!$P$9</f>
        <v>4121039.41701539</v>
      </c>
      <c r="J116" s="18">
        <f ca="1">F116*'GS&gt;50 Predicted Monthly (no LC)'!$P$10</f>
        <v>58964.098936796094</v>
      </c>
      <c r="K116" s="18">
        <f ca="1">G116*'GS&gt;50 Predicted Monthly (no LC)'!$P$11</f>
        <v>1771908.5232182215</v>
      </c>
      <c r="L116" s="18">
        <f t="shared" ca="1" si="18"/>
        <v>5951912.0391704077</v>
      </c>
      <c r="M116" s="18">
        <f>'Monthly Data'!Y116</f>
        <v>2655.2</v>
      </c>
      <c r="N116" s="18">
        <f>'Monthly Data'!DN116</f>
        <v>0</v>
      </c>
      <c r="O116" s="18">
        <f>'Monthly Data'!DO116</f>
        <v>0</v>
      </c>
      <c r="P116" s="18">
        <f t="shared" ca="1" si="19"/>
        <v>25.464999999999996</v>
      </c>
      <c r="Q116" s="18">
        <f>'Monthly Data'!BR116</f>
        <v>0</v>
      </c>
      <c r="R116" s="18"/>
      <c r="S116" s="18">
        <f>'LC Predicted Monthly'!$T$9</f>
        <v>-22694.781953278001</v>
      </c>
      <c r="T116" s="18">
        <f>N116*'LC Predicted Monthly'!$T$10</f>
        <v>0</v>
      </c>
      <c r="U116" s="18">
        <f>O116*'LC Predicted Monthly'!$T$11</f>
        <v>0</v>
      </c>
      <c r="V116" s="18">
        <f ca="1">P116*'LC Predicted Monthly'!$T$12</f>
        <v>5213.5340088841413</v>
      </c>
      <c r="W116" s="18">
        <f>Q116*'LC Predicted Monthly'!$T$13</f>
        <v>0</v>
      </c>
      <c r="X116" s="18">
        <f t="shared" ca="1" si="20"/>
        <v>-17481.247944393861</v>
      </c>
      <c r="Y116" s="18">
        <f t="shared" ca="1" si="21"/>
        <v>5934430.7912260136</v>
      </c>
      <c r="AB116" s="18"/>
      <c r="AC116" s="34"/>
      <c r="AO116" s="33">
        <f t="shared" ca="1" si="30"/>
        <v>22.754874763905612</v>
      </c>
      <c r="AP116" s="33">
        <f t="shared" ca="1" si="30"/>
        <v>28.117053330889604</v>
      </c>
      <c r="AQ116" s="33">
        <f t="shared" ca="1" si="30"/>
        <v>277.23333508367784</v>
      </c>
      <c r="AR116" s="33">
        <f t="shared" ca="1" si="30"/>
        <v>355.80335424425579</v>
      </c>
      <c r="AT116" s="18">
        <f ca="1">AO116*'GS&gt;50 Predicted Monthly (no LC)'!$P$10</f>
        <v>52688.815506512285</v>
      </c>
      <c r="AU116" s="18">
        <f ca="1">AP116*'GS&gt;50 Predicted Monthly (no LC)'!$P$10</f>
        <v>65104.917118152247</v>
      </c>
      <c r="AV116" s="18">
        <f ca="1">AQ116*'GS&gt;50 Predicted Monthly (no LC)'!$P$11</f>
        <v>1497675.9928047406</v>
      </c>
      <c r="AW116" s="18">
        <f ca="1">AR116*'GS&gt;50 Predicted Monthly (no LC)'!$P$11</f>
        <v>1922128.6706022671</v>
      </c>
      <c r="AY116" s="18">
        <f ca="1">AO116*'LC Predicted Monthly'!$T$12</f>
        <v>4658.6810700774167</v>
      </c>
      <c r="AZ116" s="18">
        <f ca="1">AP116*'LC Predicted Monthly'!$T$12</f>
        <v>5756.4976937051679</v>
      </c>
      <c r="BB116" s="31">
        <f t="shared" ca="1" si="22"/>
        <v>5653368.1244434416</v>
      </c>
      <c r="BC116" s="31">
        <f t="shared" ca="1" si="23"/>
        <v>6091334.7204762362</v>
      </c>
    </row>
    <row r="117" spans="1:55">
      <c r="A117" s="541">
        <f>'Monthly Data'!A117</f>
        <v>45870</v>
      </c>
      <c r="B117">
        <f t="shared" si="24"/>
        <v>2025</v>
      </c>
      <c r="C117">
        <f t="shared" si="25"/>
        <v>8</v>
      </c>
      <c r="D117" s="30">
        <f>'Monthly Data'!N117</f>
        <v>5593918.2418197813</v>
      </c>
      <c r="E117" s="30">
        <f>'Monthly Data'!AB117</f>
        <v>5593679.8418197809</v>
      </c>
      <c r="F117" s="33">
        <f t="shared" ca="1" si="31"/>
        <v>54.974791666666668</v>
      </c>
      <c r="G117" s="33">
        <f t="shared" ca="1" si="31"/>
        <v>280.40312500000005</v>
      </c>
      <c r="I117" s="18">
        <f>'GS&gt;50 Predicted Monthly (no LC)'!$P$9</f>
        <v>4121039.41701539</v>
      </c>
      <c r="J117" s="18">
        <f ca="1">F117*'GS&gt;50 Predicted Monthly (no LC)'!$P$10</f>
        <v>127293.89573387343</v>
      </c>
      <c r="K117" s="18">
        <f ca="1">G117*'GS&gt;50 Predicted Monthly (no LC)'!$P$11</f>
        <v>1514799.9012931532</v>
      </c>
      <c r="L117" s="18">
        <f t="shared" ca="1" si="18"/>
        <v>5763133.2140424168</v>
      </c>
      <c r="M117" s="18">
        <f>'Monthly Data'!Y117</f>
        <v>238.4</v>
      </c>
      <c r="N117" s="18">
        <f>'Monthly Data'!DN117</f>
        <v>0</v>
      </c>
      <c r="O117" s="18">
        <f>'Monthly Data'!DO117</f>
        <v>0</v>
      </c>
      <c r="P117" s="18">
        <f t="shared" ca="1" si="19"/>
        <v>54.974791666666668</v>
      </c>
      <c r="Q117" s="18">
        <f>'Monthly Data'!BR117</f>
        <v>0</v>
      </c>
      <c r="R117" s="18"/>
      <c r="S117" s="18">
        <f>'LC Predicted Monthly'!$T$9</f>
        <v>-22694.781953278001</v>
      </c>
      <c r="T117" s="18">
        <f>N117*'LC Predicted Monthly'!$T$10</f>
        <v>0</v>
      </c>
      <c r="U117" s="18">
        <f>O117*'LC Predicted Monthly'!$T$11</f>
        <v>0</v>
      </c>
      <c r="V117" s="18">
        <f ca="1">P117*'LC Predicted Monthly'!$T$12</f>
        <v>11255.171646789209</v>
      </c>
      <c r="W117" s="18">
        <f>Q117*'LC Predicted Monthly'!$T$13</f>
        <v>0</v>
      </c>
      <c r="X117" s="18">
        <f t="shared" ca="1" si="20"/>
        <v>-11439.610306488792</v>
      </c>
      <c r="Y117" s="18">
        <f t="shared" ca="1" si="21"/>
        <v>5751693.6037359284</v>
      </c>
      <c r="AB117" s="18"/>
      <c r="AC117" s="34"/>
      <c r="AO117" s="33">
        <f t="shared" ca="1" si="30"/>
        <v>49.124072238240799</v>
      </c>
      <c r="AP117" s="33">
        <f t="shared" ca="1" si="30"/>
        <v>60.700143300459935</v>
      </c>
      <c r="AQ117" s="33">
        <f t="shared" ca="1" si="30"/>
        <v>237.00604354969119</v>
      </c>
      <c r="AR117" s="33">
        <f t="shared" ca="1" si="30"/>
        <v>304.17534473510392</v>
      </c>
      <c r="AT117" s="18">
        <f ca="1">AO117*'GS&gt;50 Predicted Monthly (no LC)'!$P$10</f>
        <v>113746.57984032786</v>
      </c>
      <c r="AU117" s="18">
        <f ca="1">AP117*'GS&gt;50 Predicted Monthly (no LC)'!$P$10</f>
        <v>140550.92303341921</v>
      </c>
      <c r="AV117" s="18">
        <f ca="1">AQ117*'GS&gt;50 Predicted Monthly (no LC)'!$P$11</f>
        <v>1280359.2377044759</v>
      </c>
      <c r="AW117" s="18">
        <f ca="1">AR117*'GS&gt;50 Predicted Monthly (no LC)'!$P$11</f>
        <v>1643222.7072381813</v>
      </c>
      <c r="AY117" s="18">
        <f ca="1">AO117*'LC Predicted Monthly'!$T$12</f>
        <v>10057.334430353416</v>
      </c>
      <c r="AZ117" s="18">
        <f ca="1">AP117*'LC Predicted Monthly'!$T$12</f>
        <v>12427.341898334529</v>
      </c>
      <c r="BB117" s="31">
        <f t="shared" ca="1" si="22"/>
        <v>5502507.7870372701</v>
      </c>
      <c r="BC117" s="31">
        <f t="shared" ca="1" si="23"/>
        <v>5894545.6072320472</v>
      </c>
    </row>
    <row r="118" spans="1:55">
      <c r="A118" s="541">
        <f>'Monthly Data'!A118</f>
        <v>45901</v>
      </c>
      <c r="B118">
        <f t="shared" si="24"/>
        <v>2025</v>
      </c>
      <c r="C118">
        <f t="shared" si="25"/>
        <v>9</v>
      </c>
      <c r="D118" s="30">
        <f>'Monthly Data'!N118</f>
        <v>5145149.6889279494</v>
      </c>
      <c r="E118" s="30">
        <f>'Monthly Data'!AB118</f>
        <v>5118840.8889279496</v>
      </c>
      <c r="F118" s="33">
        <f t="shared" ca="1" si="31"/>
        <v>166.50624999999999</v>
      </c>
      <c r="G118" s="33">
        <f t="shared" ca="1" si="31"/>
        <v>144.00333333333333</v>
      </c>
      <c r="I118" s="18">
        <f>'GS&gt;50 Predicted Monthly (no LC)'!$P$9</f>
        <v>4121039.41701539</v>
      </c>
      <c r="J118" s="18">
        <f ca="1">F118*'GS&gt;50 Predicted Monthly (no LC)'!$P$10</f>
        <v>385544.51202022011</v>
      </c>
      <c r="K118" s="18">
        <f ca="1">G118*'GS&gt;50 Predicted Monthly (no LC)'!$P$11</f>
        <v>777937.96028206998</v>
      </c>
      <c r="L118" s="18">
        <f t="shared" ca="1" si="18"/>
        <v>5284521.8893176802</v>
      </c>
      <c r="M118" s="18">
        <f>'Monthly Data'!Y118</f>
        <v>26308.799999999999</v>
      </c>
      <c r="N118" s="18">
        <f>'Monthly Data'!DN118</f>
        <v>0</v>
      </c>
      <c r="O118" s="18">
        <f>'Monthly Data'!DO118</f>
        <v>0</v>
      </c>
      <c r="P118" s="18">
        <f t="shared" ca="1" si="19"/>
        <v>166.50624999999999</v>
      </c>
      <c r="Q118" s="18">
        <f>'Monthly Data'!BR118</f>
        <v>1</v>
      </c>
      <c r="R118" s="18"/>
      <c r="S118" s="18">
        <f>'LC Predicted Monthly'!$T$9</f>
        <v>-22694.781953278001</v>
      </c>
      <c r="T118" s="18">
        <f>N118*'LC Predicted Monthly'!$T$10</f>
        <v>0</v>
      </c>
      <c r="U118" s="18">
        <f>O118*'LC Predicted Monthly'!$T$11</f>
        <v>0</v>
      </c>
      <c r="V118" s="18">
        <f ca="1">P118*'LC Predicted Monthly'!$T$12</f>
        <v>34089.377461879645</v>
      </c>
      <c r="W118" s="18">
        <f>Q118*'LC Predicted Monthly'!$T$13</f>
        <v>97970.228068396304</v>
      </c>
      <c r="X118" s="18">
        <f t="shared" ca="1" si="20"/>
        <v>109364.82357699795</v>
      </c>
      <c r="Y118" s="18">
        <f t="shared" ca="1" si="21"/>
        <v>5393886.7128946781</v>
      </c>
      <c r="AB118" s="18"/>
      <c r="AC118" s="34"/>
      <c r="AO118" s="33">
        <f t="shared" ca="1" si="30"/>
        <v>148.78573988445157</v>
      </c>
      <c r="AP118" s="33">
        <f t="shared" ca="1" si="30"/>
        <v>183.84704932952829</v>
      </c>
      <c r="AQ118" s="33">
        <f t="shared" ca="1" si="30"/>
        <v>121.71640487708792</v>
      </c>
      <c r="AR118" s="33">
        <f t="shared" ca="1" si="30"/>
        <v>156.21175248910205</v>
      </c>
      <c r="AT118" s="18">
        <f ca="1">AO118*'GS&gt;50 Predicted Monthly (no LC)'!$P$10</f>
        <v>344512.74639431422</v>
      </c>
      <c r="AU118" s="18">
        <f ca="1">AP118*'GS&gt;50 Predicted Monthly (no LC)'!$P$10</f>
        <v>425697.05893989158</v>
      </c>
      <c r="AV118" s="18">
        <f ca="1">AQ118*'GS&gt;50 Predicted Monthly (no LC)'!$P$11</f>
        <v>657539.02740409982</v>
      </c>
      <c r="AW118" s="18">
        <f ca="1">AR118*'GS&gt;50 Predicted Monthly (no LC)'!$P$11</f>
        <v>843890.54954834119</v>
      </c>
      <c r="AY118" s="18">
        <f ca="1">AO118*'LC Predicted Monthly'!$T$12</f>
        <v>30461.398583333124</v>
      </c>
      <c r="AZ118" s="18">
        <f ca="1">AP118*'LC Predicted Monthly'!$T$12</f>
        <v>37639.616890339537</v>
      </c>
      <c r="BB118" s="31">
        <f t="shared" ca="1" si="22"/>
        <v>5228828.0355122555</v>
      </c>
      <c r="BC118" s="31">
        <f t="shared" ca="1" si="23"/>
        <v>5503542.0885090809</v>
      </c>
    </row>
    <row r="119" spans="1:55">
      <c r="A119" s="541">
        <f>'Monthly Data'!A119</f>
        <v>45931</v>
      </c>
      <c r="B119">
        <f t="shared" si="24"/>
        <v>2025</v>
      </c>
      <c r="C119">
        <f t="shared" si="25"/>
        <v>10</v>
      </c>
      <c r="D119" s="30">
        <f>'Monthly Data'!N119</f>
        <v>5977730.1360361176</v>
      </c>
      <c r="E119" s="30">
        <f>'Monthly Data'!AB119</f>
        <v>5192044.5360361179</v>
      </c>
      <c r="F119" s="33">
        <f t="shared" ca="1" si="31"/>
        <v>363.47645833333326</v>
      </c>
      <c r="G119" s="33">
        <f t="shared" ca="1" si="31"/>
        <v>40.02791666666667</v>
      </c>
      <c r="I119" s="18">
        <f>'GS&gt;50 Predicted Monthly (no LC)'!$P$9</f>
        <v>4121039.41701539</v>
      </c>
      <c r="J119" s="18">
        <f ca="1">F119*'GS&gt;50 Predicted Monthly (no LC)'!$P$10</f>
        <v>841628.18968635018</v>
      </c>
      <c r="K119" s="18">
        <f ca="1">G119*'GS&gt;50 Predicted Monthly (no LC)'!$P$11</f>
        <v>216239.6878267217</v>
      </c>
      <c r="L119" s="18">
        <f t="shared" ca="1" si="18"/>
        <v>5178907.294528462</v>
      </c>
      <c r="M119" s="18">
        <f>'Monthly Data'!Y119</f>
        <v>785685.6</v>
      </c>
      <c r="N119" s="18">
        <f>'Monthly Data'!DN119</f>
        <v>0</v>
      </c>
      <c r="O119" s="18">
        <f>'Monthly Data'!DO119</f>
        <v>0</v>
      </c>
      <c r="P119" s="18">
        <f t="shared" ca="1" si="19"/>
        <v>363.47645833333326</v>
      </c>
      <c r="Q119" s="18">
        <f>'Monthly Data'!BR119</f>
        <v>1</v>
      </c>
      <c r="R119" s="18"/>
      <c r="S119" s="18">
        <f>'LC Predicted Monthly'!$T$9</f>
        <v>-22694.781953278001</v>
      </c>
      <c r="T119" s="18">
        <f>N119*'LC Predicted Monthly'!$T$10</f>
        <v>0</v>
      </c>
      <c r="U119" s="18">
        <f>O119*'LC Predicted Monthly'!$T$11</f>
        <v>0</v>
      </c>
      <c r="V119" s="18">
        <f ca="1">P119*'LC Predicted Monthly'!$T$12</f>
        <v>74415.742271729541</v>
      </c>
      <c r="W119" s="18">
        <f>Q119*'LC Predicted Monthly'!$T$13</f>
        <v>97970.228068396304</v>
      </c>
      <c r="X119" s="18">
        <f t="shared" ca="1" si="20"/>
        <v>149691.18838684785</v>
      </c>
      <c r="Y119" s="18">
        <f t="shared" ca="1" si="21"/>
        <v>5328598.4829153102</v>
      </c>
      <c r="AB119" s="18"/>
      <c r="AC119" s="34"/>
      <c r="AO119" s="33">
        <f t="shared" ca="1" si="30"/>
        <v>324.79329624987065</v>
      </c>
      <c r="AP119" s="33">
        <f t="shared" ca="1" si="30"/>
        <v>401.33072701673694</v>
      </c>
      <c r="AQ119" s="33">
        <f t="shared" ca="1" si="30"/>
        <v>33.832925937267667</v>
      </c>
      <c r="AR119" s="33">
        <f t="shared" ca="1" si="30"/>
        <v>43.421432450552551</v>
      </c>
      <c r="AT119" s="18">
        <f ca="1">AO119*'GS&gt;50 Predicted Monthly (no LC)'!$P$10</f>
        <v>752057.49279738846</v>
      </c>
      <c r="AU119" s="18">
        <f ca="1">AP119*'GS&gt;50 Predicted Monthly (no LC)'!$P$10</f>
        <v>929279.58744124032</v>
      </c>
      <c r="AV119" s="18">
        <f ca="1">AQ119*'GS&gt;50 Predicted Monthly (no LC)'!$P$11</f>
        <v>182772.97326922306</v>
      </c>
      <c r="AW119" s="18">
        <f ca="1">AR119*'GS&gt;50 Predicted Monthly (no LC)'!$P$11</f>
        <v>234572.21309535802</v>
      </c>
      <c r="AY119" s="18">
        <f ca="1">AO119*'LC Predicted Monthly'!$T$12</f>
        <v>66496.010047370233</v>
      </c>
      <c r="AZ119" s="18">
        <f ca="1">AP119*'LC Predicted Monthly'!$T$12</f>
        <v>82165.772397877707</v>
      </c>
      <c r="BB119" s="31">
        <f t="shared" ca="1" si="22"/>
        <v>5197641.3392444905</v>
      </c>
      <c r="BC119" s="31">
        <f t="shared" ca="1" si="23"/>
        <v>5442332.4360649846</v>
      </c>
    </row>
    <row r="120" spans="1:55">
      <c r="A120" s="541">
        <f>'Monthly Data'!A120</f>
        <v>45962</v>
      </c>
      <c r="B120">
        <f t="shared" si="24"/>
        <v>2025</v>
      </c>
      <c r="C120">
        <f t="shared" si="25"/>
        <v>11</v>
      </c>
      <c r="D120" s="30">
        <f>'Monthly Data'!N120</f>
        <v>8021249.5831442866</v>
      </c>
      <c r="E120" s="30">
        <f>'Monthly Data'!AB120</f>
        <v>5479491.1831442863</v>
      </c>
      <c r="F120" s="33">
        <f t="shared" ca="1" si="31"/>
        <v>586.00395833333334</v>
      </c>
      <c r="G120" s="33">
        <f t="shared" ca="1" si="31"/>
        <v>4.5920833333333331</v>
      </c>
      <c r="I120" s="18">
        <f>'GS&gt;50 Predicted Monthly (no LC)'!$P$9</f>
        <v>4121039.41701539</v>
      </c>
      <c r="J120" s="18">
        <f ca="1">F120*'GS&gt;50 Predicted Monthly (no LC)'!$P$10</f>
        <v>1356889.6672499825</v>
      </c>
      <c r="K120" s="18">
        <f ca="1">G120*'GS&gt;50 Predicted Monthly (no LC)'!$P$11</f>
        <v>24807.453126862496</v>
      </c>
      <c r="L120" s="18">
        <f t="shared" ca="1" si="18"/>
        <v>5502736.5373922354</v>
      </c>
      <c r="M120" s="18">
        <f>'Monthly Data'!Y120</f>
        <v>2541758.4</v>
      </c>
      <c r="N120" s="18">
        <f>'Monthly Data'!DN120</f>
        <v>1</v>
      </c>
      <c r="O120" s="18">
        <f>'Monthly Data'!DO120</f>
        <v>0</v>
      </c>
      <c r="P120" s="18">
        <f t="shared" ca="1" si="19"/>
        <v>586.00395833333334</v>
      </c>
      <c r="Q120" s="18">
        <f>'Monthly Data'!BR120</f>
        <v>1</v>
      </c>
      <c r="R120" s="18"/>
      <c r="S120" s="18">
        <f>'LC Predicted Monthly'!$T$9</f>
        <v>-22694.781953278001</v>
      </c>
      <c r="T120" s="18">
        <f>N120*'LC Predicted Monthly'!$T$10</f>
        <v>2130493.30719493</v>
      </c>
      <c r="U120" s="18">
        <f>O120*'LC Predicted Monthly'!$T$11</f>
        <v>0</v>
      </c>
      <c r="V120" s="18">
        <f ca="1">P120*'LC Predicted Monthly'!$T$12</f>
        <v>119974.53626984327</v>
      </c>
      <c r="W120" s="18">
        <f>Q120*'LC Predicted Monthly'!$T$13</f>
        <v>97970.228068396304</v>
      </c>
      <c r="X120" s="18">
        <f t="shared" ca="1" si="20"/>
        <v>2325743.2895798916</v>
      </c>
      <c r="Y120" s="18">
        <f t="shared" ca="1" si="21"/>
        <v>7828479.826972127</v>
      </c>
      <c r="AB120" s="18"/>
      <c r="AC120" s="34"/>
      <c r="AO120" s="33">
        <f t="shared" ca="1" si="30"/>
        <v>523.63819685953126</v>
      </c>
      <c r="AP120" s="33">
        <f t="shared" ca="1" si="30"/>
        <v>647.03336142041019</v>
      </c>
      <c r="AQ120" s="33">
        <f t="shared" ca="1" si="30"/>
        <v>3.8813815020207452</v>
      </c>
      <c r="AR120" s="33">
        <f t="shared" ca="1" si="30"/>
        <v>4.9813943085298762</v>
      </c>
      <c r="AT120" s="18">
        <f ca="1">AO120*'GS&gt;50 Predicted Monthly (no LC)'!$P$10</f>
        <v>1212482.0124371063</v>
      </c>
      <c r="AU120" s="18">
        <f ca="1">AP120*'GS&gt;50 Predicted Monthly (no LC)'!$P$10</f>
        <v>1498202.9899156024</v>
      </c>
      <c r="AV120" s="18">
        <f ca="1">AQ120*'GS&gt;50 Predicted Monthly (no LC)'!$P$11</f>
        <v>20968.084132949996</v>
      </c>
      <c r="AW120" s="18">
        <f ca="1">AR120*'GS&gt;50 Predicted Monthly (no LC)'!$P$11</f>
        <v>26910.597401021583</v>
      </c>
      <c r="AY120" s="18">
        <f ca="1">AO120*'LC Predicted Monthly'!$T$12</f>
        <v>107206.18683204145</v>
      </c>
      <c r="AZ120" s="18">
        <f ca="1">AP120*'LC Predicted Monthly'!$T$12</f>
        <v>132469.28861762941</v>
      </c>
      <c r="BB120" s="31">
        <f t="shared" ca="1" si="22"/>
        <v>7667464.4537275368</v>
      </c>
      <c r="BC120" s="31">
        <f t="shared" ca="1" si="23"/>
        <v>7984391.0462596919</v>
      </c>
    </row>
    <row r="121" spans="1:55">
      <c r="A121" s="541">
        <f>'Monthly Data'!A121</f>
        <v>45992</v>
      </c>
      <c r="B121">
        <f t="shared" si="24"/>
        <v>2025</v>
      </c>
      <c r="C121">
        <f t="shared" si="25"/>
        <v>12</v>
      </c>
      <c r="D121" s="30">
        <f>'Monthly Data'!N121</f>
        <v>10556903.030252455</v>
      </c>
      <c r="E121" s="30">
        <f>'Monthly Data'!AB121</f>
        <v>6114849.4302524552</v>
      </c>
      <c r="F121" s="33">
        <f t="shared" ca="1" si="31"/>
        <v>812.36333333333334</v>
      </c>
      <c r="G121" s="33">
        <f t="shared" ca="1" si="31"/>
        <v>0</v>
      </c>
      <c r="I121" s="18">
        <f>'GS&gt;50 Predicted Monthly (no LC)'!$P$9</f>
        <v>4121039.41701539</v>
      </c>
      <c r="J121" s="18">
        <f ca="1">F121*'GS&gt;50 Predicted Monthly (no LC)'!$P$10</f>
        <v>1881023.8350399425</v>
      </c>
      <c r="K121" s="18">
        <f ca="1">G121*'GS&gt;50 Predicted Monthly (no LC)'!$P$11</f>
        <v>0</v>
      </c>
      <c r="L121" s="18">
        <f t="shared" ca="1" si="18"/>
        <v>6002063.2520553321</v>
      </c>
      <c r="M121" s="18">
        <f>'Monthly Data'!Y121</f>
        <v>4442053.5999999996</v>
      </c>
      <c r="N121" s="18">
        <f>'Monthly Data'!DN121</f>
        <v>0</v>
      </c>
      <c r="O121" s="18">
        <f>'Monthly Data'!DO121</f>
        <v>1</v>
      </c>
      <c r="P121" s="18">
        <f t="shared" ca="1" si="19"/>
        <v>812.36333333333334</v>
      </c>
      <c r="Q121" s="18">
        <f>'Monthly Data'!BR121</f>
        <v>0</v>
      </c>
      <c r="R121" s="18"/>
      <c r="S121" s="18">
        <f>'LC Predicted Monthly'!$T$9</f>
        <v>-22694.781953278001</v>
      </c>
      <c r="T121" s="18">
        <f>N121*'LC Predicted Monthly'!$T$10</f>
        <v>0</v>
      </c>
      <c r="U121" s="18">
        <f>O121*'LC Predicted Monthly'!$T$11</f>
        <v>4207146.7381310398</v>
      </c>
      <c r="V121" s="18">
        <f ca="1">P121*'LC Predicted Monthly'!$T$12</f>
        <v>166317.84276080181</v>
      </c>
      <c r="W121" s="18">
        <f>Q121*'LC Predicted Monthly'!$T$13</f>
        <v>0</v>
      </c>
      <c r="X121" s="18">
        <f t="shared" ca="1" si="20"/>
        <v>4350769.798938564</v>
      </c>
      <c r="Y121" s="18">
        <f t="shared" ca="1" si="21"/>
        <v>10352833.050993895</v>
      </c>
      <c r="AA121" s="30"/>
      <c r="AB121" s="18"/>
      <c r="AC121" s="34"/>
      <c r="AO121" s="33">
        <f t="shared" ca="1" si="30"/>
        <v>725.90716327464804</v>
      </c>
      <c r="AP121" s="33">
        <f t="shared" ca="1" si="30"/>
        <v>896.96694158227319</v>
      </c>
      <c r="AQ121" s="33">
        <f t="shared" ca="1" si="30"/>
        <v>0</v>
      </c>
      <c r="AR121" s="33">
        <f t="shared" ca="1" si="30"/>
        <v>0</v>
      </c>
      <c r="AT121" s="18">
        <f ca="1">AO121*'GS&gt;50 Predicted Monthly (no LC)'!$P$10</f>
        <v>1680834.941851771</v>
      </c>
      <c r="AU121" s="18">
        <f ca="1">AP121*'GS&gt;50 Predicted Monthly (no LC)'!$P$10</f>
        <v>2076923.1292555493</v>
      </c>
      <c r="AV121" s="18">
        <f ca="1">AQ121*'GS&gt;50 Predicted Monthly (no LC)'!$P$11</f>
        <v>0</v>
      </c>
      <c r="AW121" s="18">
        <f ca="1">AR121*'GS&gt;50 Predicted Monthly (no LC)'!$P$11</f>
        <v>0</v>
      </c>
      <c r="AY121" s="18">
        <f ca="1">AO121*'LC Predicted Monthly'!$T$12</f>
        <v>148617.38397899043</v>
      </c>
      <c r="AZ121" s="18">
        <f ca="1">AP121*'LC Predicted Monthly'!$T$12</f>
        <v>183639.02041170144</v>
      </c>
      <c r="BB121" s="31">
        <f t="shared" ca="1" si="22"/>
        <v>10134943.699023912</v>
      </c>
      <c r="BC121" s="31">
        <f t="shared" ca="1" si="23"/>
        <v>10566053.522860402</v>
      </c>
    </row>
    <row r="122" spans="1:55">
      <c r="A122" s="541">
        <f>EOMONTH(A121,0)+1</f>
        <v>46023</v>
      </c>
      <c r="B122">
        <f t="shared" si="24"/>
        <v>2026</v>
      </c>
      <c r="C122">
        <f t="shared" si="25"/>
        <v>1</v>
      </c>
      <c r="D122" s="30"/>
      <c r="E122" s="30"/>
      <c r="F122" s="264">
        <f t="shared" ca="1" si="31"/>
        <v>914.55166666666662</v>
      </c>
      <c r="G122" s="264">
        <f t="shared" ca="1" si="31"/>
        <v>0</v>
      </c>
      <c r="I122" s="18">
        <f>'GS&gt;50 Predicted Monthly (no LC)'!$P$9</f>
        <v>4121039.41701539</v>
      </c>
      <c r="J122" s="18">
        <f ca="1">F122*'GS&gt;50 Predicted Monthly (no LC)'!$P$10</f>
        <v>2117640.4852206991</v>
      </c>
      <c r="K122" s="18">
        <f ca="1">G122*'GS&gt;50 Predicted Monthly (no LC)'!$P$11</f>
        <v>0</v>
      </c>
      <c r="L122" s="18">
        <f t="shared" ca="1" si="18"/>
        <v>6238679.9022360891</v>
      </c>
      <c r="M122" s="18"/>
      <c r="N122" s="18">
        <f>'Monthly Data'!DN122</f>
        <v>0</v>
      </c>
      <c r="O122" s="18">
        <f>'Monthly Data'!DO122</f>
        <v>0</v>
      </c>
      <c r="P122" s="18">
        <f t="shared" ca="1" si="19"/>
        <v>914.55166666666662</v>
      </c>
      <c r="Q122" s="18">
        <f>Q110</f>
        <v>0</v>
      </c>
      <c r="R122" s="18"/>
      <c r="S122" s="18">
        <f>'LC Predicted Monthly'!$T$9</f>
        <v>-22694.781953278001</v>
      </c>
      <c r="T122" s="18">
        <f>N122*'LC Predicted Monthly'!$T$10</f>
        <v>0</v>
      </c>
      <c r="U122" s="18">
        <f>O122*'LC Predicted Monthly'!$T$11</f>
        <v>0</v>
      </c>
      <c r="V122" s="18">
        <f ca="1">P122*'LC Predicted Monthly'!$T$12</f>
        <v>187239.19956993285</v>
      </c>
      <c r="W122" s="18">
        <f>Q122*'LC Predicted Monthly'!$T$13</f>
        <v>0</v>
      </c>
      <c r="X122" s="18">
        <f t="shared" ca="1" si="20"/>
        <v>164544.41761665486</v>
      </c>
      <c r="Y122" s="18">
        <f t="shared" ca="1" si="21"/>
        <v>6403224.3198527442</v>
      </c>
      <c r="AA122" s="30"/>
      <c r="AB122" s="18"/>
      <c r="AC122" s="34"/>
      <c r="AO122" s="33">
        <f t="shared" ca="1" si="30"/>
        <v>817.22005262600237</v>
      </c>
      <c r="AP122" s="33">
        <f t="shared" ca="1" si="30"/>
        <v>1009.7976825258449</v>
      </c>
      <c r="AQ122" s="33">
        <f t="shared" ca="1" si="30"/>
        <v>0</v>
      </c>
      <c r="AR122" s="33">
        <f t="shared" ca="1" si="30"/>
        <v>0</v>
      </c>
      <c r="AT122" s="18">
        <f ca="1">AO122*'GS&gt;50 Predicted Monthly (no LC)'!$P$10</f>
        <v>1892269.5478567963</v>
      </c>
      <c r="AU122" s="18">
        <f ca="1">AP122*'GS&gt;50 Predicted Monthly (no LC)'!$P$10</f>
        <v>2338182.2288867598</v>
      </c>
      <c r="AV122" s="18">
        <f ca="1">AQ122*'GS&gt;50 Predicted Monthly (no LC)'!$P$11</f>
        <v>0</v>
      </c>
      <c r="AW122" s="18">
        <f ca="1">AR122*'GS&gt;50 Predicted Monthly (no LC)'!$P$11</f>
        <v>0</v>
      </c>
      <c r="AY122" s="18">
        <f ca="1">AO122*'LC Predicted Monthly'!$T$12</f>
        <v>167312.17502877486</v>
      </c>
      <c r="AZ122" s="18">
        <f ca="1">AP122*'LC Predicted Monthly'!$T$12</f>
        <v>206739.23266997386</v>
      </c>
      <c r="BB122" s="31">
        <f t="shared" ca="1" si="22"/>
        <v>6157926.3579476839</v>
      </c>
      <c r="BC122" s="31">
        <f t="shared" ca="1" si="23"/>
        <v>6643266.0966188461</v>
      </c>
    </row>
    <row r="123" spans="1:55">
      <c r="A123" s="541">
        <f t="shared" ref="A123:A145" si="32">EOMONTH(A122,0)+1</f>
        <v>46054</v>
      </c>
      <c r="B123">
        <f t="shared" si="24"/>
        <v>2026</v>
      </c>
      <c r="C123">
        <f t="shared" si="25"/>
        <v>2</v>
      </c>
      <c r="D123" s="30"/>
      <c r="E123" s="30"/>
      <c r="F123" s="264">
        <f t="shared" ca="1" si="31"/>
        <v>803.82854166666664</v>
      </c>
      <c r="G123" s="264">
        <f t="shared" ca="1" si="31"/>
        <v>0</v>
      </c>
      <c r="I123" s="18">
        <f>'GS&gt;50 Predicted Monthly (no LC)'!$P$9</f>
        <v>4121039.41701539</v>
      </c>
      <c r="J123" s="18">
        <f ca="1">F123*'GS&gt;50 Predicted Monthly (no LC)'!$P$10</f>
        <v>1861261.5613215731</v>
      </c>
      <c r="K123" s="18">
        <f ca="1">G123*'GS&gt;50 Predicted Monthly (no LC)'!$P$11</f>
        <v>0</v>
      </c>
      <c r="L123" s="18">
        <f t="shared" ca="1" si="18"/>
        <v>5982300.9783369629</v>
      </c>
      <c r="M123" s="18"/>
      <c r="N123" s="18">
        <f>'Monthly Data'!DN123</f>
        <v>0</v>
      </c>
      <c r="O123" s="18">
        <f>'Monthly Data'!DO123</f>
        <v>0</v>
      </c>
      <c r="P123" s="18">
        <f t="shared" ca="1" si="19"/>
        <v>803.82854166666664</v>
      </c>
      <c r="Q123" s="18">
        <f t="shared" ref="Q123:Q145" si="33">Q111</f>
        <v>0</v>
      </c>
      <c r="R123" s="18"/>
      <c r="S123" s="18">
        <f>'LC Predicted Monthly'!$T$9</f>
        <v>-22694.781953278001</v>
      </c>
      <c r="T123" s="18">
        <f>N123*'LC Predicted Monthly'!$T$10</f>
        <v>0</v>
      </c>
      <c r="U123" s="18">
        <f>O123*'LC Predicted Monthly'!$T$11</f>
        <v>0</v>
      </c>
      <c r="V123" s="18">
        <f ca="1">P123*'LC Predicted Monthly'!$T$12</f>
        <v>164570.48652232124</v>
      </c>
      <c r="W123" s="18">
        <f>Q123*'LC Predicted Monthly'!$T$13</f>
        <v>0</v>
      </c>
      <c r="X123" s="18">
        <f t="shared" ca="1" si="20"/>
        <v>141875.70456904324</v>
      </c>
      <c r="Y123" s="18">
        <f t="shared" ca="1" si="21"/>
        <v>6124176.6829060065</v>
      </c>
      <c r="AA123" s="30"/>
      <c r="AB123" s="18"/>
      <c r="AC123" s="34"/>
      <c r="AO123" s="33">
        <f t="shared" ca="1" si="30"/>
        <v>718.28069103781206</v>
      </c>
      <c r="AP123" s="33">
        <f t="shared" ca="1" si="30"/>
        <v>887.54329373386554</v>
      </c>
      <c r="AQ123" s="33">
        <f t="shared" ca="1" si="30"/>
        <v>0</v>
      </c>
      <c r="AR123" s="33">
        <f t="shared" ca="1" si="30"/>
        <v>0</v>
      </c>
      <c r="AT123" s="18">
        <f ca="1">AO123*'GS&gt;50 Predicted Monthly (no LC)'!$P$10</f>
        <v>1663175.8779007981</v>
      </c>
      <c r="AU123" s="18">
        <f ca="1">AP123*'GS&gt;50 Predicted Monthly (no LC)'!$P$10</f>
        <v>2055102.7128377589</v>
      </c>
      <c r="AV123" s="18">
        <f ca="1">AQ123*'GS&gt;50 Predicted Monthly (no LC)'!$P$11</f>
        <v>0</v>
      </c>
      <c r="AW123" s="18">
        <f ca="1">AR123*'GS&gt;50 Predicted Monthly (no LC)'!$P$11</f>
        <v>0</v>
      </c>
      <c r="AY123" s="18">
        <f ca="1">AO123*'LC Predicted Monthly'!$T$12</f>
        <v>147055.99099353765</v>
      </c>
      <c r="AZ123" s="18">
        <f ca="1">AP123*'LC Predicted Monthly'!$T$12</f>
        <v>181709.68569560398</v>
      </c>
      <c r="BB123" s="31">
        <f t="shared" ca="1" si="22"/>
        <v>5908576.5039564483</v>
      </c>
      <c r="BC123" s="31">
        <f t="shared" ca="1" si="23"/>
        <v>6335157.0335954754</v>
      </c>
    </row>
    <row r="124" spans="1:55">
      <c r="A124" s="541">
        <f t="shared" si="32"/>
        <v>46082</v>
      </c>
      <c r="B124">
        <f t="shared" si="24"/>
        <v>2026</v>
      </c>
      <c r="C124">
        <f t="shared" si="25"/>
        <v>3</v>
      </c>
      <c r="D124" s="30"/>
      <c r="E124" s="30"/>
      <c r="F124" s="264">
        <f t="shared" ca="1" si="31"/>
        <v>698.29604166666672</v>
      </c>
      <c r="G124" s="264">
        <f t="shared" ca="1" si="31"/>
        <v>0.11000000000000032</v>
      </c>
      <c r="I124" s="18">
        <f>'GS&gt;50 Predicted Monthly (no LC)'!$P$9</f>
        <v>4121039.41701539</v>
      </c>
      <c r="J124" s="18">
        <f ca="1">F124*'GS&gt;50 Predicted Monthly (no LC)'!$P$10</f>
        <v>1616901.5074811084</v>
      </c>
      <c r="K124" s="18">
        <f ca="1">G124*'GS&gt;50 Predicted Monthly (no LC)'!$P$11</f>
        <v>594.2444084467578</v>
      </c>
      <c r="L124" s="18">
        <f t="shared" ca="1" si="18"/>
        <v>5738535.1689049443</v>
      </c>
      <c r="M124" s="18"/>
      <c r="N124" s="18">
        <f>'Monthly Data'!DN124</f>
        <v>0</v>
      </c>
      <c r="O124" s="18">
        <f>'Monthly Data'!DO124</f>
        <v>0</v>
      </c>
      <c r="P124" s="18">
        <f t="shared" ca="1" si="19"/>
        <v>698.29604166666672</v>
      </c>
      <c r="Q124" s="18">
        <f t="shared" si="33"/>
        <v>0</v>
      </c>
      <c r="R124" s="18"/>
      <c r="S124" s="18">
        <f>'LC Predicted Monthly'!$T$9</f>
        <v>-22694.781953278001</v>
      </c>
      <c r="T124" s="18">
        <f>N124*'LC Predicted Monthly'!$T$10</f>
        <v>0</v>
      </c>
      <c r="U124" s="18">
        <f>O124*'LC Predicted Monthly'!$T$11</f>
        <v>0</v>
      </c>
      <c r="V124" s="18">
        <f ca="1">P124*'LC Predicted Monthly'!$T$12</f>
        <v>142964.46736690929</v>
      </c>
      <c r="W124" s="18">
        <f>Q124*'LC Predicted Monthly'!$T$13</f>
        <v>0</v>
      </c>
      <c r="X124" s="18">
        <f t="shared" ca="1" si="20"/>
        <v>120269.68541363129</v>
      </c>
      <c r="Y124" s="18">
        <f t="shared" ca="1" si="21"/>
        <v>5858804.8543185759</v>
      </c>
      <c r="AA124" s="30"/>
      <c r="AO124" s="33">
        <f t="shared" ca="1" si="30"/>
        <v>623.97953961343092</v>
      </c>
      <c r="AP124" s="33">
        <f t="shared" ca="1" si="30"/>
        <v>771.02010776716202</v>
      </c>
      <c r="AQ124" s="33">
        <f t="shared" ca="1" si="30"/>
        <v>9.2975657066825132E-2</v>
      </c>
      <c r="AR124" s="33">
        <f t="shared" ca="1" si="30"/>
        <v>0.11932565987223402</v>
      </c>
      <c r="AT124" s="18">
        <f ca="1">AO124*'GS&gt;50 Predicted Monthly (no LC)'!$P$10</f>
        <v>1444821.9638053337</v>
      </c>
      <c r="AU124" s="18">
        <f ca="1">AP124*'GS&gt;50 Predicted Monthly (no LC)'!$P$10</f>
        <v>1785293.7724972367</v>
      </c>
      <c r="AV124" s="18">
        <f ca="1">AQ124*'GS&gt;50 Predicted Monthly (no LC)'!$P$11</f>
        <v>502.27513030567235</v>
      </c>
      <c r="AW124" s="18">
        <f ca="1">AR124*'GS&gt;50 Predicted Monthly (no LC)'!$P$11</f>
        <v>644.62369239358668</v>
      </c>
      <c r="AY124" s="18">
        <f ca="1">AO124*'LC Predicted Monthly'!$T$12</f>
        <v>127749.40312674227</v>
      </c>
      <c r="AZ124" s="18">
        <f ca="1">AP124*'LC Predicted Monthly'!$T$12</f>
        <v>157853.50690664109</v>
      </c>
      <c r="BB124" s="31">
        <f t="shared" ca="1" si="22"/>
        <v>5671418.2771244934</v>
      </c>
      <c r="BC124" s="31">
        <f t="shared" ca="1" si="23"/>
        <v>6042136.5381583832</v>
      </c>
    </row>
    <row r="125" spans="1:55">
      <c r="A125" s="541">
        <f t="shared" si="32"/>
        <v>46113</v>
      </c>
      <c r="B125">
        <f t="shared" si="24"/>
        <v>2026</v>
      </c>
      <c r="C125">
        <f t="shared" si="25"/>
        <v>4</v>
      </c>
      <c r="D125" s="30"/>
      <c r="E125" s="30"/>
      <c r="F125" s="264">
        <f t="shared" ca="1" si="31"/>
        <v>468.60374999999993</v>
      </c>
      <c r="G125" s="264">
        <f t="shared" ca="1" si="31"/>
        <v>7.7354166666666684</v>
      </c>
      <c r="I125" s="18">
        <f>'GS&gt;50 Predicted Monthly (no LC)'!$P$9</f>
        <v>4121039.41701539</v>
      </c>
      <c r="J125" s="18">
        <f ca="1">F125*'GS&gt;50 Predicted Monthly (no LC)'!$P$10</f>
        <v>1085049.9853584787</v>
      </c>
      <c r="K125" s="18">
        <f ca="1">G125*'GS&gt;50 Predicted Monthly (no LC)'!$P$11</f>
        <v>41788.437283386476</v>
      </c>
      <c r="L125" s="18">
        <f t="shared" ca="1" si="18"/>
        <v>5247877.8396572554</v>
      </c>
      <c r="M125" s="18"/>
      <c r="N125" s="18">
        <f>'Monthly Data'!DN125</f>
        <v>0</v>
      </c>
      <c r="O125" s="18">
        <f>'Monthly Data'!DO125</f>
        <v>0</v>
      </c>
      <c r="P125" s="18">
        <f t="shared" ca="1" si="19"/>
        <v>468.60374999999993</v>
      </c>
      <c r="Q125" s="18">
        <f t="shared" si="33"/>
        <v>0</v>
      </c>
      <c r="R125" s="18"/>
      <c r="S125" s="18">
        <f>'LC Predicted Monthly'!$T$9</f>
        <v>-22694.781953278001</v>
      </c>
      <c r="T125" s="18">
        <f>N125*'LC Predicted Monthly'!$T$10</f>
        <v>0</v>
      </c>
      <c r="U125" s="18">
        <f>O125*'LC Predicted Monthly'!$T$11</f>
        <v>0</v>
      </c>
      <c r="V125" s="18">
        <f ca="1">P125*'LC Predicted Monthly'!$T$12</f>
        <v>95938.80177952649</v>
      </c>
      <c r="W125" s="18">
        <f>Q125*'LC Predicted Monthly'!$T$13</f>
        <v>0</v>
      </c>
      <c r="X125" s="18">
        <f t="shared" ca="1" si="20"/>
        <v>73244.019826248492</v>
      </c>
      <c r="Y125" s="18">
        <f t="shared" ca="1" si="21"/>
        <v>5321121.8594835037</v>
      </c>
      <c r="AA125" s="30"/>
      <c r="AB125" s="18"/>
      <c r="AO125" s="33">
        <f t="shared" ca="1" si="30"/>
        <v>418.73236383846591</v>
      </c>
      <c r="AP125" s="33">
        <f t="shared" ca="1" si="30"/>
        <v>517.40650421381736</v>
      </c>
      <c r="AQ125" s="33">
        <f t="shared" ca="1" si="30"/>
        <v>6.5382313388091058</v>
      </c>
      <c r="AR125" s="33">
        <f t="shared" ca="1" si="30"/>
        <v>8.3912154376061316</v>
      </c>
      <c r="AT125" s="18">
        <f ca="1">AO125*'GS&gt;50 Predicted Monthly (no LC)'!$P$10</f>
        <v>969573.00331473805</v>
      </c>
      <c r="AU125" s="18">
        <f ca="1">AP125*'GS&gt;50 Predicted Monthly (no LC)'!$P$10</f>
        <v>1198052.5546831076</v>
      </c>
      <c r="AV125" s="18">
        <f ca="1">AQ125*'GS&gt;50 Predicted Monthly (no LC)'!$P$11</f>
        <v>35320.976492896902</v>
      </c>
      <c r="AW125" s="18">
        <f ca="1">AR125*'GS&gt;50 Predicted Monthly (no LC)'!$P$11</f>
        <v>45331.207762450395</v>
      </c>
      <c r="AY125" s="18">
        <f ca="1">AO125*'LC Predicted Monthly'!$T$12</f>
        <v>85728.467288132349</v>
      </c>
      <c r="AZ125" s="18">
        <f ca="1">AP125*'LC Predicted Monthly'!$T$12</f>
        <v>105930.35170377353</v>
      </c>
      <c r="BB125" s="31">
        <f t="shared" ca="1" si="22"/>
        <v>5188967.0821578791</v>
      </c>
      <c r="BC125" s="31">
        <f t="shared" ca="1" si="23"/>
        <v>5447658.7492114436</v>
      </c>
    </row>
    <row r="126" spans="1:55">
      <c r="A126" s="541">
        <f t="shared" si="32"/>
        <v>46143</v>
      </c>
      <c r="B126">
        <f t="shared" si="24"/>
        <v>2026</v>
      </c>
      <c r="C126">
        <f t="shared" si="25"/>
        <v>5</v>
      </c>
      <c r="D126" s="30"/>
      <c r="E126" s="30"/>
      <c r="F126" s="264">
        <f t="shared" ca="1" si="31"/>
        <v>232.88687500000006</v>
      </c>
      <c r="G126" s="264">
        <f t="shared" ca="1" si="31"/>
        <v>111.43645833333332</v>
      </c>
      <c r="I126" s="18">
        <f>'GS&gt;50 Predicted Monthly (no LC)'!$P$9</f>
        <v>4121039.41701539</v>
      </c>
      <c r="J126" s="18">
        <f ca="1">F126*'GS&gt;50 Predicted Monthly (no LC)'!$P$10</f>
        <v>539248.5662117129</v>
      </c>
      <c r="K126" s="18">
        <f ca="1">G126*'GS&gt;50 Predicted Monthly (no LC)'!$P$11</f>
        <v>602004.47510630218</v>
      </c>
      <c r="L126" s="18">
        <f t="shared" ca="1" si="18"/>
        <v>5262292.4583334047</v>
      </c>
      <c r="M126" s="18"/>
      <c r="N126" s="18">
        <f>'Monthly Data'!DN126</f>
        <v>0</v>
      </c>
      <c r="O126" s="18">
        <f>'Monthly Data'!DO126</f>
        <v>0</v>
      </c>
      <c r="P126" s="18">
        <f t="shared" ca="1" si="19"/>
        <v>232.88687500000006</v>
      </c>
      <c r="Q126" s="18">
        <f t="shared" si="33"/>
        <v>0</v>
      </c>
      <c r="R126" s="18"/>
      <c r="S126" s="18">
        <f>'LC Predicted Monthly'!$T$9</f>
        <v>-22694.781953278001</v>
      </c>
      <c r="T126" s="18">
        <f>N126*'LC Predicted Monthly'!$T$10</f>
        <v>0</v>
      </c>
      <c r="U126" s="18">
        <f>O126*'LC Predicted Monthly'!$T$11</f>
        <v>0</v>
      </c>
      <c r="V126" s="18">
        <f ca="1">P126*'LC Predicted Monthly'!$T$12</f>
        <v>47679.703241125091</v>
      </c>
      <c r="W126" s="18">
        <f>Q126*'LC Predicted Monthly'!$T$13</f>
        <v>0</v>
      </c>
      <c r="X126" s="18">
        <f t="shared" ca="1" si="20"/>
        <v>24984.92128784709</v>
      </c>
      <c r="Y126" s="18">
        <f t="shared" ca="1" si="21"/>
        <v>5287277.3796212515</v>
      </c>
      <c r="AA126" s="30"/>
      <c r="AB126" s="18"/>
      <c r="AO126" s="33">
        <f t="shared" ref="AO126:AR141" ca="1" si="34">AO114</f>
        <v>208.10177399498693</v>
      </c>
      <c r="AP126" s="33">
        <f t="shared" ca="1" si="34"/>
        <v>257.1408868815717</v>
      </c>
      <c r="AQ126" s="33">
        <f t="shared" ca="1" si="34"/>
        <v>94.189799406741059</v>
      </c>
      <c r="AR126" s="33">
        <f t="shared" ca="1" si="34"/>
        <v>120.88389931317884</v>
      </c>
      <c r="AT126" s="18">
        <f ca="1">AO126*'GS&gt;50 Predicted Monthly (no LC)'!$P$10</f>
        <v>481858.77049924171</v>
      </c>
      <c r="AU126" s="18">
        <f ca="1">AP126*'GS&gt;50 Predicted Monthly (no LC)'!$P$10</f>
        <v>595408.62732301152</v>
      </c>
      <c r="AV126" s="18">
        <f ca="1">AQ126*'GS&gt;50 Predicted Monthly (no LC)'!$P$11</f>
        <v>508834.19663797691</v>
      </c>
      <c r="AW126" s="18">
        <f ca="1">AR126*'GS&gt;50 Predicted Monthly (no LC)'!$P$11</f>
        <v>653041.64761906536</v>
      </c>
      <c r="AY126" s="18">
        <f ca="1">AO126*'LC Predicted Monthly'!$T$12</f>
        <v>42605.367211152006</v>
      </c>
      <c r="AZ126" s="18">
        <f ca="1">AP126*'LC Predicted Monthly'!$T$12</f>
        <v>52645.307631325515</v>
      </c>
      <c r="BB126" s="31">
        <f t="shared" ca="1" si="22"/>
        <v>5131642.9694104819</v>
      </c>
      <c r="BC126" s="31">
        <f t="shared" ca="1" si="23"/>
        <v>5399440.2176355133</v>
      </c>
    </row>
    <row r="127" spans="1:55">
      <c r="A127" s="541">
        <f t="shared" si="32"/>
        <v>46174</v>
      </c>
      <c r="B127">
        <f t="shared" si="24"/>
        <v>2026</v>
      </c>
      <c r="C127">
        <f t="shared" si="25"/>
        <v>6</v>
      </c>
      <c r="D127" s="30"/>
      <c r="E127" s="30"/>
      <c r="F127" s="264">
        <f t="shared" ca="1" si="31"/>
        <v>92.751249999999999</v>
      </c>
      <c r="G127" s="264">
        <f t="shared" ca="1" si="31"/>
        <v>227.31958333333333</v>
      </c>
      <c r="I127" s="18">
        <f>'GS&gt;50 Predicted Monthly (no LC)'!$P$9</f>
        <v>4121039.41701539</v>
      </c>
      <c r="J127" s="18">
        <f ca="1">F127*'GS&gt;50 Predicted Monthly (no LC)'!$P$10</f>
        <v>214765.12395489923</v>
      </c>
      <c r="K127" s="18">
        <f ca="1">G127*'GS&gt;50 Predicted Monthly (no LC)'!$P$11</f>
        <v>1228030.8302389067</v>
      </c>
      <c r="L127" s="18">
        <f t="shared" ca="1" si="18"/>
        <v>5563835.3712091958</v>
      </c>
      <c r="M127" s="18"/>
      <c r="N127" s="18">
        <f>'Monthly Data'!DN127</f>
        <v>0</v>
      </c>
      <c r="O127" s="18">
        <f>'Monthly Data'!DO127</f>
        <v>0</v>
      </c>
      <c r="P127" s="18">
        <f t="shared" ca="1" si="19"/>
        <v>92.751249999999999</v>
      </c>
      <c r="Q127" s="18">
        <f t="shared" si="33"/>
        <v>0</v>
      </c>
      <c r="R127" s="18"/>
      <c r="S127" s="18">
        <f>'LC Predicted Monthly'!$T$9</f>
        <v>-22694.781953278001</v>
      </c>
      <c r="T127" s="18">
        <f>N127*'LC Predicted Monthly'!$T$10</f>
        <v>0</v>
      </c>
      <c r="U127" s="18">
        <f>O127*'LC Predicted Monthly'!$T$11</f>
        <v>0</v>
      </c>
      <c r="V127" s="18">
        <f ca="1">P127*'LC Predicted Monthly'!$T$12</f>
        <v>18989.271401591017</v>
      </c>
      <c r="W127" s="18">
        <f>Q127*'LC Predicted Monthly'!$T$13</f>
        <v>0</v>
      </c>
      <c r="X127" s="18">
        <f t="shared" ca="1" si="20"/>
        <v>-3705.5105516869844</v>
      </c>
      <c r="Y127" s="18">
        <f t="shared" ca="1" si="21"/>
        <v>5560129.8606575085</v>
      </c>
      <c r="AA127" s="30"/>
      <c r="AB127" s="18"/>
      <c r="AO127" s="33">
        <f t="shared" ca="1" si="34"/>
        <v>82.880152285321046</v>
      </c>
      <c r="AP127" s="33">
        <f t="shared" ca="1" si="34"/>
        <v>102.41083223077457</v>
      </c>
      <c r="AQ127" s="33">
        <f t="shared" ca="1" si="34"/>
        <v>192.13806931430472</v>
      </c>
      <c r="AR127" s="33">
        <f t="shared" ca="1" si="34"/>
        <v>246.59144802846558</v>
      </c>
      <c r="AT127" s="18">
        <f ca="1">AO127*'GS&gt;50 Predicted Monthly (no LC)'!$P$10</f>
        <v>191908.63927934016</v>
      </c>
      <c r="AU127" s="18">
        <f ca="1">AP127*'GS&gt;50 Predicted Monthly (no LC)'!$P$10</f>
        <v>237131.8454292173</v>
      </c>
      <c r="AV127" s="18">
        <f ca="1">AQ127*'GS&gt;50 Predicted Monthly (no LC)'!$P$11</f>
        <v>1037972.4849070985</v>
      </c>
      <c r="AW127" s="18">
        <f ca="1">AR127*'GS&gt;50 Predicted Monthly (no LC)'!$P$11</f>
        <v>1332141.7196518595</v>
      </c>
      <c r="AY127" s="18">
        <f ca="1">AO127*'LC Predicted Monthly'!$T$12</f>
        <v>16968.328788573257</v>
      </c>
      <c r="AZ127" s="18">
        <f ca="1">AP127*'LC Predicted Monthly'!$T$12</f>
        <v>20966.909747232337</v>
      </c>
      <c r="BB127" s="31">
        <f t="shared" ca="1" si="22"/>
        <v>5345194.088037123</v>
      </c>
      <c r="BC127" s="31">
        <f t="shared" ca="1" si="23"/>
        <v>5688585.1098904209</v>
      </c>
    </row>
    <row r="128" spans="1:55">
      <c r="A128" s="541">
        <f t="shared" si="32"/>
        <v>46204</v>
      </c>
      <c r="B128">
        <f t="shared" ref="B128:B137" si="35">YEAR(A128)</f>
        <v>2026</v>
      </c>
      <c r="C128">
        <f t="shared" ref="C128:C137" si="36">MONTH(A128)</f>
        <v>7</v>
      </c>
      <c r="D128" s="30"/>
      <c r="E128" s="30"/>
      <c r="F128" s="264">
        <f t="shared" ca="1" si="31"/>
        <v>25.464999999999996</v>
      </c>
      <c r="G128" s="264">
        <f t="shared" ca="1" si="31"/>
        <v>327.99625000000003</v>
      </c>
      <c r="I128" s="18">
        <f>'GS&gt;50 Predicted Monthly (no LC)'!$P$9</f>
        <v>4121039.41701539</v>
      </c>
      <c r="J128" s="18">
        <f ca="1">F128*'GS&gt;50 Predicted Monthly (no LC)'!$P$10</f>
        <v>58964.098936796094</v>
      </c>
      <c r="K128" s="18">
        <f ca="1">G128*'GS&gt;50 Predicted Monthly (no LC)'!$P$11</f>
        <v>1771908.5232182215</v>
      </c>
      <c r="L128" s="18">
        <f t="shared" ca="1" si="18"/>
        <v>5951912.0391704077</v>
      </c>
      <c r="M128" s="18"/>
      <c r="N128" s="18">
        <f>'Monthly Data'!DN128</f>
        <v>0</v>
      </c>
      <c r="O128" s="18">
        <f>'Monthly Data'!DO128</f>
        <v>0</v>
      </c>
      <c r="P128" s="18">
        <f t="shared" ca="1" si="19"/>
        <v>25.464999999999996</v>
      </c>
      <c r="Q128" s="18">
        <f t="shared" si="33"/>
        <v>0</v>
      </c>
      <c r="R128" s="18"/>
      <c r="S128" s="18">
        <f>'LC Predicted Monthly'!$T$9</f>
        <v>-22694.781953278001</v>
      </c>
      <c r="T128" s="18">
        <f>N128*'LC Predicted Monthly'!$T$10</f>
        <v>0</v>
      </c>
      <c r="U128" s="18">
        <f>O128*'LC Predicted Monthly'!$T$11</f>
        <v>0</v>
      </c>
      <c r="V128" s="18">
        <f ca="1">P128*'LC Predicted Monthly'!$T$12</f>
        <v>5213.5340088841413</v>
      </c>
      <c r="W128" s="18">
        <f>Q128*'LC Predicted Monthly'!$T$13</f>
        <v>0</v>
      </c>
      <c r="X128" s="18">
        <f t="shared" ca="1" si="20"/>
        <v>-17481.247944393861</v>
      </c>
      <c r="Y128" s="18">
        <f t="shared" ca="1" si="21"/>
        <v>5934430.7912260136</v>
      </c>
      <c r="AA128" s="30"/>
      <c r="AB128" s="18"/>
      <c r="AO128" s="33">
        <f t="shared" ca="1" si="34"/>
        <v>22.754874763905612</v>
      </c>
      <c r="AP128" s="33">
        <f t="shared" ca="1" si="34"/>
        <v>28.117053330889604</v>
      </c>
      <c r="AQ128" s="33">
        <f t="shared" ca="1" si="34"/>
        <v>277.23333508367784</v>
      </c>
      <c r="AR128" s="33">
        <f t="shared" ca="1" si="34"/>
        <v>355.80335424425579</v>
      </c>
      <c r="AT128" s="18">
        <f ca="1">AO128*'GS&gt;50 Predicted Monthly (no LC)'!$P$10</f>
        <v>52688.815506512285</v>
      </c>
      <c r="AU128" s="18">
        <f ca="1">AP128*'GS&gt;50 Predicted Monthly (no LC)'!$P$10</f>
        <v>65104.917118152247</v>
      </c>
      <c r="AV128" s="18">
        <f ca="1">AQ128*'GS&gt;50 Predicted Monthly (no LC)'!$P$11</f>
        <v>1497675.9928047406</v>
      </c>
      <c r="AW128" s="18">
        <f ca="1">AR128*'GS&gt;50 Predicted Monthly (no LC)'!$P$11</f>
        <v>1922128.6706022671</v>
      </c>
      <c r="AY128" s="18">
        <f ca="1">AO128*'LC Predicted Monthly'!$T$12</f>
        <v>4658.6810700774167</v>
      </c>
      <c r="AZ128" s="18">
        <f ca="1">AP128*'LC Predicted Monthly'!$T$12</f>
        <v>5756.4976937051679</v>
      </c>
      <c r="BB128" s="31">
        <f t="shared" ca="1" si="22"/>
        <v>5653368.1244434416</v>
      </c>
      <c r="BC128" s="31">
        <f t="shared" ca="1" si="23"/>
        <v>6091334.7204762362</v>
      </c>
    </row>
    <row r="129" spans="1:55">
      <c r="A129" s="541">
        <f t="shared" si="32"/>
        <v>46235</v>
      </c>
      <c r="B129">
        <f t="shared" si="35"/>
        <v>2026</v>
      </c>
      <c r="C129">
        <f t="shared" si="36"/>
        <v>8</v>
      </c>
      <c r="D129" s="30"/>
      <c r="E129" s="30"/>
      <c r="F129" s="264">
        <f t="shared" ca="1" si="31"/>
        <v>54.974791666666668</v>
      </c>
      <c r="G129" s="264">
        <f t="shared" ca="1" si="31"/>
        <v>280.40312500000005</v>
      </c>
      <c r="I129" s="18">
        <f>'GS&gt;50 Predicted Monthly (no LC)'!$P$9</f>
        <v>4121039.41701539</v>
      </c>
      <c r="J129" s="18">
        <f ca="1">F129*'GS&gt;50 Predicted Monthly (no LC)'!$P$10</f>
        <v>127293.89573387343</v>
      </c>
      <c r="K129" s="18">
        <f ca="1">G129*'GS&gt;50 Predicted Monthly (no LC)'!$P$11</f>
        <v>1514799.9012931532</v>
      </c>
      <c r="L129" s="18">
        <f t="shared" ca="1" si="18"/>
        <v>5763133.2140424168</v>
      </c>
      <c r="M129" s="18"/>
      <c r="N129" s="18">
        <f>'Monthly Data'!DN129</f>
        <v>0</v>
      </c>
      <c r="O129" s="18">
        <f>'Monthly Data'!DO129</f>
        <v>0</v>
      </c>
      <c r="P129" s="18">
        <f t="shared" ca="1" si="19"/>
        <v>54.974791666666668</v>
      </c>
      <c r="Q129" s="18">
        <f t="shared" si="33"/>
        <v>0</v>
      </c>
      <c r="R129" s="18"/>
      <c r="S129" s="18">
        <f>'LC Predicted Monthly'!$T$9</f>
        <v>-22694.781953278001</v>
      </c>
      <c r="T129" s="18">
        <f>N129*'LC Predicted Monthly'!$T$10</f>
        <v>0</v>
      </c>
      <c r="U129" s="18">
        <f>O129*'LC Predicted Monthly'!$T$11</f>
        <v>0</v>
      </c>
      <c r="V129" s="18">
        <f ca="1">P129*'LC Predicted Monthly'!$T$12</f>
        <v>11255.171646789209</v>
      </c>
      <c r="W129" s="18">
        <f>Q129*'LC Predicted Monthly'!$T$13</f>
        <v>0</v>
      </c>
      <c r="X129" s="18">
        <f t="shared" ca="1" si="20"/>
        <v>-11439.610306488792</v>
      </c>
      <c r="Y129" s="18">
        <f t="shared" ca="1" si="21"/>
        <v>5751693.6037359284</v>
      </c>
      <c r="AB129" s="18"/>
      <c r="AO129" s="33">
        <f t="shared" ca="1" si="34"/>
        <v>49.124072238240799</v>
      </c>
      <c r="AP129" s="33">
        <f t="shared" ca="1" si="34"/>
        <v>60.700143300459935</v>
      </c>
      <c r="AQ129" s="33">
        <f t="shared" ca="1" si="34"/>
        <v>237.00604354969119</v>
      </c>
      <c r="AR129" s="33">
        <f t="shared" ca="1" si="34"/>
        <v>304.17534473510392</v>
      </c>
      <c r="AT129" s="18">
        <f ca="1">AO129*'GS&gt;50 Predicted Monthly (no LC)'!$P$10</f>
        <v>113746.57984032786</v>
      </c>
      <c r="AU129" s="18">
        <f ca="1">AP129*'GS&gt;50 Predicted Monthly (no LC)'!$P$10</f>
        <v>140550.92303341921</v>
      </c>
      <c r="AV129" s="18">
        <f ca="1">AQ129*'GS&gt;50 Predicted Monthly (no LC)'!$P$11</f>
        <v>1280359.2377044759</v>
      </c>
      <c r="AW129" s="18">
        <f ca="1">AR129*'GS&gt;50 Predicted Monthly (no LC)'!$P$11</f>
        <v>1643222.7072381813</v>
      </c>
      <c r="AY129" s="18">
        <f ca="1">AO129*'LC Predicted Monthly'!$T$12</f>
        <v>10057.334430353416</v>
      </c>
      <c r="AZ129" s="18">
        <f ca="1">AP129*'LC Predicted Monthly'!$T$12</f>
        <v>12427.341898334529</v>
      </c>
      <c r="BB129" s="31">
        <f t="shared" ca="1" si="22"/>
        <v>5502507.7870372701</v>
      </c>
      <c r="BC129" s="31">
        <f t="shared" ca="1" si="23"/>
        <v>5894545.6072320472</v>
      </c>
    </row>
    <row r="130" spans="1:55">
      <c r="A130" s="541">
        <f t="shared" si="32"/>
        <v>46266</v>
      </c>
      <c r="B130">
        <f t="shared" si="35"/>
        <v>2026</v>
      </c>
      <c r="C130">
        <f t="shared" si="36"/>
        <v>9</v>
      </c>
      <c r="D130" s="30"/>
      <c r="E130" s="30"/>
      <c r="F130" s="264">
        <f t="shared" ca="1" si="31"/>
        <v>166.50624999999999</v>
      </c>
      <c r="G130" s="264">
        <f t="shared" ca="1" si="31"/>
        <v>144.00333333333333</v>
      </c>
      <c r="I130" s="18">
        <f>'GS&gt;50 Predicted Monthly (no LC)'!$P$9</f>
        <v>4121039.41701539</v>
      </c>
      <c r="J130" s="18">
        <f ca="1">F130*'GS&gt;50 Predicted Monthly (no LC)'!$P$10</f>
        <v>385544.51202022011</v>
      </c>
      <c r="K130" s="18">
        <f ca="1">G130*'GS&gt;50 Predicted Monthly (no LC)'!$P$11</f>
        <v>777937.96028206998</v>
      </c>
      <c r="L130" s="18">
        <f t="shared" ca="1" si="18"/>
        <v>5284521.8893176802</v>
      </c>
      <c r="M130" s="18"/>
      <c r="N130" s="18">
        <f>'Monthly Data'!DN130</f>
        <v>0</v>
      </c>
      <c r="O130" s="18">
        <f>'Monthly Data'!DO130</f>
        <v>0</v>
      </c>
      <c r="P130" s="18">
        <f t="shared" ca="1" si="19"/>
        <v>166.50624999999999</v>
      </c>
      <c r="Q130" s="18">
        <f t="shared" si="33"/>
        <v>1</v>
      </c>
      <c r="R130" s="18"/>
      <c r="S130" s="18">
        <f>'LC Predicted Monthly'!$T$9</f>
        <v>-22694.781953278001</v>
      </c>
      <c r="T130" s="18">
        <f>N130*'LC Predicted Monthly'!$T$10</f>
        <v>0</v>
      </c>
      <c r="U130" s="18">
        <f>O130*'LC Predicted Monthly'!$T$11</f>
        <v>0</v>
      </c>
      <c r="V130" s="18">
        <f ca="1">P130*'LC Predicted Monthly'!$T$12</f>
        <v>34089.377461879645</v>
      </c>
      <c r="W130" s="18">
        <f>Q130*'LC Predicted Monthly'!$T$13</f>
        <v>97970.228068396304</v>
      </c>
      <c r="X130" s="18">
        <f t="shared" ca="1" si="20"/>
        <v>109364.82357699795</v>
      </c>
      <c r="Y130" s="18">
        <f t="shared" ca="1" si="21"/>
        <v>5393886.7128946781</v>
      </c>
      <c r="AB130" s="18"/>
      <c r="AO130" s="33">
        <f t="shared" ca="1" si="34"/>
        <v>148.78573988445157</v>
      </c>
      <c r="AP130" s="33">
        <f t="shared" ca="1" si="34"/>
        <v>183.84704932952829</v>
      </c>
      <c r="AQ130" s="33">
        <f t="shared" ca="1" si="34"/>
        <v>121.71640487708792</v>
      </c>
      <c r="AR130" s="33">
        <f t="shared" ca="1" si="34"/>
        <v>156.21175248910205</v>
      </c>
      <c r="AT130" s="18">
        <f ca="1">AO130*'GS&gt;50 Predicted Monthly (no LC)'!$P$10</f>
        <v>344512.74639431422</v>
      </c>
      <c r="AU130" s="18">
        <f ca="1">AP130*'GS&gt;50 Predicted Monthly (no LC)'!$P$10</f>
        <v>425697.05893989158</v>
      </c>
      <c r="AV130" s="18">
        <f ca="1">AQ130*'GS&gt;50 Predicted Monthly (no LC)'!$P$11</f>
        <v>657539.02740409982</v>
      </c>
      <c r="AW130" s="18">
        <f ca="1">AR130*'GS&gt;50 Predicted Monthly (no LC)'!$P$11</f>
        <v>843890.54954834119</v>
      </c>
      <c r="AY130" s="18">
        <f ca="1">AO130*'LC Predicted Monthly'!$T$12</f>
        <v>30461.398583333124</v>
      </c>
      <c r="AZ130" s="18">
        <f ca="1">AP130*'LC Predicted Monthly'!$T$12</f>
        <v>37639.616890339537</v>
      </c>
      <c r="BB130" s="31">
        <f t="shared" ca="1" si="22"/>
        <v>5228828.0355122555</v>
      </c>
      <c r="BC130" s="31">
        <f t="shared" ca="1" si="23"/>
        <v>5503542.0885090809</v>
      </c>
    </row>
    <row r="131" spans="1:55">
      <c r="A131" s="541">
        <f t="shared" si="32"/>
        <v>46296</v>
      </c>
      <c r="B131">
        <f t="shared" si="35"/>
        <v>2026</v>
      </c>
      <c r="C131">
        <f t="shared" si="36"/>
        <v>10</v>
      </c>
      <c r="D131" s="30"/>
      <c r="E131" s="30"/>
      <c r="F131" s="264">
        <f t="shared" ca="1" si="31"/>
        <v>363.47645833333326</v>
      </c>
      <c r="G131" s="264">
        <f t="shared" ca="1" si="31"/>
        <v>40.02791666666667</v>
      </c>
      <c r="I131" s="18">
        <f>'GS&gt;50 Predicted Monthly (no LC)'!$P$9</f>
        <v>4121039.41701539</v>
      </c>
      <c r="J131" s="18">
        <f ca="1">F131*'GS&gt;50 Predicted Monthly (no LC)'!$P$10</f>
        <v>841628.18968635018</v>
      </c>
      <c r="K131" s="18">
        <f ca="1">G131*'GS&gt;50 Predicted Monthly (no LC)'!$P$11</f>
        <v>216239.6878267217</v>
      </c>
      <c r="L131" s="18">
        <f t="shared" ref="L131:L145" ca="1" si="37">SUM(I131:K131)</f>
        <v>5178907.294528462</v>
      </c>
      <c r="M131" s="18"/>
      <c r="N131" s="18">
        <f>'Monthly Data'!DN131</f>
        <v>0</v>
      </c>
      <c r="O131" s="18">
        <f>'Monthly Data'!DO131</f>
        <v>0</v>
      </c>
      <c r="P131" s="18">
        <f t="shared" ref="P131:P144" ca="1" si="38">F131</f>
        <v>363.47645833333326</v>
      </c>
      <c r="Q131" s="18">
        <f t="shared" si="33"/>
        <v>1</v>
      </c>
      <c r="R131" s="18"/>
      <c r="S131" s="18">
        <f>'LC Predicted Monthly'!$T$9</f>
        <v>-22694.781953278001</v>
      </c>
      <c r="T131" s="18">
        <f>N131*'LC Predicted Monthly'!$T$10</f>
        <v>0</v>
      </c>
      <c r="U131" s="18">
        <f>O131*'LC Predicted Monthly'!$T$11</f>
        <v>0</v>
      </c>
      <c r="V131" s="18">
        <f ca="1">P131*'LC Predicted Monthly'!$T$12</f>
        <v>74415.742271729541</v>
      </c>
      <c r="W131" s="18">
        <f>Q131*'LC Predicted Monthly'!$T$13</f>
        <v>97970.228068396304</v>
      </c>
      <c r="X131" s="18">
        <f t="shared" ref="X131:X145" ca="1" si="39">SUM(S131:W131)</f>
        <v>149691.18838684785</v>
      </c>
      <c r="Y131" s="18">
        <f t="shared" ref="Y131:Y145" ca="1" si="40">SUM(I131:K131,S131:W131)</f>
        <v>5328598.4829153102</v>
      </c>
      <c r="AB131" s="18"/>
      <c r="AO131" s="33">
        <f t="shared" ca="1" si="34"/>
        <v>324.79329624987065</v>
      </c>
      <c r="AP131" s="33">
        <f t="shared" ca="1" si="34"/>
        <v>401.33072701673694</v>
      </c>
      <c r="AQ131" s="33">
        <f t="shared" ca="1" si="34"/>
        <v>33.832925937267667</v>
      </c>
      <c r="AR131" s="33">
        <f t="shared" ca="1" si="34"/>
        <v>43.421432450552551</v>
      </c>
      <c r="AT131" s="18">
        <f ca="1">AO131*'GS&gt;50 Predicted Monthly (no LC)'!$P$10</f>
        <v>752057.49279738846</v>
      </c>
      <c r="AU131" s="18">
        <f ca="1">AP131*'GS&gt;50 Predicted Monthly (no LC)'!$P$10</f>
        <v>929279.58744124032</v>
      </c>
      <c r="AV131" s="18">
        <f ca="1">AQ131*'GS&gt;50 Predicted Monthly (no LC)'!$P$11</f>
        <v>182772.97326922306</v>
      </c>
      <c r="AW131" s="18">
        <f ca="1">AR131*'GS&gt;50 Predicted Monthly (no LC)'!$P$11</f>
        <v>234572.21309535802</v>
      </c>
      <c r="AY131" s="18">
        <f ca="1">AO131*'LC Predicted Monthly'!$T$12</f>
        <v>66496.010047370233</v>
      </c>
      <c r="AZ131" s="18">
        <f ca="1">AP131*'LC Predicted Monthly'!$T$12</f>
        <v>82165.772397877707</v>
      </c>
      <c r="BB131" s="31">
        <f t="shared" ref="BB131:BB145" ca="1" si="41">AT131+AV131+AY131-J131-K131-V131+Y131</f>
        <v>5197641.3392444905</v>
      </c>
      <c r="BC131" s="31">
        <f t="shared" ref="BC131:BC145" ca="1" si="42">AU131+AW131+AZ131-J131-K131-V131+Y131</f>
        <v>5442332.4360649846</v>
      </c>
    </row>
    <row r="132" spans="1:55">
      <c r="A132" s="541">
        <f t="shared" si="32"/>
        <v>46327</v>
      </c>
      <c r="B132">
        <f t="shared" si="35"/>
        <v>2026</v>
      </c>
      <c r="C132">
        <f t="shared" si="36"/>
        <v>11</v>
      </c>
      <c r="D132" s="30"/>
      <c r="E132" s="30"/>
      <c r="F132" s="264">
        <f t="shared" ca="1" si="31"/>
        <v>586.00395833333334</v>
      </c>
      <c r="G132" s="264">
        <f t="shared" ca="1" si="31"/>
        <v>4.5920833333333331</v>
      </c>
      <c r="I132" s="18">
        <f>'GS&gt;50 Predicted Monthly (no LC)'!$P$9</f>
        <v>4121039.41701539</v>
      </c>
      <c r="J132" s="18">
        <f ca="1">F132*'GS&gt;50 Predicted Monthly (no LC)'!$P$10</f>
        <v>1356889.6672499825</v>
      </c>
      <c r="K132" s="18">
        <f ca="1">G132*'GS&gt;50 Predicted Monthly (no LC)'!$P$11</f>
        <v>24807.453126862496</v>
      </c>
      <c r="L132" s="18">
        <f t="shared" ca="1" si="37"/>
        <v>5502736.5373922354</v>
      </c>
      <c r="M132" s="18"/>
      <c r="N132" s="18">
        <f>'Monthly Data'!DN132</f>
        <v>0</v>
      </c>
      <c r="O132" s="18">
        <f>'Monthly Data'!DO132</f>
        <v>0</v>
      </c>
      <c r="P132" s="18">
        <f t="shared" ca="1" si="38"/>
        <v>586.00395833333334</v>
      </c>
      <c r="Q132" s="18">
        <f t="shared" si="33"/>
        <v>1</v>
      </c>
      <c r="R132" s="18"/>
      <c r="S132" s="18">
        <f>'LC Predicted Monthly'!$T$9</f>
        <v>-22694.781953278001</v>
      </c>
      <c r="T132" s="18">
        <f>N132*'LC Predicted Monthly'!$T$10</f>
        <v>0</v>
      </c>
      <c r="U132" s="18">
        <f>O132*'LC Predicted Monthly'!$T$11</f>
        <v>0</v>
      </c>
      <c r="V132" s="18">
        <f ca="1">P132*'LC Predicted Monthly'!$T$12</f>
        <v>119974.53626984327</v>
      </c>
      <c r="W132" s="18">
        <f>Q132*'LC Predicted Monthly'!$T$13</f>
        <v>97970.228068396304</v>
      </c>
      <c r="X132" s="18">
        <f t="shared" ca="1" si="39"/>
        <v>195249.98238496156</v>
      </c>
      <c r="Y132" s="18">
        <f t="shared" ca="1" si="40"/>
        <v>5697986.5197771974</v>
      </c>
      <c r="AB132" s="18"/>
      <c r="AO132" s="33">
        <f t="shared" ca="1" si="34"/>
        <v>523.63819685953126</v>
      </c>
      <c r="AP132" s="33">
        <f t="shared" ca="1" si="34"/>
        <v>647.03336142041019</v>
      </c>
      <c r="AQ132" s="33">
        <f t="shared" ca="1" si="34"/>
        <v>3.8813815020207452</v>
      </c>
      <c r="AR132" s="33">
        <f t="shared" ca="1" si="34"/>
        <v>4.9813943085298762</v>
      </c>
      <c r="AT132" s="18">
        <f ca="1">AO132*'GS&gt;50 Predicted Monthly (no LC)'!$P$10</f>
        <v>1212482.0124371063</v>
      </c>
      <c r="AU132" s="18">
        <f ca="1">AP132*'GS&gt;50 Predicted Monthly (no LC)'!$P$10</f>
        <v>1498202.9899156024</v>
      </c>
      <c r="AV132" s="18">
        <f ca="1">AQ132*'GS&gt;50 Predicted Monthly (no LC)'!$P$11</f>
        <v>20968.084132949996</v>
      </c>
      <c r="AW132" s="18">
        <f ca="1">AR132*'GS&gt;50 Predicted Monthly (no LC)'!$P$11</f>
        <v>26910.597401021583</v>
      </c>
      <c r="AY132" s="18">
        <f ca="1">AO132*'LC Predicted Monthly'!$T$12</f>
        <v>107206.18683204145</v>
      </c>
      <c r="AZ132" s="18">
        <f ca="1">AP132*'LC Predicted Monthly'!$T$12</f>
        <v>132469.28861762941</v>
      </c>
      <c r="BB132" s="31">
        <f t="shared" ca="1" si="41"/>
        <v>5536971.1465326073</v>
      </c>
      <c r="BC132" s="31">
        <f t="shared" ca="1" si="42"/>
        <v>5853897.7390647624</v>
      </c>
    </row>
    <row r="133" spans="1:55">
      <c r="A133" s="541">
        <f t="shared" si="32"/>
        <v>46357</v>
      </c>
      <c r="B133">
        <f t="shared" si="35"/>
        <v>2026</v>
      </c>
      <c r="C133">
        <f t="shared" si="36"/>
        <v>12</v>
      </c>
      <c r="D133" s="30"/>
      <c r="E133" s="30"/>
      <c r="F133" s="264">
        <f t="shared" ca="1" si="31"/>
        <v>812.36333333333334</v>
      </c>
      <c r="G133" s="264">
        <f t="shared" ca="1" si="31"/>
        <v>0</v>
      </c>
      <c r="I133" s="18">
        <f>'GS&gt;50 Predicted Monthly (no LC)'!$P$9</f>
        <v>4121039.41701539</v>
      </c>
      <c r="J133" s="18">
        <f ca="1">F133*'GS&gt;50 Predicted Monthly (no LC)'!$P$10</f>
        <v>1881023.8350399425</v>
      </c>
      <c r="K133" s="18">
        <f ca="1">G133*'GS&gt;50 Predicted Monthly (no LC)'!$P$11</f>
        <v>0</v>
      </c>
      <c r="L133" s="18">
        <f t="shared" ca="1" si="37"/>
        <v>6002063.2520553321</v>
      </c>
      <c r="M133" s="18"/>
      <c r="N133" s="18">
        <f>'Monthly Data'!DN133</f>
        <v>0</v>
      </c>
      <c r="O133" s="18">
        <f>'Monthly Data'!DO133</f>
        <v>0</v>
      </c>
      <c r="P133" s="18">
        <f t="shared" ca="1" si="38"/>
        <v>812.36333333333334</v>
      </c>
      <c r="Q133" s="18">
        <f t="shared" si="33"/>
        <v>0</v>
      </c>
      <c r="R133" s="18"/>
      <c r="S133" s="18">
        <f>'LC Predicted Monthly'!$T$9</f>
        <v>-22694.781953278001</v>
      </c>
      <c r="T133" s="18">
        <f>N133*'LC Predicted Monthly'!$T$10</f>
        <v>0</v>
      </c>
      <c r="U133" s="18">
        <f>O133*'LC Predicted Monthly'!$T$11</f>
        <v>0</v>
      </c>
      <c r="V133" s="18">
        <f ca="1">P133*'LC Predicted Monthly'!$T$12</f>
        <v>166317.84276080181</v>
      </c>
      <c r="W133" s="18">
        <f>Q133*'LC Predicted Monthly'!$T$13</f>
        <v>0</v>
      </c>
      <c r="X133" s="18">
        <f t="shared" ca="1" si="39"/>
        <v>143623.06080752381</v>
      </c>
      <c r="Y133" s="18">
        <f t="shared" ca="1" si="40"/>
        <v>6145686.3128628563</v>
      </c>
      <c r="AB133" s="18"/>
      <c r="AO133" s="33">
        <f t="shared" ca="1" si="34"/>
        <v>725.90716327464804</v>
      </c>
      <c r="AP133" s="33">
        <f t="shared" ca="1" si="34"/>
        <v>896.96694158227319</v>
      </c>
      <c r="AQ133" s="33">
        <f t="shared" ca="1" si="34"/>
        <v>0</v>
      </c>
      <c r="AR133" s="33">
        <f t="shared" ca="1" si="34"/>
        <v>0</v>
      </c>
      <c r="AT133" s="18">
        <f ca="1">AO133*'GS&gt;50 Predicted Monthly (no LC)'!$P$10</f>
        <v>1680834.941851771</v>
      </c>
      <c r="AU133" s="18">
        <f ca="1">AP133*'GS&gt;50 Predicted Monthly (no LC)'!$P$10</f>
        <v>2076923.1292555493</v>
      </c>
      <c r="AV133" s="18">
        <f ca="1">AQ133*'GS&gt;50 Predicted Monthly (no LC)'!$P$11</f>
        <v>0</v>
      </c>
      <c r="AW133" s="18">
        <f ca="1">AR133*'GS&gt;50 Predicted Monthly (no LC)'!$P$11</f>
        <v>0</v>
      </c>
      <c r="AY133" s="18">
        <f ca="1">AO133*'LC Predicted Monthly'!$T$12</f>
        <v>148617.38397899043</v>
      </c>
      <c r="AZ133" s="18">
        <f ca="1">AP133*'LC Predicted Monthly'!$T$12</f>
        <v>183639.02041170144</v>
      </c>
      <c r="BB133" s="31">
        <f t="shared" ca="1" si="41"/>
        <v>5927796.9608928729</v>
      </c>
      <c r="BC133" s="31">
        <f t="shared" ca="1" si="42"/>
        <v>6358906.7847293625</v>
      </c>
    </row>
    <row r="134" spans="1:55">
      <c r="A134" s="541">
        <f t="shared" si="32"/>
        <v>46388</v>
      </c>
      <c r="B134">
        <f t="shared" si="35"/>
        <v>2027</v>
      </c>
      <c r="C134">
        <f t="shared" si="36"/>
        <v>1</v>
      </c>
      <c r="D134" s="30"/>
      <c r="E134" s="30"/>
      <c r="F134" s="264">
        <f t="shared" ref="F134:G145" ca="1" si="43">F122</f>
        <v>914.55166666666662</v>
      </c>
      <c r="G134" s="264">
        <f t="shared" ca="1" si="43"/>
        <v>0</v>
      </c>
      <c r="I134" s="18">
        <f>'GS&gt;50 Predicted Monthly (no LC)'!$P$9</f>
        <v>4121039.41701539</v>
      </c>
      <c r="J134" s="18">
        <f ca="1">F134*'GS&gt;50 Predicted Monthly (no LC)'!$P$10</f>
        <v>2117640.4852206991</v>
      </c>
      <c r="K134" s="18">
        <f ca="1">G134*'GS&gt;50 Predicted Monthly (no LC)'!$P$11</f>
        <v>0</v>
      </c>
      <c r="L134" s="18">
        <f t="shared" ca="1" si="37"/>
        <v>6238679.9022360891</v>
      </c>
      <c r="M134" s="18"/>
      <c r="N134" s="18">
        <f>'Monthly Data'!DN134</f>
        <v>0</v>
      </c>
      <c r="O134" s="18">
        <f>'Monthly Data'!DO134</f>
        <v>0</v>
      </c>
      <c r="P134" s="18">
        <f t="shared" ca="1" si="38"/>
        <v>914.55166666666662</v>
      </c>
      <c r="Q134" s="18">
        <f t="shared" si="33"/>
        <v>0</v>
      </c>
      <c r="R134" s="18"/>
      <c r="S134" s="18">
        <f>'LC Predicted Monthly'!$T$9</f>
        <v>-22694.781953278001</v>
      </c>
      <c r="T134" s="18">
        <f>N134*'LC Predicted Monthly'!$T$10</f>
        <v>0</v>
      </c>
      <c r="U134" s="18">
        <f>O134*'LC Predicted Monthly'!$T$11</f>
        <v>0</v>
      </c>
      <c r="V134" s="18">
        <f ca="1">P134*'LC Predicted Monthly'!$T$12</f>
        <v>187239.19956993285</v>
      </c>
      <c r="W134" s="18">
        <f>Q134*'LC Predicted Monthly'!$T$13</f>
        <v>0</v>
      </c>
      <c r="X134" s="18">
        <f t="shared" ca="1" si="39"/>
        <v>164544.41761665486</v>
      </c>
      <c r="Y134" s="18">
        <f t="shared" ca="1" si="40"/>
        <v>6403224.3198527442</v>
      </c>
      <c r="AB134" s="18"/>
      <c r="AO134" s="33">
        <f t="shared" ca="1" si="34"/>
        <v>817.22005262600237</v>
      </c>
      <c r="AP134" s="33">
        <f t="shared" ca="1" si="34"/>
        <v>1009.7976825258449</v>
      </c>
      <c r="AQ134" s="33">
        <f t="shared" ca="1" si="34"/>
        <v>0</v>
      </c>
      <c r="AR134" s="33">
        <f t="shared" ca="1" si="34"/>
        <v>0</v>
      </c>
      <c r="AT134" s="18">
        <f ca="1">AO134*'GS&gt;50 Predicted Monthly (no LC)'!$P$10</f>
        <v>1892269.5478567963</v>
      </c>
      <c r="AU134" s="18">
        <f ca="1">AP134*'GS&gt;50 Predicted Monthly (no LC)'!$P$10</f>
        <v>2338182.2288867598</v>
      </c>
      <c r="AV134" s="18">
        <f ca="1">AQ134*'GS&gt;50 Predicted Monthly (no LC)'!$P$11</f>
        <v>0</v>
      </c>
      <c r="AW134" s="18">
        <f ca="1">AR134*'GS&gt;50 Predicted Monthly (no LC)'!$P$11</f>
        <v>0</v>
      </c>
      <c r="AY134" s="18">
        <f ca="1">AO134*'LC Predicted Monthly'!$T$12</f>
        <v>167312.17502877486</v>
      </c>
      <c r="AZ134" s="18">
        <f ca="1">AP134*'LC Predicted Monthly'!$T$12</f>
        <v>206739.23266997386</v>
      </c>
      <c r="BB134" s="31">
        <f t="shared" ca="1" si="41"/>
        <v>6157926.3579476839</v>
      </c>
      <c r="BC134" s="31">
        <f t="shared" ca="1" si="42"/>
        <v>6643266.0966188461</v>
      </c>
    </row>
    <row r="135" spans="1:55">
      <c r="A135" s="541">
        <f t="shared" si="32"/>
        <v>46419</v>
      </c>
      <c r="B135">
        <f t="shared" si="35"/>
        <v>2027</v>
      </c>
      <c r="C135">
        <f t="shared" si="36"/>
        <v>2</v>
      </c>
      <c r="D135" s="30"/>
      <c r="E135" s="30"/>
      <c r="F135" s="264">
        <f t="shared" ca="1" si="43"/>
        <v>803.82854166666664</v>
      </c>
      <c r="G135" s="264">
        <f t="shared" ca="1" si="43"/>
        <v>0</v>
      </c>
      <c r="I135" s="18">
        <f>'GS&gt;50 Predicted Monthly (no LC)'!$P$9</f>
        <v>4121039.41701539</v>
      </c>
      <c r="J135" s="18">
        <f ca="1">F135*'GS&gt;50 Predicted Monthly (no LC)'!$P$10</f>
        <v>1861261.5613215731</v>
      </c>
      <c r="K135" s="18">
        <f ca="1">G135*'GS&gt;50 Predicted Monthly (no LC)'!$P$11</f>
        <v>0</v>
      </c>
      <c r="L135" s="18">
        <f t="shared" ca="1" si="37"/>
        <v>5982300.9783369629</v>
      </c>
      <c r="M135" s="18"/>
      <c r="N135" s="18">
        <f>'Monthly Data'!DN135</f>
        <v>0</v>
      </c>
      <c r="O135" s="18">
        <f>'Monthly Data'!DO135</f>
        <v>0</v>
      </c>
      <c r="P135" s="18">
        <f t="shared" ca="1" si="38"/>
        <v>803.82854166666664</v>
      </c>
      <c r="Q135" s="18">
        <f t="shared" si="33"/>
        <v>0</v>
      </c>
      <c r="R135" s="18"/>
      <c r="S135" s="18">
        <f>'LC Predicted Monthly'!$T$9</f>
        <v>-22694.781953278001</v>
      </c>
      <c r="T135" s="18">
        <f>N135*'LC Predicted Monthly'!$T$10</f>
        <v>0</v>
      </c>
      <c r="U135" s="18">
        <f>O135*'LC Predicted Monthly'!$T$11</f>
        <v>0</v>
      </c>
      <c r="V135" s="18">
        <f ca="1">P135*'LC Predicted Monthly'!$T$12</f>
        <v>164570.48652232124</v>
      </c>
      <c r="W135" s="18">
        <f>Q135*'LC Predicted Monthly'!$T$13</f>
        <v>0</v>
      </c>
      <c r="X135" s="18">
        <f t="shared" ca="1" si="39"/>
        <v>141875.70456904324</v>
      </c>
      <c r="Y135" s="18">
        <f t="shared" ca="1" si="40"/>
        <v>6124176.6829060065</v>
      </c>
      <c r="AB135" s="18"/>
      <c r="AO135" s="33">
        <f t="shared" ca="1" si="34"/>
        <v>718.28069103781206</v>
      </c>
      <c r="AP135" s="33">
        <f t="shared" ca="1" si="34"/>
        <v>887.54329373386554</v>
      </c>
      <c r="AQ135" s="33">
        <f t="shared" ca="1" si="34"/>
        <v>0</v>
      </c>
      <c r="AR135" s="33">
        <f t="shared" ca="1" si="34"/>
        <v>0</v>
      </c>
      <c r="AT135" s="18">
        <f ca="1">AO135*'GS&gt;50 Predicted Monthly (no LC)'!$P$10</f>
        <v>1663175.8779007981</v>
      </c>
      <c r="AU135" s="18">
        <f ca="1">AP135*'GS&gt;50 Predicted Monthly (no LC)'!$P$10</f>
        <v>2055102.7128377589</v>
      </c>
      <c r="AV135" s="18">
        <f ca="1">AQ135*'GS&gt;50 Predicted Monthly (no LC)'!$P$11</f>
        <v>0</v>
      </c>
      <c r="AW135" s="18">
        <f ca="1">AR135*'GS&gt;50 Predicted Monthly (no LC)'!$P$11</f>
        <v>0</v>
      </c>
      <c r="AY135" s="18">
        <f ca="1">AO135*'LC Predicted Monthly'!$T$12</f>
        <v>147055.99099353765</v>
      </c>
      <c r="AZ135" s="18">
        <f ca="1">AP135*'LC Predicted Monthly'!$T$12</f>
        <v>181709.68569560398</v>
      </c>
      <c r="BB135" s="31">
        <f t="shared" ca="1" si="41"/>
        <v>5908576.5039564483</v>
      </c>
      <c r="BC135" s="31">
        <f t="shared" ca="1" si="42"/>
        <v>6335157.0335954754</v>
      </c>
    </row>
    <row r="136" spans="1:55">
      <c r="A136" s="541">
        <f t="shared" si="32"/>
        <v>46447</v>
      </c>
      <c r="B136">
        <f t="shared" si="35"/>
        <v>2027</v>
      </c>
      <c r="C136">
        <f t="shared" si="36"/>
        <v>3</v>
      </c>
      <c r="D136" s="30"/>
      <c r="E136" s="30"/>
      <c r="F136" s="264">
        <f t="shared" ca="1" si="43"/>
        <v>698.29604166666672</v>
      </c>
      <c r="G136" s="264">
        <f t="shared" ca="1" si="43"/>
        <v>0.11000000000000032</v>
      </c>
      <c r="I136" s="18">
        <f>'GS&gt;50 Predicted Monthly (no LC)'!$P$9</f>
        <v>4121039.41701539</v>
      </c>
      <c r="J136" s="18">
        <f ca="1">F136*'GS&gt;50 Predicted Monthly (no LC)'!$P$10</f>
        <v>1616901.5074811084</v>
      </c>
      <c r="K136" s="18">
        <f ca="1">G136*'GS&gt;50 Predicted Monthly (no LC)'!$P$11</f>
        <v>594.2444084467578</v>
      </c>
      <c r="L136" s="18">
        <f t="shared" ca="1" si="37"/>
        <v>5738535.1689049443</v>
      </c>
      <c r="M136" s="18"/>
      <c r="N136" s="18">
        <f>'Monthly Data'!DN136</f>
        <v>0</v>
      </c>
      <c r="O136" s="18">
        <f>'Monthly Data'!DO136</f>
        <v>0</v>
      </c>
      <c r="P136" s="18">
        <f t="shared" ca="1" si="38"/>
        <v>698.29604166666672</v>
      </c>
      <c r="Q136" s="18">
        <f t="shared" si="33"/>
        <v>0</v>
      </c>
      <c r="R136" s="18"/>
      <c r="S136" s="18">
        <f>'LC Predicted Monthly'!$T$9</f>
        <v>-22694.781953278001</v>
      </c>
      <c r="T136" s="18">
        <f>N136*'LC Predicted Monthly'!$T$10</f>
        <v>0</v>
      </c>
      <c r="U136" s="18">
        <f>O136*'LC Predicted Monthly'!$T$11</f>
        <v>0</v>
      </c>
      <c r="V136" s="18">
        <f ca="1">P136*'LC Predicted Monthly'!$T$12</f>
        <v>142964.46736690929</v>
      </c>
      <c r="W136" s="18">
        <f>Q136*'LC Predicted Monthly'!$T$13</f>
        <v>0</v>
      </c>
      <c r="X136" s="18">
        <f t="shared" ca="1" si="39"/>
        <v>120269.68541363129</v>
      </c>
      <c r="Y136" s="18">
        <f t="shared" ca="1" si="40"/>
        <v>5858804.8543185759</v>
      </c>
      <c r="AB136" s="18"/>
      <c r="AO136" s="33">
        <f t="shared" ca="1" si="34"/>
        <v>623.97953961343092</v>
      </c>
      <c r="AP136" s="33">
        <f t="shared" ca="1" si="34"/>
        <v>771.02010776716202</v>
      </c>
      <c r="AQ136" s="33">
        <f t="shared" ca="1" si="34"/>
        <v>9.2975657066825132E-2</v>
      </c>
      <c r="AR136" s="33">
        <f t="shared" ca="1" si="34"/>
        <v>0.11932565987223402</v>
      </c>
      <c r="AT136" s="18">
        <f ca="1">AO136*'GS&gt;50 Predicted Monthly (no LC)'!$P$10</f>
        <v>1444821.9638053337</v>
      </c>
      <c r="AU136" s="18">
        <f ca="1">AP136*'GS&gt;50 Predicted Monthly (no LC)'!$P$10</f>
        <v>1785293.7724972367</v>
      </c>
      <c r="AV136" s="18">
        <f ca="1">AQ136*'GS&gt;50 Predicted Monthly (no LC)'!$P$11</f>
        <v>502.27513030567235</v>
      </c>
      <c r="AW136" s="18">
        <f ca="1">AR136*'GS&gt;50 Predicted Monthly (no LC)'!$P$11</f>
        <v>644.62369239358668</v>
      </c>
      <c r="AY136" s="18">
        <f ca="1">AO136*'LC Predicted Monthly'!$T$12</f>
        <v>127749.40312674227</v>
      </c>
      <c r="AZ136" s="18">
        <f ca="1">AP136*'LC Predicted Monthly'!$T$12</f>
        <v>157853.50690664109</v>
      </c>
      <c r="BB136" s="31">
        <f t="shared" ca="1" si="41"/>
        <v>5671418.2771244934</v>
      </c>
      <c r="BC136" s="31">
        <f t="shared" ca="1" si="42"/>
        <v>6042136.5381583832</v>
      </c>
    </row>
    <row r="137" spans="1:55">
      <c r="A137" s="541">
        <f t="shared" si="32"/>
        <v>46478</v>
      </c>
      <c r="B137">
        <f t="shared" si="35"/>
        <v>2027</v>
      </c>
      <c r="C137">
        <f t="shared" si="36"/>
        <v>4</v>
      </c>
      <c r="D137" s="30"/>
      <c r="E137" s="30"/>
      <c r="F137" s="264">
        <f t="shared" ca="1" si="43"/>
        <v>468.60374999999993</v>
      </c>
      <c r="G137" s="264">
        <f t="shared" ca="1" si="43"/>
        <v>7.7354166666666684</v>
      </c>
      <c r="I137" s="18">
        <f>'GS&gt;50 Predicted Monthly (no LC)'!$P$9</f>
        <v>4121039.41701539</v>
      </c>
      <c r="J137" s="18">
        <f ca="1">F137*'GS&gt;50 Predicted Monthly (no LC)'!$P$10</f>
        <v>1085049.9853584787</v>
      </c>
      <c r="K137" s="18">
        <f ca="1">G137*'GS&gt;50 Predicted Monthly (no LC)'!$P$11</f>
        <v>41788.437283386476</v>
      </c>
      <c r="L137" s="18">
        <f t="shared" ca="1" si="37"/>
        <v>5247877.8396572554</v>
      </c>
      <c r="M137" s="18"/>
      <c r="N137" s="18">
        <f>'Monthly Data'!DN137</f>
        <v>0</v>
      </c>
      <c r="O137" s="18">
        <f>'Monthly Data'!DO137</f>
        <v>0</v>
      </c>
      <c r="P137" s="18">
        <f t="shared" ca="1" si="38"/>
        <v>468.60374999999993</v>
      </c>
      <c r="Q137" s="18">
        <f t="shared" si="33"/>
        <v>0</v>
      </c>
      <c r="R137" s="18"/>
      <c r="S137" s="18">
        <f>'LC Predicted Monthly'!$T$9</f>
        <v>-22694.781953278001</v>
      </c>
      <c r="T137" s="18">
        <f>N137*'LC Predicted Monthly'!$T$10</f>
        <v>0</v>
      </c>
      <c r="U137" s="18">
        <f>O137*'LC Predicted Monthly'!$T$11</f>
        <v>0</v>
      </c>
      <c r="V137" s="18">
        <f ca="1">P137*'LC Predicted Monthly'!$T$12</f>
        <v>95938.80177952649</v>
      </c>
      <c r="W137" s="18">
        <f>Q137*'LC Predicted Monthly'!$T$13</f>
        <v>0</v>
      </c>
      <c r="X137" s="18">
        <f t="shared" ca="1" si="39"/>
        <v>73244.019826248492</v>
      </c>
      <c r="Y137" s="18">
        <f t="shared" ca="1" si="40"/>
        <v>5321121.8594835037</v>
      </c>
      <c r="AO137" s="33">
        <f t="shared" ca="1" si="34"/>
        <v>418.73236383846591</v>
      </c>
      <c r="AP137" s="33">
        <f t="shared" ca="1" si="34"/>
        <v>517.40650421381736</v>
      </c>
      <c r="AQ137" s="33">
        <f t="shared" ca="1" si="34"/>
        <v>6.5382313388091058</v>
      </c>
      <c r="AR137" s="33">
        <f t="shared" ca="1" si="34"/>
        <v>8.3912154376061316</v>
      </c>
      <c r="AT137" s="18">
        <f ca="1">AO137*'GS&gt;50 Predicted Monthly (no LC)'!$P$10</f>
        <v>969573.00331473805</v>
      </c>
      <c r="AU137" s="18">
        <f ca="1">AP137*'GS&gt;50 Predicted Monthly (no LC)'!$P$10</f>
        <v>1198052.5546831076</v>
      </c>
      <c r="AV137" s="18">
        <f ca="1">AQ137*'GS&gt;50 Predicted Monthly (no LC)'!$P$11</f>
        <v>35320.976492896902</v>
      </c>
      <c r="AW137" s="18">
        <f ca="1">AR137*'GS&gt;50 Predicted Monthly (no LC)'!$P$11</f>
        <v>45331.207762450395</v>
      </c>
      <c r="AY137" s="18">
        <f ca="1">AO137*'LC Predicted Monthly'!$T$12</f>
        <v>85728.467288132349</v>
      </c>
      <c r="AZ137" s="18">
        <f ca="1">AP137*'LC Predicted Monthly'!$T$12</f>
        <v>105930.35170377353</v>
      </c>
      <c r="BB137" s="31">
        <f t="shared" ca="1" si="41"/>
        <v>5188967.0821578791</v>
      </c>
      <c r="BC137" s="31">
        <f t="shared" ca="1" si="42"/>
        <v>5447658.7492114436</v>
      </c>
    </row>
    <row r="138" spans="1:55">
      <c r="A138" s="541">
        <f t="shared" si="32"/>
        <v>46508</v>
      </c>
      <c r="B138">
        <f t="shared" ref="B138:B145" si="44">YEAR(A138)</f>
        <v>2027</v>
      </c>
      <c r="C138">
        <f t="shared" ref="C138:C145" si="45">MONTH(A138)</f>
        <v>5</v>
      </c>
      <c r="D138" s="30"/>
      <c r="E138" s="30"/>
      <c r="F138" s="264">
        <f t="shared" ca="1" si="43"/>
        <v>232.88687500000006</v>
      </c>
      <c r="G138" s="264">
        <f t="shared" ca="1" si="43"/>
        <v>111.43645833333332</v>
      </c>
      <c r="I138" s="18">
        <f>'GS&gt;50 Predicted Monthly (no LC)'!$P$9</f>
        <v>4121039.41701539</v>
      </c>
      <c r="J138" s="18">
        <f ca="1">F138*'GS&gt;50 Predicted Monthly (no LC)'!$P$10</f>
        <v>539248.5662117129</v>
      </c>
      <c r="K138" s="18">
        <f ca="1">G138*'GS&gt;50 Predicted Monthly (no LC)'!$P$11</f>
        <v>602004.47510630218</v>
      </c>
      <c r="L138" s="18">
        <f t="shared" ca="1" si="37"/>
        <v>5262292.4583334047</v>
      </c>
      <c r="M138" s="18"/>
      <c r="N138" s="18">
        <f>'Monthly Data'!DN138</f>
        <v>0</v>
      </c>
      <c r="O138" s="18">
        <f>'Monthly Data'!DO138</f>
        <v>0</v>
      </c>
      <c r="P138" s="18">
        <f t="shared" ca="1" si="38"/>
        <v>232.88687500000006</v>
      </c>
      <c r="Q138" s="18">
        <f t="shared" si="33"/>
        <v>0</v>
      </c>
      <c r="R138" s="18"/>
      <c r="S138" s="18">
        <f>'LC Predicted Monthly'!$T$9</f>
        <v>-22694.781953278001</v>
      </c>
      <c r="T138" s="18">
        <f>N138*'LC Predicted Monthly'!$T$10</f>
        <v>0</v>
      </c>
      <c r="U138" s="18">
        <f>O138*'LC Predicted Monthly'!$T$11</f>
        <v>0</v>
      </c>
      <c r="V138" s="18">
        <f ca="1">P138*'LC Predicted Monthly'!$T$12</f>
        <v>47679.703241125091</v>
      </c>
      <c r="W138" s="18">
        <f>Q138*'LC Predicted Monthly'!$T$13</f>
        <v>0</v>
      </c>
      <c r="X138" s="18">
        <f t="shared" ca="1" si="39"/>
        <v>24984.92128784709</v>
      </c>
      <c r="Y138" s="18">
        <f t="shared" ca="1" si="40"/>
        <v>5287277.3796212515</v>
      </c>
      <c r="AO138" s="33">
        <f t="shared" ca="1" si="34"/>
        <v>208.10177399498693</v>
      </c>
      <c r="AP138" s="33">
        <f t="shared" ca="1" si="34"/>
        <v>257.1408868815717</v>
      </c>
      <c r="AQ138" s="33">
        <f t="shared" ca="1" si="34"/>
        <v>94.189799406741059</v>
      </c>
      <c r="AR138" s="33">
        <f t="shared" ca="1" si="34"/>
        <v>120.88389931317884</v>
      </c>
      <c r="AT138" s="18">
        <f ca="1">AO138*'GS&gt;50 Predicted Monthly (no LC)'!$P$10</f>
        <v>481858.77049924171</v>
      </c>
      <c r="AU138" s="18">
        <f ca="1">AP138*'GS&gt;50 Predicted Monthly (no LC)'!$P$10</f>
        <v>595408.62732301152</v>
      </c>
      <c r="AV138" s="18">
        <f ca="1">AQ138*'GS&gt;50 Predicted Monthly (no LC)'!$P$11</f>
        <v>508834.19663797691</v>
      </c>
      <c r="AW138" s="18">
        <f ca="1">AR138*'GS&gt;50 Predicted Monthly (no LC)'!$P$11</f>
        <v>653041.64761906536</v>
      </c>
      <c r="AY138" s="18">
        <f ca="1">AO138*'LC Predicted Monthly'!$T$12</f>
        <v>42605.367211152006</v>
      </c>
      <c r="AZ138" s="18">
        <f ca="1">AP138*'LC Predicted Monthly'!$T$12</f>
        <v>52645.307631325515</v>
      </c>
      <c r="BB138" s="31">
        <f t="shared" ca="1" si="41"/>
        <v>5131642.9694104819</v>
      </c>
      <c r="BC138" s="31">
        <f t="shared" ca="1" si="42"/>
        <v>5399440.2176355133</v>
      </c>
    </row>
    <row r="139" spans="1:55">
      <c r="A139" s="541">
        <f t="shared" si="32"/>
        <v>46539</v>
      </c>
      <c r="B139">
        <f t="shared" si="44"/>
        <v>2027</v>
      </c>
      <c r="C139">
        <f t="shared" si="45"/>
        <v>6</v>
      </c>
      <c r="D139" s="30"/>
      <c r="E139" s="30"/>
      <c r="F139" s="264">
        <f t="shared" ca="1" si="43"/>
        <v>92.751249999999999</v>
      </c>
      <c r="G139" s="264">
        <f t="shared" ca="1" si="43"/>
        <v>227.31958333333333</v>
      </c>
      <c r="I139" s="18">
        <f>'GS&gt;50 Predicted Monthly (no LC)'!$P$9</f>
        <v>4121039.41701539</v>
      </c>
      <c r="J139" s="18">
        <f ca="1">F139*'GS&gt;50 Predicted Monthly (no LC)'!$P$10</f>
        <v>214765.12395489923</v>
      </c>
      <c r="K139" s="18">
        <f ca="1">G139*'GS&gt;50 Predicted Monthly (no LC)'!$P$11</f>
        <v>1228030.8302389067</v>
      </c>
      <c r="L139" s="18">
        <f t="shared" ca="1" si="37"/>
        <v>5563835.3712091958</v>
      </c>
      <c r="M139" s="18"/>
      <c r="N139" s="18">
        <f>'Monthly Data'!DN139</f>
        <v>0</v>
      </c>
      <c r="O139" s="18">
        <f>'Monthly Data'!DO139</f>
        <v>0</v>
      </c>
      <c r="P139" s="18">
        <f t="shared" ca="1" si="38"/>
        <v>92.751249999999999</v>
      </c>
      <c r="Q139" s="18">
        <f t="shared" si="33"/>
        <v>0</v>
      </c>
      <c r="R139" s="18"/>
      <c r="S139" s="18">
        <f>'LC Predicted Monthly'!$T$9</f>
        <v>-22694.781953278001</v>
      </c>
      <c r="T139" s="18">
        <f>N139*'LC Predicted Monthly'!$T$10</f>
        <v>0</v>
      </c>
      <c r="U139" s="18">
        <f>O139*'LC Predicted Monthly'!$T$11</f>
        <v>0</v>
      </c>
      <c r="V139" s="18">
        <f ca="1">P139*'LC Predicted Monthly'!$T$12</f>
        <v>18989.271401591017</v>
      </c>
      <c r="W139" s="18">
        <f>Q139*'LC Predicted Monthly'!$T$13</f>
        <v>0</v>
      </c>
      <c r="X139" s="18">
        <f t="shared" ca="1" si="39"/>
        <v>-3705.5105516869844</v>
      </c>
      <c r="Y139" s="18">
        <f t="shared" ca="1" si="40"/>
        <v>5560129.8606575085</v>
      </c>
      <c r="AO139" s="33">
        <f t="shared" ca="1" si="34"/>
        <v>82.880152285321046</v>
      </c>
      <c r="AP139" s="33">
        <f t="shared" ca="1" si="34"/>
        <v>102.41083223077457</v>
      </c>
      <c r="AQ139" s="33">
        <f t="shared" ca="1" si="34"/>
        <v>192.13806931430472</v>
      </c>
      <c r="AR139" s="33">
        <f t="shared" ca="1" si="34"/>
        <v>246.59144802846558</v>
      </c>
      <c r="AT139" s="18">
        <f ca="1">AO139*'GS&gt;50 Predicted Monthly (no LC)'!$P$10</f>
        <v>191908.63927934016</v>
      </c>
      <c r="AU139" s="18">
        <f ca="1">AP139*'GS&gt;50 Predicted Monthly (no LC)'!$P$10</f>
        <v>237131.8454292173</v>
      </c>
      <c r="AV139" s="18">
        <f ca="1">AQ139*'GS&gt;50 Predicted Monthly (no LC)'!$P$11</f>
        <v>1037972.4849070985</v>
      </c>
      <c r="AW139" s="18">
        <f ca="1">AR139*'GS&gt;50 Predicted Monthly (no LC)'!$P$11</f>
        <v>1332141.7196518595</v>
      </c>
      <c r="AY139" s="18">
        <f ca="1">AO139*'LC Predicted Monthly'!$T$12</f>
        <v>16968.328788573257</v>
      </c>
      <c r="AZ139" s="18">
        <f ca="1">AP139*'LC Predicted Monthly'!$T$12</f>
        <v>20966.909747232337</v>
      </c>
      <c r="BB139" s="31">
        <f t="shared" ca="1" si="41"/>
        <v>5345194.088037123</v>
      </c>
      <c r="BC139" s="31">
        <f t="shared" ca="1" si="42"/>
        <v>5688585.1098904209</v>
      </c>
    </row>
    <row r="140" spans="1:55">
      <c r="A140" s="541">
        <f t="shared" si="32"/>
        <v>46569</v>
      </c>
      <c r="B140">
        <f t="shared" si="44"/>
        <v>2027</v>
      </c>
      <c r="C140">
        <f t="shared" si="45"/>
        <v>7</v>
      </c>
      <c r="D140" s="30"/>
      <c r="E140" s="30"/>
      <c r="F140" s="264">
        <f t="shared" ca="1" si="43"/>
        <v>25.464999999999996</v>
      </c>
      <c r="G140" s="264">
        <f t="shared" ca="1" si="43"/>
        <v>327.99625000000003</v>
      </c>
      <c r="I140" s="18">
        <f>'GS&gt;50 Predicted Monthly (no LC)'!$P$9</f>
        <v>4121039.41701539</v>
      </c>
      <c r="J140" s="18">
        <f ca="1">F140*'GS&gt;50 Predicted Monthly (no LC)'!$P$10</f>
        <v>58964.098936796094</v>
      </c>
      <c r="K140" s="18">
        <f ca="1">G140*'GS&gt;50 Predicted Monthly (no LC)'!$P$11</f>
        <v>1771908.5232182215</v>
      </c>
      <c r="L140" s="18">
        <f t="shared" ca="1" si="37"/>
        <v>5951912.0391704077</v>
      </c>
      <c r="M140" s="18"/>
      <c r="N140" s="18">
        <f>'Monthly Data'!DN140</f>
        <v>0</v>
      </c>
      <c r="O140" s="18">
        <f>'Monthly Data'!DO140</f>
        <v>0</v>
      </c>
      <c r="P140" s="18">
        <f t="shared" ca="1" si="38"/>
        <v>25.464999999999996</v>
      </c>
      <c r="Q140" s="18">
        <f t="shared" si="33"/>
        <v>0</v>
      </c>
      <c r="R140" s="18"/>
      <c r="S140" s="18">
        <f>'LC Predicted Monthly'!$T$9</f>
        <v>-22694.781953278001</v>
      </c>
      <c r="T140" s="18">
        <f>N140*'LC Predicted Monthly'!$T$10</f>
        <v>0</v>
      </c>
      <c r="U140" s="18">
        <f>O140*'LC Predicted Monthly'!$T$11</f>
        <v>0</v>
      </c>
      <c r="V140" s="18">
        <f ca="1">P140*'LC Predicted Monthly'!$T$12</f>
        <v>5213.5340088841413</v>
      </c>
      <c r="W140" s="18">
        <f>Q140*'LC Predicted Monthly'!$T$13</f>
        <v>0</v>
      </c>
      <c r="X140" s="18">
        <f t="shared" ca="1" si="39"/>
        <v>-17481.247944393861</v>
      </c>
      <c r="Y140" s="18">
        <f t="shared" ca="1" si="40"/>
        <v>5934430.7912260136</v>
      </c>
      <c r="AO140" s="33">
        <f t="shared" ca="1" si="34"/>
        <v>22.754874763905612</v>
      </c>
      <c r="AP140" s="33">
        <f t="shared" ca="1" si="34"/>
        <v>28.117053330889604</v>
      </c>
      <c r="AQ140" s="33">
        <f t="shared" ca="1" si="34"/>
        <v>277.23333508367784</v>
      </c>
      <c r="AR140" s="33">
        <f t="shared" ca="1" si="34"/>
        <v>355.80335424425579</v>
      </c>
      <c r="AT140" s="18">
        <f ca="1">AO140*'GS&gt;50 Predicted Monthly (no LC)'!$P$10</f>
        <v>52688.815506512285</v>
      </c>
      <c r="AU140" s="18">
        <f ca="1">AP140*'GS&gt;50 Predicted Monthly (no LC)'!$P$10</f>
        <v>65104.917118152247</v>
      </c>
      <c r="AV140" s="18">
        <f ca="1">AQ140*'GS&gt;50 Predicted Monthly (no LC)'!$P$11</f>
        <v>1497675.9928047406</v>
      </c>
      <c r="AW140" s="18">
        <f ca="1">AR140*'GS&gt;50 Predicted Monthly (no LC)'!$P$11</f>
        <v>1922128.6706022671</v>
      </c>
      <c r="AY140" s="18">
        <f ca="1">AO140*'LC Predicted Monthly'!$T$12</f>
        <v>4658.6810700774167</v>
      </c>
      <c r="AZ140" s="18">
        <f ca="1">AP140*'LC Predicted Monthly'!$T$12</f>
        <v>5756.4976937051679</v>
      </c>
      <c r="BB140" s="31">
        <f t="shared" ca="1" si="41"/>
        <v>5653368.1244434416</v>
      </c>
      <c r="BC140" s="31">
        <f t="shared" ca="1" si="42"/>
        <v>6091334.7204762362</v>
      </c>
    </row>
    <row r="141" spans="1:55">
      <c r="A141" s="541">
        <f t="shared" si="32"/>
        <v>46600</v>
      </c>
      <c r="B141">
        <f t="shared" si="44"/>
        <v>2027</v>
      </c>
      <c r="C141">
        <f t="shared" si="45"/>
        <v>8</v>
      </c>
      <c r="D141" s="30"/>
      <c r="E141" s="30"/>
      <c r="F141" s="264">
        <f t="shared" ca="1" si="43"/>
        <v>54.974791666666668</v>
      </c>
      <c r="G141" s="264">
        <f t="shared" ca="1" si="43"/>
        <v>280.40312500000005</v>
      </c>
      <c r="I141" s="18">
        <f>'GS&gt;50 Predicted Monthly (no LC)'!$P$9</f>
        <v>4121039.41701539</v>
      </c>
      <c r="J141" s="18">
        <f ca="1">F141*'GS&gt;50 Predicted Monthly (no LC)'!$P$10</f>
        <v>127293.89573387343</v>
      </c>
      <c r="K141" s="18">
        <f ca="1">G141*'GS&gt;50 Predicted Monthly (no LC)'!$P$11</f>
        <v>1514799.9012931532</v>
      </c>
      <c r="L141" s="18">
        <f t="shared" ca="1" si="37"/>
        <v>5763133.2140424168</v>
      </c>
      <c r="M141" s="18"/>
      <c r="N141" s="18">
        <f>'Monthly Data'!DN141</f>
        <v>0</v>
      </c>
      <c r="O141" s="18">
        <f>'Monthly Data'!DO141</f>
        <v>0</v>
      </c>
      <c r="P141" s="18">
        <f t="shared" ca="1" si="38"/>
        <v>54.974791666666668</v>
      </c>
      <c r="Q141" s="18">
        <f t="shared" si="33"/>
        <v>0</v>
      </c>
      <c r="R141" s="18"/>
      <c r="S141" s="18">
        <f>'LC Predicted Monthly'!$T$9</f>
        <v>-22694.781953278001</v>
      </c>
      <c r="T141" s="18">
        <f>N141*'LC Predicted Monthly'!$T$10</f>
        <v>0</v>
      </c>
      <c r="U141" s="18">
        <f>O141*'LC Predicted Monthly'!$T$11</f>
        <v>0</v>
      </c>
      <c r="V141" s="18">
        <f ca="1">P141*'LC Predicted Monthly'!$T$12</f>
        <v>11255.171646789209</v>
      </c>
      <c r="W141" s="18">
        <f>Q141*'LC Predicted Monthly'!$T$13</f>
        <v>0</v>
      </c>
      <c r="X141" s="18">
        <f t="shared" ca="1" si="39"/>
        <v>-11439.610306488792</v>
      </c>
      <c r="Y141" s="18">
        <f t="shared" ca="1" si="40"/>
        <v>5751693.6037359284</v>
      </c>
      <c r="AO141" s="33">
        <f t="shared" ca="1" si="34"/>
        <v>49.124072238240799</v>
      </c>
      <c r="AP141" s="33">
        <f t="shared" ca="1" si="34"/>
        <v>60.700143300459935</v>
      </c>
      <c r="AQ141" s="33">
        <f t="shared" ca="1" si="34"/>
        <v>237.00604354969119</v>
      </c>
      <c r="AR141" s="33">
        <f t="shared" ca="1" si="34"/>
        <v>304.17534473510392</v>
      </c>
      <c r="AT141" s="18">
        <f ca="1">AO141*'GS&gt;50 Predicted Monthly (no LC)'!$P$10</f>
        <v>113746.57984032786</v>
      </c>
      <c r="AU141" s="18">
        <f ca="1">AP141*'GS&gt;50 Predicted Monthly (no LC)'!$P$10</f>
        <v>140550.92303341921</v>
      </c>
      <c r="AV141" s="18">
        <f ca="1">AQ141*'GS&gt;50 Predicted Monthly (no LC)'!$P$11</f>
        <v>1280359.2377044759</v>
      </c>
      <c r="AW141" s="18">
        <f ca="1">AR141*'GS&gt;50 Predicted Monthly (no LC)'!$P$11</f>
        <v>1643222.7072381813</v>
      </c>
      <c r="AY141" s="18">
        <f ca="1">AO141*'LC Predicted Monthly'!$T$12</f>
        <v>10057.334430353416</v>
      </c>
      <c r="AZ141" s="18">
        <f ca="1">AP141*'LC Predicted Monthly'!$T$12</f>
        <v>12427.341898334529</v>
      </c>
      <c r="BB141" s="31">
        <f t="shared" ca="1" si="41"/>
        <v>5502507.7870372701</v>
      </c>
      <c r="BC141" s="31">
        <f t="shared" ca="1" si="42"/>
        <v>5894545.6072320472</v>
      </c>
    </row>
    <row r="142" spans="1:55">
      <c r="A142" s="541">
        <f t="shared" si="32"/>
        <v>46631</v>
      </c>
      <c r="B142">
        <f t="shared" si="44"/>
        <v>2027</v>
      </c>
      <c r="C142">
        <f t="shared" si="45"/>
        <v>9</v>
      </c>
      <c r="D142" s="30"/>
      <c r="E142" s="30"/>
      <c r="F142" s="264">
        <f t="shared" ca="1" si="43"/>
        <v>166.50624999999999</v>
      </c>
      <c r="G142" s="264">
        <f t="shared" ca="1" si="43"/>
        <v>144.00333333333333</v>
      </c>
      <c r="I142" s="18">
        <f>'GS&gt;50 Predicted Monthly (no LC)'!$P$9</f>
        <v>4121039.41701539</v>
      </c>
      <c r="J142" s="18">
        <f ca="1">F142*'GS&gt;50 Predicted Monthly (no LC)'!$P$10</f>
        <v>385544.51202022011</v>
      </c>
      <c r="K142" s="18">
        <f ca="1">G142*'GS&gt;50 Predicted Monthly (no LC)'!$P$11</f>
        <v>777937.96028206998</v>
      </c>
      <c r="L142" s="18">
        <f t="shared" ca="1" si="37"/>
        <v>5284521.8893176802</v>
      </c>
      <c r="M142" s="18"/>
      <c r="N142" s="18">
        <f>'Monthly Data'!DN142</f>
        <v>0</v>
      </c>
      <c r="O142" s="18">
        <f>'Monthly Data'!DO142</f>
        <v>0</v>
      </c>
      <c r="P142" s="18">
        <f t="shared" ca="1" si="38"/>
        <v>166.50624999999999</v>
      </c>
      <c r="Q142" s="18">
        <f t="shared" si="33"/>
        <v>1</v>
      </c>
      <c r="R142" s="18"/>
      <c r="S142" s="18">
        <f>'LC Predicted Monthly'!$T$9</f>
        <v>-22694.781953278001</v>
      </c>
      <c r="T142" s="18">
        <f>N142*'LC Predicted Monthly'!$T$10</f>
        <v>0</v>
      </c>
      <c r="U142" s="18">
        <f>O142*'LC Predicted Monthly'!$T$11</f>
        <v>0</v>
      </c>
      <c r="V142" s="18">
        <f ca="1">P142*'LC Predicted Monthly'!$T$12</f>
        <v>34089.377461879645</v>
      </c>
      <c r="W142" s="18">
        <f>Q142*'LC Predicted Monthly'!$T$13</f>
        <v>97970.228068396304</v>
      </c>
      <c r="X142" s="18">
        <f t="shared" ca="1" si="39"/>
        <v>109364.82357699795</v>
      </c>
      <c r="Y142" s="18">
        <f t="shared" ca="1" si="40"/>
        <v>5393886.7128946781</v>
      </c>
      <c r="AO142" s="33">
        <f t="shared" ref="AO142:AR145" ca="1" si="46">AO130</f>
        <v>148.78573988445157</v>
      </c>
      <c r="AP142" s="33">
        <f t="shared" ca="1" si="46"/>
        <v>183.84704932952829</v>
      </c>
      <c r="AQ142" s="33">
        <f t="shared" ca="1" si="46"/>
        <v>121.71640487708792</v>
      </c>
      <c r="AR142" s="33">
        <f t="shared" ca="1" si="46"/>
        <v>156.21175248910205</v>
      </c>
      <c r="AT142" s="18">
        <f ca="1">AO142*'GS&gt;50 Predicted Monthly (no LC)'!$P$10</f>
        <v>344512.74639431422</v>
      </c>
      <c r="AU142" s="18">
        <f ca="1">AP142*'GS&gt;50 Predicted Monthly (no LC)'!$P$10</f>
        <v>425697.05893989158</v>
      </c>
      <c r="AV142" s="18">
        <f ca="1">AQ142*'GS&gt;50 Predicted Monthly (no LC)'!$P$11</f>
        <v>657539.02740409982</v>
      </c>
      <c r="AW142" s="18">
        <f ca="1">AR142*'GS&gt;50 Predicted Monthly (no LC)'!$P$11</f>
        <v>843890.54954834119</v>
      </c>
      <c r="AY142" s="18">
        <f ca="1">AO142*'LC Predicted Monthly'!$T$12</f>
        <v>30461.398583333124</v>
      </c>
      <c r="AZ142" s="18">
        <f ca="1">AP142*'LC Predicted Monthly'!$T$12</f>
        <v>37639.616890339537</v>
      </c>
      <c r="BB142" s="31">
        <f t="shared" ca="1" si="41"/>
        <v>5228828.0355122555</v>
      </c>
      <c r="BC142" s="31">
        <f t="shared" ca="1" si="42"/>
        <v>5503542.0885090809</v>
      </c>
    </row>
    <row r="143" spans="1:55">
      <c r="A143" s="541">
        <f t="shared" si="32"/>
        <v>46661</v>
      </c>
      <c r="B143">
        <f t="shared" si="44"/>
        <v>2027</v>
      </c>
      <c r="C143">
        <f t="shared" si="45"/>
        <v>10</v>
      </c>
      <c r="D143" s="30"/>
      <c r="E143" s="30"/>
      <c r="F143" s="264">
        <f t="shared" ca="1" si="43"/>
        <v>363.47645833333326</v>
      </c>
      <c r="G143" s="264">
        <f t="shared" ca="1" si="43"/>
        <v>40.02791666666667</v>
      </c>
      <c r="I143" s="18">
        <f>'GS&gt;50 Predicted Monthly (no LC)'!$P$9</f>
        <v>4121039.41701539</v>
      </c>
      <c r="J143" s="18">
        <f ca="1">F143*'GS&gt;50 Predicted Monthly (no LC)'!$P$10</f>
        <v>841628.18968635018</v>
      </c>
      <c r="K143" s="18">
        <f ca="1">G143*'GS&gt;50 Predicted Monthly (no LC)'!$P$11</f>
        <v>216239.6878267217</v>
      </c>
      <c r="L143" s="18">
        <f t="shared" ca="1" si="37"/>
        <v>5178907.294528462</v>
      </c>
      <c r="M143" s="18"/>
      <c r="N143" s="18">
        <f>'Monthly Data'!DN143</f>
        <v>0</v>
      </c>
      <c r="O143" s="18">
        <f>'Monthly Data'!DO143</f>
        <v>0</v>
      </c>
      <c r="P143" s="18">
        <f t="shared" ca="1" si="38"/>
        <v>363.47645833333326</v>
      </c>
      <c r="Q143" s="18">
        <f t="shared" si="33"/>
        <v>1</v>
      </c>
      <c r="R143" s="18"/>
      <c r="S143" s="18">
        <f>'LC Predicted Monthly'!$T$9</f>
        <v>-22694.781953278001</v>
      </c>
      <c r="T143" s="18">
        <f>N143*'LC Predicted Monthly'!$T$10</f>
        <v>0</v>
      </c>
      <c r="U143" s="18">
        <f>O143*'LC Predicted Monthly'!$T$11</f>
        <v>0</v>
      </c>
      <c r="V143" s="18">
        <f ca="1">P143*'LC Predicted Monthly'!$T$12</f>
        <v>74415.742271729541</v>
      </c>
      <c r="W143" s="18">
        <f>Q143*'LC Predicted Monthly'!$T$13</f>
        <v>97970.228068396304</v>
      </c>
      <c r="X143" s="18">
        <f t="shared" ca="1" si="39"/>
        <v>149691.18838684785</v>
      </c>
      <c r="Y143" s="18">
        <f t="shared" ca="1" si="40"/>
        <v>5328598.4829153102</v>
      </c>
      <c r="AO143" s="33">
        <f t="shared" ca="1" si="46"/>
        <v>324.79329624987065</v>
      </c>
      <c r="AP143" s="33">
        <f t="shared" ca="1" si="46"/>
        <v>401.33072701673694</v>
      </c>
      <c r="AQ143" s="33">
        <f t="shared" ca="1" si="46"/>
        <v>33.832925937267667</v>
      </c>
      <c r="AR143" s="33">
        <f t="shared" ca="1" si="46"/>
        <v>43.421432450552551</v>
      </c>
      <c r="AT143" s="18">
        <f ca="1">AO143*'GS&gt;50 Predicted Monthly (no LC)'!$P$10</f>
        <v>752057.49279738846</v>
      </c>
      <c r="AU143" s="18">
        <f ca="1">AP143*'GS&gt;50 Predicted Monthly (no LC)'!$P$10</f>
        <v>929279.58744124032</v>
      </c>
      <c r="AV143" s="18">
        <f ca="1">AQ143*'GS&gt;50 Predicted Monthly (no LC)'!$P$11</f>
        <v>182772.97326922306</v>
      </c>
      <c r="AW143" s="18">
        <f ca="1">AR143*'GS&gt;50 Predicted Monthly (no LC)'!$P$11</f>
        <v>234572.21309535802</v>
      </c>
      <c r="AY143" s="18">
        <f ca="1">AO143*'LC Predicted Monthly'!$T$12</f>
        <v>66496.010047370233</v>
      </c>
      <c r="AZ143" s="18">
        <f ca="1">AP143*'LC Predicted Monthly'!$T$12</f>
        <v>82165.772397877707</v>
      </c>
      <c r="BB143" s="31">
        <f t="shared" ca="1" si="41"/>
        <v>5197641.3392444905</v>
      </c>
      <c r="BC143" s="31">
        <f t="shared" ca="1" si="42"/>
        <v>5442332.4360649846</v>
      </c>
    </row>
    <row r="144" spans="1:55">
      <c r="A144" s="541">
        <f t="shared" si="32"/>
        <v>46692</v>
      </c>
      <c r="B144">
        <f t="shared" si="44"/>
        <v>2027</v>
      </c>
      <c r="C144">
        <f t="shared" si="45"/>
        <v>11</v>
      </c>
      <c r="D144" s="30"/>
      <c r="E144" s="30"/>
      <c r="F144" s="264">
        <f t="shared" ca="1" si="43"/>
        <v>586.00395833333334</v>
      </c>
      <c r="G144" s="264">
        <f t="shared" ca="1" si="43"/>
        <v>4.5920833333333331</v>
      </c>
      <c r="I144" s="18">
        <f>'GS&gt;50 Predicted Monthly (no LC)'!$P$9</f>
        <v>4121039.41701539</v>
      </c>
      <c r="J144" s="18">
        <f ca="1">F144*'GS&gt;50 Predicted Monthly (no LC)'!$P$10</f>
        <v>1356889.6672499825</v>
      </c>
      <c r="K144" s="18">
        <f ca="1">G144*'GS&gt;50 Predicted Monthly (no LC)'!$P$11</f>
        <v>24807.453126862496</v>
      </c>
      <c r="L144" s="18">
        <f t="shared" ca="1" si="37"/>
        <v>5502736.5373922354</v>
      </c>
      <c r="M144" s="18"/>
      <c r="N144" s="18">
        <f>'Monthly Data'!DN144</f>
        <v>0</v>
      </c>
      <c r="O144" s="18">
        <f>'Monthly Data'!DO144</f>
        <v>0</v>
      </c>
      <c r="P144" s="18">
        <f t="shared" ca="1" si="38"/>
        <v>586.00395833333334</v>
      </c>
      <c r="Q144" s="18">
        <f t="shared" si="33"/>
        <v>1</v>
      </c>
      <c r="R144" s="18"/>
      <c r="S144" s="18">
        <f>'LC Predicted Monthly'!$T$9</f>
        <v>-22694.781953278001</v>
      </c>
      <c r="T144" s="18">
        <f>N144*'LC Predicted Monthly'!$T$10</f>
        <v>0</v>
      </c>
      <c r="U144" s="18">
        <f>O144*'LC Predicted Monthly'!$T$11</f>
        <v>0</v>
      </c>
      <c r="V144" s="18">
        <f ca="1">P144*'LC Predicted Monthly'!$T$12</f>
        <v>119974.53626984327</v>
      </c>
      <c r="W144" s="18">
        <f>Q144*'LC Predicted Monthly'!$T$13</f>
        <v>97970.228068396304</v>
      </c>
      <c r="X144" s="18">
        <f t="shared" ca="1" si="39"/>
        <v>195249.98238496156</v>
      </c>
      <c r="Y144" s="18">
        <f t="shared" ca="1" si="40"/>
        <v>5697986.5197771974</v>
      </c>
      <c r="AO144" s="33">
        <f t="shared" ca="1" si="46"/>
        <v>523.63819685953126</v>
      </c>
      <c r="AP144" s="33">
        <f t="shared" ca="1" si="46"/>
        <v>647.03336142041019</v>
      </c>
      <c r="AQ144" s="33">
        <f t="shared" ca="1" si="46"/>
        <v>3.8813815020207452</v>
      </c>
      <c r="AR144" s="33">
        <f t="shared" ca="1" si="46"/>
        <v>4.9813943085298762</v>
      </c>
      <c r="AT144" s="18">
        <f ca="1">AO144*'GS&gt;50 Predicted Monthly (no LC)'!$P$10</f>
        <v>1212482.0124371063</v>
      </c>
      <c r="AU144" s="18">
        <f ca="1">AP144*'GS&gt;50 Predicted Monthly (no LC)'!$P$10</f>
        <v>1498202.9899156024</v>
      </c>
      <c r="AV144" s="18">
        <f ca="1">AQ144*'GS&gt;50 Predicted Monthly (no LC)'!$P$11</f>
        <v>20968.084132949996</v>
      </c>
      <c r="AW144" s="18">
        <f ca="1">AR144*'GS&gt;50 Predicted Monthly (no LC)'!$P$11</f>
        <v>26910.597401021583</v>
      </c>
      <c r="AY144" s="18">
        <f ca="1">AO144*'LC Predicted Monthly'!$T$12</f>
        <v>107206.18683204145</v>
      </c>
      <c r="AZ144" s="18">
        <f ca="1">AP144*'LC Predicted Monthly'!$T$12</f>
        <v>132469.28861762941</v>
      </c>
      <c r="BB144" s="31">
        <f t="shared" ca="1" si="41"/>
        <v>5536971.1465326073</v>
      </c>
      <c r="BC144" s="31">
        <f t="shared" ca="1" si="42"/>
        <v>5853897.7390647624</v>
      </c>
    </row>
    <row r="145" spans="1:55">
      <c r="A145" s="541">
        <f t="shared" si="32"/>
        <v>46722</v>
      </c>
      <c r="B145">
        <f t="shared" si="44"/>
        <v>2027</v>
      </c>
      <c r="C145">
        <f t="shared" si="45"/>
        <v>12</v>
      </c>
      <c r="D145" s="30"/>
      <c r="E145" s="30"/>
      <c r="F145" s="264">
        <f t="shared" ca="1" si="43"/>
        <v>812.36333333333334</v>
      </c>
      <c r="G145" s="264">
        <f t="shared" ca="1" si="43"/>
        <v>0</v>
      </c>
      <c r="I145" s="18">
        <f>'GS&gt;50 Predicted Monthly (no LC)'!$P$9</f>
        <v>4121039.41701539</v>
      </c>
      <c r="J145" s="18">
        <f ca="1">F145*'GS&gt;50 Predicted Monthly (no LC)'!$P$10</f>
        <v>1881023.8350399425</v>
      </c>
      <c r="K145" s="18">
        <f ca="1">G145*'GS&gt;50 Predicted Monthly (no LC)'!$P$11</f>
        <v>0</v>
      </c>
      <c r="L145" s="18">
        <f t="shared" ca="1" si="37"/>
        <v>6002063.2520553321</v>
      </c>
      <c r="M145" s="18"/>
      <c r="N145" s="18">
        <f>'Monthly Data'!DN145</f>
        <v>0</v>
      </c>
      <c r="O145" s="18">
        <f>'Monthly Data'!DO145</f>
        <v>0</v>
      </c>
      <c r="P145" s="18">
        <f ca="1">F145</f>
        <v>812.36333333333334</v>
      </c>
      <c r="Q145" s="18">
        <f t="shared" si="33"/>
        <v>0</v>
      </c>
      <c r="R145" s="18"/>
      <c r="S145" s="18">
        <f>'LC Predicted Monthly'!$T$9</f>
        <v>-22694.781953278001</v>
      </c>
      <c r="T145" s="18">
        <f>N145*'LC Predicted Monthly'!$T$10</f>
        <v>0</v>
      </c>
      <c r="U145" s="18">
        <f>O145*'LC Predicted Monthly'!$T$11</f>
        <v>0</v>
      </c>
      <c r="V145" s="18">
        <f ca="1">P145*'LC Predicted Monthly'!$T$12</f>
        <v>166317.84276080181</v>
      </c>
      <c r="W145" s="18">
        <f>Q145*'LC Predicted Monthly'!$T$13</f>
        <v>0</v>
      </c>
      <c r="X145" s="18">
        <f t="shared" ca="1" si="39"/>
        <v>143623.06080752381</v>
      </c>
      <c r="Y145" s="18">
        <f t="shared" ca="1" si="40"/>
        <v>6145686.3128628563</v>
      </c>
      <c r="AO145" s="33">
        <f t="shared" ca="1" si="46"/>
        <v>725.90716327464804</v>
      </c>
      <c r="AP145" s="33">
        <f t="shared" ca="1" si="46"/>
        <v>896.96694158227319</v>
      </c>
      <c r="AQ145" s="33">
        <f t="shared" ca="1" si="46"/>
        <v>0</v>
      </c>
      <c r="AR145" s="33">
        <f t="shared" ca="1" si="46"/>
        <v>0</v>
      </c>
      <c r="AT145" s="18">
        <f ca="1">AO145*'GS&gt;50 Predicted Monthly (no LC)'!$P$10</f>
        <v>1680834.941851771</v>
      </c>
      <c r="AU145" s="18">
        <f ca="1">AP145*'GS&gt;50 Predicted Monthly (no LC)'!$P$10</f>
        <v>2076923.1292555493</v>
      </c>
      <c r="AV145" s="18">
        <f ca="1">AQ145*'GS&gt;50 Predicted Monthly (no LC)'!$P$11</f>
        <v>0</v>
      </c>
      <c r="AW145" s="18">
        <f ca="1">AR145*'GS&gt;50 Predicted Monthly (no LC)'!$P$11</f>
        <v>0</v>
      </c>
      <c r="AY145" s="18">
        <f ca="1">AO145*'LC Predicted Monthly'!$T$12</f>
        <v>148617.38397899043</v>
      </c>
      <c r="AZ145" s="18">
        <f ca="1">AP145*'LC Predicted Monthly'!$T$12</f>
        <v>183639.02041170144</v>
      </c>
      <c r="BB145" s="31">
        <f t="shared" ca="1" si="41"/>
        <v>5927796.9608928729</v>
      </c>
      <c r="BC145" s="31">
        <f t="shared" ca="1" si="42"/>
        <v>6358906.7847293625</v>
      </c>
    </row>
    <row r="147" spans="1:55">
      <c r="BB147" s="31">
        <f ca="1">SUM(BB122:BB133)-SUM(Y122:Y133)</f>
        <v>-2356178.7079545334</v>
      </c>
      <c r="BC147" s="31">
        <f ca="1">SUM(BC122:BC133)-SUM(Y122:Y133)</f>
        <v>1893785.7409349829</v>
      </c>
    </row>
    <row r="148" spans="1:55">
      <c r="BB148" s="31">
        <f ca="1">SUM(BB134:BB145)-SUM(Y134:Y145)</f>
        <v>-2356178.7079545334</v>
      </c>
      <c r="BC148" s="31">
        <f ca="1">SUM(BC134:BC145)-SUM(Y134:Y145)</f>
        <v>1893785.7409349829</v>
      </c>
    </row>
    <row r="149" spans="1:55">
      <c r="AA149" s="8">
        <v>2016</v>
      </c>
      <c r="AB149" s="18">
        <f>SUMIFS($M$2:$M$145,$B$2:$B$145,AA149)</f>
        <v>2336658.27</v>
      </c>
      <c r="AC149" s="18">
        <f ca="1">SUMIFS('GS&gt;50 (no LC) Norm Monthly WN'!$AC$2:$AC$145,'GS&gt;50 (no LC) Norm Monthly WN'!$B$2:$B$145,'GS&gt;50 (no LC) Norm Monthly'!AA149)</f>
        <v>2335933.0875173518</v>
      </c>
    </row>
    <row r="150" spans="1:55">
      <c r="AA150" s="8">
        <f t="shared" ref="AA150:AA160" si="47">AA149+1</f>
        <v>2017</v>
      </c>
      <c r="AB150" s="18">
        <f t="shared" ref="AB150:AB160" si="48">SUMIFS($M$2:$M$145,$B$2:$B$145,AA150)</f>
        <v>520326</v>
      </c>
      <c r="AC150" s="18">
        <f ca="1">SUMIFS('GS&gt;50 (no LC) Norm Monthly WN'!$AC$2:$AC$145,'GS&gt;50 (no LC) Norm Monthly WN'!$B$2:$B$145,'GS&gt;50 (no LC) Norm Monthly'!AA150)</f>
        <v>493542.53108345822</v>
      </c>
    </row>
    <row r="151" spans="1:55">
      <c r="S151" s="31"/>
      <c r="AA151" s="8">
        <f t="shared" si="47"/>
        <v>2018</v>
      </c>
      <c r="AB151" s="18">
        <f t="shared" si="48"/>
        <v>654927.6</v>
      </c>
      <c r="AC151" s="18">
        <f ca="1">SUMIFS('GS&gt;50 (no LC) Norm Monthly WN'!$AC$2:$AC$145,'GS&gt;50 (no LC) Norm Monthly WN'!$B$2:$B$145,'GS&gt;50 (no LC) Norm Monthly'!AA151)</f>
        <v>603331.30568316823</v>
      </c>
    </row>
    <row r="152" spans="1:55">
      <c r="S152" s="278"/>
      <c r="AA152" s="8">
        <f t="shared" si="47"/>
        <v>2019</v>
      </c>
      <c r="AB152" s="18">
        <f t="shared" si="48"/>
        <v>712041.19000000006</v>
      </c>
      <c r="AC152" s="18">
        <f ca="1">SUMIFS('GS&gt;50 (no LC) Norm Monthly WN'!$AC$2:$AC$145,'GS&gt;50 (no LC) Norm Monthly WN'!$B$2:$B$145,'GS&gt;50 (no LC) Norm Monthly'!AA152)</f>
        <v>600746.79203719564</v>
      </c>
    </row>
    <row r="153" spans="1:55">
      <c r="AA153" s="8">
        <f t="shared" si="47"/>
        <v>2020</v>
      </c>
      <c r="AB153" s="18">
        <f t="shared" si="48"/>
        <v>388219.62000000005</v>
      </c>
      <c r="AC153" s="18">
        <f ca="1">SUMIFS('GS&gt;50 (no LC) Norm Monthly WN'!$AC$2:$AC$145,'GS&gt;50 (no LC) Norm Monthly WN'!$B$2:$B$145,'GS&gt;50 (no LC) Norm Monthly'!AA153)</f>
        <v>394239.54737536714</v>
      </c>
    </row>
    <row r="154" spans="1:55">
      <c r="AA154" s="8">
        <f t="shared" si="47"/>
        <v>2021</v>
      </c>
      <c r="AB154" s="18">
        <f t="shared" si="48"/>
        <v>174202.4</v>
      </c>
      <c r="AC154" s="18">
        <f ca="1">SUMIFS('GS&gt;50 (no LC) Norm Monthly WN'!$AC$2:$AC$145,'GS&gt;50 (no LC) Norm Monthly WN'!$B$2:$B$145,'GS&gt;50 (no LC) Norm Monthly'!AA154)</f>
        <v>238392.60861641931</v>
      </c>
    </row>
    <row r="155" spans="1:55">
      <c r="S155" s="35"/>
      <c r="AA155" s="8">
        <f t="shared" si="47"/>
        <v>2022</v>
      </c>
      <c r="AB155" s="18">
        <f t="shared" si="48"/>
        <v>2839915.68</v>
      </c>
      <c r="AC155" s="18">
        <f ca="1">SUMIFS('GS&gt;50 (no LC) Norm Monthly WN'!$AC$2:$AC$145,'GS&gt;50 (no LC) Norm Monthly WN'!$B$2:$B$145,'GS&gt;50 (no LC) Norm Monthly'!AA155)</f>
        <v>2828525.5976254954</v>
      </c>
    </row>
    <row r="156" spans="1:55">
      <c r="AA156" s="8">
        <f t="shared" si="47"/>
        <v>2023</v>
      </c>
      <c r="AB156" s="18">
        <f t="shared" si="48"/>
        <v>451805.60000000003</v>
      </c>
      <c r="AC156" s="18">
        <f ca="1">SUMIFS('GS&gt;50 (no LC) Norm Monthly WN'!$AC$2:$AC$145,'GS&gt;50 (no LC) Norm Monthly WN'!$B$2:$B$145,'GS&gt;50 (no LC) Norm Monthly'!AA156)</f>
        <v>507920.35870230477</v>
      </c>
    </row>
    <row r="157" spans="1:55">
      <c r="X157" s="8"/>
      <c r="AA157" s="8">
        <f t="shared" si="47"/>
        <v>2024</v>
      </c>
      <c r="AB157" s="18">
        <f t="shared" si="48"/>
        <v>749449.6</v>
      </c>
      <c r="AC157" s="18">
        <f ca="1">SUMIFS('GS&gt;50 (no LC) Norm Monthly WN'!$AC$2:$AC$145,'GS&gt;50 (no LC) Norm Monthly WN'!$B$2:$B$145,'GS&gt;50 (no LC) Norm Monthly'!AA157)</f>
        <v>863181.00692225527</v>
      </c>
      <c r="AD157" s="31"/>
    </row>
    <row r="158" spans="1:55">
      <c r="X158" s="18"/>
      <c r="AA158" s="8">
        <f t="shared" si="47"/>
        <v>2025</v>
      </c>
      <c r="AB158" s="18">
        <f t="shared" si="48"/>
        <v>8441212.5999999996</v>
      </c>
      <c r="AC158" s="18">
        <f ca="1">SUMIFS('GS&gt;50 (no LC) Norm Monthly WN'!$AC$2:$AC$145,'GS&gt;50 (no LC) Norm Monthly WN'!$B$2:$B$145,'GS&gt;50 (no LC) Norm Monthly'!AA158)</f>
        <v>8402945.7244369835</v>
      </c>
      <c r="AD158" s="278"/>
    </row>
    <row r="159" spans="1:55">
      <c r="AA159" s="8">
        <f t="shared" si="47"/>
        <v>2026</v>
      </c>
      <c r="AB159" s="18">
        <f t="shared" si="48"/>
        <v>0</v>
      </c>
      <c r="AC159" s="18">
        <f ca="1">SUMIFS('GS&gt;50 (no LC) Norm Monthly WN'!$AC$2:$AC$145,'GS&gt;50 (no LC) Norm Monthly WN'!$B$2:$B$145,'GS&gt;50 (no LC) Norm Monthly'!AA159)</f>
        <v>1090221.4350671866</v>
      </c>
    </row>
    <row r="160" spans="1:55">
      <c r="AA160" s="8">
        <f t="shared" si="47"/>
        <v>2027</v>
      </c>
      <c r="AB160" s="18">
        <f t="shared" si="48"/>
        <v>0</v>
      </c>
      <c r="AC160" s="18">
        <f ca="1">SUMIFS('GS&gt;50 (no LC) Norm Monthly WN'!$AC$2:$AC$145,'GS&gt;50 (no LC) Norm Monthly WN'!$B$2:$B$145,'GS&gt;50 (no LC) Norm Monthly'!AA160)</f>
        <v>1090221.4350671866</v>
      </c>
    </row>
    <row r="195" spans="9:29">
      <c r="J195" s="18"/>
      <c r="K195" s="18"/>
      <c r="L195" s="18"/>
      <c r="M195" s="18"/>
      <c r="N195" s="18"/>
      <c r="O195" s="18"/>
      <c r="P195" s="18"/>
      <c r="Q195" s="18"/>
      <c r="R195" s="18"/>
      <c r="S195" s="18"/>
      <c r="T195" s="18"/>
      <c r="U195" s="18"/>
      <c r="V195" s="18"/>
      <c r="W195" s="18"/>
      <c r="X195" s="18"/>
      <c r="Y195" s="18"/>
      <c r="Z195" s="18"/>
      <c r="AA195" s="18"/>
      <c r="AB195" s="18"/>
      <c r="AC195" s="18"/>
    </row>
    <row r="196" spans="9:29">
      <c r="J196" s="18"/>
      <c r="K196" s="18"/>
      <c r="L196" s="18"/>
      <c r="M196" s="18"/>
      <c r="N196" s="18"/>
      <c r="O196" s="18"/>
      <c r="P196" s="18"/>
      <c r="Q196" s="18"/>
      <c r="R196" s="18"/>
      <c r="S196" s="18"/>
      <c r="T196" s="18"/>
      <c r="U196" s="18"/>
      <c r="V196" s="18"/>
      <c r="W196" s="18"/>
      <c r="X196" s="18"/>
      <c r="Y196" s="18"/>
      <c r="Z196" s="18"/>
      <c r="AA196" s="18"/>
      <c r="AB196" s="18"/>
      <c r="AC196" s="18"/>
    </row>
    <row r="197" spans="9:29">
      <c r="J197" s="18"/>
      <c r="K197" s="18"/>
      <c r="L197" s="18"/>
      <c r="M197" s="18"/>
      <c r="N197" s="18"/>
      <c r="O197" s="18"/>
      <c r="P197" s="18"/>
      <c r="Q197" s="18"/>
      <c r="R197" s="18"/>
      <c r="S197" s="18"/>
      <c r="T197" s="18"/>
      <c r="U197" s="18"/>
      <c r="V197" s="18"/>
      <c r="W197" s="18"/>
      <c r="X197" s="18"/>
      <c r="Y197" s="18"/>
      <c r="Z197" s="18"/>
      <c r="AA197" s="18"/>
      <c r="AB197" s="18"/>
      <c r="AC197" s="18"/>
    </row>
    <row r="198" spans="9:29">
      <c r="J198" s="18"/>
      <c r="K198" s="18"/>
      <c r="L198" s="18"/>
      <c r="M198" s="18"/>
      <c r="N198" s="18"/>
      <c r="O198" s="18"/>
      <c r="P198" s="18"/>
      <c r="Q198" s="18"/>
      <c r="R198" s="18"/>
      <c r="S198" s="18"/>
      <c r="T198" s="18"/>
      <c r="U198" s="18"/>
      <c r="V198" s="18"/>
      <c r="W198" s="18"/>
      <c r="X198" s="18"/>
      <c r="Y198" s="18"/>
      <c r="Z198" s="18"/>
      <c r="AA198" s="18"/>
      <c r="AB198" s="18"/>
      <c r="AC198" s="18"/>
    </row>
    <row r="199" spans="9:29">
      <c r="J199" s="18"/>
      <c r="K199" s="18"/>
      <c r="L199" s="18"/>
      <c r="M199" s="18"/>
      <c r="N199" s="18"/>
      <c r="O199" s="18"/>
      <c r="P199" s="18"/>
      <c r="Q199" s="18"/>
      <c r="R199" s="18"/>
      <c r="S199" s="18"/>
      <c r="T199" s="18"/>
      <c r="U199" s="18"/>
      <c r="V199" s="18"/>
      <c r="W199" s="18"/>
      <c r="X199" s="18"/>
      <c r="Y199" s="18"/>
      <c r="Z199" s="18"/>
      <c r="AA199" s="18"/>
      <c r="AB199" s="18"/>
      <c r="AC199" s="18"/>
    </row>
    <row r="200" spans="9:29">
      <c r="J200" s="18"/>
      <c r="K200" s="18"/>
      <c r="L200" s="18"/>
      <c r="M200" s="18"/>
      <c r="N200" s="18"/>
      <c r="O200" s="18"/>
      <c r="P200" s="18"/>
      <c r="Q200" s="18"/>
      <c r="R200" s="18"/>
      <c r="S200" s="18"/>
      <c r="T200" s="18"/>
      <c r="U200" s="18"/>
      <c r="V200" s="18"/>
      <c r="W200" s="18"/>
      <c r="X200" s="18"/>
      <c r="Y200" s="18"/>
      <c r="Z200" s="18"/>
      <c r="AA200" s="18"/>
      <c r="AB200" s="18"/>
      <c r="AC200" s="18"/>
    </row>
    <row r="201" spans="9:29">
      <c r="J201" s="18"/>
      <c r="K201" s="18"/>
      <c r="L201" s="18"/>
      <c r="M201" s="18"/>
      <c r="N201" s="18"/>
      <c r="O201" s="18"/>
      <c r="P201" s="18"/>
      <c r="Q201" s="18"/>
      <c r="R201" s="18"/>
      <c r="S201" s="18"/>
      <c r="T201" s="18"/>
      <c r="U201" s="18"/>
      <c r="V201" s="18"/>
      <c r="W201" s="18"/>
      <c r="X201" s="18"/>
      <c r="Y201" s="18"/>
      <c r="Z201" s="18"/>
      <c r="AA201" s="18"/>
      <c r="AB201" s="18"/>
      <c r="AC201" s="18"/>
    </row>
    <row r="202" spans="9:29">
      <c r="J202" s="18"/>
      <c r="K202" s="18"/>
      <c r="L202" s="18"/>
      <c r="M202" s="18"/>
      <c r="N202" s="18"/>
      <c r="O202" s="18"/>
      <c r="P202" s="18"/>
      <c r="Q202" s="18"/>
      <c r="R202" s="18"/>
      <c r="S202" s="18"/>
      <c r="T202" s="18"/>
      <c r="U202" s="18"/>
      <c r="V202" s="18"/>
      <c r="W202" s="18"/>
      <c r="X202" s="18"/>
      <c r="Y202" s="18"/>
      <c r="Z202" s="18"/>
      <c r="AA202" s="18"/>
      <c r="AB202" s="18"/>
      <c r="AC202" s="18"/>
    </row>
    <row r="204" spans="9:29">
      <c r="I204" s="31"/>
      <c r="J204" s="31"/>
      <c r="K204" s="31"/>
      <c r="L204" s="31"/>
      <c r="M204" s="31"/>
      <c r="N204" s="31"/>
      <c r="O204" s="31"/>
      <c r="P204" s="31"/>
      <c r="Q204" s="31"/>
      <c r="R204" s="31"/>
      <c r="S204" s="31"/>
      <c r="T204" s="31"/>
      <c r="U204" s="31"/>
      <c r="V204" s="31"/>
      <c r="W204" s="31"/>
      <c r="X204" s="31"/>
      <c r="Y204" s="31"/>
      <c r="Z204" s="31"/>
      <c r="AA204" s="31"/>
      <c r="AB204" s="31"/>
      <c r="AC204" s="31"/>
    </row>
  </sheetData>
  <sheetProtection sheet="1" objects="1" scenarios="1"/>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9A1D7-E241-425C-89DE-65D17D4D5E2F}">
  <sheetPr codeName="Sheet7">
    <tabColor theme="6" tint="0.59999389629810485"/>
  </sheetPr>
  <dimension ref="A1:Y204"/>
  <sheetViews>
    <sheetView workbookViewId="0">
      <pane xSplit="1" ySplit="1" topLeftCell="C2" activePane="bottomRight" state="frozen"/>
      <selection pane="bottomRight" activeCell="H31" sqref="H31"/>
      <selection pane="bottomLeft" activeCell="AF24" sqref="AF24"/>
      <selection pane="topRight" activeCell="AF24" sqref="AF24"/>
    </sheetView>
  </sheetViews>
  <sheetFormatPr defaultColWidth="9.33203125" defaultRowHeight="13.15"/>
  <cols>
    <col min="1" max="1" width="10.5" bestFit="1" customWidth="1"/>
    <col min="4" max="4" width="14.6640625" bestFit="1" customWidth="1"/>
    <col min="9" max="9" width="11.33203125" bestFit="1" customWidth="1"/>
    <col min="13" max="13" width="12.5" bestFit="1" customWidth="1"/>
    <col min="14" max="14" width="12.5" customWidth="1"/>
    <col min="15" max="15" width="11.83203125" bestFit="1" customWidth="1"/>
    <col min="16" max="16" width="12" bestFit="1" customWidth="1"/>
    <col min="17" max="17" width="12.83203125" bestFit="1" customWidth="1"/>
    <col min="18" max="18" width="13.83203125" bestFit="1" customWidth="1"/>
    <col min="19" max="19" width="14.33203125" bestFit="1" customWidth="1"/>
    <col min="20" max="20" width="13.6640625" bestFit="1" customWidth="1"/>
    <col min="21" max="21" width="11.1640625" bestFit="1" customWidth="1"/>
    <col min="22" max="22" width="11.1640625" customWidth="1"/>
    <col min="23" max="23" width="16.1640625" customWidth="1"/>
    <col min="24" max="24" width="14.83203125" customWidth="1"/>
    <col min="26" max="26" width="13.83203125" bestFit="1" customWidth="1"/>
    <col min="27" max="27" width="13" bestFit="1" customWidth="1"/>
    <col min="28" max="29" width="16" bestFit="1" customWidth="1"/>
  </cols>
  <sheetData>
    <row r="1" spans="1:25">
      <c r="A1" s="266" t="str">
        <f>'Monthly Data'!A1</f>
        <v>Date</v>
      </c>
      <c r="B1" s="258" t="s">
        <v>27</v>
      </c>
      <c r="C1" s="258" t="s">
        <v>28</v>
      </c>
      <c r="D1" s="267" t="str">
        <f>'Monthly Data'!F1</f>
        <v>Res_NoCDM</v>
      </c>
      <c r="E1" s="268" t="str">
        <f>G1&amp;"Norm"</f>
        <v>HDD18Norm</v>
      </c>
      <c r="F1" s="268" t="str">
        <f>H1&amp;"Norm"</f>
        <v>CDD12Norm</v>
      </c>
      <c r="G1" s="268" t="str">
        <f>'Monthly Data'!AS1</f>
        <v>HDD18</v>
      </c>
      <c r="H1" s="268" t="str">
        <f>'Monthly Data'!AZ1</f>
        <v>CDD12</v>
      </c>
      <c r="I1" s="269" t="str">
        <f>'Monthly Data'!G1</f>
        <v>Residential_Customers</v>
      </c>
      <c r="J1" s="258" t="str">
        <f>'Monthly Data'!BU1</f>
        <v>Month Days</v>
      </c>
      <c r="K1" s="268" t="str">
        <f>M1&amp;"Norm"</f>
        <v>CWFHHDD18Norm</v>
      </c>
      <c r="L1" s="268" t="str">
        <f>N1&amp;"Norm"</f>
        <v>CWFHCDD12Norm</v>
      </c>
      <c r="M1" s="268" t="str">
        <f>'Monthly Data'!CQ1</f>
        <v>CWFHHDD18</v>
      </c>
      <c r="N1" s="268" t="str">
        <f>'Monthly Data'!CX1</f>
        <v>CWFHCDD12</v>
      </c>
      <c r="O1" t="str">
        <f>'Monthly Data'!BY1</f>
        <v>COVID_WFH</v>
      </c>
      <c r="P1" s="258" t="s">
        <v>187</v>
      </c>
      <c r="Q1" s="268" t="str">
        <f>E1</f>
        <v>HDD18Norm</v>
      </c>
      <c r="R1" s="268" t="str">
        <f>F1</f>
        <v>CDD12Norm</v>
      </c>
      <c r="S1" s="268" t="str">
        <f>I1</f>
        <v>Residential_Customers</v>
      </c>
      <c r="T1" s="268" t="str">
        <f>J1</f>
        <v>Month Days</v>
      </c>
      <c r="U1" s="268" t="str">
        <f>M1</f>
        <v>CWFHHDD18</v>
      </c>
      <c r="V1" s="268" t="str">
        <f>N1</f>
        <v>CWFHCDD12</v>
      </c>
      <c r="W1" s="258" t="s">
        <v>385</v>
      </c>
      <c r="X1" s="258" t="s">
        <v>189</v>
      </c>
    </row>
    <row r="2" spans="1:25">
      <c r="A2" s="541">
        <f>'Monthly Data'!A2</f>
        <v>42370</v>
      </c>
      <c r="B2">
        <f t="shared" ref="B2:B7" si="0">YEAR(A2)</f>
        <v>2016</v>
      </c>
      <c r="C2">
        <f t="shared" ref="C2:C7" si="1">MONTH(A2)</f>
        <v>1</v>
      </c>
      <c r="D2" s="30">
        <f>'Monthly Data'!F2</f>
        <v>18730.360576923078</v>
      </c>
      <c r="E2" s="516">
        <f ca="1">Weather!AO39</f>
        <v>852.55166666666662</v>
      </c>
      <c r="F2" s="516">
        <f ca="1">Weather!CF39</f>
        <v>0</v>
      </c>
      <c r="G2" s="33">
        <f>'Monthly Data'!AS2</f>
        <v>825.26875000000007</v>
      </c>
      <c r="H2" s="33">
        <f>'Monthly Data'!AZ2</f>
        <v>0</v>
      </c>
      <c r="I2" s="18">
        <f>'Monthly Data'!G2</f>
        <v>9443</v>
      </c>
      <c r="J2">
        <f>'Monthly Data'!BU2</f>
        <v>31</v>
      </c>
      <c r="K2">
        <v>0</v>
      </c>
      <c r="L2">
        <v>0</v>
      </c>
      <c r="M2" s="33">
        <f>'Monthly Data'!CQ2</f>
        <v>0</v>
      </c>
      <c r="N2" s="33">
        <f>'Monthly Data'!CX2</f>
        <v>0</v>
      </c>
      <c r="O2">
        <f>'Monthly Data'!BY2</f>
        <v>0</v>
      </c>
      <c r="P2" s="18"/>
      <c r="Q2" s="18">
        <f ca="1">(E2-G2)*'Res Predicted Monthly'!$X$9</f>
        <v>178746.97542627194</v>
      </c>
      <c r="R2" s="18">
        <f ca="1">(F2-H2)*'Res Predicted Monthly'!$X$10</f>
        <v>0</v>
      </c>
      <c r="S2" s="18"/>
      <c r="T2" s="18"/>
      <c r="U2" s="18">
        <f>(K2-M2)*'Res Predicted Monthly'!$X$13</f>
        <v>0</v>
      </c>
      <c r="V2" s="18">
        <f>(L2-N2)*'Res Predicted Monthly'!$X$14</f>
        <v>0</v>
      </c>
      <c r="W2" s="30">
        <f ca="1">D2+Q2+R2+U2+V2</f>
        <v>197477.33600319503</v>
      </c>
      <c r="X2" s="30">
        <f t="shared" ref="X2:X17" ca="1" si="2">W2-D2</f>
        <v>178746.97542627197</v>
      </c>
      <c r="Y2" s="35">
        <f t="shared" ref="Y2:Y17" ca="1" si="3">ABS(X2/D2)</f>
        <v>9.5431678793465888</v>
      </c>
    </row>
    <row r="3" spans="1:25">
      <c r="A3" s="541">
        <f>'Monthly Data'!A3</f>
        <v>42401</v>
      </c>
      <c r="B3">
        <f t="shared" si="0"/>
        <v>2016</v>
      </c>
      <c r="C3">
        <f t="shared" si="1"/>
        <v>2</v>
      </c>
      <c r="D3" s="30">
        <f>'Monthly Data'!F3</f>
        <v>21227.741987179485</v>
      </c>
      <c r="E3" s="516">
        <f ca="1">Weather!AO40</f>
        <v>747.22854166666662</v>
      </c>
      <c r="F3" s="516">
        <f ca="1">Weather!CF40</f>
        <v>0</v>
      </c>
      <c r="G3" s="33">
        <f>'Monthly Data'!AS3</f>
        <v>806.28750000000002</v>
      </c>
      <c r="H3" s="33">
        <f>'Monthly Data'!AZ3</f>
        <v>0</v>
      </c>
      <c r="I3" s="18">
        <f>'Monthly Data'!G3</f>
        <v>9443</v>
      </c>
      <c r="J3">
        <f>'Monthly Data'!BU3</f>
        <v>28</v>
      </c>
      <c r="K3">
        <v>0</v>
      </c>
      <c r="L3">
        <v>0</v>
      </c>
      <c r="M3" s="33">
        <f>'Monthly Data'!CQ3</f>
        <v>0</v>
      </c>
      <c r="N3" s="33">
        <f>'Monthly Data'!CX3</f>
        <v>0</v>
      </c>
      <c r="O3">
        <f>'Monthly Data'!BY3</f>
        <v>0</v>
      </c>
      <c r="P3" s="18"/>
      <c r="Q3" s="18">
        <f ca="1">(E3-G3)*'Res Predicted Monthly'!$X$9</f>
        <v>-386931.14460182749</v>
      </c>
      <c r="R3" s="18">
        <f ca="1">(F3-H3)*'Res Predicted Monthly'!$X$10</f>
        <v>0</v>
      </c>
      <c r="S3" s="18"/>
      <c r="T3" s="18"/>
      <c r="U3" s="18">
        <f>(K3-M3)*'Res Predicted Monthly'!$X$13</f>
        <v>0</v>
      </c>
      <c r="V3" s="18">
        <f>(L3-N3)*'Res Predicted Monthly'!$X$14</f>
        <v>0</v>
      </c>
      <c r="W3" s="30">
        <f t="shared" ref="W3:W16" ca="1" si="4">D3+Q3+R3+U3+V3</f>
        <v>-365703.40261464799</v>
      </c>
      <c r="X3" s="30">
        <f t="shared" ca="1" si="2"/>
        <v>-386931.14460182749</v>
      </c>
      <c r="Y3" s="35">
        <f t="shared" ca="1" si="3"/>
        <v>18.227616711919474</v>
      </c>
    </row>
    <row r="4" spans="1:25">
      <c r="A4" s="541">
        <f>'Monthly Data'!A4</f>
        <v>42430</v>
      </c>
      <c r="B4">
        <f t="shared" si="0"/>
        <v>2016</v>
      </c>
      <c r="C4">
        <f t="shared" si="1"/>
        <v>3</v>
      </c>
      <c r="D4" s="30">
        <f>'Monthly Data'!F4</f>
        <v>23725.123397435898</v>
      </c>
      <c r="E4" s="516">
        <f ca="1">Weather!AO41</f>
        <v>636.29604166666672</v>
      </c>
      <c r="F4" s="516">
        <f ca="1">Weather!CF41</f>
        <v>0</v>
      </c>
      <c r="G4" s="33">
        <f>'Monthly Data'!AS4</f>
        <v>632.14374999999984</v>
      </c>
      <c r="H4" s="33">
        <f>'Monthly Data'!AZ4</f>
        <v>0</v>
      </c>
      <c r="I4" s="18">
        <f>'Monthly Data'!G4</f>
        <v>9443</v>
      </c>
      <c r="J4">
        <f>'Monthly Data'!BU4</f>
        <v>31</v>
      </c>
      <c r="K4">
        <v>0</v>
      </c>
      <c r="L4">
        <v>0</v>
      </c>
      <c r="M4" s="33">
        <f>'Monthly Data'!CQ4</f>
        <v>0</v>
      </c>
      <c r="N4" s="33">
        <f>'Monthly Data'!CX4</f>
        <v>0</v>
      </c>
      <c r="O4">
        <f>'Monthly Data'!BY4</f>
        <v>0</v>
      </c>
      <c r="P4" s="18"/>
      <c r="Q4" s="18">
        <f ca="1">(E4-G4)*'Res Predicted Monthly'!$X$9</f>
        <v>27204.18735183209</v>
      </c>
      <c r="R4" s="18">
        <f ca="1">(F4-H4)*'Res Predicted Monthly'!$X$10</f>
        <v>0</v>
      </c>
      <c r="S4" s="18"/>
      <c r="T4" s="18"/>
      <c r="U4" s="18">
        <f>(K4-M4)*'Res Predicted Monthly'!$X$13</f>
        <v>0</v>
      </c>
      <c r="V4" s="18">
        <f>(L4-N4)*'Res Predicted Monthly'!$X$14</f>
        <v>0</v>
      </c>
      <c r="W4" s="30">
        <f t="shared" ca="1" si="4"/>
        <v>50929.310749267985</v>
      </c>
      <c r="X4" s="30">
        <f t="shared" ca="1" si="2"/>
        <v>27204.187351832086</v>
      </c>
      <c r="Y4" s="35">
        <f t="shared" ca="1" si="3"/>
        <v>1.1466404998665756</v>
      </c>
    </row>
    <row r="5" spans="1:25">
      <c r="A5" s="541">
        <f>'Monthly Data'!A5</f>
        <v>42461</v>
      </c>
      <c r="B5">
        <f t="shared" si="0"/>
        <v>2016</v>
      </c>
      <c r="C5">
        <f t="shared" si="1"/>
        <v>4</v>
      </c>
      <c r="D5" s="30">
        <f>'Monthly Data'!F5</f>
        <v>26222.504807692305</v>
      </c>
      <c r="E5" s="516">
        <f ca="1">Weather!AO42</f>
        <v>408.60374999999999</v>
      </c>
      <c r="F5" s="516">
        <f ca="1">Weather!CF42</f>
        <v>2.8104166666666677</v>
      </c>
      <c r="G5" s="33">
        <f>'Monthly Data'!AS5</f>
        <v>484.44166666666678</v>
      </c>
      <c r="H5" s="33">
        <f>'Monthly Data'!AZ5</f>
        <v>0</v>
      </c>
      <c r="I5" s="18">
        <f>'Monthly Data'!G5</f>
        <v>9491</v>
      </c>
      <c r="J5">
        <f>'Monthly Data'!BU5</f>
        <v>30</v>
      </c>
      <c r="K5">
        <v>0</v>
      </c>
      <c r="L5">
        <v>0</v>
      </c>
      <c r="M5" s="33">
        <f>'Monthly Data'!CQ5</f>
        <v>0</v>
      </c>
      <c r="N5" s="33">
        <f>'Monthly Data'!CX5</f>
        <v>0</v>
      </c>
      <c r="O5">
        <f>'Monthly Data'!BY5</f>
        <v>0</v>
      </c>
      <c r="P5" s="18"/>
      <c r="Q5" s="18">
        <f ca="1">(E5-G5)*'Res Predicted Monthly'!$X$9</f>
        <v>-496860.30245286837</v>
      </c>
      <c r="R5" s="18">
        <f ca="1">(F5-H5)*'Res Predicted Monthly'!$X$10</f>
        <v>40990.172374191818</v>
      </c>
      <c r="S5" s="18"/>
      <c r="T5" s="18"/>
      <c r="U5" s="18">
        <f>(K5-M5)*'Res Predicted Monthly'!$X$13</f>
        <v>0</v>
      </c>
      <c r="V5" s="18">
        <f>(L5-N5)*'Res Predicted Monthly'!$X$14</f>
        <v>0</v>
      </c>
      <c r="W5" s="30">
        <f t="shared" ca="1" si="4"/>
        <v>-429647.62527098425</v>
      </c>
      <c r="X5" s="30">
        <f t="shared" ca="1" si="2"/>
        <v>-455870.13007867656</v>
      </c>
      <c r="Y5" s="35">
        <f t="shared" ca="1" si="3"/>
        <v>17.384690494744355</v>
      </c>
    </row>
    <row r="6" spans="1:25">
      <c r="A6" s="541">
        <f>'Monthly Data'!A6</f>
        <v>42491</v>
      </c>
      <c r="B6">
        <f t="shared" si="0"/>
        <v>2016</v>
      </c>
      <c r="C6">
        <f t="shared" si="1"/>
        <v>5</v>
      </c>
      <c r="D6" s="30">
        <f>'Monthly Data'!F6</f>
        <v>28719.886217948719</v>
      </c>
      <c r="E6" s="516">
        <f ca="1">Weather!AO43</f>
        <v>178.10395833333331</v>
      </c>
      <c r="F6" s="516">
        <f ca="1">Weather!CF43</f>
        <v>74.673124999999999</v>
      </c>
      <c r="G6" s="33">
        <f>'Monthly Data'!AS6</f>
        <v>163.84583333333336</v>
      </c>
      <c r="H6" s="33">
        <f>'Monthly Data'!AZ6</f>
        <v>92.229166666666643</v>
      </c>
      <c r="I6" s="18">
        <f>'Monthly Data'!G6</f>
        <v>9491</v>
      </c>
      <c r="J6">
        <f>'Monthly Data'!BU6</f>
        <v>31</v>
      </c>
      <c r="K6">
        <v>0</v>
      </c>
      <c r="L6">
        <v>0</v>
      </c>
      <c r="M6" s="33">
        <f>'Monthly Data'!CQ6</f>
        <v>0</v>
      </c>
      <c r="N6" s="33">
        <f>'Monthly Data'!CX6</f>
        <v>0</v>
      </c>
      <c r="O6">
        <f>'Monthly Data'!BY6</f>
        <v>0</v>
      </c>
      <c r="P6" s="18"/>
      <c r="Q6" s="18">
        <f ca="1">(E6-G6)*'Res Predicted Monthly'!$X$9</f>
        <v>93413.645987252647</v>
      </c>
      <c r="R6" s="18">
        <f ca="1">(F6-H6)*'Res Predicted Monthly'!$X$10</f>
        <v>-256056.39998523091</v>
      </c>
      <c r="S6" s="18"/>
      <c r="T6" s="18"/>
      <c r="U6" s="18">
        <f>(K6-M6)*'Res Predicted Monthly'!$X$13</f>
        <v>0</v>
      </c>
      <c r="V6" s="18">
        <f>(L6-N6)*'Res Predicted Monthly'!$X$14</f>
        <v>0</v>
      </c>
      <c r="W6" s="30">
        <f t="shared" ca="1" si="4"/>
        <v>-133922.86778002954</v>
      </c>
      <c r="X6" s="30">
        <f t="shared" ca="1" si="2"/>
        <v>-162642.75399797826</v>
      </c>
      <c r="Y6" s="35">
        <f t="shared" ca="1" si="3"/>
        <v>5.663070973322081</v>
      </c>
    </row>
    <row r="7" spans="1:25">
      <c r="A7" s="541">
        <f>'Monthly Data'!A7</f>
        <v>42522</v>
      </c>
      <c r="B7">
        <f t="shared" si="0"/>
        <v>2016</v>
      </c>
      <c r="C7">
        <f t="shared" si="1"/>
        <v>6</v>
      </c>
      <c r="D7" s="30">
        <f>'Monthly Data'!F7</f>
        <v>31217.267628205125</v>
      </c>
      <c r="E7" s="516">
        <f ca="1">Weather!AO44</f>
        <v>51.834166666666661</v>
      </c>
      <c r="F7" s="516">
        <f ca="1">Weather!CF44</f>
        <v>169.78833333333333</v>
      </c>
      <c r="G7" s="33">
        <f>'Monthly Data'!AS7</f>
        <v>59.649999999999984</v>
      </c>
      <c r="H7" s="33">
        <f>'Monthly Data'!AZ7</f>
        <v>165.58333333333331</v>
      </c>
      <c r="I7" s="18">
        <f>'Monthly Data'!G7</f>
        <v>9491</v>
      </c>
      <c r="J7">
        <f>'Monthly Data'!BU7</f>
        <v>30</v>
      </c>
      <c r="K7">
        <v>0</v>
      </c>
      <c r="L7">
        <v>0</v>
      </c>
      <c r="M7" s="33">
        <f>'Monthly Data'!CQ7</f>
        <v>0</v>
      </c>
      <c r="N7" s="33">
        <f>'Monthly Data'!CX7</f>
        <v>0</v>
      </c>
      <c r="O7">
        <f>'Monthly Data'!BY7</f>
        <v>0</v>
      </c>
      <c r="P7" s="18"/>
      <c r="Q7" s="18">
        <f ca="1">(E7-G7)*'Res Predicted Monthly'!$X$9</f>
        <v>-51206.276287756664</v>
      </c>
      <c r="R7" s="18">
        <f ca="1">(F7-H7)*'Res Predicted Monthly'!$X$10</f>
        <v>61330.292008946621</v>
      </c>
      <c r="S7" s="18"/>
      <c r="T7" s="18"/>
      <c r="U7" s="18">
        <f>(K7-M7)*'Res Predicted Monthly'!$X$13</f>
        <v>0</v>
      </c>
      <c r="V7" s="18">
        <f>(L7-N7)*'Res Predicted Monthly'!$X$14</f>
        <v>0</v>
      </c>
      <c r="W7" s="30">
        <f t="shared" ca="1" si="4"/>
        <v>41341.283349395082</v>
      </c>
      <c r="X7" s="30">
        <f t="shared" ca="1" si="2"/>
        <v>10124.015721189957</v>
      </c>
      <c r="Y7" s="35">
        <f t="shared" ca="1" si="3"/>
        <v>0.32430819512348363</v>
      </c>
    </row>
    <row r="8" spans="1:25">
      <c r="A8" s="541">
        <f>'Monthly Data'!A8</f>
        <v>42552</v>
      </c>
      <c r="B8">
        <f t="shared" ref="B8:B71" si="5">YEAR(A8)</f>
        <v>2016</v>
      </c>
      <c r="C8">
        <f t="shared" ref="C8:C71" si="6">MONTH(A8)</f>
        <v>7</v>
      </c>
      <c r="D8" s="30">
        <f>'Monthly Data'!F8</f>
        <v>33714.649038461539</v>
      </c>
      <c r="E8" s="516">
        <f ca="1">Weather!AO45</f>
        <v>6.5670833333333318</v>
      </c>
      <c r="F8" s="516">
        <f ca="1">Weather!CF45</f>
        <v>265.99625000000003</v>
      </c>
      <c r="G8" s="33">
        <f>'Monthly Data'!AS8</f>
        <v>7.4374999999999911</v>
      </c>
      <c r="H8" s="33">
        <f>'Monthly Data'!AZ8</f>
        <v>258.39583333333337</v>
      </c>
      <c r="I8" s="18">
        <f>'Monthly Data'!G8</f>
        <v>9540</v>
      </c>
      <c r="J8">
        <f>'Monthly Data'!BU8</f>
        <v>31</v>
      </c>
      <c r="K8">
        <v>0</v>
      </c>
      <c r="L8">
        <v>0</v>
      </c>
      <c r="M8" s="33">
        <f>'Monthly Data'!CQ8</f>
        <v>0</v>
      </c>
      <c r="N8" s="33">
        <f>'Monthly Data'!CX8</f>
        <v>0</v>
      </c>
      <c r="O8">
        <f>'Monthly Data'!BY8</f>
        <v>0</v>
      </c>
      <c r="P8" s="18"/>
      <c r="Q8" s="18">
        <f ca="1">(E8-G8)*'Res Predicted Monthly'!$X$9</f>
        <v>-5702.6288071821573</v>
      </c>
      <c r="R8" s="18">
        <f ca="1">(F8-H8)*'Res Predicted Monthly'!$X$10</f>
        <v>110852.74044145769</v>
      </c>
      <c r="S8" s="18"/>
      <c r="T8" s="18"/>
      <c r="U8" s="18">
        <f>(K8-M8)*'Res Predicted Monthly'!$X$13</f>
        <v>0</v>
      </c>
      <c r="V8" s="18">
        <f>(L8-N8)*'Res Predicted Monthly'!$X$14</f>
        <v>0</v>
      </c>
      <c r="W8" s="30">
        <f t="shared" ca="1" si="4"/>
        <v>138864.76067273706</v>
      </c>
      <c r="X8" s="30">
        <f t="shared" ca="1" si="2"/>
        <v>105150.11163427553</v>
      </c>
      <c r="Y8" s="35">
        <f t="shared" ca="1" si="3"/>
        <v>3.1188256331638122</v>
      </c>
    </row>
    <row r="9" spans="1:25">
      <c r="A9" s="541">
        <f>'Monthly Data'!A9</f>
        <v>42583</v>
      </c>
      <c r="B9">
        <f t="shared" si="5"/>
        <v>2016</v>
      </c>
      <c r="C9">
        <f t="shared" si="6"/>
        <v>8</v>
      </c>
      <c r="D9" s="30">
        <f>'Monthly Data'!F9</f>
        <v>36212.030448717946</v>
      </c>
      <c r="E9" s="516">
        <f ca="1">Weather!AO46</f>
        <v>23.263124999999995</v>
      </c>
      <c r="F9" s="516">
        <f ca="1">Weather!CF46</f>
        <v>218.46562499999996</v>
      </c>
      <c r="G9" s="33">
        <f>'Monthly Data'!AS9</f>
        <v>3.7374999999999989</v>
      </c>
      <c r="H9" s="33">
        <f>'Monthly Data'!AZ9</f>
        <v>274.35833333333335</v>
      </c>
      <c r="I9" s="18">
        <f>'Monthly Data'!G9</f>
        <v>9540</v>
      </c>
      <c r="J9">
        <f>'Monthly Data'!BU9</f>
        <v>31</v>
      </c>
      <c r="K9">
        <v>0</v>
      </c>
      <c r="L9">
        <v>0</v>
      </c>
      <c r="M9" s="33">
        <f>'Monthly Data'!CQ9</f>
        <v>0</v>
      </c>
      <c r="N9" s="33">
        <f>'Monthly Data'!CX9</f>
        <v>0</v>
      </c>
      <c r="O9">
        <f>'Monthly Data'!BY9</f>
        <v>0</v>
      </c>
      <c r="P9" s="18"/>
      <c r="Q9" s="18">
        <f ca="1">(E9-G9)*'Res Predicted Monthly'!$X$9</f>
        <v>127924.24119088985</v>
      </c>
      <c r="R9" s="18">
        <f ca="1">(F9-H9)*'Res Predicted Monthly'!$X$10</f>
        <v>-815200.02931134612</v>
      </c>
      <c r="S9" s="18"/>
      <c r="T9" s="18"/>
      <c r="U9" s="18">
        <f>(K9-M9)*'Res Predicted Monthly'!$X$13</f>
        <v>0</v>
      </c>
      <c r="V9" s="18">
        <f>(L9-N9)*'Res Predicted Monthly'!$X$14</f>
        <v>0</v>
      </c>
      <c r="W9" s="30">
        <f t="shared" ca="1" si="4"/>
        <v>-651063.75767173828</v>
      </c>
      <c r="X9" s="30">
        <f t="shared" ca="1" si="2"/>
        <v>-687275.78812045627</v>
      </c>
      <c r="Y9" s="35">
        <f t="shared" ca="1" si="3"/>
        <v>18.979211593609733</v>
      </c>
    </row>
    <row r="10" spans="1:25">
      <c r="A10" s="541">
        <f>'Monthly Data'!A10</f>
        <v>42614</v>
      </c>
      <c r="B10">
        <f t="shared" si="5"/>
        <v>2016</v>
      </c>
      <c r="C10">
        <f t="shared" si="6"/>
        <v>9</v>
      </c>
      <c r="D10" s="30">
        <f>'Monthly Data'!F10</f>
        <v>38709.411858974359</v>
      </c>
      <c r="E10" s="516">
        <f ca="1">Weather!AO47</f>
        <v>114.73583333333336</v>
      </c>
      <c r="F10" s="516">
        <f ca="1">Weather!CF47</f>
        <v>95.131249999999994</v>
      </c>
      <c r="G10" s="33">
        <f>'Monthly Data'!AS10</f>
        <v>100.48333333333336</v>
      </c>
      <c r="H10" s="33">
        <f>'Monthly Data'!AZ10</f>
        <v>107.68749999999999</v>
      </c>
      <c r="I10" s="18">
        <f>'Monthly Data'!G10</f>
        <v>9540</v>
      </c>
      <c r="J10">
        <f>'Monthly Data'!BU10</f>
        <v>30</v>
      </c>
      <c r="K10">
        <v>0</v>
      </c>
      <c r="L10">
        <v>0</v>
      </c>
      <c r="M10" s="33">
        <f>'Monthly Data'!CQ10</f>
        <v>0</v>
      </c>
      <c r="N10" s="33">
        <f>'Monthly Data'!CX10</f>
        <v>0</v>
      </c>
      <c r="O10">
        <f>'Monthly Data'!BY10</f>
        <v>0</v>
      </c>
      <c r="P10" s="18"/>
      <c r="Q10" s="18">
        <f ca="1">(E10-G10)*'Res Predicted Monthly'!$X$9</f>
        <v>93376.79319218501</v>
      </c>
      <c r="R10" s="18">
        <f ca="1">(F10-H10)*'Res Predicted Monthly'!$X$10</f>
        <v>-183134.00214918744</v>
      </c>
      <c r="S10" s="18"/>
      <c r="T10" s="18"/>
      <c r="U10" s="18">
        <f>(K10-M10)*'Res Predicted Monthly'!$X$13</f>
        <v>0</v>
      </c>
      <c r="V10" s="18">
        <f>(L10-N10)*'Res Predicted Monthly'!$X$14</f>
        <v>0</v>
      </c>
      <c r="W10" s="30">
        <f t="shared" ca="1" si="4"/>
        <v>-51047.797098028066</v>
      </c>
      <c r="X10" s="30">
        <f t="shared" ca="1" si="2"/>
        <v>-89757.208957002425</v>
      </c>
      <c r="Y10" s="35">
        <f t="shared" ca="1" si="3"/>
        <v>2.318743805356815</v>
      </c>
    </row>
    <row r="11" spans="1:25">
      <c r="A11" s="541">
        <f>'Monthly Data'!A11</f>
        <v>42644</v>
      </c>
      <c r="B11">
        <f t="shared" si="5"/>
        <v>2016</v>
      </c>
      <c r="C11">
        <f t="shared" si="6"/>
        <v>10</v>
      </c>
      <c r="D11" s="30">
        <f>'Monthly Data'!F11</f>
        <v>41206.793269230766</v>
      </c>
      <c r="E11" s="516">
        <f ca="1">Weather!AO48</f>
        <v>302.40479166666665</v>
      </c>
      <c r="F11" s="516">
        <f ca="1">Weather!CF48</f>
        <v>21.813750000000006</v>
      </c>
      <c r="G11" s="33">
        <f>'Monthly Data'!AS11</f>
        <v>309.38749999999999</v>
      </c>
      <c r="H11" s="33">
        <f>'Monthly Data'!AZ11</f>
        <v>19.216666666666676</v>
      </c>
      <c r="I11" s="18">
        <f>'Monthly Data'!G11</f>
        <v>9550</v>
      </c>
      <c r="J11">
        <f>'Monthly Data'!BU11</f>
        <v>31</v>
      </c>
      <c r="K11">
        <v>0</v>
      </c>
      <c r="L11">
        <v>0</v>
      </c>
      <c r="M11" s="33">
        <f>'Monthly Data'!CQ11</f>
        <v>0</v>
      </c>
      <c r="N11" s="33">
        <f>'Monthly Data'!CX11</f>
        <v>0</v>
      </c>
      <c r="O11">
        <f>'Monthly Data'!BY11</f>
        <v>0</v>
      </c>
      <c r="P11" s="18"/>
      <c r="Q11" s="18">
        <f ca="1">(E11-G11)*'Res Predicted Monthly'!$X$9</f>
        <v>-45747.967862691723</v>
      </c>
      <c r="R11" s="18">
        <f ca="1">(F11-H11)*'Res Predicted Monthly'!$X$10</f>
        <v>37878.687087966973</v>
      </c>
      <c r="S11" s="18"/>
      <c r="T11" s="18"/>
      <c r="U11" s="18">
        <f>(K11-M11)*'Res Predicted Monthly'!$X$13</f>
        <v>0</v>
      </c>
      <c r="V11" s="18">
        <f>(L11-N11)*'Res Predicted Monthly'!$X$14</f>
        <v>0</v>
      </c>
      <c r="W11" s="30">
        <f t="shared" ca="1" si="4"/>
        <v>33337.512494506016</v>
      </c>
      <c r="X11" s="30">
        <f t="shared" ca="1" si="2"/>
        <v>-7869.2807747247498</v>
      </c>
      <c r="Y11" s="35">
        <f t="shared" ca="1" si="3"/>
        <v>0.19097047235172179</v>
      </c>
    </row>
    <row r="12" spans="1:25">
      <c r="A12" s="541">
        <f>'Monthly Data'!A12</f>
        <v>42675</v>
      </c>
      <c r="B12">
        <f t="shared" si="5"/>
        <v>2016</v>
      </c>
      <c r="C12">
        <f t="shared" si="6"/>
        <v>11</v>
      </c>
      <c r="D12" s="30">
        <f>'Monthly Data'!F12</f>
        <v>43704.17467948718</v>
      </c>
      <c r="E12" s="516">
        <f ca="1">Weather!AO49</f>
        <v>526.09395833333338</v>
      </c>
      <c r="F12" s="516">
        <f ca="1">Weather!CF49</f>
        <v>2.2795833333333335</v>
      </c>
      <c r="G12" s="33">
        <f>'Monthly Data'!AS12</f>
        <v>472.77083333333337</v>
      </c>
      <c r="H12" s="33">
        <f>'Monthly Data'!AZ12</f>
        <v>0</v>
      </c>
      <c r="I12" s="18">
        <f>'Monthly Data'!G12</f>
        <v>9550</v>
      </c>
      <c r="J12">
        <f>'Monthly Data'!BU12</f>
        <v>30</v>
      </c>
      <c r="K12">
        <v>0</v>
      </c>
      <c r="L12">
        <v>0</v>
      </c>
      <c r="M12" s="33">
        <f>'Monthly Data'!CQ12</f>
        <v>0</v>
      </c>
      <c r="N12" s="33">
        <f>'Monthly Data'!CX12</f>
        <v>0</v>
      </c>
      <c r="O12">
        <f>'Monthly Data'!BY12</f>
        <v>0</v>
      </c>
      <c r="P12" s="18"/>
      <c r="Q12" s="18">
        <f ca="1">(E12-G12)*'Res Predicted Monthly'!$X$9</f>
        <v>349352.21297919884</v>
      </c>
      <c r="R12" s="18">
        <f ca="1">(F12-H12)*'Res Predicted Monthly'!$X$10</f>
        <v>33247.921876827779</v>
      </c>
      <c r="S12" s="18"/>
      <c r="T12" s="18"/>
      <c r="U12" s="18">
        <f>(K12-M12)*'Res Predicted Monthly'!$X$13</f>
        <v>0</v>
      </c>
      <c r="V12" s="18">
        <f>(L12-N12)*'Res Predicted Monthly'!$X$14</f>
        <v>0</v>
      </c>
      <c r="W12" s="30">
        <f t="shared" ca="1" si="4"/>
        <v>426304.30953551381</v>
      </c>
      <c r="X12" s="30">
        <f t="shared" ca="1" si="2"/>
        <v>382600.13485602662</v>
      </c>
      <c r="Y12" s="35">
        <f t="shared" ca="1" si="3"/>
        <v>8.7543155239035393</v>
      </c>
    </row>
    <row r="13" spans="1:25">
      <c r="A13" s="541">
        <f>'Monthly Data'!A13</f>
        <v>42705</v>
      </c>
      <c r="B13">
        <f t="shared" si="5"/>
        <v>2016</v>
      </c>
      <c r="C13">
        <f t="shared" si="6"/>
        <v>12</v>
      </c>
      <c r="D13" s="30">
        <f>'Monthly Data'!F13</f>
        <v>76681316.556089744</v>
      </c>
      <c r="E13" s="516">
        <f ca="1">Weather!AO50</f>
        <v>750.36333333333334</v>
      </c>
      <c r="F13" s="516">
        <f ca="1">Weather!CF50</f>
        <v>0</v>
      </c>
      <c r="G13" s="33">
        <f>'Monthly Data'!AS13</f>
        <v>750.63333333333298</v>
      </c>
      <c r="H13" s="33">
        <f>'Monthly Data'!AZ13</f>
        <v>0</v>
      </c>
      <c r="I13" s="18">
        <f>'Monthly Data'!G13</f>
        <v>9550</v>
      </c>
      <c r="J13">
        <f>'Monthly Data'!BU13</f>
        <v>31</v>
      </c>
      <c r="K13">
        <v>0</v>
      </c>
      <c r="L13">
        <v>0</v>
      </c>
      <c r="M13" s="33">
        <f>'Monthly Data'!CQ13</f>
        <v>0</v>
      </c>
      <c r="N13" s="33">
        <f>'Monthly Data'!CX13</f>
        <v>0</v>
      </c>
      <c r="O13">
        <f>'Monthly Data'!BY13</f>
        <v>0</v>
      </c>
      <c r="P13" s="18"/>
      <c r="Q13" s="18">
        <f ca="1">(E13-G13)*'Res Predicted Monthly'!$X$9</f>
        <v>-1768.9341632595272</v>
      </c>
      <c r="R13" s="18">
        <f ca="1">(F13-H13)*'Res Predicted Monthly'!$X$10</f>
        <v>0</v>
      </c>
      <c r="S13" s="18"/>
      <c r="T13" s="18"/>
      <c r="U13" s="18">
        <f>(K13-M13)*'Res Predicted Monthly'!$X$13</f>
        <v>0</v>
      </c>
      <c r="V13" s="18">
        <f>(L13-N13)*'Res Predicted Monthly'!$X$14</f>
        <v>0</v>
      </c>
      <c r="W13" s="30">
        <f t="shared" ca="1" si="4"/>
        <v>76679547.621926486</v>
      </c>
      <c r="X13" s="30">
        <f t="shared" ca="1" si="2"/>
        <v>-1768.9341632574797</v>
      </c>
      <c r="Y13" s="35">
        <f t="shared" ca="1" si="3"/>
        <v>2.3068646219233405E-5</v>
      </c>
    </row>
    <row r="14" spans="1:25">
      <c r="A14" s="541">
        <f>'Monthly Data'!A14</f>
        <v>42736</v>
      </c>
      <c r="B14">
        <f t="shared" si="5"/>
        <v>2017</v>
      </c>
      <c r="C14">
        <f t="shared" si="6"/>
        <v>1</v>
      </c>
      <c r="D14" s="30">
        <f>'Monthly Data'!F14</f>
        <v>80079.323717948719</v>
      </c>
      <c r="E14" s="33">
        <f ca="1">E2</f>
        <v>852.55166666666662</v>
      </c>
      <c r="F14" s="33">
        <f ca="1">F2</f>
        <v>0</v>
      </c>
      <c r="G14" s="33">
        <f>'Monthly Data'!AS14</f>
        <v>773.17083333333323</v>
      </c>
      <c r="H14" s="33">
        <f>'Monthly Data'!AZ14</f>
        <v>0</v>
      </c>
      <c r="I14" s="18">
        <f>'Monthly Data'!G14</f>
        <v>9560</v>
      </c>
      <c r="J14">
        <f>'Monthly Data'!BU14</f>
        <v>31</v>
      </c>
      <c r="K14">
        <v>0</v>
      </c>
      <c r="L14">
        <v>0</v>
      </c>
      <c r="M14" s="33">
        <f>'Monthly Data'!CQ14</f>
        <v>0</v>
      </c>
      <c r="N14" s="33">
        <f>'Monthly Data'!CX14</f>
        <v>0</v>
      </c>
      <c r="O14">
        <f>'Monthly Data'!BY14</f>
        <v>0</v>
      </c>
      <c r="P14" s="18"/>
      <c r="Q14" s="18">
        <f ca="1">(E14-G14)*'Res Predicted Monthly'!$X$9</f>
        <v>520072.10367233673</v>
      </c>
      <c r="R14" s="18">
        <f ca="1">(F14-H14)*'Res Predicted Monthly'!$X$10</f>
        <v>0</v>
      </c>
      <c r="S14" s="18"/>
      <c r="T14" s="18"/>
      <c r="U14" s="18">
        <f>(K14-M14)*'Res Predicted Monthly'!$X$13</f>
        <v>0</v>
      </c>
      <c r="V14" s="18">
        <f>(L14-N14)*'Res Predicted Monthly'!$X$14</f>
        <v>0</v>
      </c>
      <c r="W14" s="30">
        <f t="shared" ca="1" si="4"/>
        <v>600151.42739028542</v>
      </c>
      <c r="X14" s="30">
        <f t="shared" ca="1" si="2"/>
        <v>520072.10367233667</v>
      </c>
      <c r="Y14" s="35">
        <f t="shared" ca="1" si="3"/>
        <v>6.4944617352677447</v>
      </c>
    </row>
    <row r="15" spans="1:25">
      <c r="A15" s="541">
        <f>'Monthly Data'!A15</f>
        <v>42767</v>
      </c>
      <c r="B15">
        <f t="shared" si="5"/>
        <v>2017</v>
      </c>
      <c r="C15">
        <f t="shared" si="6"/>
        <v>2</v>
      </c>
      <c r="D15" s="30">
        <f>'Monthly Data'!F15</f>
        <v>86427.772435897437</v>
      </c>
      <c r="E15" s="33">
        <f t="shared" ref="E15:F30" ca="1" si="7">E3</f>
        <v>747.22854166666662</v>
      </c>
      <c r="F15" s="33">
        <f t="shared" ca="1" si="7"/>
        <v>0</v>
      </c>
      <c r="G15" s="33">
        <f>'Monthly Data'!AS15</f>
        <v>682.81249999999989</v>
      </c>
      <c r="H15" s="33">
        <f>'Monthly Data'!AZ15</f>
        <v>0</v>
      </c>
      <c r="I15" s="18">
        <f>'Monthly Data'!G15</f>
        <v>9560</v>
      </c>
      <c r="J15">
        <f>'Monthly Data'!BU15</f>
        <v>28</v>
      </c>
      <c r="K15">
        <v>0</v>
      </c>
      <c r="L15">
        <v>0</v>
      </c>
      <c r="M15" s="33">
        <f>'Monthly Data'!CQ15</f>
        <v>0</v>
      </c>
      <c r="N15" s="33">
        <f>'Monthly Data'!CX15</f>
        <v>0</v>
      </c>
      <c r="O15">
        <f>'Monthly Data'!BY15</f>
        <v>0</v>
      </c>
      <c r="P15" s="18"/>
      <c r="Q15" s="18">
        <f ca="1">(E15-G15)*'Res Predicted Monthly'!$X$9</f>
        <v>422028.65468987986</v>
      </c>
      <c r="R15" s="18">
        <f ca="1">(F15-H15)*'Res Predicted Monthly'!$X$10</f>
        <v>0</v>
      </c>
      <c r="S15" s="18"/>
      <c r="T15" s="18"/>
      <c r="U15" s="18">
        <f>(K15-M15)*'Res Predicted Monthly'!$X$13</f>
        <v>0</v>
      </c>
      <c r="V15" s="18">
        <f>(L15-N15)*'Res Predicted Monthly'!$X$14</f>
        <v>0</v>
      </c>
      <c r="W15" s="30">
        <f t="shared" ca="1" si="4"/>
        <v>508456.42712577729</v>
      </c>
      <c r="X15" s="30">
        <f t="shared" ca="1" si="2"/>
        <v>422028.65468987986</v>
      </c>
      <c r="Y15" s="35">
        <f t="shared" ca="1" si="3"/>
        <v>4.8830213112676715</v>
      </c>
    </row>
    <row r="16" spans="1:25">
      <c r="A16" s="541">
        <f>'Monthly Data'!A16</f>
        <v>42795</v>
      </c>
      <c r="B16">
        <f t="shared" si="5"/>
        <v>2017</v>
      </c>
      <c r="C16">
        <f t="shared" si="6"/>
        <v>3</v>
      </c>
      <c r="D16" s="30">
        <f>'Monthly Data'!F16</f>
        <v>92776.221153846156</v>
      </c>
      <c r="E16" s="33">
        <f t="shared" ca="1" si="7"/>
        <v>636.29604166666672</v>
      </c>
      <c r="F16" s="33">
        <f t="shared" ca="1" si="7"/>
        <v>0</v>
      </c>
      <c r="G16" s="33">
        <f>'Monthly Data'!AS16</f>
        <v>756.92500000000018</v>
      </c>
      <c r="H16" s="33">
        <f>'Monthly Data'!AZ16</f>
        <v>0</v>
      </c>
      <c r="I16" s="18">
        <f>'Monthly Data'!G16</f>
        <v>9560</v>
      </c>
      <c r="J16">
        <f>'Monthly Data'!BU16</f>
        <v>31</v>
      </c>
      <c r="K16">
        <v>0</v>
      </c>
      <c r="L16">
        <v>0</v>
      </c>
      <c r="M16" s="33">
        <f>'Monthly Data'!CQ16</f>
        <v>0</v>
      </c>
      <c r="N16" s="33">
        <f>'Monthly Data'!CX16</f>
        <v>0</v>
      </c>
      <c r="O16">
        <f>'Monthly Data'!BY16</f>
        <v>0</v>
      </c>
      <c r="P16" s="18"/>
      <c r="Q16" s="18">
        <f ca="1">(E16-G16)*'Res Predicted Monthly'!$X$9</f>
        <v>-790313.6499056574</v>
      </c>
      <c r="R16" s="18">
        <f ca="1">(F16-H16)*'Res Predicted Monthly'!$X$10</f>
        <v>0</v>
      </c>
      <c r="S16" s="18"/>
      <c r="T16" s="18"/>
      <c r="U16" s="18">
        <f>(K16-M16)*'Res Predicted Monthly'!$X$13</f>
        <v>0</v>
      </c>
      <c r="V16" s="18">
        <f>(L16-N16)*'Res Predicted Monthly'!$X$14</f>
        <v>0</v>
      </c>
      <c r="W16" s="30">
        <f t="shared" ca="1" si="4"/>
        <v>-697537.42875181127</v>
      </c>
      <c r="X16" s="30">
        <f t="shared" ca="1" si="2"/>
        <v>-790313.6499056574</v>
      </c>
      <c r="Y16" s="35">
        <f t="shared" ca="1" si="3"/>
        <v>8.5184936406832072</v>
      </c>
    </row>
    <row r="17" spans="1:25">
      <c r="A17" s="541">
        <f>'Monthly Data'!A17</f>
        <v>42826</v>
      </c>
      <c r="B17">
        <f t="shared" si="5"/>
        <v>2017</v>
      </c>
      <c r="C17">
        <f t="shared" si="6"/>
        <v>4</v>
      </c>
      <c r="D17" s="30">
        <f>'Monthly Data'!F17</f>
        <v>99124.669871794875</v>
      </c>
      <c r="E17" s="33">
        <f t="shared" ca="1" si="7"/>
        <v>408.60374999999999</v>
      </c>
      <c r="F17" s="33">
        <f t="shared" ca="1" si="7"/>
        <v>2.8104166666666677</v>
      </c>
      <c r="G17" s="33">
        <f>'Monthly Data'!AS17</f>
        <v>367.46041666666656</v>
      </c>
      <c r="H17" s="33">
        <f>'Monthly Data'!AZ17</f>
        <v>6.4625000000000004</v>
      </c>
      <c r="I17" s="18">
        <f>'Monthly Data'!G17</f>
        <v>9566</v>
      </c>
      <c r="J17">
        <f>'Monthly Data'!BU17</f>
        <v>30</v>
      </c>
      <c r="K17">
        <v>0</v>
      </c>
      <c r="L17">
        <v>0</v>
      </c>
      <c r="M17" s="33">
        <f>'Monthly Data'!CQ17</f>
        <v>0</v>
      </c>
      <c r="N17" s="33">
        <f>'Monthly Data'!CX17</f>
        <v>0</v>
      </c>
      <c r="O17">
        <f>'Monthly Data'!BY17</f>
        <v>0</v>
      </c>
      <c r="P17" s="18"/>
      <c r="Q17" s="18">
        <f ca="1">(E17-G17)*'Res Predicted Monthly'!$X$9</f>
        <v>269554.99231038825</v>
      </c>
      <c r="R17" s="18">
        <f ca="1">(F17-H17)*'Res Predicted Monthly'!$X$10</f>
        <v>-53265.954167500538</v>
      </c>
      <c r="S17" s="18"/>
      <c r="T17" s="18"/>
      <c r="U17" s="18">
        <f>(K17-M17)*'Res Predicted Monthly'!$X$13</f>
        <v>0</v>
      </c>
      <c r="V17" s="18">
        <f>(L17-N17)*'Res Predicted Monthly'!$X$14</f>
        <v>0</v>
      </c>
      <c r="W17" s="30">
        <f t="shared" ref="W17:W80" ca="1" si="8">D17+Q17+R17+U17+V17</f>
        <v>315413.70801468258</v>
      </c>
      <c r="X17" s="30">
        <f t="shared" ca="1" si="2"/>
        <v>216289.0381428877</v>
      </c>
      <c r="Y17" s="35">
        <f t="shared" ca="1" si="3"/>
        <v>2.1819899972693984</v>
      </c>
    </row>
    <row r="18" spans="1:25">
      <c r="A18" s="541">
        <f>'Monthly Data'!A18</f>
        <v>42856</v>
      </c>
      <c r="B18">
        <f t="shared" si="5"/>
        <v>2017</v>
      </c>
      <c r="C18">
        <f t="shared" si="6"/>
        <v>5</v>
      </c>
      <c r="D18" s="30">
        <f>'Monthly Data'!F18</f>
        <v>105473.11858974359</v>
      </c>
      <c r="E18" s="33">
        <f t="shared" ca="1" si="7"/>
        <v>178.10395833333331</v>
      </c>
      <c r="F18" s="33">
        <f t="shared" ca="1" si="7"/>
        <v>74.673124999999999</v>
      </c>
      <c r="G18" s="33">
        <f>'Monthly Data'!AS18</f>
        <v>220.46250000000003</v>
      </c>
      <c r="H18" s="33">
        <f>'Monthly Data'!AZ18</f>
        <v>55.529166666666654</v>
      </c>
      <c r="I18" s="18">
        <f>'Monthly Data'!G18</f>
        <v>9566</v>
      </c>
      <c r="J18">
        <f>'Monthly Data'!BU18</f>
        <v>31</v>
      </c>
      <c r="K18">
        <v>0</v>
      </c>
      <c r="L18">
        <v>0</v>
      </c>
      <c r="M18" s="33">
        <f>'Monthly Data'!CQ18</f>
        <v>0</v>
      </c>
      <c r="N18" s="33">
        <f>'Monthly Data'!CX18</f>
        <v>0</v>
      </c>
      <c r="O18">
        <f>'Monthly Data'!BY18</f>
        <v>0</v>
      </c>
      <c r="P18" s="18"/>
      <c r="Q18" s="18">
        <f ca="1">(E18-G18)*'Res Predicted Monthly'!$X$9</f>
        <v>-277516.56096340227</v>
      </c>
      <c r="R18" s="18">
        <f ca="1">(F18-H18)*'Res Predicted Monthly'!$X$10</f>
        <v>279216.30316062726</v>
      </c>
      <c r="S18" s="18"/>
      <c r="T18" s="18"/>
      <c r="U18" s="18">
        <f>(K18-M18)*'Res Predicted Monthly'!$X$13</f>
        <v>0</v>
      </c>
      <c r="V18" s="18">
        <f>(L18-N18)*'Res Predicted Monthly'!$X$14</f>
        <v>0</v>
      </c>
      <c r="W18" s="30">
        <f t="shared" ca="1" si="8"/>
        <v>107172.86078696858</v>
      </c>
      <c r="X18" s="30">
        <f t="shared" ref="X18:X49" ca="1" si="9">W18-D18</f>
        <v>1699.7421972249867</v>
      </c>
      <c r="Y18" s="35">
        <f t="shared" ref="Y18:Y49" ca="1" si="10">ABS(X18/D18)</f>
        <v>1.6115406654812547E-2</v>
      </c>
    </row>
    <row r="19" spans="1:25">
      <c r="A19" s="541">
        <f>'Monthly Data'!A19</f>
        <v>42887</v>
      </c>
      <c r="B19">
        <f t="shared" si="5"/>
        <v>2017</v>
      </c>
      <c r="C19">
        <f t="shared" si="6"/>
        <v>6</v>
      </c>
      <c r="D19" s="30">
        <f>'Monthly Data'!F19</f>
        <v>111821.56730769231</v>
      </c>
      <c r="E19" s="33">
        <f t="shared" ca="1" si="7"/>
        <v>51.834166666666661</v>
      </c>
      <c r="F19" s="33">
        <f t="shared" ca="1" si="7"/>
        <v>169.78833333333333</v>
      </c>
      <c r="G19" s="33">
        <f>'Monthly Data'!AS19</f>
        <v>64.375</v>
      </c>
      <c r="H19" s="33">
        <f>'Monthly Data'!AZ19</f>
        <v>149.61666666666667</v>
      </c>
      <c r="I19" s="18">
        <f>'Monthly Data'!G19</f>
        <v>9566</v>
      </c>
      <c r="J19">
        <f>'Monthly Data'!BU19</f>
        <v>30</v>
      </c>
      <c r="K19">
        <v>0</v>
      </c>
      <c r="L19">
        <v>0</v>
      </c>
      <c r="M19" s="33">
        <f>'Monthly Data'!CQ19</f>
        <v>0</v>
      </c>
      <c r="N19" s="33">
        <f>'Monthly Data'!CX19</f>
        <v>0</v>
      </c>
      <c r="O19">
        <f>'Monthly Data'!BY19</f>
        <v>0</v>
      </c>
      <c r="P19" s="18"/>
      <c r="Q19" s="18">
        <f ca="1">(E19-G19)*'Res Predicted Monthly'!$X$9</f>
        <v>-82162.624144839676</v>
      </c>
      <c r="R19" s="18">
        <f ca="1">(F19-H19)*'Res Predicted Monthly'!$X$10</f>
        <v>294205.51889983279</v>
      </c>
      <c r="S19" s="18"/>
      <c r="T19" s="18"/>
      <c r="U19" s="18">
        <f>(K19-M19)*'Res Predicted Monthly'!$X$13</f>
        <v>0</v>
      </c>
      <c r="V19" s="18">
        <f>(L19-N19)*'Res Predicted Monthly'!$X$14</f>
        <v>0</v>
      </c>
      <c r="W19" s="30">
        <f t="shared" ca="1" si="8"/>
        <v>323864.4620626854</v>
      </c>
      <c r="X19" s="30">
        <f t="shared" ca="1" si="9"/>
        <v>212042.89475499309</v>
      </c>
      <c r="Y19" s="35">
        <f t="shared" ca="1" si="10"/>
        <v>1.8962611583821583</v>
      </c>
    </row>
    <row r="20" spans="1:25">
      <c r="A20" s="541">
        <f>'Monthly Data'!A20</f>
        <v>42917</v>
      </c>
      <c r="B20">
        <f t="shared" si="5"/>
        <v>2017</v>
      </c>
      <c r="C20">
        <f t="shared" si="6"/>
        <v>7</v>
      </c>
      <c r="D20" s="30">
        <f>'Monthly Data'!F20</f>
        <v>118170.01602564103</v>
      </c>
      <c r="E20" s="33">
        <f t="shared" ca="1" si="7"/>
        <v>6.5670833333333318</v>
      </c>
      <c r="F20" s="33">
        <f t="shared" ca="1" si="7"/>
        <v>265.99625000000003</v>
      </c>
      <c r="G20" s="33">
        <f>'Monthly Data'!AS20</f>
        <v>10.187499999999986</v>
      </c>
      <c r="H20" s="33">
        <f>'Monthly Data'!AZ20</f>
        <v>224.875</v>
      </c>
      <c r="I20" s="18">
        <f>'Monthly Data'!G20</f>
        <v>9598</v>
      </c>
      <c r="J20">
        <f>'Monthly Data'!BU20</f>
        <v>31</v>
      </c>
      <c r="K20">
        <v>0</v>
      </c>
      <c r="L20">
        <v>0</v>
      </c>
      <c r="M20" s="33">
        <f>'Monthly Data'!CQ20</f>
        <v>0</v>
      </c>
      <c r="N20" s="33">
        <f>'Monthly Data'!CX20</f>
        <v>0</v>
      </c>
      <c r="O20">
        <f>'Monthly Data'!BY20</f>
        <v>0</v>
      </c>
      <c r="P20" s="18"/>
      <c r="Q20" s="18">
        <f ca="1">(E20-G20)*'Res Predicted Monthly'!$X$9</f>
        <v>-23719.550840404983</v>
      </c>
      <c r="R20" s="18">
        <f ca="1">(F20-H20)*'Res Predicted Monthly'!$X$10</f>
        <v>599757.02027892764</v>
      </c>
      <c r="S20" s="18"/>
      <c r="T20" s="18"/>
      <c r="U20" s="18">
        <f>(K20-M20)*'Res Predicted Monthly'!$X$13</f>
        <v>0</v>
      </c>
      <c r="V20" s="18">
        <f>(L20-N20)*'Res Predicted Monthly'!$X$14</f>
        <v>0</v>
      </c>
      <c r="W20" s="30">
        <f t="shared" ca="1" si="8"/>
        <v>694207.48546416371</v>
      </c>
      <c r="X20" s="30">
        <f t="shared" ca="1" si="9"/>
        <v>576037.4694385227</v>
      </c>
      <c r="Y20" s="35">
        <f t="shared" ca="1" si="10"/>
        <v>4.8746500069318062</v>
      </c>
    </row>
    <row r="21" spans="1:25">
      <c r="A21" s="541">
        <f>'Monthly Data'!A21</f>
        <v>42948</v>
      </c>
      <c r="B21">
        <f t="shared" si="5"/>
        <v>2017</v>
      </c>
      <c r="C21">
        <f t="shared" si="6"/>
        <v>8</v>
      </c>
      <c r="D21" s="30">
        <f>'Monthly Data'!F21</f>
        <v>124518.46474358975</v>
      </c>
      <c r="E21" s="33">
        <f t="shared" ca="1" si="7"/>
        <v>23.263124999999995</v>
      </c>
      <c r="F21" s="33">
        <f t="shared" ca="1" si="7"/>
        <v>218.46562499999996</v>
      </c>
      <c r="G21" s="33">
        <f>'Monthly Data'!AS21</f>
        <v>42.45</v>
      </c>
      <c r="H21" s="33">
        <f>'Monthly Data'!AZ21</f>
        <v>164.64583333333331</v>
      </c>
      <c r="I21" s="18">
        <f>'Monthly Data'!G21</f>
        <v>9598</v>
      </c>
      <c r="J21">
        <f>'Monthly Data'!BU21</f>
        <v>31</v>
      </c>
      <c r="K21">
        <v>0</v>
      </c>
      <c r="L21">
        <v>0</v>
      </c>
      <c r="M21" s="33">
        <f>'Monthly Data'!CQ21</f>
        <v>0</v>
      </c>
      <c r="N21" s="33">
        <f>'Monthly Data'!CX21</f>
        <v>0</v>
      </c>
      <c r="O21">
        <f>'Monthly Data'!BY21</f>
        <v>0</v>
      </c>
      <c r="P21" s="18"/>
      <c r="Q21" s="18">
        <f ca="1">(E21-G21)*'Res Predicted Monthly'!$X$9</f>
        <v>-125704.88397679746</v>
      </c>
      <c r="R21" s="18">
        <f ca="1">(F21-H21)*'Res Predicted Monthly'!$X$10</f>
        <v>784966.35880554758</v>
      </c>
      <c r="S21" s="18"/>
      <c r="T21" s="18"/>
      <c r="U21" s="18">
        <f>(K21-M21)*'Res Predicted Monthly'!$X$13</f>
        <v>0</v>
      </c>
      <c r="V21" s="18">
        <f>(L21-N21)*'Res Predicted Monthly'!$X$14</f>
        <v>0</v>
      </c>
      <c r="W21" s="30">
        <f t="shared" ca="1" si="8"/>
        <v>783779.93957233988</v>
      </c>
      <c r="X21" s="30">
        <f t="shared" ca="1" si="9"/>
        <v>659261.47482875013</v>
      </c>
      <c r="Y21" s="35">
        <f t="shared" ca="1" si="10"/>
        <v>5.2944876584072169</v>
      </c>
    </row>
    <row r="22" spans="1:25">
      <c r="A22" s="541">
        <f>'Monthly Data'!A22</f>
        <v>42979</v>
      </c>
      <c r="B22">
        <f t="shared" si="5"/>
        <v>2017</v>
      </c>
      <c r="C22">
        <f t="shared" si="6"/>
        <v>9</v>
      </c>
      <c r="D22" s="30">
        <f>'Monthly Data'!F22</f>
        <v>130866.91346153847</v>
      </c>
      <c r="E22" s="33">
        <f t="shared" ca="1" si="7"/>
        <v>114.73583333333336</v>
      </c>
      <c r="F22" s="33">
        <f t="shared" ca="1" si="7"/>
        <v>95.131249999999994</v>
      </c>
      <c r="G22" s="33">
        <f>'Monthly Data'!AS22</f>
        <v>98.341666666666669</v>
      </c>
      <c r="H22" s="33">
        <f>'Monthly Data'!AZ22</f>
        <v>126.25</v>
      </c>
      <c r="I22" s="18">
        <f>'Monthly Data'!G22</f>
        <v>9598</v>
      </c>
      <c r="J22">
        <f>'Monthly Data'!BU22</f>
        <v>30</v>
      </c>
      <c r="K22">
        <v>0</v>
      </c>
      <c r="L22">
        <v>0</v>
      </c>
      <c r="M22" s="33">
        <f>'Monthly Data'!CQ22</f>
        <v>0</v>
      </c>
      <c r="N22" s="33">
        <f>'Monthly Data'!CX22</f>
        <v>0</v>
      </c>
      <c r="O22">
        <f>'Monthly Data'!BY22</f>
        <v>0</v>
      </c>
      <c r="P22" s="18"/>
      <c r="Q22" s="18">
        <f ca="1">(E22-G22)*'Res Predicted Monthly'!$X$9</f>
        <v>107408.15368472542</v>
      </c>
      <c r="R22" s="18">
        <f ca="1">(F22-H22)*'Res Predicted Monthly'!$X$10</f>
        <v>-453869.68476894224</v>
      </c>
      <c r="S22" s="18"/>
      <c r="T22" s="18"/>
      <c r="U22" s="18">
        <f>(K22-M22)*'Res Predicted Monthly'!$X$13</f>
        <v>0</v>
      </c>
      <c r="V22" s="18">
        <f>(L22-N22)*'Res Predicted Monthly'!$X$14</f>
        <v>0</v>
      </c>
      <c r="W22" s="30">
        <f t="shared" ca="1" si="8"/>
        <v>-215594.61762267834</v>
      </c>
      <c r="X22" s="30">
        <f t="shared" ca="1" si="9"/>
        <v>-346461.53108421678</v>
      </c>
      <c r="Y22" s="35">
        <f t="shared" ca="1" si="10"/>
        <v>2.6474341139408102</v>
      </c>
    </row>
    <row r="23" spans="1:25">
      <c r="A23" s="541">
        <f>'Monthly Data'!A23</f>
        <v>43009</v>
      </c>
      <c r="B23">
        <f t="shared" si="5"/>
        <v>2017</v>
      </c>
      <c r="C23">
        <f t="shared" si="6"/>
        <v>10</v>
      </c>
      <c r="D23" s="30">
        <f>'Monthly Data'!F23</f>
        <v>137215.36217948719</v>
      </c>
      <c r="E23" s="33">
        <f t="shared" ca="1" si="7"/>
        <v>302.40479166666665</v>
      </c>
      <c r="F23" s="33">
        <f t="shared" ca="1" si="7"/>
        <v>21.813750000000006</v>
      </c>
      <c r="G23" s="33">
        <f>'Monthly Data'!AS23</f>
        <v>235.46875000000003</v>
      </c>
      <c r="H23" s="33">
        <f>'Monthly Data'!AZ23</f>
        <v>31.320833333333333</v>
      </c>
      <c r="I23" s="18">
        <f>'Monthly Data'!G23</f>
        <v>9676</v>
      </c>
      <c r="J23">
        <f>'Monthly Data'!BU23</f>
        <v>31</v>
      </c>
      <c r="K23">
        <v>0</v>
      </c>
      <c r="L23">
        <v>0</v>
      </c>
      <c r="M23" s="33">
        <f>'Monthly Data'!CQ23</f>
        <v>0</v>
      </c>
      <c r="N23" s="33">
        <f>'Monthly Data'!CX23</f>
        <v>0</v>
      </c>
      <c r="O23">
        <f>'Monthly Data'!BY23</f>
        <v>0</v>
      </c>
      <c r="P23" s="18"/>
      <c r="Q23" s="18">
        <f ca="1">(E23-G23)*'Res Predicted Monthly'!$X$9</f>
        <v>438538.70688032341</v>
      </c>
      <c r="R23" s="18">
        <f ca="1">(F23-H23)*'Res Predicted Monthly'!$X$10</f>
        <v>-138661.64018709175</v>
      </c>
      <c r="S23" s="18"/>
      <c r="T23" s="18"/>
      <c r="U23" s="18">
        <f>(K23-M23)*'Res Predicted Monthly'!$X$13</f>
        <v>0</v>
      </c>
      <c r="V23" s="18">
        <f>(L23-N23)*'Res Predicted Monthly'!$X$14</f>
        <v>0</v>
      </c>
      <c r="W23" s="30">
        <f t="shared" ca="1" si="8"/>
        <v>437092.42887271883</v>
      </c>
      <c r="X23" s="30">
        <f t="shared" ca="1" si="9"/>
        <v>299877.06669323164</v>
      </c>
      <c r="Y23" s="35">
        <f t="shared" ca="1" si="10"/>
        <v>2.1854482029568358</v>
      </c>
    </row>
    <row r="24" spans="1:25">
      <c r="A24" s="541">
        <f>'Monthly Data'!A24</f>
        <v>43040</v>
      </c>
      <c r="B24">
        <f t="shared" si="5"/>
        <v>2017</v>
      </c>
      <c r="C24">
        <f t="shared" si="6"/>
        <v>11</v>
      </c>
      <c r="D24" s="30">
        <f>'Monthly Data'!F24</f>
        <v>143563.81089743588</v>
      </c>
      <c r="E24" s="33">
        <f t="shared" ca="1" si="7"/>
        <v>526.09395833333338</v>
      </c>
      <c r="F24" s="33">
        <f t="shared" ca="1" si="7"/>
        <v>2.2795833333333335</v>
      </c>
      <c r="G24" s="33">
        <f>'Monthly Data'!AS24</f>
        <v>565.73333333333335</v>
      </c>
      <c r="H24" s="33">
        <f>'Monthly Data'!AZ24</f>
        <v>0</v>
      </c>
      <c r="I24" s="18">
        <f>'Monthly Data'!G24</f>
        <v>9676</v>
      </c>
      <c r="J24">
        <f>'Monthly Data'!BU24</f>
        <v>30</v>
      </c>
      <c r="K24">
        <v>0</v>
      </c>
      <c r="L24">
        <v>0</v>
      </c>
      <c r="M24" s="33">
        <f>'Monthly Data'!CQ24</f>
        <v>0</v>
      </c>
      <c r="N24" s="33">
        <f>'Monthly Data'!CX24</f>
        <v>0</v>
      </c>
      <c r="O24">
        <f>'Monthly Data'!BY24</f>
        <v>0</v>
      </c>
      <c r="P24" s="18"/>
      <c r="Q24" s="18">
        <f ca="1">(E24-G24)*'Res Predicted Monthly'!$X$9</f>
        <v>-259701.64684388469</v>
      </c>
      <c r="R24" s="18">
        <f ca="1">(F24-H24)*'Res Predicted Monthly'!$X$10</f>
        <v>33247.921876827779</v>
      </c>
      <c r="S24" s="18"/>
      <c r="T24" s="18"/>
      <c r="U24" s="18">
        <f>(K24-M24)*'Res Predicted Monthly'!$X$13</f>
        <v>0</v>
      </c>
      <c r="V24" s="18">
        <f>(L24-N24)*'Res Predicted Monthly'!$X$14</f>
        <v>0</v>
      </c>
      <c r="W24" s="30">
        <f t="shared" ca="1" si="8"/>
        <v>-82889.914069621038</v>
      </c>
      <c r="X24" s="30">
        <f t="shared" ca="1" si="9"/>
        <v>-226453.72496705691</v>
      </c>
      <c r="Y24" s="35">
        <f t="shared" ca="1" si="10"/>
        <v>1.5773733195814843</v>
      </c>
    </row>
    <row r="25" spans="1:25">
      <c r="A25" s="541">
        <f>'Monthly Data'!A25</f>
        <v>43070</v>
      </c>
      <c r="B25">
        <f t="shared" si="5"/>
        <v>2017</v>
      </c>
      <c r="C25">
        <f t="shared" si="6"/>
        <v>12</v>
      </c>
      <c r="D25" s="30">
        <f>'Monthly Data'!F25</f>
        <v>76269429.279615387</v>
      </c>
      <c r="E25" s="33">
        <f t="shared" ca="1" si="7"/>
        <v>750.36333333333334</v>
      </c>
      <c r="F25" s="33">
        <f t="shared" ca="1" si="7"/>
        <v>0</v>
      </c>
      <c r="G25" s="33">
        <f>'Monthly Data'!AS25</f>
        <v>892.57499999999993</v>
      </c>
      <c r="H25" s="33">
        <f>'Monthly Data'!AZ25</f>
        <v>0</v>
      </c>
      <c r="I25" s="18">
        <f>'Monthly Data'!G25</f>
        <v>9676</v>
      </c>
      <c r="J25">
        <f>'Monthly Data'!BU25</f>
        <v>31</v>
      </c>
      <c r="K25">
        <v>0</v>
      </c>
      <c r="L25">
        <v>0</v>
      </c>
      <c r="M25" s="33">
        <f>'Monthly Data'!CQ25</f>
        <v>0</v>
      </c>
      <c r="N25" s="33">
        <f>'Monthly Data'!CX25</f>
        <v>0</v>
      </c>
      <c r="O25">
        <f>'Monthly Data'!BY25</f>
        <v>0</v>
      </c>
      <c r="P25" s="18"/>
      <c r="Q25" s="18">
        <f ca="1">(E25-G25)*'Res Predicted Monthly'!$X$9</f>
        <v>-931715.09474473097</v>
      </c>
      <c r="R25" s="18">
        <f ca="1">(F25-H25)*'Res Predicted Monthly'!$X$10</f>
        <v>0</v>
      </c>
      <c r="S25" s="18"/>
      <c r="T25" s="18"/>
      <c r="U25" s="18">
        <f>(K25-M25)*'Res Predicted Monthly'!$X$13</f>
        <v>0</v>
      </c>
      <c r="V25" s="18">
        <f>(L25-N25)*'Res Predicted Monthly'!$X$14</f>
        <v>0</v>
      </c>
      <c r="W25" s="30">
        <f t="shared" ca="1" si="8"/>
        <v>75337714.18487066</v>
      </c>
      <c r="X25" s="30">
        <f t="shared" ca="1" si="9"/>
        <v>-931715.09474472702</v>
      </c>
      <c r="Y25" s="35">
        <f t="shared" ca="1" si="10"/>
        <v>1.2216101569724837E-2</v>
      </c>
    </row>
    <row r="26" spans="1:25">
      <c r="A26" s="541">
        <f>'Monthly Data'!A26</f>
        <v>43101</v>
      </c>
      <c r="B26">
        <f t="shared" si="5"/>
        <v>2018</v>
      </c>
      <c r="C26">
        <f t="shared" si="6"/>
        <v>1</v>
      </c>
      <c r="D26" s="30">
        <f>'Monthly Data'!F26</f>
        <v>138184.10424530588</v>
      </c>
      <c r="E26" s="33">
        <f t="shared" ca="1" si="7"/>
        <v>852.55166666666662</v>
      </c>
      <c r="F26" s="33">
        <f t="shared" ca="1" si="7"/>
        <v>0</v>
      </c>
      <c r="G26" s="33">
        <f>'Monthly Data'!AS26</f>
        <v>901.85000000000014</v>
      </c>
      <c r="H26" s="33">
        <f>'Monthly Data'!AZ26</f>
        <v>0</v>
      </c>
      <c r="I26" s="18">
        <f>'Monthly Data'!G26</f>
        <v>9688</v>
      </c>
      <c r="J26">
        <f>'Monthly Data'!BU26</f>
        <v>31</v>
      </c>
      <c r="K26">
        <v>0</v>
      </c>
      <c r="L26">
        <v>0</v>
      </c>
      <c r="M26" s="33">
        <f>'Monthly Data'!CQ26</f>
        <v>0</v>
      </c>
      <c r="N26" s="33">
        <f>'Monthly Data'!CX26</f>
        <v>0</v>
      </c>
      <c r="O26">
        <f>'Monthly Data'!BY26</f>
        <v>0</v>
      </c>
      <c r="P26" s="18"/>
      <c r="Q26" s="18">
        <f ca="1">(E26-G26)*'Res Predicted Monthly'!$X$9</f>
        <v>-322983.3556489097</v>
      </c>
      <c r="R26" s="18">
        <f ca="1">(F26-H26)*'Res Predicted Monthly'!$X$10</f>
        <v>0</v>
      </c>
      <c r="S26" s="18"/>
      <c r="T26" s="18"/>
      <c r="U26" s="18">
        <f>(K26-M26)*'Res Predicted Monthly'!$X$13</f>
        <v>0</v>
      </c>
      <c r="V26" s="18">
        <f>(L26-N26)*'Res Predicted Monthly'!$X$14</f>
        <v>0</v>
      </c>
      <c r="W26" s="30">
        <f t="shared" ca="1" si="8"/>
        <v>-184799.25140360382</v>
      </c>
      <c r="X26" s="30">
        <f t="shared" ca="1" si="9"/>
        <v>-322983.3556489097</v>
      </c>
      <c r="Y26" s="35">
        <f t="shared" ca="1" si="10"/>
        <v>2.3373408787710215</v>
      </c>
    </row>
    <row r="27" spans="1:25">
      <c r="A27" s="541">
        <f>'Monthly Data'!A27</f>
        <v>43132</v>
      </c>
      <c r="B27">
        <f t="shared" si="5"/>
        <v>2018</v>
      </c>
      <c r="C27">
        <f t="shared" si="6"/>
        <v>2</v>
      </c>
      <c r="D27" s="30">
        <f>'Monthly Data'!F27</f>
        <v>141275.87925579111</v>
      </c>
      <c r="E27" s="33">
        <f t="shared" ca="1" si="7"/>
        <v>747.22854166666662</v>
      </c>
      <c r="F27" s="33">
        <f t="shared" ca="1" si="7"/>
        <v>0</v>
      </c>
      <c r="G27" s="33">
        <f>'Monthly Data'!AS27</f>
        <v>698.27916666666658</v>
      </c>
      <c r="H27" s="33">
        <f>'Monthly Data'!AZ27</f>
        <v>0</v>
      </c>
      <c r="I27" s="18">
        <f>'Monthly Data'!G27</f>
        <v>9699</v>
      </c>
      <c r="J27">
        <f>'Monthly Data'!BU27</f>
        <v>29</v>
      </c>
      <c r="K27">
        <v>0</v>
      </c>
      <c r="L27">
        <v>0</v>
      </c>
      <c r="M27" s="33">
        <f>'Monthly Data'!CQ27</f>
        <v>0</v>
      </c>
      <c r="N27" s="33">
        <f>'Monthly Data'!CX27</f>
        <v>0</v>
      </c>
      <c r="O27">
        <f>'Monthly Data'!BY27</f>
        <v>0</v>
      </c>
      <c r="P27" s="18"/>
      <c r="Q27" s="18">
        <f ca="1">(E27-G27)*'Res Predicted Monthly'!$X$9</f>
        <v>320697.11743635958</v>
      </c>
      <c r="R27" s="18">
        <f ca="1">(F27-H27)*'Res Predicted Monthly'!$X$10</f>
        <v>0</v>
      </c>
      <c r="S27" s="18"/>
      <c r="T27" s="18"/>
      <c r="U27" s="18">
        <f>(K27-M27)*'Res Predicted Monthly'!$X$13</f>
        <v>0</v>
      </c>
      <c r="V27" s="18">
        <f>(L27-N27)*'Res Predicted Monthly'!$X$14</f>
        <v>0</v>
      </c>
      <c r="W27" s="30">
        <f t="shared" ca="1" si="8"/>
        <v>461972.99669215071</v>
      </c>
      <c r="X27" s="30">
        <f t="shared" ca="1" si="9"/>
        <v>320697.11743635964</v>
      </c>
      <c r="Y27" s="35">
        <f t="shared" ca="1" si="10"/>
        <v>2.2700061689632967</v>
      </c>
    </row>
    <row r="28" spans="1:25">
      <c r="A28" s="541">
        <f>'Monthly Data'!A28</f>
        <v>43160</v>
      </c>
      <c r="B28">
        <f t="shared" si="5"/>
        <v>2018</v>
      </c>
      <c r="C28">
        <f t="shared" si="6"/>
        <v>3</v>
      </c>
      <c r="D28" s="30">
        <f>'Monthly Data'!F28</f>
        <v>144367.65426627634</v>
      </c>
      <c r="E28" s="33">
        <f t="shared" ca="1" si="7"/>
        <v>636.29604166666672</v>
      </c>
      <c r="F28" s="33">
        <f t="shared" ca="1" si="7"/>
        <v>0</v>
      </c>
      <c r="G28" s="33">
        <f>'Monthly Data'!AS28</f>
        <v>649.45000000000016</v>
      </c>
      <c r="H28" s="33">
        <f>'Monthly Data'!AZ28</f>
        <v>0</v>
      </c>
      <c r="I28" s="18">
        <f>'Monthly Data'!G28</f>
        <v>9711</v>
      </c>
      <c r="J28">
        <f>'Monthly Data'!BU28</f>
        <v>31</v>
      </c>
      <c r="K28">
        <v>0</v>
      </c>
      <c r="L28">
        <v>0</v>
      </c>
      <c r="M28" s="33">
        <f>'Monthly Data'!CQ28</f>
        <v>0</v>
      </c>
      <c r="N28" s="33">
        <f>'Monthly Data'!CX28</f>
        <v>0</v>
      </c>
      <c r="O28">
        <f>'Monthly Data'!BY28</f>
        <v>0</v>
      </c>
      <c r="P28" s="18"/>
      <c r="Q28" s="18">
        <f ca="1">(E28-G28)*'Res Predicted Monthly'!$X$9</f>
        <v>-86179.578807247497</v>
      </c>
      <c r="R28" s="18">
        <f ca="1">(F28-H28)*'Res Predicted Monthly'!$X$10</f>
        <v>0</v>
      </c>
      <c r="S28" s="18"/>
      <c r="T28" s="18"/>
      <c r="U28" s="18">
        <f>(K28-M28)*'Res Predicted Monthly'!$X$13</f>
        <v>0</v>
      </c>
      <c r="V28" s="18">
        <f>(L28-N28)*'Res Predicted Monthly'!$X$14</f>
        <v>0</v>
      </c>
      <c r="W28" s="30">
        <f t="shared" ca="1" si="8"/>
        <v>58188.075459028842</v>
      </c>
      <c r="X28" s="30">
        <f t="shared" ca="1" si="9"/>
        <v>-86179.578807247497</v>
      </c>
      <c r="Y28" s="35">
        <f t="shared" ca="1" si="10"/>
        <v>0.59694520386329142</v>
      </c>
    </row>
    <row r="29" spans="1:25">
      <c r="A29" s="541">
        <f>'Monthly Data'!A29</f>
        <v>43191</v>
      </c>
      <c r="B29">
        <f t="shared" si="5"/>
        <v>2018</v>
      </c>
      <c r="C29">
        <f t="shared" si="6"/>
        <v>4</v>
      </c>
      <c r="D29" s="30">
        <f>'Monthly Data'!F29</f>
        <v>147459.42927676154</v>
      </c>
      <c r="E29" s="33">
        <f t="shared" ca="1" si="7"/>
        <v>408.60374999999999</v>
      </c>
      <c r="F29" s="33">
        <f t="shared" ca="1" si="7"/>
        <v>2.8104166666666677</v>
      </c>
      <c r="G29" s="33">
        <f>'Monthly Data'!AS29</f>
        <v>501.1541666666667</v>
      </c>
      <c r="H29" s="33">
        <f>'Monthly Data'!AZ29</f>
        <v>0</v>
      </c>
      <c r="I29" s="18">
        <f>'Monthly Data'!G29</f>
        <v>9720</v>
      </c>
      <c r="J29">
        <f>'Monthly Data'!BU29</f>
        <v>30</v>
      </c>
      <c r="K29">
        <v>0</v>
      </c>
      <c r="L29">
        <v>0</v>
      </c>
      <c r="M29" s="33">
        <f>'Monthly Data'!CQ29</f>
        <v>0</v>
      </c>
      <c r="N29" s="33">
        <f>'Monthly Data'!CX29</f>
        <v>0</v>
      </c>
      <c r="O29">
        <f>'Monthly Data'!BY29</f>
        <v>0</v>
      </c>
      <c r="P29" s="18"/>
      <c r="Q29" s="18">
        <f ca="1">(E29-G29)*'Res Predicted Monthly'!$X$9</f>
        <v>-606354.05135477218</v>
      </c>
      <c r="R29" s="18">
        <f ca="1">(F29-H29)*'Res Predicted Monthly'!$X$10</f>
        <v>40990.172374191818</v>
      </c>
      <c r="S29" s="18"/>
      <c r="T29" s="18"/>
      <c r="U29" s="18">
        <f>(K29-M29)*'Res Predicted Monthly'!$X$13</f>
        <v>0</v>
      </c>
      <c r="V29" s="18">
        <f>(L29-N29)*'Res Predicted Monthly'!$X$14</f>
        <v>0</v>
      </c>
      <c r="W29" s="30">
        <f t="shared" ca="1" si="8"/>
        <v>-417904.44970381883</v>
      </c>
      <c r="X29" s="30">
        <f t="shared" ca="1" si="9"/>
        <v>-565363.87898058037</v>
      </c>
      <c r="Y29" s="35">
        <f t="shared" ca="1" si="10"/>
        <v>3.8340300227221706</v>
      </c>
    </row>
    <row r="30" spans="1:25">
      <c r="A30" s="541">
        <f>'Monthly Data'!A30</f>
        <v>43221</v>
      </c>
      <c r="B30">
        <f t="shared" si="5"/>
        <v>2018</v>
      </c>
      <c r="C30">
        <f t="shared" si="6"/>
        <v>5</v>
      </c>
      <c r="D30" s="30">
        <f>'Monthly Data'!F30</f>
        <v>150551.20428724677</v>
      </c>
      <c r="E30" s="33">
        <f t="shared" ca="1" si="7"/>
        <v>178.10395833333331</v>
      </c>
      <c r="F30" s="33">
        <f t="shared" ca="1" si="7"/>
        <v>74.673124999999999</v>
      </c>
      <c r="G30" s="33">
        <f>'Monthly Data'!AS30</f>
        <v>133.90416666666667</v>
      </c>
      <c r="H30" s="33">
        <f>'Monthly Data'!AZ30</f>
        <v>91.550000000000011</v>
      </c>
      <c r="I30" s="18">
        <f>'Monthly Data'!G30</f>
        <v>9723</v>
      </c>
      <c r="J30">
        <f>'Monthly Data'!BU30</f>
        <v>31</v>
      </c>
      <c r="K30">
        <v>0</v>
      </c>
      <c r="L30">
        <v>0</v>
      </c>
      <c r="M30" s="33">
        <f>'Monthly Data'!CQ30</f>
        <v>0</v>
      </c>
      <c r="N30" s="33">
        <f>'Monthly Data'!CX30</f>
        <v>0</v>
      </c>
      <c r="O30">
        <f>'Monthly Data'!BY30</f>
        <v>0</v>
      </c>
      <c r="P30" s="18"/>
      <c r="Q30" s="18">
        <f ca="1">(E30-G30)*'Res Predicted Monthly'!$X$9</f>
        <v>289579.70921564597</v>
      </c>
      <c r="R30" s="18">
        <f ca="1">(F30-H30)*'Res Predicted Monthly'!$X$10</f>
        <v>-246150.69487478922</v>
      </c>
      <c r="S30" s="18"/>
      <c r="T30" s="18"/>
      <c r="U30" s="18">
        <f>(K30-M30)*'Res Predicted Monthly'!$X$13</f>
        <v>0</v>
      </c>
      <c r="V30" s="18">
        <f>(L30-N30)*'Res Predicted Monthly'!$X$14</f>
        <v>0</v>
      </c>
      <c r="W30" s="30">
        <f t="shared" ca="1" si="8"/>
        <v>193980.2186281035</v>
      </c>
      <c r="X30" s="30">
        <f t="shared" ca="1" si="9"/>
        <v>43429.014340856724</v>
      </c>
      <c r="Y30" s="35">
        <f t="shared" ca="1" si="10"/>
        <v>0.28846673493222669</v>
      </c>
    </row>
    <row r="31" spans="1:25">
      <c r="A31" s="541">
        <f>'Monthly Data'!A31</f>
        <v>43252</v>
      </c>
      <c r="B31">
        <f t="shared" si="5"/>
        <v>2018</v>
      </c>
      <c r="C31">
        <f t="shared" si="6"/>
        <v>6</v>
      </c>
      <c r="D31" s="30">
        <f>'Monthly Data'!F31</f>
        <v>153642.979297732</v>
      </c>
      <c r="E31" s="33">
        <f t="shared" ref="E31:F46" ca="1" si="11">E19</f>
        <v>51.834166666666661</v>
      </c>
      <c r="F31" s="33">
        <f t="shared" ca="1" si="11"/>
        <v>169.78833333333333</v>
      </c>
      <c r="G31" s="33">
        <f>'Monthly Data'!AS31</f>
        <v>61.166666666666629</v>
      </c>
      <c r="H31" s="33">
        <f>'Monthly Data'!AZ31</f>
        <v>145.35</v>
      </c>
      <c r="I31" s="18">
        <f>'Monthly Data'!G31</f>
        <v>9728</v>
      </c>
      <c r="J31">
        <f>'Monthly Data'!BU31</f>
        <v>30</v>
      </c>
      <c r="K31">
        <v>0</v>
      </c>
      <c r="L31">
        <v>0</v>
      </c>
      <c r="M31" s="33">
        <f>'Monthly Data'!CQ31</f>
        <v>0</v>
      </c>
      <c r="N31" s="33">
        <f>'Monthly Data'!CX31</f>
        <v>0</v>
      </c>
      <c r="O31">
        <f>'Monthly Data'!BY31</f>
        <v>0</v>
      </c>
      <c r="P31" s="18"/>
      <c r="Q31" s="18">
        <f ca="1">(E31-G31)*'Res Predicted Monthly'!$X$9</f>
        <v>-61142.881772746099</v>
      </c>
      <c r="R31" s="18">
        <f ca="1">(F31-H31)*'Res Predicted Monthly'!$X$10</f>
        <v>356435.22462432878</v>
      </c>
      <c r="S31" s="18"/>
      <c r="T31" s="18"/>
      <c r="U31" s="18">
        <f>(K31-M31)*'Res Predicted Monthly'!$X$13</f>
        <v>0</v>
      </c>
      <c r="V31" s="18">
        <f>(L31-N31)*'Res Predicted Monthly'!$X$14</f>
        <v>0</v>
      </c>
      <c r="W31" s="30">
        <f t="shared" ca="1" si="8"/>
        <v>448935.32214931468</v>
      </c>
      <c r="X31" s="30">
        <f t="shared" ca="1" si="9"/>
        <v>295292.34285158268</v>
      </c>
      <c r="Y31" s="35">
        <f t="shared" ca="1" si="10"/>
        <v>1.9219384068266478</v>
      </c>
    </row>
    <row r="32" spans="1:25">
      <c r="A32" s="541">
        <f>'Monthly Data'!A32</f>
        <v>43282</v>
      </c>
      <c r="B32">
        <f t="shared" si="5"/>
        <v>2018</v>
      </c>
      <c r="C32">
        <f t="shared" si="6"/>
        <v>7</v>
      </c>
      <c r="D32" s="30">
        <f>'Monthly Data'!F32</f>
        <v>156734.75430821723</v>
      </c>
      <c r="E32" s="33">
        <f t="shared" ca="1" si="11"/>
        <v>6.5670833333333318</v>
      </c>
      <c r="F32" s="33">
        <f t="shared" ca="1" si="11"/>
        <v>265.99625000000003</v>
      </c>
      <c r="G32" s="33">
        <f>'Monthly Data'!AS32</f>
        <v>1.9291666666666636</v>
      </c>
      <c r="H32" s="33">
        <f>'Monthly Data'!AZ32</f>
        <v>294.87916666666672</v>
      </c>
      <c r="I32" s="18">
        <f>'Monthly Data'!G32</f>
        <v>9733</v>
      </c>
      <c r="J32">
        <f>'Monthly Data'!BU32</f>
        <v>31</v>
      </c>
      <c r="K32">
        <v>0</v>
      </c>
      <c r="L32">
        <v>0</v>
      </c>
      <c r="M32" s="33">
        <f>'Monthly Data'!CQ32</f>
        <v>0</v>
      </c>
      <c r="N32" s="33">
        <f>'Monthly Data'!CX32</f>
        <v>0</v>
      </c>
      <c r="O32">
        <f>'Monthly Data'!BY32</f>
        <v>0</v>
      </c>
      <c r="P32" s="18"/>
      <c r="Q32" s="18">
        <f ca="1">(E32-G32)*'Res Predicted Monthly'!$X$9</f>
        <v>30385.811992697534</v>
      </c>
      <c r="R32" s="18">
        <f ca="1">(F32-H32)*'Res Predicted Monthly'!$X$10</f>
        <v>-421259.86046057881</v>
      </c>
      <c r="S32" s="18"/>
      <c r="T32" s="18"/>
      <c r="U32" s="18">
        <f>(K32-M32)*'Res Predicted Monthly'!$X$13</f>
        <v>0</v>
      </c>
      <c r="V32" s="18">
        <f>(L32-N32)*'Res Predicted Monthly'!$X$14</f>
        <v>0</v>
      </c>
      <c r="W32" s="30">
        <f t="shared" ca="1" si="8"/>
        <v>-234139.29415966404</v>
      </c>
      <c r="X32" s="30">
        <f t="shared" ca="1" si="9"/>
        <v>-390874.04846788128</v>
      </c>
      <c r="Y32" s="35">
        <f t="shared" ca="1" si="10"/>
        <v>2.4938568997864481</v>
      </c>
    </row>
    <row r="33" spans="1:25">
      <c r="A33" s="541">
        <f>'Monthly Data'!A33</f>
        <v>43313</v>
      </c>
      <c r="B33">
        <f t="shared" si="5"/>
        <v>2018</v>
      </c>
      <c r="C33">
        <f t="shared" si="6"/>
        <v>8</v>
      </c>
      <c r="D33" s="30">
        <f>'Monthly Data'!F33</f>
        <v>159826.52931870247</v>
      </c>
      <c r="E33" s="33">
        <f t="shared" ca="1" si="11"/>
        <v>23.263124999999995</v>
      </c>
      <c r="F33" s="33">
        <f t="shared" ca="1" si="11"/>
        <v>218.46562499999996</v>
      </c>
      <c r="G33" s="33">
        <f>'Monthly Data'!AS33</f>
        <v>8.2375000000000007</v>
      </c>
      <c r="H33" s="33">
        <f>'Monthly Data'!AZ33</f>
        <v>257.05</v>
      </c>
      <c r="I33" s="18">
        <f>'Monthly Data'!G33</f>
        <v>9752</v>
      </c>
      <c r="J33">
        <f>'Monthly Data'!BU33</f>
        <v>31</v>
      </c>
      <c r="K33">
        <v>0</v>
      </c>
      <c r="L33">
        <v>0</v>
      </c>
      <c r="M33" s="33">
        <f>'Monthly Data'!CQ33</f>
        <v>0</v>
      </c>
      <c r="N33" s="33">
        <f>'Monthly Data'!CX33</f>
        <v>0</v>
      </c>
      <c r="O33">
        <f>'Monthly Data'!BY33</f>
        <v>0</v>
      </c>
      <c r="P33" s="18"/>
      <c r="Q33" s="18">
        <f ca="1">(E33-G33)*'Res Predicted Monthly'!$X$9</f>
        <v>98442.005136525142</v>
      </c>
      <c r="R33" s="18">
        <f ca="1">(F33-H33)*'Res Predicted Monthly'!$X$10</f>
        <v>-562756.47698756144</v>
      </c>
      <c r="S33" s="18"/>
      <c r="T33" s="18"/>
      <c r="U33" s="18">
        <f>(K33-M33)*'Res Predicted Monthly'!$X$13</f>
        <v>0</v>
      </c>
      <c r="V33" s="18">
        <f>(L33-N33)*'Res Predicted Monthly'!$X$14</f>
        <v>0</v>
      </c>
      <c r="W33" s="30">
        <f t="shared" ca="1" si="8"/>
        <v>-304487.94253233384</v>
      </c>
      <c r="X33" s="30">
        <f t="shared" ca="1" si="9"/>
        <v>-464314.4718510363</v>
      </c>
      <c r="Y33" s="35">
        <f t="shared" ca="1" si="10"/>
        <v>2.9051151509720201</v>
      </c>
    </row>
    <row r="34" spans="1:25">
      <c r="A34" s="541">
        <f>'Monthly Data'!A34</f>
        <v>43344</v>
      </c>
      <c r="B34">
        <f t="shared" si="5"/>
        <v>2018</v>
      </c>
      <c r="C34">
        <f t="shared" si="6"/>
        <v>9</v>
      </c>
      <c r="D34" s="30">
        <f>'Monthly Data'!F34</f>
        <v>162918.3043291877</v>
      </c>
      <c r="E34" s="33">
        <f t="shared" ca="1" si="11"/>
        <v>114.73583333333336</v>
      </c>
      <c r="F34" s="33">
        <f t="shared" ca="1" si="11"/>
        <v>95.131249999999994</v>
      </c>
      <c r="G34" s="33">
        <f>'Monthly Data'!AS34</f>
        <v>123.21250000000003</v>
      </c>
      <c r="H34" s="33">
        <f>'Monthly Data'!AZ34</f>
        <v>120.82499999999999</v>
      </c>
      <c r="I34" s="18">
        <f>'Monthly Data'!G34</f>
        <v>9756</v>
      </c>
      <c r="J34">
        <f>'Monthly Data'!BU34</f>
        <v>30</v>
      </c>
      <c r="K34">
        <v>0</v>
      </c>
      <c r="L34">
        <v>0</v>
      </c>
      <c r="M34" s="33">
        <f>'Monthly Data'!CQ34</f>
        <v>0</v>
      </c>
      <c r="N34" s="33">
        <f>'Monthly Data'!CX34</f>
        <v>0</v>
      </c>
      <c r="O34">
        <f>'Monthly Data'!BY34</f>
        <v>0</v>
      </c>
      <c r="P34" s="18"/>
      <c r="Q34" s="18">
        <f ca="1">(E34-G34)*'Res Predicted Monthly'!$X$9</f>
        <v>-55535.797249073665</v>
      </c>
      <c r="R34" s="18">
        <f ca="1">(F34-H34)*'Res Predicted Monthly'!$X$10</f>
        <v>-374745.58627939766</v>
      </c>
      <c r="S34" s="18"/>
      <c r="T34" s="18"/>
      <c r="U34" s="18">
        <f>(K34-M34)*'Res Predicted Monthly'!$X$13</f>
        <v>0</v>
      </c>
      <c r="V34" s="18">
        <f>(L34-N34)*'Res Predicted Monthly'!$X$14</f>
        <v>0</v>
      </c>
      <c r="W34" s="30">
        <f t="shared" ca="1" si="8"/>
        <v>-267363.07919928362</v>
      </c>
      <c r="X34" s="30">
        <f t="shared" ca="1" si="9"/>
        <v>-430281.38352847134</v>
      </c>
      <c r="Y34" s="35">
        <f t="shared" ca="1" si="10"/>
        <v>2.641086802984753</v>
      </c>
    </row>
    <row r="35" spans="1:25">
      <c r="A35" s="541">
        <f>'Monthly Data'!A35</f>
        <v>43374</v>
      </c>
      <c r="B35">
        <f t="shared" si="5"/>
        <v>2018</v>
      </c>
      <c r="C35">
        <f t="shared" si="6"/>
        <v>10</v>
      </c>
      <c r="D35" s="30">
        <f>'Monthly Data'!F35</f>
        <v>166010.07933967293</v>
      </c>
      <c r="E35" s="33">
        <f t="shared" ca="1" si="11"/>
        <v>302.40479166666665</v>
      </c>
      <c r="F35" s="33">
        <f t="shared" ca="1" si="11"/>
        <v>21.813750000000006</v>
      </c>
      <c r="G35" s="33">
        <f>'Monthly Data'!AS35</f>
        <v>377.75416666666661</v>
      </c>
      <c r="H35" s="33">
        <f>'Monthly Data'!AZ35</f>
        <v>12.950000000000003</v>
      </c>
      <c r="I35" s="18">
        <f>'Monthly Data'!G35</f>
        <v>9769</v>
      </c>
      <c r="J35">
        <f>'Monthly Data'!BU35</f>
        <v>31</v>
      </c>
      <c r="K35">
        <v>0</v>
      </c>
      <c r="L35">
        <v>0</v>
      </c>
      <c r="M35" s="33">
        <f>'Monthly Data'!CQ35</f>
        <v>0</v>
      </c>
      <c r="N35" s="33">
        <f>'Monthly Data'!CX35</f>
        <v>0</v>
      </c>
      <c r="O35">
        <f>'Monthly Data'!BY35</f>
        <v>0</v>
      </c>
      <c r="P35" s="18"/>
      <c r="Q35" s="18">
        <f ca="1">(E35-G35)*'Res Predicted Monthly'!$X$9</f>
        <v>-493659.56895529851</v>
      </c>
      <c r="R35" s="18">
        <f ca="1">(F35-H35)*'Res Predicted Monthly'!$X$10</f>
        <v>129278.56737082025</v>
      </c>
      <c r="S35" s="18"/>
      <c r="T35" s="18"/>
      <c r="U35" s="18">
        <f>(K35-M35)*'Res Predicted Monthly'!$X$13</f>
        <v>0</v>
      </c>
      <c r="V35" s="18">
        <f>(L35-N35)*'Res Predicted Monthly'!$X$14</f>
        <v>0</v>
      </c>
      <c r="W35" s="30">
        <f t="shared" ca="1" si="8"/>
        <v>-198370.92224480532</v>
      </c>
      <c r="X35" s="30">
        <f t="shared" ca="1" si="9"/>
        <v>-364381.00158447825</v>
      </c>
      <c r="Y35" s="35">
        <f t="shared" ca="1" si="10"/>
        <v>2.1949330006578633</v>
      </c>
    </row>
    <row r="36" spans="1:25">
      <c r="A36" s="541">
        <f>'Monthly Data'!A36</f>
        <v>43405</v>
      </c>
      <c r="B36">
        <f t="shared" si="5"/>
        <v>2018</v>
      </c>
      <c r="C36">
        <f t="shared" si="6"/>
        <v>11</v>
      </c>
      <c r="D36" s="30">
        <f>'Monthly Data'!F36</f>
        <v>169101.85435015816</v>
      </c>
      <c r="E36" s="33">
        <f t="shared" ca="1" si="11"/>
        <v>526.09395833333338</v>
      </c>
      <c r="F36" s="33">
        <f t="shared" ca="1" si="11"/>
        <v>2.2795833333333335</v>
      </c>
      <c r="G36" s="33">
        <f>'Monthly Data'!AS36</f>
        <v>621.23333333333335</v>
      </c>
      <c r="H36" s="33">
        <f>'Monthly Data'!AZ36</f>
        <v>0</v>
      </c>
      <c r="I36" s="18">
        <f>'Monthly Data'!G36</f>
        <v>9802</v>
      </c>
      <c r="J36">
        <f>'Monthly Data'!BU36</f>
        <v>30</v>
      </c>
      <c r="K36">
        <v>0</v>
      </c>
      <c r="L36">
        <v>0</v>
      </c>
      <c r="M36" s="33">
        <f>'Monthly Data'!CQ36</f>
        <v>0</v>
      </c>
      <c r="N36" s="33">
        <f>'Monthly Data'!CX36</f>
        <v>0</v>
      </c>
      <c r="O36">
        <f>'Monthly Data'!BY36</f>
        <v>0</v>
      </c>
      <c r="P36" s="18"/>
      <c r="Q36" s="18">
        <f ca="1">(E36-G36)*'Res Predicted Monthly'!$X$9</f>
        <v>-623315.89151438244</v>
      </c>
      <c r="R36" s="18">
        <f ca="1">(F36-H36)*'Res Predicted Monthly'!$X$10</f>
        <v>33247.921876827779</v>
      </c>
      <c r="S36" s="18"/>
      <c r="T36" s="18"/>
      <c r="U36" s="18">
        <f>(K36-M36)*'Res Predicted Monthly'!$X$13</f>
        <v>0</v>
      </c>
      <c r="V36" s="18">
        <f>(L36-N36)*'Res Predicted Monthly'!$X$14</f>
        <v>0</v>
      </c>
      <c r="W36" s="30">
        <f t="shared" ca="1" si="8"/>
        <v>-420966.11528739653</v>
      </c>
      <c r="X36" s="30">
        <f t="shared" ca="1" si="9"/>
        <v>-590067.96963755472</v>
      </c>
      <c r="Y36" s="35">
        <f t="shared" ca="1" si="10"/>
        <v>3.4894234123281973</v>
      </c>
    </row>
    <row r="37" spans="1:25">
      <c r="A37" s="541">
        <f>'Monthly Data'!A37</f>
        <v>43435</v>
      </c>
      <c r="B37">
        <f t="shared" si="5"/>
        <v>2018</v>
      </c>
      <c r="C37">
        <f t="shared" si="6"/>
        <v>12</v>
      </c>
      <c r="D37" s="30">
        <f>'Monthly Data'!F37</f>
        <v>81888692.629360646</v>
      </c>
      <c r="E37" s="33">
        <f t="shared" ca="1" si="11"/>
        <v>750.36333333333334</v>
      </c>
      <c r="F37" s="33">
        <f t="shared" ca="1" si="11"/>
        <v>0</v>
      </c>
      <c r="G37" s="33">
        <f>'Monthly Data'!AS37</f>
        <v>793.4000000000002</v>
      </c>
      <c r="H37" s="33">
        <f>'Monthly Data'!AZ37</f>
        <v>0</v>
      </c>
      <c r="I37" s="18">
        <f>'Monthly Data'!G37</f>
        <v>9809</v>
      </c>
      <c r="J37">
        <f>'Monthly Data'!BU37</f>
        <v>31</v>
      </c>
      <c r="K37">
        <v>0</v>
      </c>
      <c r="L37">
        <v>0</v>
      </c>
      <c r="M37" s="33">
        <f>'Monthly Data'!CQ37</f>
        <v>0</v>
      </c>
      <c r="N37" s="33">
        <f>'Monthly Data'!CX37</f>
        <v>0</v>
      </c>
      <c r="O37">
        <f>'Monthly Data'!BY37</f>
        <v>0</v>
      </c>
      <c r="P37" s="18"/>
      <c r="Q37" s="18">
        <f ca="1">(E37-G37)*'Res Predicted Monthly'!$X$9</f>
        <v>-281959.37014659564</v>
      </c>
      <c r="R37" s="18">
        <f ca="1">(F37-H37)*'Res Predicted Monthly'!$X$10</f>
        <v>0</v>
      </c>
      <c r="S37" s="18"/>
      <c r="T37" s="18"/>
      <c r="U37" s="18">
        <f>(K37-M37)*'Res Predicted Monthly'!$X$13</f>
        <v>0</v>
      </c>
      <c r="V37" s="18">
        <f>(L37-N37)*'Res Predicted Monthly'!$X$14</f>
        <v>0</v>
      </c>
      <c r="W37" s="30">
        <f t="shared" ca="1" si="8"/>
        <v>81606733.259214044</v>
      </c>
      <c r="X37" s="30">
        <f t="shared" ca="1" si="9"/>
        <v>-281959.37014660239</v>
      </c>
      <c r="Y37" s="35">
        <f t="shared" ca="1" si="10"/>
        <v>3.4432027315760044E-3</v>
      </c>
    </row>
    <row r="38" spans="1:25">
      <c r="A38" s="541">
        <f>'Monthly Data'!A38</f>
        <v>43466</v>
      </c>
      <c r="B38">
        <f t="shared" si="5"/>
        <v>2019</v>
      </c>
      <c r="C38">
        <f t="shared" si="6"/>
        <v>1</v>
      </c>
      <c r="D38" s="30">
        <f>'Monthly Data'!F38</f>
        <v>159020.88139322816</v>
      </c>
      <c r="E38" s="33">
        <f t="shared" ca="1" si="11"/>
        <v>852.55166666666662</v>
      </c>
      <c r="F38" s="33">
        <f t="shared" ca="1" si="11"/>
        <v>0</v>
      </c>
      <c r="G38" s="33">
        <f>'Monthly Data'!AS38</f>
        <v>992.70000000000027</v>
      </c>
      <c r="H38" s="33">
        <f>'Monthly Data'!AZ38</f>
        <v>0</v>
      </c>
      <c r="I38" s="18">
        <f>'Monthly Data'!G38</f>
        <v>9816</v>
      </c>
      <c r="J38">
        <f>'Monthly Data'!BU38</f>
        <v>31</v>
      </c>
      <c r="K38">
        <v>0</v>
      </c>
      <c r="L38">
        <v>0</v>
      </c>
      <c r="M38" s="33">
        <f>'Monthly Data'!CQ38</f>
        <v>0</v>
      </c>
      <c r="N38" s="33">
        <f>'Monthly Data'!CX38</f>
        <v>0</v>
      </c>
      <c r="O38">
        <f>'Monthly Data'!BY38</f>
        <v>0</v>
      </c>
      <c r="P38" s="18"/>
      <c r="Q38" s="18">
        <f ca="1">(E38-G38)*'Res Predicted Monthly'!$X$9</f>
        <v>-918196.94354647305</v>
      </c>
      <c r="R38" s="18">
        <f ca="1">(F38-H38)*'Res Predicted Monthly'!$X$10</f>
        <v>0</v>
      </c>
      <c r="S38" s="18"/>
      <c r="T38" s="18"/>
      <c r="U38" s="18">
        <f>(K38-M38)*'Res Predicted Monthly'!$X$13</f>
        <v>0</v>
      </c>
      <c r="V38" s="18">
        <f>(L38-N38)*'Res Predicted Monthly'!$X$14</f>
        <v>0</v>
      </c>
      <c r="W38" s="30">
        <f t="shared" ca="1" si="8"/>
        <v>-759176.06215324486</v>
      </c>
      <c r="X38" s="30">
        <f t="shared" ca="1" si="9"/>
        <v>-918196.94354647305</v>
      </c>
      <c r="Y38" s="35">
        <f t="shared" ca="1" si="10"/>
        <v>5.7740652391175473</v>
      </c>
    </row>
    <row r="39" spans="1:25">
      <c r="A39" s="541">
        <f>'Monthly Data'!A39</f>
        <v>43497</v>
      </c>
      <c r="B39">
        <f t="shared" si="5"/>
        <v>2019</v>
      </c>
      <c r="C39">
        <f t="shared" si="6"/>
        <v>2</v>
      </c>
      <c r="D39" s="30">
        <f>'Monthly Data'!F39</f>
        <v>159531.81667192865</v>
      </c>
      <c r="E39" s="33">
        <f t="shared" ca="1" si="11"/>
        <v>747.22854166666662</v>
      </c>
      <c r="F39" s="33">
        <f t="shared" ca="1" si="11"/>
        <v>0</v>
      </c>
      <c r="G39" s="33">
        <f>'Monthly Data'!AS39</f>
        <v>802.87708333333342</v>
      </c>
      <c r="H39" s="33">
        <f>'Monthly Data'!AZ39</f>
        <v>0</v>
      </c>
      <c r="I39" s="18">
        <f>'Monthly Data'!G39</f>
        <v>9816</v>
      </c>
      <c r="J39">
        <f>'Monthly Data'!BU39</f>
        <v>28</v>
      </c>
      <c r="K39">
        <v>0</v>
      </c>
      <c r="L39">
        <v>0</v>
      </c>
      <c r="M39" s="33">
        <f>'Monthly Data'!CQ39</f>
        <v>0</v>
      </c>
      <c r="N39" s="33">
        <f>'Monthly Data'!CX39</f>
        <v>0</v>
      </c>
      <c r="O39">
        <f>'Monthly Data'!BY39</f>
        <v>0</v>
      </c>
      <c r="P39" s="18"/>
      <c r="Q39" s="18">
        <f ca="1">(E39-G39)*'Res Predicted Monthly'!$X$9</f>
        <v>-364587.43144395982</v>
      </c>
      <c r="R39" s="18">
        <f ca="1">(F39-H39)*'Res Predicted Monthly'!$X$10</f>
        <v>0</v>
      </c>
      <c r="S39" s="18"/>
      <c r="T39" s="18"/>
      <c r="U39" s="18">
        <f>(K39-M39)*'Res Predicted Monthly'!$X$13</f>
        <v>0</v>
      </c>
      <c r="V39" s="18">
        <f>(L39-N39)*'Res Predicted Monthly'!$X$14</f>
        <v>0</v>
      </c>
      <c r="W39" s="30">
        <f t="shared" ca="1" si="8"/>
        <v>-205055.61477203117</v>
      </c>
      <c r="X39" s="30">
        <f t="shared" ca="1" si="9"/>
        <v>-364587.43144395982</v>
      </c>
      <c r="Y39" s="35">
        <f t="shared" ca="1" si="10"/>
        <v>2.2853587394025641</v>
      </c>
    </row>
    <row r="40" spans="1:25">
      <c r="A40" s="541">
        <f>'Monthly Data'!A40</f>
        <v>43525</v>
      </c>
      <c r="B40">
        <f t="shared" si="5"/>
        <v>2019</v>
      </c>
      <c r="C40">
        <f t="shared" si="6"/>
        <v>3</v>
      </c>
      <c r="D40" s="30">
        <f>'Monthly Data'!F40</f>
        <v>160042.75195062911</v>
      </c>
      <c r="E40" s="33">
        <f t="shared" ca="1" si="11"/>
        <v>636.29604166666672</v>
      </c>
      <c r="F40" s="33">
        <f t="shared" ca="1" si="11"/>
        <v>0</v>
      </c>
      <c r="G40" s="33">
        <f>'Monthly Data'!AS40</f>
        <v>711.79166666666663</v>
      </c>
      <c r="H40" s="33">
        <f>'Monthly Data'!AZ40</f>
        <v>0</v>
      </c>
      <c r="I40" s="18">
        <f>'Monthly Data'!G40</f>
        <v>9831</v>
      </c>
      <c r="J40">
        <f>'Monthly Data'!BU40</f>
        <v>31</v>
      </c>
      <c r="K40">
        <v>0</v>
      </c>
      <c r="L40">
        <v>0</v>
      </c>
      <c r="M40" s="33">
        <f>'Monthly Data'!CQ40</f>
        <v>0</v>
      </c>
      <c r="N40" s="33">
        <f>'Monthly Data'!CX40</f>
        <v>0</v>
      </c>
      <c r="O40">
        <f>'Monthly Data'!BY40</f>
        <v>0</v>
      </c>
      <c r="P40" s="18"/>
      <c r="Q40" s="18">
        <f ca="1">(E40-G40)*'Res Predicted Monthly'!$X$9</f>
        <v>-494617.74162706506</v>
      </c>
      <c r="R40" s="18">
        <f ca="1">(F40-H40)*'Res Predicted Monthly'!$X$10</f>
        <v>0</v>
      </c>
      <c r="S40" s="18"/>
      <c r="T40" s="18"/>
      <c r="U40" s="18">
        <f>(K40-M40)*'Res Predicted Monthly'!$X$13</f>
        <v>0</v>
      </c>
      <c r="V40" s="18">
        <f>(L40-N40)*'Res Predicted Monthly'!$X$14</f>
        <v>0</v>
      </c>
      <c r="W40" s="30">
        <f t="shared" ca="1" si="8"/>
        <v>-334574.98967643594</v>
      </c>
      <c r="X40" s="30">
        <f t="shared" ca="1" si="9"/>
        <v>-494617.74162706506</v>
      </c>
      <c r="Y40" s="35">
        <f t="shared" ca="1" si="10"/>
        <v>3.0905350951453743</v>
      </c>
    </row>
    <row r="41" spans="1:25">
      <c r="A41" s="541">
        <f>'Monthly Data'!A41</f>
        <v>43556</v>
      </c>
      <c r="B41">
        <f t="shared" si="5"/>
        <v>2019</v>
      </c>
      <c r="C41">
        <f t="shared" si="6"/>
        <v>4</v>
      </c>
      <c r="D41" s="30">
        <f>'Monthly Data'!F41</f>
        <v>160553.68722932957</v>
      </c>
      <c r="E41" s="33">
        <f t="shared" ca="1" si="11"/>
        <v>408.60374999999999</v>
      </c>
      <c r="F41" s="33">
        <f t="shared" ca="1" si="11"/>
        <v>2.8104166666666677</v>
      </c>
      <c r="G41" s="33">
        <f>'Monthly Data'!AS41</f>
        <v>441.13750000000005</v>
      </c>
      <c r="H41" s="33">
        <f>'Monthly Data'!AZ41</f>
        <v>0</v>
      </c>
      <c r="I41" s="18">
        <f>'Monthly Data'!G41</f>
        <v>9847</v>
      </c>
      <c r="J41">
        <f>'Monthly Data'!BU41</f>
        <v>30</v>
      </c>
      <c r="K41">
        <v>0</v>
      </c>
      <c r="L41">
        <v>0</v>
      </c>
      <c r="M41" s="33">
        <f>'Monthly Data'!CQ41</f>
        <v>0</v>
      </c>
      <c r="N41" s="33">
        <f>'Monthly Data'!CX41</f>
        <v>0</v>
      </c>
      <c r="O41">
        <f>'Monthly Data'!BY41</f>
        <v>0</v>
      </c>
      <c r="P41" s="18"/>
      <c r="Q41" s="18">
        <f ca="1">(E41-G41)*'Res Predicted Monthly'!$X$9</f>
        <v>-213148.37716304191</v>
      </c>
      <c r="R41" s="18">
        <f ca="1">(F41-H41)*'Res Predicted Monthly'!$X$10</f>
        <v>40990.172374191818</v>
      </c>
      <c r="S41" s="18"/>
      <c r="T41" s="18"/>
      <c r="U41" s="18">
        <f>(K41-M41)*'Res Predicted Monthly'!$X$13</f>
        <v>0</v>
      </c>
      <c r="V41" s="18">
        <f>(L41-N41)*'Res Predicted Monthly'!$X$14</f>
        <v>0</v>
      </c>
      <c r="W41" s="30">
        <f t="shared" ca="1" si="8"/>
        <v>-11604.517559520515</v>
      </c>
      <c r="X41" s="30">
        <f t="shared" ca="1" si="9"/>
        <v>-172158.2047888501</v>
      </c>
      <c r="Y41" s="35">
        <f t="shared" ca="1" si="10"/>
        <v>1.0722781130709569</v>
      </c>
    </row>
    <row r="42" spans="1:25">
      <c r="A42" s="541">
        <f>'Monthly Data'!A42</f>
        <v>43586</v>
      </c>
      <c r="B42">
        <f t="shared" si="5"/>
        <v>2019</v>
      </c>
      <c r="C42">
        <f t="shared" si="6"/>
        <v>5</v>
      </c>
      <c r="D42" s="30">
        <f>'Monthly Data'!F42</f>
        <v>161064.62250803006</v>
      </c>
      <c r="E42" s="33">
        <f t="shared" ca="1" si="11"/>
        <v>178.10395833333331</v>
      </c>
      <c r="F42" s="33">
        <f t="shared" ca="1" si="11"/>
        <v>74.673124999999999</v>
      </c>
      <c r="G42" s="33">
        <f>'Monthly Data'!AS42</f>
        <v>245.42916666666662</v>
      </c>
      <c r="H42" s="33">
        <f>'Monthly Data'!AZ42</f>
        <v>16.06666666666667</v>
      </c>
      <c r="I42" s="18">
        <f>'Monthly Data'!G42</f>
        <v>9859</v>
      </c>
      <c r="J42">
        <f>'Monthly Data'!BU42</f>
        <v>31</v>
      </c>
      <c r="K42">
        <v>0</v>
      </c>
      <c r="L42">
        <v>0</v>
      </c>
      <c r="M42" s="33">
        <f>'Monthly Data'!CQ42</f>
        <v>0</v>
      </c>
      <c r="N42" s="33">
        <f>'Monthly Data'!CX42</f>
        <v>0</v>
      </c>
      <c r="O42">
        <f>'Monthly Data'!BY42</f>
        <v>0</v>
      </c>
      <c r="P42" s="18"/>
      <c r="Q42" s="18">
        <f ca="1">(E42-G42)*'Res Predicted Monthly'!$X$9</f>
        <v>-441088.37433169171</v>
      </c>
      <c r="R42" s="18">
        <f ca="1">(F42-H42)*'Res Predicted Monthly'!$X$10</f>
        <v>854780.30991521652</v>
      </c>
      <c r="S42" s="18"/>
      <c r="T42" s="18"/>
      <c r="U42" s="18">
        <f>(K42-M42)*'Res Predicted Monthly'!$X$13</f>
        <v>0</v>
      </c>
      <c r="V42" s="18">
        <f>(L42-N42)*'Res Predicted Monthly'!$X$14</f>
        <v>0</v>
      </c>
      <c r="W42" s="30">
        <f t="shared" ca="1" si="8"/>
        <v>574756.55809155491</v>
      </c>
      <c r="X42" s="30">
        <f t="shared" ca="1" si="9"/>
        <v>413691.93558352487</v>
      </c>
      <c r="Y42" s="35">
        <f t="shared" ca="1" si="10"/>
        <v>2.5684841844328652</v>
      </c>
    </row>
    <row r="43" spans="1:25">
      <c r="A43" s="541">
        <f>'Monthly Data'!A43</f>
        <v>43617</v>
      </c>
      <c r="B43">
        <f t="shared" si="5"/>
        <v>2019</v>
      </c>
      <c r="C43">
        <f t="shared" si="6"/>
        <v>6</v>
      </c>
      <c r="D43" s="30">
        <f>'Monthly Data'!F43</f>
        <v>161575.55778673053</v>
      </c>
      <c r="E43" s="33">
        <f t="shared" ca="1" si="11"/>
        <v>51.834166666666661</v>
      </c>
      <c r="F43" s="33">
        <f t="shared" ca="1" si="11"/>
        <v>169.78833333333333</v>
      </c>
      <c r="G43" s="33">
        <f>'Monthly Data'!AS43</f>
        <v>68.995833333333337</v>
      </c>
      <c r="H43" s="33">
        <f>'Monthly Data'!AZ43</f>
        <v>134.69583333333335</v>
      </c>
      <c r="I43" s="18">
        <f>'Monthly Data'!G43</f>
        <v>9857</v>
      </c>
      <c r="J43">
        <f>'Monthly Data'!BU43</f>
        <v>30</v>
      </c>
      <c r="K43">
        <v>0</v>
      </c>
      <c r="L43">
        <v>0</v>
      </c>
      <c r="M43" s="33">
        <f>'Monthly Data'!CQ43</f>
        <v>0</v>
      </c>
      <c r="N43" s="33">
        <f>'Monthly Data'!CX43</f>
        <v>0</v>
      </c>
      <c r="O43">
        <f>'Monthly Data'!BY43</f>
        <v>0</v>
      </c>
      <c r="P43" s="18"/>
      <c r="Q43" s="18">
        <f ca="1">(E43-G43)*'Res Predicted Monthly'!$X$9</f>
        <v>-112436.51283399752</v>
      </c>
      <c r="R43" s="18">
        <f ca="1">(F43-H43)*'Res Predicted Monthly'!$X$10</f>
        <v>511827.17534457817</v>
      </c>
      <c r="S43" s="18"/>
      <c r="T43" s="18"/>
      <c r="U43" s="18">
        <f>(K43-M43)*'Res Predicted Monthly'!$X$13</f>
        <v>0</v>
      </c>
      <c r="V43" s="18">
        <f>(L43-N43)*'Res Predicted Monthly'!$X$14</f>
        <v>0</v>
      </c>
      <c r="W43" s="30">
        <f t="shared" ca="1" si="8"/>
        <v>560966.2202973112</v>
      </c>
      <c r="X43" s="30">
        <f t="shared" ca="1" si="9"/>
        <v>399390.66251058067</v>
      </c>
      <c r="Y43" s="35">
        <f t="shared" ca="1" si="10"/>
        <v>2.4718507426584346</v>
      </c>
    </row>
    <row r="44" spans="1:25">
      <c r="A44" s="541">
        <f>'Monthly Data'!A44</f>
        <v>43647</v>
      </c>
      <c r="B44">
        <f t="shared" si="5"/>
        <v>2019</v>
      </c>
      <c r="C44">
        <f t="shared" si="6"/>
        <v>7</v>
      </c>
      <c r="D44" s="30">
        <f>'Monthly Data'!F44</f>
        <v>162086.49306543099</v>
      </c>
      <c r="E44" s="33">
        <f t="shared" ca="1" si="11"/>
        <v>6.5670833333333318</v>
      </c>
      <c r="F44" s="33">
        <f t="shared" ca="1" si="11"/>
        <v>265.99625000000003</v>
      </c>
      <c r="G44" s="33">
        <f>'Monthly Data'!AS44</f>
        <v>1.4625000000000021</v>
      </c>
      <c r="H44" s="33">
        <f>'Monthly Data'!AZ44</f>
        <v>290.43749999999994</v>
      </c>
      <c r="I44" s="18">
        <f>'Monthly Data'!G44</f>
        <v>9864</v>
      </c>
      <c r="J44">
        <f>'Monthly Data'!BU44</f>
        <v>31</v>
      </c>
      <c r="K44">
        <v>0</v>
      </c>
      <c r="L44">
        <v>0</v>
      </c>
      <c r="M44" s="33">
        <f>'Monthly Data'!CQ44</f>
        <v>0</v>
      </c>
      <c r="N44" s="33">
        <f>'Monthly Data'!CX44</f>
        <v>0</v>
      </c>
      <c r="O44">
        <f>'Monthly Data'!BY44</f>
        <v>0</v>
      </c>
      <c r="P44" s="18"/>
      <c r="Q44" s="18">
        <f ca="1">(E44-G44)*'Res Predicted Monthly'!$X$9</f>
        <v>33443.229065001986</v>
      </c>
      <c r="R44" s="18">
        <f ca="1">(F44-H44)*'Res Predicted Monthly'!$X$10</f>
        <v>-356477.76446222514</v>
      </c>
      <c r="S44" s="18"/>
      <c r="T44" s="18"/>
      <c r="U44" s="18">
        <f>(K44-M44)*'Res Predicted Monthly'!$X$13</f>
        <v>0</v>
      </c>
      <c r="V44" s="18">
        <f>(L44-N44)*'Res Predicted Monthly'!$X$14</f>
        <v>0</v>
      </c>
      <c r="W44" s="30">
        <f t="shared" ca="1" si="8"/>
        <v>-160948.04233179218</v>
      </c>
      <c r="X44" s="30">
        <f t="shared" ca="1" si="9"/>
        <v>-323034.5353972232</v>
      </c>
      <c r="Y44" s="35">
        <f t="shared" ca="1" si="10"/>
        <v>1.9929762763564809</v>
      </c>
    </row>
    <row r="45" spans="1:25">
      <c r="A45" s="541">
        <f>'Monthly Data'!A45</f>
        <v>43678</v>
      </c>
      <c r="B45">
        <f t="shared" si="5"/>
        <v>2019</v>
      </c>
      <c r="C45">
        <f t="shared" si="6"/>
        <v>8</v>
      </c>
      <c r="D45" s="30">
        <f>'Monthly Data'!F45</f>
        <v>162597.42834413148</v>
      </c>
      <c r="E45" s="33">
        <f t="shared" ca="1" si="11"/>
        <v>23.263124999999995</v>
      </c>
      <c r="F45" s="33">
        <f t="shared" ca="1" si="11"/>
        <v>218.46562499999996</v>
      </c>
      <c r="G45" s="33">
        <f>'Monthly Data'!AS45</f>
        <v>21.250000000000011</v>
      </c>
      <c r="H45" s="33">
        <f>'Monthly Data'!AZ45</f>
        <v>199.80416666666667</v>
      </c>
      <c r="I45" s="18">
        <f>'Monthly Data'!G45</f>
        <v>9866</v>
      </c>
      <c r="J45">
        <f>'Monthly Data'!BU45</f>
        <v>31</v>
      </c>
      <c r="K45">
        <v>0</v>
      </c>
      <c r="L45">
        <v>0</v>
      </c>
      <c r="M45" s="33">
        <f>'Monthly Data'!CQ45</f>
        <v>0</v>
      </c>
      <c r="N45" s="33">
        <f>'Monthly Data'!CX45</f>
        <v>0</v>
      </c>
      <c r="O45">
        <f>'Monthly Data'!BY45</f>
        <v>0</v>
      </c>
      <c r="P45" s="18"/>
      <c r="Q45" s="18">
        <f ca="1">(E45-G45)*'Res Predicted Monthly'!$X$9</f>
        <v>13189.205879320543</v>
      </c>
      <c r="R45" s="18">
        <f ca="1">(F45-H45)*'Res Predicted Monthly'!$X$10</f>
        <v>272178.99854842265</v>
      </c>
      <c r="S45" s="18"/>
      <c r="T45" s="18"/>
      <c r="U45" s="18">
        <f>(K45-M45)*'Res Predicted Monthly'!$X$13</f>
        <v>0</v>
      </c>
      <c r="V45" s="18">
        <f>(L45-N45)*'Res Predicted Monthly'!$X$14</f>
        <v>0</v>
      </c>
      <c r="W45" s="30">
        <f t="shared" ca="1" si="8"/>
        <v>447965.63277187466</v>
      </c>
      <c r="X45" s="30">
        <f t="shared" ca="1" si="9"/>
        <v>285368.20442774321</v>
      </c>
      <c r="Y45" s="35">
        <f t="shared" ca="1" si="10"/>
        <v>1.7550597652982058</v>
      </c>
    </row>
    <row r="46" spans="1:25">
      <c r="A46" s="541">
        <f>'Monthly Data'!A46</f>
        <v>43709</v>
      </c>
      <c r="B46">
        <f t="shared" si="5"/>
        <v>2019</v>
      </c>
      <c r="C46">
        <f t="shared" si="6"/>
        <v>9</v>
      </c>
      <c r="D46" s="30">
        <f>'Monthly Data'!F46</f>
        <v>163108.36362283194</v>
      </c>
      <c r="E46" s="33">
        <f t="shared" ca="1" si="11"/>
        <v>114.73583333333336</v>
      </c>
      <c r="F46" s="33">
        <f t="shared" ca="1" si="11"/>
        <v>95.131249999999994</v>
      </c>
      <c r="G46" s="33">
        <f>'Monthly Data'!AS46</f>
        <v>133.26666666666668</v>
      </c>
      <c r="H46" s="33">
        <f>'Monthly Data'!AZ46</f>
        <v>66.591666666666669</v>
      </c>
      <c r="I46" s="18">
        <f>'Monthly Data'!G46</f>
        <v>9874</v>
      </c>
      <c r="J46">
        <f>'Monthly Data'!BU46</f>
        <v>30</v>
      </c>
      <c r="K46">
        <v>0</v>
      </c>
      <c r="L46">
        <v>0</v>
      </c>
      <c r="M46" s="33">
        <f>'Monthly Data'!CQ46</f>
        <v>0</v>
      </c>
      <c r="N46" s="33">
        <f>'Monthly Data'!CX46</f>
        <v>0</v>
      </c>
      <c r="O46">
        <f>'Monthly Data'!BY46</f>
        <v>0</v>
      </c>
      <c r="P46" s="18"/>
      <c r="Q46" s="18">
        <f ca="1">(E46-G46)*'Res Predicted Monthly'!$X$9</f>
        <v>-121406.75613720498</v>
      </c>
      <c r="R46" s="18">
        <f ca="1">(F46-H46)*'Res Predicted Monthly'!$X$10</f>
        <v>416252.31382806035</v>
      </c>
      <c r="S46" s="18"/>
      <c r="T46" s="18"/>
      <c r="U46" s="18">
        <f>(K46-M46)*'Res Predicted Monthly'!$X$13</f>
        <v>0</v>
      </c>
      <c r="V46" s="18">
        <f>(L46-N46)*'Res Predicted Monthly'!$X$14</f>
        <v>0</v>
      </c>
      <c r="W46" s="30">
        <f t="shared" ca="1" si="8"/>
        <v>457953.92131368729</v>
      </c>
      <c r="X46" s="30">
        <f t="shared" ca="1" si="9"/>
        <v>294845.55769085535</v>
      </c>
      <c r="Y46" s="35">
        <f t="shared" ca="1" si="10"/>
        <v>1.807666701706661</v>
      </c>
    </row>
    <row r="47" spans="1:25">
      <c r="A47" s="541">
        <f>'Monthly Data'!A47</f>
        <v>43739</v>
      </c>
      <c r="B47">
        <f t="shared" si="5"/>
        <v>2019</v>
      </c>
      <c r="C47">
        <f t="shared" si="6"/>
        <v>10</v>
      </c>
      <c r="D47" s="30">
        <f>'Monthly Data'!F47</f>
        <v>163619.2989015324</v>
      </c>
      <c r="E47" s="33">
        <f t="shared" ref="E47:F62" ca="1" si="12">E35</f>
        <v>302.40479166666665</v>
      </c>
      <c r="F47" s="33">
        <f t="shared" ca="1" si="12"/>
        <v>21.813750000000006</v>
      </c>
      <c r="G47" s="33">
        <f>'Monthly Data'!AS47</f>
        <v>334.53333333333325</v>
      </c>
      <c r="H47" s="33">
        <f>'Monthly Data'!AZ47</f>
        <v>0.59166666666666856</v>
      </c>
      <c r="I47" s="18">
        <f>'Monthly Data'!G47</f>
        <v>9881</v>
      </c>
      <c r="J47">
        <f>'Monthly Data'!BU47</f>
        <v>31</v>
      </c>
      <c r="K47">
        <v>0</v>
      </c>
      <c r="L47">
        <v>0</v>
      </c>
      <c r="M47" s="33">
        <f>'Monthly Data'!CQ47</f>
        <v>0</v>
      </c>
      <c r="N47" s="33">
        <f>'Monthly Data'!CX47</f>
        <v>0</v>
      </c>
      <c r="O47">
        <f>'Monthly Data'!BY47</f>
        <v>0</v>
      </c>
      <c r="P47" s="18"/>
      <c r="Q47" s="18">
        <f ca="1">(E47-G47)*'Res Predicted Monthly'!$X$9</f>
        <v>-210493.61099981237</v>
      </c>
      <c r="R47" s="18">
        <f ca="1">(F47-H47)*'Res Predicted Monthly'!$X$10</f>
        <v>309525.93766267039</v>
      </c>
      <c r="S47" s="18"/>
      <c r="T47" s="18"/>
      <c r="U47" s="18">
        <f>(K47-M47)*'Res Predicted Monthly'!$X$13</f>
        <v>0</v>
      </c>
      <c r="V47" s="18">
        <f>(L47-N47)*'Res Predicted Monthly'!$X$14</f>
        <v>0</v>
      </c>
      <c r="W47" s="30">
        <f t="shared" ca="1" si="8"/>
        <v>262651.62556439044</v>
      </c>
      <c r="X47" s="30">
        <f t="shared" ca="1" si="9"/>
        <v>99032.326662858046</v>
      </c>
      <c r="Y47" s="35">
        <f t="shared" ca="1" si="10"/>
        <v>0.60526067112936732</v>
      </c>
    </row>
    <row r="48" spans="1:25">
      <c r="A48" s="541">
        <f>'Monthly Data'!A48</f>
        <v>43770</v>
      </c>
      <c r="B48">
        <f t="shared" si="5"/>
        <v>2019</v>
      </c>
      <c r="C48">
        <f t="shared" si="6"/>
        <v>11</v>
      </c>
      <c r="D48" s="30">
        <f>'Monthly Data'!F48</f>
        <v>164130.23418023289</v>
      </c>
      <c r="E48" s="33">
        <f t="shared" ca="1" si="12"/>
        <v>526.09395833333338</v>
      </c>
      <c r="F48" s="33">
        <f t="shared" ca="1" si="12"/>
        <v>2.2795833333333335</v>
      </c>
      <c r="G48" s="33">
        <f>'Monthly Data'!AS48</f>
        <v>622.09166666666681</v>
      </c>
      <c r="H48" s="33">
        <f>'Monthly Data'!AZ48</f>
        <v>0</v>
      </c>
      <c r="I48" s="18">
        <f>'Monthly Data'!G48</f>
        <v>9888</v>
      </c>
      <c r="J48">
        <f>'Monthly Data'!BU48</f>
        <v>30</v>
      </c>
      <c r="K48">
        <v>0</v>
      </c>
      <c r="L48">
        <v>0</v>
      </c>
      <c r="M48" s="33">
        <f>'Monthly Data'!CQ48</f>
        <v>0</v>
      </c>
      <c r="N48" s="33">
        <f>'Monthly Data'!CX48</f>
        <v>0</v>
      </c>
      <c r="O48">
        <f>'Monthly Data'!BY48</f>
        <v>0</v>
      </c>
      <c r="P48" s="18"/>
      <c r="Q48" s="18">
        <f ca="1">(E48-G48)*'Res Predicted Monthly'!$X$9</f>
        <v>-628939.35505808622</v>
      </c>
      <c r="R48" s="18">
        <f ca="1">(F48-H48)*'Res Predicted Monthly'!$X$10</f>
        <v>33247.921876827779</v>
      </c>
      <c r="S48" s="18"/>
      <c r="T48" s="18"/>
      <c r="U48" s="18">
        <f>(K48-M48)*'Res Predicted Monthly'!$X$13</f>
        <v>0</v>
      </c>
      <c r="V48" s="18">
        <f>(L48-N48)*'Res Predicted Monthly'!$X$14</f>
        <v>0</v>
      </c>
      <c r="W48" s="30">
        <f t="shared" ca="1" si="8"/>
        <v>-431561.19900102558</v>
      </c>
      <c r="X48" s="30">
        <f t="shared" ca="1" si="9"/>
        <v>-595691.4331812585</v>
      </c>
      <c r="Y48" s="35">
        <f t="shared" ca="1" si="10"/>
        <v>3.6293827042683944</v>
      </c>
    </row>
    <row r="49" spans="1:25">
      <c r="A49" s="541">
        <f>'Monthly Data'!A49</f>
        <v>43800</v>
      </c>
      <c r="B49">
        <f t="shared" si="5"/>
        <v>2019</v>
      </c>
      <c r="C49">
        <f t="shared" si="6"/>
        <v>12</v>
      </c>
      <c r="D49" s="30">
        <f>'Monthly Data'!F49</f>
        <v>86097544.169458941</v>
      </c>
      <c r="E49" s="33">
        <f t="shared" ca="1" si="12"/>
        <v>750.36333333333334</v>
      </c>
      <c r="F49" s="33">
        <f t="shared" ca="1" si="12"/>
        <v>0</v>
      </c>
      <c r="G49" s="33">
        <f>'Monthly Data'!AS49</f>
        <v>749.69166666666661</v>
      </c>
      <c r="H49" s="33">
        <f>'Monthly Data'!AZ49</f>
        <v>0</v>
      </c>
      <c r="I49" s="18">
        <f>'Monthly Data'!G49</f>
        <v>9888</v>
      </c>
      <c r="J49">
        <f>'Monthly Data'!BU49</f>
        <v>31</v>
      </c>
      <c r="K49">
        <v>0</v>
      </c>
      <c r="L49">
        <v>0</v>
      </c>
      <c r="M49" s="33">
        <f>'Monthly Data'!CQ49</f>
        <v>0</v>
      </c>
      <c r="N49" s="33">
        <f>'Monthly Data'!CX49</f>
        <v>0</v>
      </c>
      <c r="O49">
        <f>'Monthly Data'!BY49</f>
        <v>0</v>
      </c>
      <c r="P49" s="18"/>
      <c r="Q49" s="18">
        <f ca="1">(E49-G49)*'Res Predicted Monthly'!$X$9</f>
        <v>4400.4967147815651</v>
      </c>
      <c r="R49" s="18">
        <f ca="1">(F49-H49)*'Res Predicted Monthly'!$X$10</f>
        <v>0</v>
      </c>
      <c r="S49" s="18"/>
      <c r="T49" s="18"/>
      <c r="U49" s="18">
        <f>(K49-M49)*'Res Predicted Monthly'!$X$13</f>
        <v>0</v>
      </c>
      <c r="V49" s="18">
        <f>(L49-N49)*'Res Predicted Monthly'!$X$14</f>
        <v>0</v>
      </c>
      <c r="W49" s="30">
        <f t="shared" ca="1" si="8"/>
        <v>86101944.666173726</v>
      </c>
      <c r="X49" s="30">
        <f t="shared" ca="1" si="9"/>
        <v>4400.4967147856951</v>
      </c>
      <c r="Y49" s="35">
        <f t="shared" ca="1" si="10"/>
        <v>5.1110595049314622E-5</v>
      </c>
    </row>
    <row r="50" spans="1:25">
      <c r="A50" s="541">
        <f>'Monthly Data'!A50</f>
        <v>43831</v>
      </c>
      <c r="B50">
        <f t="shared" si="5"/>
        <v>2020</v>
      </c>
      <c r="C50">
        <f t="shared" si="6"/>
        <v>1</v>
      </c>
      <c r="D50" s="30">
        <f>'Monthly Data'!F50</f>
        <v>8414654.1696568504</v>
      </c>
      <c r="E50" s="33">
        <f t="shared" ca="1" si="12"/>
        <v>852.55166666666662</v>
      </c>
      <c r="F50" s="33">
        <f t="shared" ca="1" si="12"/>
        <v>0</v>
      </c>
      <c r="G50" s="33">
        <f>'Monthly Data'!AS50</f>
        <v>789.48333333333335</v>
      </c>
      <c r="H50" s="33">
        <f>'Monthly Data'!AZ50</f>
        <v>0</v>
      </c>
      <c r="I50" s="18">
        <f>'Monthly Data'!G50</f>
        <v>9912</v>
      </c>
      <c r="J50">
        <f>'Monthly Data'!BU50</f>
        <v>31</v>
      </c>
      <c r="K50">
        <v>0</v>
      </c>
      <c r="L50">
        <v>0</v>
      </c>
      <c r="M50" s="33">
        <f>'Monthly Data'!CQ50</f>
        <v>0</v>
      </c>
      <c r="N50" s="33">
        <f>'Monthly Data'!CX50</f>
        <v>0</v>
      </c>
      <c r="O50">
        <f>'Monthly Data'!BY50</f>
        <v>0</v>
      </c>
      <c r="P50" s="18"/>
      <c r="Q50" s="18">
        <f ca="1">(E50-G50)*'Res Predicted Monthly'!$X$9</f>
        <v>413198.99797526398</v>
      </c>
      <c r="R50" s="18">
        <f ca="1">(F50-H50)*'Res Predicted Monthly'!$X$10</f>
        <v>0</v>
      </c>
      <c r="S50" s="18"/>
      <c r="T50" s="18"/>
      <c r="U50" s="18">
        <f>(K50-M50)*'Res Predicted Monthly'!$X$13</f>
        <v>0</v>
      </c>
      <c r="V50" s="18">
        <f>(L50-N50)*'Res Predicted Monthly'!$X$14</f>
        <v>0</v>
      </c>
      <c r="W50" s="30">
        <f t="shared" ca="1" si="8"/>
        <v>8827853.1676321141</v>
      </c>
      <c r="X50" s="30">
        <f t="shared" ref="X50:X81" ca="1" si="13">W50-D50</f>
        <v>413198.99797526374</v>
      </c>
      <c r="Y50" s="35">
        <f t="shared" ref="Y50:Y81" ca="1" si="14">ABS(X50/D50)</f>
        <v>4.9104691606371029E-2</v>
      </c>
    </row>
    <row r="51" spans="1:25">
      <c r="A51" s="541">
        <f>'Monthly Data'!A51</f>
        <v>43862</v>
      </c>
      <c r="B51">
        <f t="shared" si="5"/>
        <v>2020</v>
      </c>
      <c r="C51">
        <f t="shared" si="6"/>
        <v>2</v>
      </c>
      <c r="D51" s="30">
        <f>'Monthly Data'!F51</f>
        <v>7815438.1888876194</v>
      </c>
      <c r="E51" s="33">
        <f t="shared" ca="1" si="12"/>
        <v>747.22854166666662</v>
      </c>
      <c r="F51" s="33">
        <f t="shared" ca="1" si="12"/>
        <v>0</v>
      </c>
      <c r="G51" s="33">
        <f>'Monthly Data'!AS51</f>
        <v>746.35833333333335</v>
      </c>
      <c r="H51" s="33">
        <f>'Monthly Data'!AZ51</f>
        <v>0</v>
      </c>
      <c r="I51" s="18">
        <f>'Monthly Data'!G51</f>
        <v>9916</v>
      </c>
      <c r="J51">
        <f>'Monthly Data'!BU51</f>
        <v>28</v>
      </c>
      <c r="K51">
        <v>0</v>
      </c>
      <c r="L51">
        <v>0</v>
      </c>
      <c r="M51" s="33">
        <f>'Monthly Data'!CQ51</f>
        <v>0</v>
      </c>
      <c r="N51" s="33">
        <f>'Monthly Data'!CX51</f>
        <v>0</v>
      </c>
      <c r="O51">
        <f>'Monthly Data'!BY51</f>
        <v>0</v>
      </c>
      <c r="P51" s="18"/>
      <c r="Q51" s="18">
        <f ca="1">(E51-G51)*'Res Predicted Monthly'!$X$9</f>
        <v>5701.2638888459178</v>
      </c>
      <c r="R51" s="18">
        <f ca="1">(F51-H51)*'Res Predicted Monthly'!$X$10</f>
        <v>0</v>
      </c>
      <c r="S51" s="18"/>
      <c r="T51" s="18"/>
      <c r="U51" s="18">
        <f>(K51-M51)*'Res Predicted Monthly'!$X$13</f>
        <v>0</v>
      </c>
      <c r="V51" s="18">
        <f>(L51-N51)*'Res Predicted Monthly'!$X$14</f>
        <v>0</v>
      </c>
      <c r="W51" s="30">
        <f t="shared" ca="1" si="8"/>
        <v>7821139.4527764656</v>
      </c>
      <c r="X51" s="30">
        <f t="shared" ca="1" si="13"/>
        <v>5701.2638888461515</v>
      </c>
      <c r="Y51" s="35">
        <f t="shared" ca="1" si="14"/>
        <v>7.2948742617560372E-4</v>
      </c>
    </row>
    <row r="52" spans="1:25">
      <c r="A52" s="541">
        <f>'Monthly Data'!A52</f>
        <v>43891</v>
      </c>
      <c r="B52">
        <f t="shared" si="5"/>
        <v>2020</v>
      </c>
      <c r="C52">
        <f t="shared" si="6"/>
        <v>3</v>
      </c>
      <c r="D52" s="30">
        <f>'Monthly Data'!F52</f>
        <v>7552050.2081183884</v>
      </c>
      <c r="E52" s="33">
        <f t="shared" ca="1" si="12"/>
        <v>636.29604166666672</v>
      </c>
      <c r="F52" s="33">
        <f t="shared" ca="1" si="12"/>
        <v>0</v>
      </c>
      <c r="G52" s="33">
        <f>'Monthly Data'!AS52</f>
        <v>597.47499999999991</v>
      </c>
      <c r="H52" s="33">
        <f>'Monthly Data'!AZ52</f>
        <v>0</v>
      </c>
      <c r="I52" s="18">
        <f>'Monthly Data'!G52</f>
        <v>9928</v>
      </c>
      <c r="J52">
        <f>'Monthly Data'!BU52</f>
        <v>31</v>
      </c>
      <c r="K52" s="33">
        <f ca="1">E52*O52</f>
        <v>318.14802083333336</v>
      </c>
      <c r="L52" s="33">
        <f ca="1">F52*O52</f>
        <v>0</v>
      </c>
      <c r="M52" s="33">
        <f>'Monthly Data'!CQ52</f>
        <v>298.73749999999995</v>
      </c>
      <c r="N52" s="33">
        <f>'Monthly Data'!CX52</f>
        <v>0</v>
      </c>
      <c r="O52">
        <f>'Monthly Data'!BY52</f>
        <v>0.5</v>
      </c>
      <c r="P52" s="18"/>
      <c r="Q52" s="18">
        <f ca="1">(E52-G52)*'Res Predicted Monthly'!$X$9</f>
        <v>254340.2476206662</v>
      </c>
      <c r="R52" s="18">
        <f ca="1">(F52-H52)*'Res Predicted Monthly'!$X$10</f>
        <v>0</v>
      </c>
      <c r="S52" s="18"/>
      <c r="T52" s="18"/>
      <c r="U52" s="18">
        <f ca="1">(K52-M52)*'Res Predicted Monthly'!$X$13</f>
        <v>10497.691574888067</v>
      </c>
      <c r="V52" s="18">
        <f ca="1">(L52-N52)*'Res Predicted Monthly'!$X$14</f>
        <v>0</v>
      </c>
      <c r="W52" s="30">
        <f t="shared" ca="1" si="8"/>
        <v>7816888.1473139431</v>
      </c>
      <c r="X52" s="30">
        <f t="shared" ca="1" si="13"/>
        <v>264837.9391955547</v>
      </c>
      <c r="Y52" s="35">
        <f t="shared" ca="1" si="14"/>
        <v>3.50683499046201E-2</v>
      </c>
    </row>
    <row r="53" spans="1:25">
      <c r="A53" s="541">
        <f>'Monthly Data'!A53</f>
        <v>43922</v>
      </c>
      <c r="B53">
        <f t="shared" si="5"/>
        <v>2020</v>
      </c>
      <c r="C53">
        <f t="shared" si="6"/>
        <v>4</v>
      </c>
      <c r="D53" s="30">
        <f>'Monthly Data'!F53</f>
        <v>6718611.2273491574</v>
      </c>
      <c r="E53" s="33">
        <f t="shared" ca="1" si="12"/>
        <v>408.60374999999999</v>
      </c>
      <c r="F53" s="33">
        <f t="shared" ca="1" si="12"/>
        <v>2.8104166666666677</v>
      </c>
      <c r="G53" s="33">
        <f>'Monthly Data'!AS53</f>
        <v>432.17083333333341</v>
      </c>
      <c r="H53" s="33">
        <f>'Monthly Data'!AZ53</f>
        <v>0</v>
      </c>
      <c r="I53" s="18">
        <f>'Monthly Data'!G53</f>
        <v>9943</v>
      </c>
      <c r="J53">
        <f>'Monthly Data'!BU53</f>
        <v>30</v>
      </c>
      <c r="K53" s="33">
        <f t="shared" ref="K53:K116" ca="1" si="15">E53*O53</f>
        <v>408.60374999999999</v>
      </c>
      <c r="L53" s="33">
        <f t="shared" ref="L53:L116" ca="1" si="16">F53*O53</f>
        <v>2.8104166666666677</v>
      </c>
      <c r="M53" s="33">
        <f>'Monthly Data'!CQ53</f>
        <v>432.17083333333341</v>
      </c>
      <c r="N53" s="33">
        <f>'Monthly Data'!CX53</f>
        <v>0</v>
      </c>
      <c r="O53">
        <f>'Monthly Data'!BY53</f>
        <v>1</v>
      </c>
      <c r="P53" s="18"/>
      <c r="Q53" s="18">
        <f ca="1">(E53-G53)*'Res Predicted Monthly'!$X$9</f>
        <v>-154402.29198804876</v>
      </c>
      <c r="R53" s="18">
        <f ca="1">(F53-H53)*'Res Predicted Monthly'!$X$10</f>
        <v>40990.172374191818</v>
      </c>
      <c r="S53" s="18"/>
      <c r="T53" s="18"/>
      <c r="U53" s="18">
        <f ca="1">(K53-M53)*'Res Predicted Monthly'!$X$13</f>
        <v>-12745.663770554924</v>
      </c>
      <c r="V53" s="18">
        <f ca="1">(L53-N53)*'Res Predicted Monthly'!$X$14</f>
        <v>6165.5433755177437</v>
      </c>
      <c r="W53" s="30">
        <f t="shared" ca="1" si="8"/>
        <v>6598618.987340264</v>
      </c>
      <c r="X53" s="30">
        <f t="shared" ca="1" si="13"/>
        <v>-119992.24000889342</v>
      </c>
      <c r="Y53" s="35">
        <f t="shared" ca="1" si="14"/>
        <v>1.7859679024207601E-2</v>
      </c>
    </row>
    <row r="54" spans="1:25">
      <c r="A54" s="541">
        <f>'Monthly Data'!A54</f>
        <v>43952</v>
      </c>
      <c r="B54">
        <f t="shared" si="5"/>
        <v>2020</v>
      </c>
      <c r="C54">
        <f t="shared" si="6"/>
        <v>5</v>
      </c>
      <c r="D54" s="30">
        <f>'Monthly Data'!F54</f>
        <v>6484978.2465799265</v>
      </c>
      <c r="E54" s="33">
        <f t="shared" ca="1" si="12"/>
        <v>178.10395833333331</v>
      </c>
      <c r="F54" s="33">
        <f t="shared" ca="1" si="12"/>
        <v>74.673124999999999</v>
      </c>
      <c r="G54" s="33">
        <f>'Monthly Data'!AS54</f>
        <v>227.03749999999999</v>
      </c>
      <c r="H54" s="33">
        <f>'Monthly Data'!AZ54</f>
        <v>84.133333333333326</v>
      </c>
      <c r="I54" s="18">
        <f>'Monthly Data'!G54</f>
        <v>9945</v>
      </c>
      <c r="J54">
        <f>'Monthly Data'!BU54</f>
        <v>31</v>
      </c>
      <c r="K54" s="33">
        <f t="shared" ca="1" si="15"/>
        <v>178.10395833333331</v>
      </c>
      <c r="L54" s="33">
        <f t="shared" ca="1" si="16"/>
        <v>74.673124999999999</v>
      </c>
      <c r="M54" s="33">
        <f>'Monthly Data'!CQ54</f>
        <v>227.03749999999999</v>
      </c>
      <c r="N54" s="33">
        <f>'Monthly Data'!CX54</f>
        <v>84.133333333333326</v>
      </c>
      <c r="O54">
        <f>'Monthly Data'!BY54</f>
        <v>1</v>
      </c>
      <c r="P54" s="18"/>
      <c r="Q54" s="18">
        <f ca="1">(E54-G54)*'Res Predicted Monthly'!$X$9</f>
        <v>-320593.38364283484</v>
      </c>
      <c r="R54" s="18">
        <f ca="1">(F54-H54)*'Res Predicted Monthly'!$X$10</f>
        <v>-137977.96422088024</v>
      </c>
      <c r="S54" s="18"/>
      <c r="T54" s="18"/>
      <c r="U54" s="18">
        <f ca="1">(K54-M54)*'Res Predicted Monthly'!$X$13</f>
        <v>-26464.474214491453</v>
      </c>
      <c r="V54" s="18">
        <f ca="1">(L54-N54)*'Res Predicted Monthly'!$X$14</f>
        <v>-20753.977697471084</v>
      </c>
      <c r="W54" s="30">
        <f t="shared" ca="1" si="8"/>
        <v>5979188.4468042487</v>
      </c>
      <c r="X54" s="30">
        <f t="shared" ca="1" si="13"/>
        <v>-505789.79977567773</v>
      </c>
      <c r="Y54" s="35">
        <f t="shared" ca="1" si="14"/>
        <v>7.7994062669743444E-2</v>
      </c>
    </row>
    <row r="55" spans="1:25">
      <c r="A55" s="541">
        <f>'Monthly Data'!A55</f>
        <v>43983</v>
      </c>
      <c r="B55">
        <f t="shared" si="5"/>
        <v>2020</v>
      </c>
      <c r="C55">
        <f t="shared" si="6"/>
        <v>6</v>
      </c>
      <c r="D55" s="30">
        <f>'Monthly Data'!F55</f>
        <v>6791535.2658106964</v>
      </c>
      <c r="E55" s="33">
        <f t="shared" ca="1" si="12"/>
        <v>51.834166666666661</v>
      </c>
      <c r="F55" s="33">
        <f t="shared" ca="1" si="12"/>
        <v>169.78833333333333</v>
      </c>
      <c r="G55" s="33">
        <f>'Monthly Data'!AS55</f>
        <v>55.38333333333334</v>
      </c>
      <c r="H55" s="33">
        <f>'Monthly Data'!AZ55</f>
        <v>179.51249999999999</v>
      </c>
      <c r="I55" s="18">
        <f>'Monthly Data'!G55</f>
        <v>9949</v>
      </c>
      <c r="J55">
        <f>'Monthly Data'!BU55</f>
        <v>30</v>
      </c>
      <c r="K55" s="33">
        <f t="shared" ca="1" si="15"/>
        <v>51.834166666666661</v>
      </c>
      <c r="L55" s="33">
        <f t="shared" ca="1" si="16"/>
        <v>169.78833333333333</v>
      </c>
      <c r="M55" s="33">
        <f>'Monthly Data'!CQ55</f>
        <v>55.38333333333334</v>
      </c>
      <c r="N55" s="33">
        <f>'Monthly Data'!CX55</f>
        <v>179.51249999999999</v>
      </c>
      <c r="O55">
        <f>'Monthly Data'!BY55</f>
        <v>1</v>
      </c>
      <c r="P55" s="18"/>
      <c r="Q55" s="18">
        <f ca="1">(E55-G55)*'Res Predicted Monthly'!$X$9</f>
        <v>-23252.748769544371</v>
      </c>
      <c r="R55" s="18">
        <f ca="1">(F55-H55)*'Res Predicted Monthly'!$X$10</f>
        <v>-141827.81955061347</v>
      </c>
      <c r="S55" s="18"/>
      <c r="T55" s="18"/>
      <c r="U55" s="18">
        <f ca="1">(K55-M55)*'Res Predicted Monthly'!$X$13</f>
        <v>-1919.477449083058</v>
      </c>
      <c r="V55" s="18">
        <f ca="1">(L55-N55)*'Res Predicted Monthly'!$X$14</f>
        <v>-21333.054306572718</v>
      </c>
      <c r="W55" s="30">
        <f t="shared" ca="1" si="8"/>
        <v>6603202.1657348834</v>
      </c>
      <c r="X55" s="30">
        <f t="shared" ca="1" si="13"/>
        <v>-188333.10007581301</v>
      </c>
      <c r="Y55" s="35">
        <f t="shared" ca="1" si="14"/>
        <v>2.7730563518369944E-2</v>
      </c>
    </row>
    <row r="56" spans="1:25">
      <c r="A56" s="541">
        <f>'Monthly Data'!A56</f>
        <v>44013</v>
      </c>
      <c r="B56">
        <f t="shared" si="5"/>
        <v>2020</v>
      </c>
      <c r="C56">
        <f t="shared" si="6"/>
        <v>7</v>
      </c>
      <c r="D56" s="30">
        <f>'Monthly Data'!F56</f>
        <v>8887832.2850414645</v>
      </c>
      <c r="E56" s="33">
        <f t="shared" ca="1" si="12"/>
        <v>6.5670833333333318</v>
      </c>
      <c r="F56" s="33">
        <f t="shared" ca="1" si="12"/>
        <v>265.99625000000003</v>
      </c>
      <c r="G56" s="33">
        <f>'Monthly Data'!AS56</f>
        <v>0</v>
      </c>
      <c r="H56" s="33">
        <f>'Monthly Data'!AZ56</f>
        <v>321.12500000000011</v>
      </c>
      <c r="I56" s="18">
        <f>'Monthly Data'!G56</f>
        <v>9955</v>
      </c>
      <c r="J56">
        <f>'Monthly Data'!BU56</f>
        <v>31</v>
      </c>
      <c r="K56" s="33">
        <f t="shared" ca="1" si="15"/>
        <v>6.5670833333333318</v>
      </c>
      <c r="L56" s="33">
        <f t="shared" ca="1" si="16"/>
        <v>265.99625000000003</v>
      </c>
      <c r="M56" s="33">
        <f>'Monthly Data'!CQ56</f>
        <v>0</v>
      </c>
      <c r="N56" s="33">
        <f>'Monthly Data'!CX56</f>
        <v>321.12500000000011</v>
      </c>
      <c r="O56">
        <f>'Monthly Data'!BY56</f>
        <v>1</v>
      </c>
      <c r="P56" s="18"/>
      <c r="Q56" s="18">
        <f ca="1">(E56-G56)*'Res Predicted Monthly'!$X$9</f>
        <v>43024.95578267052</v>
      </c>
      <c r="R56" s="18">
        <f ca="1">(F56-H56)*'Res Predicted Monthly'!$X$10</f>
        <v>-804057.63034202403</v>
      </c>
      <c r="S56" s="18"/>
      <c r="T56" s="18"/>
      <c r="U56" s="18">
        <f ca="1">(K56-M56)*'Res Predicted Monthly'!$X$13</f>
        <v>3551.6417087342061</v>
      </c>
      <c r="V56" s="18">
        <f ca="1">(L56-N56)*'Res Predicted Monthly'!$X$14</f>
        <v>-120942.45789049342</v>
      </c>
      <c r="W56" s="30">
        <f t="shared" ca="1" si="8"/>
        <v>8009408.7943003513</v>
      </c>
      <c r="X56" s="30">
        <f t="shared" ca="1" si="13"/>
        <v>-878423.4907411132</v>
      </c>
      <c r="Y56" s="35">
        <f t="shared" ca="1" si="14"/>
        <v>9.8834390948120271E-2</v>
      </c>
    </row>
    <row r="57" spans="1:25">
      <c r="A57" s="541">
        <f>'Monthly Data'!A57</f>
        <v>44044</v>
      </c>
      <c r="B57">
        <f t="shared" si="5"/>
        <v>2020</v>
      </c>
      <c r="C57">
        <f t="shared" si="6"/>
        <v>8</v>
      </c>
      <c r="D57" s="30">
        <f>'Monthly Data'!F57</f>
        <v>6981508.3042722344</v>
      </c>
      <c r="E57" s="33">
        <f t="shared" ca="1" si="12"/>
        <v>23.263124999999995</v>
      </c>
      <c r="F57" s="33">
        <f t="shared" ca="1" si="12"/>
        <v>218.46562499999996</v>
      </c>
      <c r="G57" s="33">
        <f>'Monthly Data'!AS57</f>
        <v>40.033333333333331</v>
      </c>
      <c r="H57" s="33">
        <f>'Monthly Data'!AZ57</f>
        <v>178.70833333333334</v>
      </c>
      <c r="I57" s="18">
        <f>'Monthly Data'!G57</f>
        <v>9965</v>
      </c>
      <c r="J57">
        <f>'Monthly Data'!BU57</f>
        <v>31</v>
      </c>
      <c r="K57" s="33">
        <f t="shared" ca="1" si="15"/>
        <v>23.263124999999995</v>
      </c>
      <c r="L57" s="33">
        <f t="shared" ca="1" si="16"/>
        <v>218.46562499999996</v>
      </c>
      <c r="M57" s="33">
        <f>'Monthly Data'!CQ57</f>
        <v>40.033333333333331</v>
      </c>
      <c r="N57" s="33">
        <f>'Monthly Data'!CX57</f>
        <v>178.70833333333334</v>
      </c>
      <c r="O57">
        <f>'Monthly Data'!BY57</f>
        <v>1</v>
      </c>
      <c r="P57" s="18"/>
      <c r="Q57" s="18">
        <f ca="1">(E57-G57)*'Res Predicted Monthly'!$X$9</f>
        <v>-109871.83128093492</v>
      </c>
      <c r="R57" s="18">
        <f ca="1">(F57-H57)*'Res Predicted Monthly'!$X$10</f>
        <v>579863.56894209667</v>
      </c>
      <c r="S57" s="18"/>
      <c r="T57" s="18"/>
      <c r="U57" s="18">
        <f ca="1">(K57-M57)*'Res Predicted Monthly'!$X$13</f>
        <v>-9069.7450234115058</v>
      </c>
      <c r="V57" s="18">
        <f ca="1">(L57-N57)*'Res Predicted Monthly'!$X$14</f>
        <v>87220.272058334085</v>
      </c>
      <c r="W57" s="30">
        <f t="shared" ca="1" si="8"/>
        <v>7529650.5689683193</v>
      </c>
      <c r="X57" s="30">
        <f t="shared" ca="1" si="13"/>
        <v>548142.26469608489</v>
      </c>
      <c r="Y57" s="35">
        <f t="shared" ca="1" si="14"/>
        <v>7.8513444488873138E-2</v>
      </c>
    </row>
    <row r="58" spans="1:25">
      <c r="A58" s="541">
        <f>'Monthly Data'!A58</f>
        <v>44075</v>
      </c>
      <c r="B58">
        <f t="shared" si="5"/>
        <v>2020</v>
      </c>
      <c r="C58">
        <f t="shared" si="6"/>
        <v>9</v>
      </c>
      <c r="D58" s="30">
        <f>'Monthly Data'!F58</f>
        <v>5593018.3235030035</v>
      </c>
      <c r="E58" s="33">
        <f t="shared" ca="1" si="12"/>
        <v>114.73583333333336</v>
      </c>
      <c r="F58" s="33">
        <f t="shared" ca="1" si="12"/>
        <v>95.131249999999994</v>
      </c>
      <c r="G58" s="33">
        <f>'Monthly Data'!AS58</f>
        <v>153.40416666666664</v>
      </c>
      <c r="H58" s="33">
        <f>'Monthly Data'!AZ58</f>
        <v>68.32916666666668</v>
      </c>
      <c r="I58" s="18">
        <f>'Monthly Data'!G58</f>
        <v>9980</v>
      </c>
      <c r="J58">
        <f>'Monthly Data'!BU58</f>
        <v>30</v>
      </c>
      <c r="K58" s="33">
        <f t="shared" ca="1" si="15"/>
        <v>114.73583333333336</v>
      </c>
      <c r="L58" s="33">
        <f t="shared" ca="1" si="16"/>
        <v>95.131249999999994</v>
      </c>
      <c r="M58" s="33">
        <f>'Monthly Data'!CQ58</f>
        <v>153.40416666666664</v>
      </c>
      <c r="N58" s="33">
        <f>'Monthly Data'!CX58</f>
        <v>68.32916666666668</v>
      </c>
      <c r="O58">
        <f>'Monthly Data'!BY58</f>
        <v>1</v>
      </c>
      <c r="P58" s="18"/>
      <c r="Q58" s="18">
        <f ca="1">(E58-G58)*'Res Predicted Monthly'!$X$9</f>
        <v>-253339.76248048668</v>
      </c>
      <c r="R58" s="18">
        <f ca="1">(F58-H58)*'Res Predicted Monthly'!$X$10</f>
        <v>390910.72468048718</v>
      </c>
      <c r="S58" s="18"/>
      <c r="T58" s="18"/>
      <c r="U58" s="18">
        <f ca="1">(K58-M58)*'Res Predicted Monthly'!$X$13</f>
        <v>-20912.794691794232</v>
      </c>
      <c r="V58" s="18">
        <f ca="1">(L58-N58)*'Res Predicted Monthly'!$X$14</f>
        <v>58798.899574526084</v>
      </c>
      <c r="W58" s="30">
        <f t="shared" ca="1" si="8"/>
        <v>5768475.3905857345</v>
      </c>
      <c r="X58" s="30">
        <f t="shared" ca="1" si="13"/>
        <v>175457.06708273105</v>
      </c>
      <c r="Y58" s="35">
        <f t="shared" ca="1" si="14"/>
        <v>3.1370729887550103E-2</v>
      </c>
    </row>
    <row r="59" spans="1:25">
      <c r="A59" s="541">
        <f>'Monthly Data'!A59</f>
        <v>44105</v>
      </c>
      <c r="B59">
        <f t="shared" si="5"/>
        <v>2020</v>
      </c>
      <c r="C59">
        <f t="shared" si="6"/>
        <v>10</v>
      </c>
      <c r="D59" s="30">
        <f>'Monthly Data'!F59</f>
        <v>6282108.3427337734</v>
      </c>
      <c r="E59" s="33">
        <f t="shared" ca="1" si="12"/>
        <v>302.40479166666665</v>
      </c>
      <c r="F59" s="33">
        <f t="shared" ca="1" si="12"/>
        <v>21.813750000000006</v>
      </c>
      <c r="G59" s="33">
        <f>'Monthly Data'!AS59</f>
        <v>370.26666666666665</v>
      </c>
      <c r="H59" s="33">
        <f>'Monthly Data'!AZ59</f>
        <v>4.1500000000000021</v>
      </c>
      <c r="I59" s="18">
        <f>'Monthly Data'!G59</f>
        <v>9996</v>
      </c>
      <c r="J59">
        <f>'Monthly Data'!BU59</f>
        <v>31</v>
      </c>
      <c r="K59" s="33">
        <f t="shared" ca="1" si="15"/>
        <v>302.40479166666665</v>
      </c>
      <c r="L59" s="33">
        <f t="shared" ca="1" si="16"/>
        <v>21.813750000000006</v>
      </c>
      <c r="M59" s="33">
        <f>'Monthly Data'!CQ59</f>
        <v>370.26666666666665</v>
      </c>
      <c r="N59" s="33">
        <f>'Monthly Data'!CX59</f>
        <v>4.1500000000000021</v>
      </c>
      <c r="O59">
        <f>'Monthly Data'!BY59</f>
        <v>1</v>
      </c>
      <c r="P59" s="18"/>
      <c r="Q59" s="18">
        <f ca="1">(E59-G59)*'Res Predicted Monthly'!$X$9</f>
        <v>-444604.40396484203</v>
      </c>
      <c r="R59" s="18">
        <f ca="1">(F59-H59)*'Res Predicted Monthly'!$X$10</f>
        <v>257627.33542759283</v>
      </c>
      <c r="S59" s="18"/>
      <c r="T59" s="18"/>
      <c r="U59" s="18">
        <f ca="1">(K59-M59)*'Res Predicted Monthly'!$X$13</f>
        <v>-36701.386818030398</v>
      </c>
      <c r="V59" s="18">
        <f ca="1">(L59-N59)*'Res Predicted Monthly'!$X$14</f>
        <v>38751.057126512038</v>
      </c>
      <c r="W59" s="30">
        <f t="shared" ca="1" si="8"/>
        <v>6097180.9445050051</v>
      </c>
      <c r="X59" s="30">
        <f t="shared" ca="1" si="13"/>
        <v>-184927.39822876826</v>
      </c>
      <c r="Y59" s="35">
        <f t="shared" ca="1" si="14"/>
        <v>2.9437155193712202E-2</v>
      </c>
    </row>
    <row r="60" spans="1:25">
      <c r="A60" s="541">
        <f>'Monthly Data'!A60</f>
        <v>44136</v>
      </c>
      <c r="B60">
        <f t="shared" si="5"/>
        <v>2020</v>
      </c>
      <c r="C60">
        <f t="shared" si="6"/>
        <v>11</v>
      </c>
      <c r="D60" s="30">
        <f>'Monthly Data'!F60</f>
        <v>6779288.3619645424</v>
      </c>
      <c r="E60" s="33">
        <f t="shared" ca="1" si="12"/>
        <v>526.09395833333338</v>
      </c>
      <c r="F60" s="33">
        <f t="shared" ca="1" si="12"/>
        <v>2.2795833333333335</v>
      </c>
      <c r="G60" s="33">
        <f>'Monthly Data'!AS60</f>
        <v>453.82916666666659</v>
      </c>
      <c r="H60" s="33">
        <f>'Monthly Data'!AZ60</f>
        <v>5.0749999999999975</v>
      </c>
      <c r="I60" s="18">
        <f>'Monthly Data'!G60</f>
        <v>10001</v>
      </c>
      <c r="J60">
        <f>'Monthly Data'!BU60</f>
        <v>30</v>
      </c>
      <c r="K60" s="33">
        <f t="shared" ca="1" si="15"/>
        <v>526.09395833333338</v>
      </c>
      <c r="L60" s="33">
        <f t="shared" ca="1" si="16"/>
        <v>2.2795833333333335</v>
      </c>
      <c r="M60" s="33">
        <f>'Monthly Data'!CQ60</f>
        <v>453.82916666666659</v>
      </c>
      <c r="N60" s="33">
        <f>'Monthly Data'!CX60</f>
        <v>5.0749999999999975</v>
      </c>
      <c r="O60">
        <f>'Monthly Data'!BY60</f>
        <v>1</v>
      </c>
      <c r="P60" s="18"/>
      <c r="Q60" s="18">
        <f ca="1">(E60-G60)*'Res Predicted Monthly'!$X$9</f>
        <v>473450.58807470126</v>
      </c>
      <c r="R60" s="18">
        <f ca="1">(F60-H60)*'Res Predicted Monthly'!$X$10</f>
        <v>-40771.39606500409</v>
      </c>
      <c r="S60" s="18"/>
      <c r="T60" s="18"/>
      <c r="U60" s="18">
        <f ca="1">(K60-M60)*'Res Predicted Monthly'!$X$13</f>
        <v>39082.593463306424</v>
      </c>
      <c r="V60" s="18">
        <f ca="1">(L60-N60)*'Res Predicted Monthly'!$X$14</f>
        <v>-6132.6361017566333</v>
      </c>
      <c r="W60" s="30">
        <f t="shared" ca="1" si="8"/>
        <v>7244917.5113357892</v>
      </c>
      <c r="X60" s="30">
        <f t="shared" ca="1" si="13"/>
        <v>465629.14937124681</v>
      </c>
      <c r="Y60" s="35">
        <f t="shared" ca="1" si="14"/>
        <v>6.8684074863030908E-2</v>
      </c>
    </row>
    <row r="61" spans="1:25">
      <c r="A61" s="541">
        <f>'Monthly Data'!A61</f>
        <v>44166</v>
      </c>
      <c r="B61">
        <f t="shared" si="5"/>
        <v>2020</v>
      </c>
      <c r="C61">
        <f t="shared" si="6"/>
        <v>12</v>
      </c>
      <c r="D61" s="30">
        <f>'Monthly Data'!F61</f>
        <v>8783121.3811953124</v>
      </c>
      <c r="E61" s="33">
        <f t="shared" ca="1" si="12"/>
        <v>750.36333333333334</v>
      </c>
      <c r="F61" s="33">
        <f t="shared" ca="1" si="12"/>
        <v>0</v>
      </c>
      <c r="G61" s="33">
        <f>'Monthly Data'!AS61</f>
        <v>713.91666666666674</v>
      </c>
      <c r="H61" s="33">
        <f>'Monthly Data'!AZ61</f>
        <v>0</v>
      </c>
      <c r="I61" s="18">
        <f>'Monthly Data'!G61</f>
        <v>10019</v>
      </c>
      <c r="J61">
        <f>'Monthly Data'!BU61</f>
        <v>31</v>
      </c>
      <c r="K61" s="33">
        <f t="shared" ca="1" si="15"/>
        <v>750.36333333333334</v>
      </c>
      <c r="L61" s="33">
        <f t="shared" ca="1" si="16"/>
        <v>0</v>
      </c>
      <c r="M61" s="33">
        <f>'Monthly Data'!CQ61</f>
        <v>713.91666666666674</v>
      </c>
      <c r="N61" s="33">
        <f>'Monthly Data'!CX61</f>
        <v>0</v>
      </c>
      <c r="O61">
        <f>'Monthly Data'!BY61</f>
        <v>1</v>
      </c>
      <c r="P61" s="18"/>
      <c r="Q61" s="18">
        <f ca="1">(E61-G61)*'Res Predicted Monthly'!$X$9</f>
        <v>238784.2733469799</v>
      </c>
      <c r="R61" s="18">
        <f ca="1">(F61-H61)*'Res Predicted Monthly'!$X$10</f>
        <v>0</v>
      </c>
      <c r="S61" s="18"/>
      <c r="T61" s="18"/>
      <c r="U61" s="18">
        <f ca="1">(K61-M61)*'Res Predicted Monthly'!$X$13</f>
        <v>19711.262200773934</v>
      </c>
      <c r="V61" s="18">
        <f ca="1">(L61-N61)*'Res Predicted Monthly'!$X$14</f>
        <v>0</v>
      </c>
      <c r="W61" s="30">
        <f t="shared" ca="1" si="8"/>
        <v>9041616.9167430662</v>
      </c>
      <c r="X61" s="30">
        <f t="shared" ca="1" si="13"/>
        <v>258495.5355477538</v>
      </c>
      <c r="Y61" s="35">
        <f t="shared" ca="1" si="14"/>
        <v>2.9430941954325426E-2</v>
      </c>
    </row>
    <row r="62" spans="1:25">
      <c r="A62" s="541">
        <f>'Monthly Data'!A62</f>
        <v>44197</v>
      </c>
      <c r="B62">
        <f t="shared" si="5"/>
        <v>2021</v>
      </c>
      <c r="C62">
        <f t="shared" si="6"/>
        <v>1</v>
      </c>
      <c r="D62" s="30">
        <f>'Monthly Data'!F62</f>
        <v>8947694.596042579</v>
      </c>
      <c r="E62" s="33">
        <f t="shared" ca="1" si="12"/>
        <v>852.55166666666662</v>
      </c>
      <c r="F62" s="33">
        <f t="shared" ca="1" si="12"/>
        <v>0</v>
      </c>
      <c r="G62" s="33">
        <f>'Monthly Data'!AS62</f>
        <v>790.97500000000002</v>
      </c>
      <c r="H62" s="33">
        <f>'Monthly Data'!AZ62</f>
        <v>0</v>
      </c>
      <c r="I62" s="18">
        <f>'Monthly Data'!G62</f>
        <v>10021</v>
      </c>
      <c r="J62">
        <f>'Monthly Data'!BU62</f>
        <v>31</v>
      </c>
      <c r="K62" s="33">
        <f t="shared" ca="1" si="15"/>
        <v>639.41374999999994</v>
      </c>
      <c r="L62" s="33">
        <f t="shared" ca="1" si="16"/>
        <v>0</v>
      </c>
      <c r="M62" s="33">
        <f>'Monthly Data'!CQ62</f>
        <v>593.23125000000005</v>
      </c>
      <c r="N62" s="33">
        <f>'Monthly Data'!CX62</f>
        <v>0</v>
      </c>
      <c r="O62">
        <f>'Monthly Data'!BY62</f>
        <v>0.75</v>
      </c>
      <c r="P62" s="18"/>
      <c r="Q62" s="18">
        <f ca="1">(E62-G62)*'Res Predicted Monthly'!$X$9</f>
        <v>403426.18269057642</v>
      </c>
      <c r="R62" s="18">
        <f ca="1">(F62-H62)*'Res Predicted Monthly'!$X$10</f>
        <v>0</v>
      </c>
      <c r="S62" s="18"/>
      <c r="T62" s="18"/>
      <c r="U62" s="18">
        <f ca="1">(K62-M62)*'Res Predicted Monthly'!$X$13</f>
        <v>24976.642580590134</v>
      </c>
      <c r="V62" s="18">
        <f ca="1">(L62-N62)*'Res Predicted Monthly'!$X$14</f>
        <v>0</v>
      </c>
      <c r="W62" s="30">
        <f t="shared" ca="1" si="8"/>
        <v>9376097.421313744</v>
      </c>
      <c r="X62" s="30">
        <f t="shared" ca="1" si="13"/>
        <v>428402.825271165</v>
      </c>
      <c r="Y62" s="35">
        <f t="shared" ca="1" si="14"/>
        <v>4.7878570359413099E-2</v>
      </c>
    </row>
    <row r="63" spans="1:25">
      <c r="A63" s="541">
        <f>'Monthly Data'!A63</f>
        <v>44228</v>
      </c>
      <c r="B63">
        <f t="shared" si="5"/>
        <v>2021</v>
      </c>
      <c r="C63">
        <f t="shared" si="6"/>
        <v>2</v>
      </c>
      <c r="D63" s="30">
        <f>'Monthly Data'!F63</f>
        <v>8282825.1054581115</v>
      </c>
      <c r="E63" s="33">
        <f t="shared" ref="E63:F78" ca="1" si="17">E51</f>
        <v>747.22854166666662</v>
      </c>
      <c r="F63" s="33">
        <f t="shared" ca="1" si="17"/>
        <v>0</v>
      </c>
      <c r="G63" s="33">
        <f>'Monthly Data'!AS63</f>
        <v>763.91666666666652</v>
      </c>
      <c r="H63" s="33">
        <f>'Monthly Data'!AZ63</f>
        <v>0</v>
      </c>
      <c r="I63" s="18">
        <f>'Monthly Data'!G63</f>
        <v>10032</v>
      </c>
      <c r="J63">
        <f>'Monthly Data'!BU63</f>
        <v>28</v>
      </c>
      <c r="K63" s="33">
        <f t="shared" ca="1" si="15"/>
        <v>560.42140625000002</v>
      </c>
      <c r="L63" s="33">
        <f t="shared" ca="1" si="16"/>
        <v>0</v>
      </c>
      <c r="M63" s="33">
        <f>'Monthly Data'!CQ63</f>
        <v>572.93749999999989</v>
      </c>
      <c r="N63" s="33">
        <f>'Monthly Data'!CX63</f>
        <v>0</v>
      </c>
      <c r="O63">
        <f>'Monthly Data'!BY63</f>
        <v>0.75</v>
      </c>
      <c r="P63" s="18"/>
      <c r="Q63" s="18">
        <f ca="1">(E63-G63)*'Res Predicted Monthly'!$X$9</f>
        <v>-109334.05345660925</v>
      </c>
      <c r="R63" s="18">
        <f ca="1">(F63-H63)*'Res Predicted Monthly'!$X$10</f>
        <v>0</v>
      </c>
      <c r="S63" s="18"/>
      <c r="T63" s="18"/>
      <c r="U63" s="18">
        <f ca="1">(K63-M63)*'Res Predicted Monthly'!$X$13</f>
        <v>-6769.0142391361551</v>
      </c>
      <c r="V63" s="18">
        <f ca="1">(L63-N63)*'Res Predicted Monthly'!$X$14</f>
        <v>0</v>
      </c>
      <c r="W63" s="30">
        <f t="shared" ca="1" si="8"/>
        <v>8166722.0377623662</v>
      </c>
      <c r="X63" s="30">
        <f t="shared" ca="1" si="13"/>
        <v>-116103.06769574527</v>
      </c>
      <c r="Y63" s="35">
        <f t="shared" ca="1" si="14"/>
        <v>1.4017326964834393E-2</v>
      </c>
    </row>
    <row r="64" spans="1:25">
      <c r="A64" s="541">
        <f>'Monthly Data'!A64</f>
        <v>44256</v>
      </c>
      <c r="B64">
        <f t="shared" si="5"/>
        <v>2021</v>
      </c>
      <c r="C64">
        <f t="shared" si="6"/>
        <v>3</v>
      </c>
      <c r="D64" s="30">
        <f>'Monthly Data'!F64</f>
        <v>7841494.614873644</v>
      </c>
      <c r="E64" s="33">
        <f t="shared" ca="1" si="17"/>
        <v>636.29604166666672</v>
      </c>
      <c r="F64" s="33">
        <f t="shared" ca="1" si="17"/>
        <v>0</v>
      </c>
      <c r="G64" s="33">
        <f>'Monthly Data'!AS64</f>
        <v>589.65416666666681</v>
      </c>
      <c r="H64" s="33">
        <f>'Monthly Data'!AZ64</f>
        <v>0</v>
      </c>
      <c r="I64" s="18">
        <f>'Monthly Data'!G64</f>
        <v>10053</v>
      </c>
      <c r="J64">
        <f>'Monthly Data'!BU64</f>
        <v>31</v>
      </c>
      <c r="K64" s="33">
        <f t="shared" ca="1" si="15"/>
        <v>477.22203125000004</v>
      </c>
      <c r="L64" s="33">
        <f t="shared" ca="1" si="16"/>
        <v>0</v>
      </c>
      <c r="M64" s="33">
        <f>'Monthly Data'!CQ64</f>
        <v>442.24062500000014</v>
      </c>
      <c r="N64" s="33">
        <f>'Monthly Data'!CX64</f>
        <v>0</v>
      </c>
      <c r="O64">
        <f>'Monthly Data'!BY64</f>
        <v>0.75</v>
      </c>
      <c r="P64" s="18"/>
      <c r="Q64" s="18">
        <f ca="1">(E64-G64)*'Res Predicted Monthly'!$X$9</f>
        <v>305579.2819484818</v>
      </c>
      <c r="R64" s="18">
        <f ca="1">(F64-H64)*'Res Predicted Monthly'!$X$10</f>
        <v>0</v>
      </c>
      <c r="S64" s="18"/>
      <c r="T64" s="18"/>
      <c r="U64" s="18">
        <f ca="1">(K64-M64)*'Res Predicted Monthly'!$X$13</f>
        <v>18918.812989177102</v>
      </c>
      <c r="V64" s="18">
        <f ca="1">(L64-N64)*'Res Predicted Monthly'!$X$14</f>
        <v>0</v>
      </c>
      <c r="W64" s="30">
        <f t="shared" ca="1" si="8"/>
        <v>8165992.7098113028</v>
      </c>
      <c r="X64" s="30">
        <f t="shared" ca="1" si="13"/>
        <v>324498.09493765887</v>
      </c>
      <c r="Y64" s="35">
        <f t="shared" ca="1" si="14"/>
        <v>4.1382174046533826E-2</v>
      </c>
    </row>
    <row r="65" spans="1:25">
      <c r="A65" s="541">
        <f>'Monthly Data'!A65</f>
        <v>44287</v>
      </c>
      <c r="B65">
        <f t="shared" si="5"/>
        <v>2021</v>
      </c>
      <c r="C65">
        <f t="shared" si="6"/>
        <v>4</v>
      </c>
      <c r="D65" s="30">
        <f>'Monthly Data'!F65</f>
        <v>6176221.1242891774</v>
      </c>
      <c r="E65" s="33">
        <f t="shared" ca="1" si="17"/>
        <v>408.60374999999999</v>
      </c>
      <c r="F65" s="33">
        <f t="shared" ca="1" si="17"/>
        <v>2.8104166666666677</v>
      </c>
      <c r="G65" s="33">
        <f>'Monthly Data'!AS65</f>
        <v>321.19583333333333</v>
      </c>
      <c r="H65" s="33">
        <f>'Monthly Data'!AZ65</f>
        <v>9.0875000000000004</v>
      </c>
      <c r="I65" s="18">
        <f>'Monthly Data'!G65</f>
        <v>10059</v>
      </c>
      <c r="J65">
        <f>'Monthly Data'!BU65</f>
        <v>30</v>
      </c>
      <c r="K65" s="33">
        <f t="shared" ca="1" si="15"/>
        <v>306.45281249999999</v>
      </c>
      <c r="L65" s="33">
        <f t="shared" ca="1" si="16"/>
        <v>2.1078125000000005</v>
      </c>
      <c r="M65" s="33">
        <f>'Monthly Data'!CQ65</f>
        <v>240.89687499999999</v>
      </c>
      <c r="N65" s="33">
        <f>'Monthly Data'!CX65</f>
        <v>6.8156250000000007</v>
      </c>
      <c r="O65">
        <f>'Monthly Data'!BY65</f>
        <v>0.75</v>
      </c>
      <c r="P65" s="18"/>
      <c r="Q65" s="18">
        <f ca="1">(E65-G65)*'Res Predicted Monthly'!$X$9</f>
        <v>572662.40715264517</v>
      </c>
      <c r="R65" s="18">
        <f ca="1">(F65-H65)*'Res Predicted Monthly'!$X$10</f>
        <v>-91551.808275344622</v>
      </c>
      <c r="S65" s="18"/>
      <c r="T65" s="18"/>
      <c r="U65" s="18">
        <f ca="1">(K65-M65)*'Res Predicted Monthly'!$X$13</f>
        <v>35454.278568137481</v>
      </c>
      <c r="V65" s="18">
        <f ca="1">(L65-N65)*'Res Predicted Monthly'!$X$14</f>
        <v>-10328.0849835628</v>
      </c>
      <c r="W65" s="30">
        <f t="shared" ca="1" si="8"/>
        <v>6682457.9167510523</v>
      </c>
      <c r="X65" s="30">
        <f t="shared" ca="1" si="13"/>
        <v>506236.79246187489</v>
      </c>
      <c r="Y65" s="35">
        <f t="shared" ca="1" si="14"/>
        <v>8.1965457886700552E-2</v>
      </c>
    </row>
    <row r="66" spans="1:25">
      <c r="A66" s="541">
        <f>'Monthly Data'!A66</f>
        <v>44317</v>
      </c>
      <c r="B66">
        <f t="shared" si="5"/>
        <v>2021</v>
      </c>
      <c r="C66">
        <f t="shared" si="6"/>
        <v>5</v>
      </c>
      <c r="D66" s="30">
        <f>'Monthly Data'!F66</f>
        <v>6246538.6337047098</v>
      </c>
      <c r="E66" s="33">
        <f t="shared" ca="1" si="17"/>
        <v>178.10395833333331</v>
      </c>
      <c r="F66" s="33">
        <f t="shared" ca="1" si="17"/>
        <v>74.673124999999999</v>
      </c>
      <c r="G66" s="33">
        <f>'Monthly Data'!AS66</f>
        <v>201.67500000000001</v>
      </c>
      <c r="H66" s="33">
        <f>'Monthly Data'!AZ66</f>
        <v>79.041666666666686</v>
      </c>
      <c r="I66" s="18">
        <f>'Monthly Data'!G66</f>
        <v>10066</v>
      </c>
      <c r="J66">
        <f>'Monthly Data'!BU66</f>
        <v>31</v>
      </c>
      <c r="K66" s="33">
        <f t="shared" ca="1" si="15"/>
        <v>133.57796874999997</v>
      </c>
      <c r="L66" s="33">
        <f t="shared" ca="1" si="16"/>
        <v>56.004843749999999</v>
      </c>
      <c r="M66" s="33">
        <f>'Monthly Data'!CQ66</f>
        <v>151.25625000000002</v>
      </c>
      <c r="N66" s="33">
        <f>'Monthly Data'!CX66</f>
        <v>59.281250000000014</v>
      </c>
      <c r="O66">
        <f>'Monthly Data'!BY66</f>
        <v>0.75</v>
      </c>
      <c r="P66" s="18"/>
      <c r="Q66" s="18">
        <f ca="1">(E66-G66)*'Res Predicted Monthly'!$X$9</f>
        <v>-154428.22543642961</v>
      </c>
      <c r="R66" s="18">
        <f ca="1">(F66-H66)*'Res Predicted Monthly'!$X$10</f>
        <v>-63715.561491062414</v>
      </c>
      <c r="S66" s="18"/>
      <c r="T66" s="18"/>
      <c r="U66" s="18">
        <f ca="1">(K66-M66)*'Res Predicted Monthly'!$X$13</f>
        <v>-9560.8534016218382</v>
      </c>
      <c r="V66" s="18">
        <f ca="1">(L66-N66)*'Res Predicted Monthly'!$X$14</f>
        <v>-7187.8398280892579</v>
      </c>
      <c r="W66" s="30">
        <f t="shared" ca="1" si="8"/>
        <v>6011646.1535475068</v>
      </c>
      <c r="X66" s="30">
        <f t="shared" ca="1" si="13"/>
        <v>-234892.48015720304</v>
      </c>
      <c r="Y66" s="35">
        <f t="shared" ca="1" si="14"/>
        <v>3.7603622410943539E-2</v>
      </c>
    </row>
    <row r="67" spans="1:25">
      <c r="A67" s="541">
        <f>'Monthly Data'!A67</f>
        <v>44348</v>
      </c>
      <c r="B67">
        <f t="shared" si="5"/>
        <v>2021</v>
      </c>
      <c r="C67">
        <f t="shared" si="6"/>
        <v>6</v>
      </c>
      <c r="D67" s="30">
        <f>'Monthly Data'!F67</f>
        <v>7011045.1431202432</v>
      </c>
      <c r="E67" s="33">
        <f t="shared" ca="1" si="17"/>
        <v>51.834166666666661</v>
      </c>
      <c r="F67" s="33">
        <f t="shared" ca="1" si="17"/>
        <v>169.78833333333333</v>
      </c>
      <c r="G67" s="33">
        <f>'Monthly Data'!AS67</f>
        <v>25.162499999999994</v>
      </c>
      <c r="H67" s="33">
        <f>'Monthly Data'!AZ67</f>
        <v>216.09166666666664</v>
      </c>
      <c r="I67" s="18">
        <f>'Monthly Data'!G67</f>
        <v>10064</v>
      </c>
      <c r="J67">
        <f>'Monthly Data'!BU67</f>
        <v>30</v>
      </c>
      <c r="K67" s="33">
        <f t="shared" ca="1" si="15"/>
        <v>38.875624999999999</v>
      </c>
      <c r="L67" s="33">
        <f t="shared" ca="1" si="16"/>
        <v>127.34125</v>
      </c>
      <c r="M67" s="33">
        <f>'Monthly Data'!CQ67</f>
        <v>18.871874999999996</v>
      </c>
      <c r="N67" s="33">
        <f>'Monthly Data'!CX67</f>
        <v>162.06874999999997</v>
      </c>
      <c r="O67">
        <f>'Monthly Data'!BY67</f>
        <v>0.75</v>
      </c>
      <c r="P67" s="18"/>
      <c r="Q67" s="18">
        <f ca="1">(E67-G67)*'Res Predicted Monthly'!$X$9</f>
        <v>174742.30502888813</v>
      </c>
      <c r="R67" s="18">
        <f ca="1">(F67-H67)*'Res Predicted Monthly'!$X$10</f>
        <v>-675338.15798357083</v>
      </c>
      <c r="S67" s="18"/>
      <c r="T67" s="18"/>
      <c r="U67" s="18">
        <f ca="1">(K67-M67)*'Res Predicted Monthly'!$X$13</f>
        <v>10818.524636420314</v>
      </c>
      <c r="V67" s="18">
        <f ca="1">(L67-N67)*'Res Predicted Monthly'!$X$14</f>
        <v>-76185.823302579854</v>
      </c>
      <c r="W67" s="30">
        <f t="shared" ca="1" si="8"/>
        <v>6445081.9914994007</v>
      </c>
      <c r="X67" s="30">
        <f t="shared" ca="1" si="13"/>
        <v>-565963.15162084252</v>
      </c>
      <c r="Y67" s="35">
        <f t="shared" ca="1" si="14"/>
        <v>8.0724505415031803E-2</v>
      </c>
    </row>
    <row r="68" spans="1:25">
      <c r="A68" s="541">
        <f>'Monthly Data'!A68</f>
        <v>44378</v>
      </c>
      <c r="B68">
        <f t="shared" si="5"/>
        <v>2021</v>
      </c>
      <c r="C68">
        <f t="shared" si="6"/>
        <v>7</v>
      </c>
      <c r="D68" s="30">
        <f>'Monthly Data'!F68</f>
        <v>7147666.6525357757</v>
      </c>
      <c r="E68" s="33">
        <f t="shared" ca="1" si="17"/>
        <v>6.5670833333333318</v>
      </c>
      <c r="F68" s="33">
        <f t="shared" ca="1" si="17"/>
        <v>265.99625000000003</v>
      </c>
      <c r="G68" s="33">
        <f>'Monthly Data'!AS68</f>
        <v>23.458333333333329</v>
      </c>
      <c r="H68" s="33">
        <f>'Monthly Data'!AZ68</f>
        <v>205.77500000000006</v>
      </c>
      <c r="I68" s="18">
        <f>'Monthly Data'!G68</f>
        <v>10086</v>
      </c>
      <c r="J68">
        <f>'Monthly Data'!BU68</f>
        <v>31</v>
      </c>
      <c r="K68" s="33">
        <f t="shared" ca="1" si="15"/>
        <v>4.9253124999999986</v>
      </c>
      <c r="L68" s="33">
        <f t="shared" ca="1" si="16"/>
        <v>199.49718750000002</v>
      </c>
      <c r="M68" s="33">
        <f>'Monthly Data'!CQ68</f>
        <v>17.593749999999996</v>
      </c>
      <c r="N68" s="33">
        <f>'Monthly Data'!CX68</f>
        <v>154.33125000000004</v>
      </c>
      <c r="O68">
        <f>'Monthly Data'!BY68</f>
        <v>0.75</v>
      </c>
      <c r="P68" s="18"/>
      <c r="Q68" s="18">
        <f ca="1">(E68-G68)*'Res Predicted Monthly'!$X$9</f>
        <v>-110664.84883406384</v>
      </c>
      <c r="R68" s="18">
        <f ca="1">(F68-H68)*'Res Predicted Monthly'!$X$10</f>
        <v>878332.18731123989</v>
      </c>
      <c r="S68" s="18"/>
      <c r="T68" s="18"/>
      <c r="U68" s="18">
        <f ca="1">(K68-M68)*'Res Predicted Monthly'!$X$13</f>
        <v>-6851.4055213997835</v>
      </c>
      <c r="V68" s="18">
        <f ca="1">(L68-N68)*'Res Predicted Monthly'!$X$14</f>
        <v>99085.857999290703</v>
      </c>
      <c r="W68" s="30">
        <f t="shared" ca="1" si="8"/>
        <v>8007568.4434908424</v>
      </c>
      <c r="X68" s="30">
        <f t="shared" ca="1" si="13"/>
        <v>859901.79095506668</v>
      </c>
      <c r="Y68" s="35">
        <f t="shared" ca="1" si="14"/>
        <v>0.12030524543978273</v>
      </c>
    </row>
    <row r="69" spans="1:25">
      <c r="A69" s="541">
        <f>'Monthly Data'!A69</f>
        <v>44409</v>
      </c>
      <c r="B69">
        <f t="shared" si="5"/>
        <v>2021</v>
      </c>
      <c r="C69">
        <f t="shared" si="6"/>
        <v>8</v>
      </c>
      <c r="D69" s="30">
        <f>'Monthly Data'!F69</f>
        <v>8365336.1619513091</v>
      </c>
      <c r="E69" s="33">
        <f t="shared" ca="1" si="17"/>
        <v>23.263124999999995</v>
      </c>
      <c r="F69" s="33">
        <f t="shared" ca="1" si="17"/>
        <v>218.46562499999996</v>
      </c>
      <c r="G69" s="33">
        <f>'Monthly Data'!AS69</f>
        <v>8.2208333333333385</v>
      </c>
      <c r="H69" s="33">
        <f>'Monthly Data'!AZ69</f>
        <v>284.10416666666663</v>
      </c>
      <c r="I69" s="18">
        <f>'Monthly Data'!G69</f>
        <v>10096</v>
      </c>
      <c r="J69">
        <f>'Monthly Data'!BU69</f>
        <v>31</v>
      </c>
      <c r="K69" s="33">
        <f t="shared" ca="1" si="15"/>
        <v>17.447343749999995</v>
      </c>
      <c r="L69" s="33">
        <f t="shared" ca="1" si="16"/>
        <v>163.84921874999998</v>
      </c>
      <c r="M69" s="33">
        <f>'Monthly Data'!CQ69</f>
        <v>6.1656250000000039</v>
      </c>
      <c r="N69" s="33">
        <f>'Monthly Data'!CX69</f>
        <v>213.07812499999997</v>
      </c>
      <c r="O69">
        <f>'Monthly Data'!BY69</f>
        <v>0.75</v>
      </c>
      <c r="P69" s="18"/>
      <c r="Q69" s="18">
        <f ca="1">(E69-G69)*'Res Predicted Monthly'!$X$9</f>
        <v>98551.198603393132</v>
      </c>
      <c r="R69" s="18">
        <f ca="1">(F69-H69)*'Res Predicted Monthly'!$X$10</f>
        <v>-957343.85908634111</v>
      </c>
      <c r="S69" s="18"/>
      <c r="T69" s="18"/>
      <c r="U69" s="18">
        <f ca="1">(K69-M69)*'Res Predicted Monthly'!$X$13</f>
        <v>6101.4335931032865</v>
      </c>
      <c r="V69" s="18">
        <f ca="1">(L69-N69)*'Res Predicted Monthly'!$X$14</f>
        <v>-107999.27299522779</v>
      </c>
      <c r="W69" s="30">
        <f t="shared" ca="1" si="8"/>
        <v>7404645.6620662371</v>
      </c>
      <c r="X69" s="30">
        <f t="shared" ca="1" si="13"/>
        <v>-960690.499885072</v>
      </c>
      <c r="Y69" s="35">
        <f t="shared" ca="1" si="14"/>
        <v>0.11484182838397496</v>
      </c>
    </row>
    <row r="70" spans="1:25">
      <c r="A70" s="541">
        <f>'Monthly Data'!A70</f>
        <v>44440</v>
      </c>
      <c r="B70">
        <f t="shared" si="5"/>
        <v>2021</v>
      </c>
      <c r="C70">
        <f t="shared" si="6"/>
        <v>9</v>
      </c>
      <c r="D70" s="30">
        <f>'Monthly Data'!F70</f>
        <v>5638411.6713668425</v>
      </c>
      <c r="E70" s="33">
        <f t="shared" ca="1" si="17"/>
        <v>114.73583333333336</v>
      </c>
      <c r="F70" s="33">
        <f t="shared" ca="1" si="17"/>
        <v>95.131249999999994</v>
      </c>
      <c r="G70" s="33">
        <f>'Monthly Data'!AS70</f>
        <v>105.07500000000002</v>
      </c>
      <c r="H70" s="33">
        <f>'Monthly Data'!AZ70</f>
        <v>83.741666666666646</v>
      </c>
      <c r="I70" s="18">
        <f>'Monthly Data'!G70</f>
        <v>10107</v>
      </c>
      <c r="J70">
        <f>'Monthly Data'!BU70</f>
        <v>30</v>
      </c>
      <c r="K70" s="33">
        <f t="shared" ca="1" si="15"/>
        <v>86.051875000000024</v>
      </c>
      <c r="L70" s="33">
        <f t="shared" ca="1" si="16"/>
        <v>71.348437499999989</v>
      </c>
      <c r="M70" s="33">
        <f>'Monthly Data'!CQ70</f>
        <v>78.806250000000006</v>
      </c>
      <c r="N70" s="33">
        <f>'Monthly Data'!CX70</f>
        <v>62.806249999999984</v>
      </c>
      <c r="O70">
        <f>'Monthly Data'!BY70</f>
        <v>0.75</v>
      </c>
      <c r="P70" s="18"/>
      <c r="Q70" s="18">
        <f ca="1">(E70-G70)*'Res Predicted Monthly'!$X$9</f>
        <v>63293.993070046316</v>
      </c>
      <c r="R70" s="18">
        <f ca="1">(F70-H70)*'Res Predicted Monthly'!$X$10</f>
        <v>166118.06699014598</v>
      </c>
      <c r="S70" s="18"/>
      <c r="T70" s="18"/>
      <c r="U70" s="18">
        <f ca="1">(K70-M70)*'Res Predicted Monthly'!$X$13</f>
        <v>3918.6138883340932</v>
      </c>
      <c r="V70" s="18">
        <f ca="1">(L70-N70)*'Res Predicted Monthly'!$X$14</f>
        <v>18740.006838744725</v>
      </c>
      <c r="W70" s="30">
        <f t="shared" ca="1" si="8"/>
        <v>5890482.3521541143</v>
      </c>
      <c r="X70" s="30">
        <f t="shared" ca="1" si="13"/>
        <v>252070.68078727182</v>
      </c>
      <c r="Y70" s="35">
        <f t="shared" ca="1" si="14"/>
        <v>4.4705973149733812E-2</v>
      </c>
    </row>
    <row r="71" spans="1:25">
      <c r="A71" s="541">
        <f>'Monthly Data'!A71</f>
        <v>44470</v>
      </c>
      <c r="B71">
        <f t="shared" si="5"/>
        <v>2021</v>
      </c>
      <c r="C71">
        <f t="shared" si="6"/>
        <v>10</v>
      </c>
      <c r="D71" s="30">
        <f>'Monthly Data'!F71</f>
        <v>5991389.1807823749</v>
      </c>
      <c r="E71" s="33">
        <f t="shared" ca="1" si="17"/>
        <v>302.40479166666665</v>
      </c>
      <c r="F71" s="33">
        <f t="shared" ca="1" si="17"/>
        <v>21.813750000000006</v>
      </c>
      <c r="G71" s="33">
        <f>'Monthly Data'!AS71</f>
        <v>232.72916666666669</v>
      </c>
      <c r="H71" s="33">
        <f>'Monthly Data'!AZ71</f>
        <v>38.133333333333326</v>
      </c>
      <c r="I71" s="18">
        <f>'Monthly Data'!G71</f>
        <v>10112</v>
      </c>
      <c r="J71">
        <f>'Monthly Data'!BU71</f>
        <v>31</v>
      </c>
      <c r="K71" s="33">
        <f t="shared" ca="1" si="15"/>
        <v>226.80359375</v>
      </c>
      <c r="L71" s="33">
        <f t="shared" ca="1" si="16"/>
        <v>16.360312500000006</v>
      </c>
      <c r="M71" s="33">
        <f>'Monthly Data'!CQ71</f>
        <v>174.546875</v>
      </c>
      <c r="N71" s="33">
        <f>'Monthly Data'!CX71</f>
        <v>28.599999999999994</v>
      </c>
      <c r="O71">
        <f>'Monthly Data'!BY71</f>
        <v>0.75</v>
      </c>
      <c r="P71" s="18"/>
      <c r="Q71" s="18">
        <f ca="1">(E71-G71)*'Res Predicted Monthly'!$X$9</f>
        <v>456487.38299675385</v>
      </c>
      <c r="R71" s="18">
        <f ca="1">(F71-H71)*'Res Predicted Monthly'!$X$10</f>
        <v>-238022.54727649654</v>
      </c>
      <c r="S71" s="18"/>
      <c r="T71" s="18"/>
      <c r="U71" s="18">
        <f ca="1">(K71-M71)*'Res Predicted Monthly'!$X$13</f>
        <v>28261.730886226946</v>
      </c>
      <c r="V71" s="18">
        <f ca="1">(L71-N71)*'Res Predicted Monthly'!$X$14</f>
        <v>-26851.649820856539</v>
      </c>
      <c r="W71" s="30">
        <f t="shared" ca="1" si="8"/>
        <v>6211264.0975680016</v>
      </c>
      <c r="X71" s="30">
        <f t="shared" ca="1" si="13"/>
        <v>219874.91678562667</v>
      </c>
      <c r="Y71" s="35">
        <f t="shared" ca="1" si="14"/>
        <v>3.6698486803508679E-2</v>
      </c>
    </row>
    <row r="72" spans="1:25">
      <c r="A72" s="541">
        <f>'Monthly Data'!A72</f>
        <v>44501</v>
      </c>
      <c r="B72">
        <f t="shared" ref="B72:B127" si="18">YEAR(A72)</f>
        <v>2021</v>
      </c>
      <c r="C72">
        <f t="shared" ref="C72:C127" si="19">MONTH(A72)</f>
        <v>11</v>
      </c>
      <c r="D72" s="30">
        <f>'Monthly Data'!F72</f>
        <v>7003129.6901979083</v>
      </c>
      <c r="E72" s="33">
        <f t="shared" ca="1" si="17"/>
        <v>526.09395833333338</v>
      </c>
      <c r="F72" s="33">
        <f t="shared" ca="1" si="17"/>
        <v>2.2795833333333335</v>
      </c>
      <c r="G72" s="33">
        <f>'Monthly Data'!AS72</f>
        <v>524.32083333333333</v>
      </c>
      <c r="H72" s="33">
        <f>'Monthly Data'!AZ72</f>
        <v>0</v>
      </c>
      <c r="I72" s="18">
        <f>'Monthly Data'!G72</f>
        <v>10114</v>
      </c>
      <c r="J72">
        <f>'Monthly Data'!BU72</f>
        <v>30</v>
      </c>
      <c r="K72" s="33">
        <f t="shared" ca="1" si="15"/>
        <v>394.57046875000003</v>
      </c>
      <c r="L72" s="33">
        <f t="shared" ca="1" si="16"/>
        <v>1.7096875000000002</v>
      </c>
      <c r="M72" s="33">
        <f>'Monthly Data'!CQ72</f>
        <v>393.24062500000002</v>
      </c>
      <c r="N72" s="33">
        <f>'Monthly Data'!CX72</f>
        <v>0</v>
      </c>
      <c r="O72">
        <f>'Monthly Data'!BY72</f>
        <v>0.75</v>
      </c>
      <c r="P72" s="18"/>
      <c r="Q72" s="18">
        <f ca="1">(E72-G72)*'Res Predicted Monthly'!$X$9</f>
        <v>11616.819956421523</v>
      </c>
      <c r="R72" s="18">
        <f ca="1">(F72-H72)*'Res Predicted Monthly'!$X$10</f>
        <v>33247.921876827779</v>
      </c>
      <c r="S72" s="18"/>
      <c r="T72" s="18"/>
      <c r="U72" s="18">
        <f ca="1">(K72-M72)*'Res Predicted Monthly'!$X$13</f>
        <v>719.21251625143645</v>
      </c>
      <c r="V72" s="18">
        <f ca="1">(L72-N72)*'Res Predicted Monthly'!$X$14</f>
        <v>3750.7436405623689</v>
      </c>
      <c r="W72" s="30">
        <f t="shared" ca="1" si="8"/>
        <v>7052464.3881879719</v>
      </c>
      <c r="X72" s="30">
        <f t="shared" ca="1" si="13"/>
        <v>49334.697990063578</v>
      </c>
      <c r="Y72" s="35">
        <f t="shared" ca="1" si="14"/>
        <v>7.0446643390191703E-3</v>
      </c>
    </row>
    <row r="73" spans="1:25">
      <c r="A73" s="541">
        <f>'Monthly Data'!A73</f>
        <v>44531</v>
      </c>
      <c r="B73">
        <f t="shared" si="18"/>
        <v>2021</v>
      </c>
      <c r="C73">
        <f t="shared" si="19"/>
        <v>12</v>
      </c>
      <c r="D73" s="30">
        <f>'Monthly Data'!F73</f>
        <v>8633204.8396134414</v>
      </c>
      <c r="E73" s="33">
        <f t="shared" ca="1" si="17"/>
        <v>750.36333333333334</v>
      </c>
      <c r="F73" s="33">
        <f t="shared" ca="1" si="17"/>
        <v>0</v>
      </c>
      <c r="G73" s="33">
        <f>'Monthly Data'!AS73</f>
        <v>702.20624999999995</v>
      </c>
      <c r="H73" s="33">
        <f>'Monthly Data'!AZ73</f>
        <v>0</v>
      </c>
      <c r="I73" s="18">
        <f>'Monthly Data'!G73</f>
        <v>10127</v>
      </c>
      <c r="J73">
        <f>'Monthly Data'!BU73</f>
        <v>31</v>
      </c>
      <c r="K73" s="33">
        <f t="shared" ca="1" si="15"/>
        <v>562.77250000000004</v>
      </c>
      <c r="L73" s="33">
        <f t="shared" ca="1" si="16"/>
        <v>0</v>
      </c>
      <c r="M73" s="33">
        <f>'Monthly Data'!CQ73</f>
        <v>526.65468749999991</v>
      </c>
      <c r="N73" s="33">
        <f>'Monthly Data'!CX73</f>
        <v>0</v>
      </c>
      <c r="O73">
        <f>'Monthly Data'!BY73</f>
        <v>0.75</v>
      </c>
      <c r="P73" s="18"/>
      <c r="Q73" s="18">
        <f ca="1">(E73-G73)*'Res Predicted Monthly'!$X$9</f>
        <v>315506.33300512139</v>
      </c>
      <c r="R73" s="18">
        <f ca="1">(F73-H73)*'Res Predicted Monthly'!$X$10</f>
        <v>0</v>
      </c>
      <c r="S73" s="18"/>
      <c r="T73" s="18"/>
      <c r="U73" s="18">
        <f ca="1">(K73-M73)*'Res Predicted Monthly'!$X$13</f>
        <v>19533.409702923745</v>
      </c>
      <c r="V73" s="18">
        <f ca="1">(L73-N73)*'Res Predicted Monthly'!$X$14</f>
        <v>0</v>
      </c>
      <c r="W73" s="30">
        <f t="shared" ca="1" si="8"/>
        <v>8968244.5823214855</v>
      </c>
      <c r="X73" s="30">
        <f t="shared" ca="1" si="13"/>
        <v>335039.74270804413</v>
      </c>
      <c r="Y73" s="35">
        <f t="shared" ca="1" si="14"/>
        <v>3.8808269806215531E-2</v>
      </c>
    </row>
    <row r="74" spans="1:25">
      <c r="A74" s="541">
        <f>'Monthly Data'!A74</f>
        <v>44562</v>
      </c>
      <c r="B74">
        <f t="shared" si="18"/>
        <v>2022</v>
      </c>
      <c r="C74">
        <f t="shared" si="19"/>
        <v>1</v>
      </c>
      <c r="D74" s="30">
        <f>'Monthly Data'!F74</f>
        <v>10532825.528697059</v>
      </c>
      <c r="E74" s="33">
        <f t="shared" ca="1" si="17"/>
        <v>852.55166666666662</v>
      </c>
      <c r="F74" s="33">
        <f t="shared" ca="1" si="17"/>
        <v>0</v>
      </c>
      <c r="G74" s="33">
        <f>'Monthly Data'!AS74</f>
        <v>1056.6333333333332</v>
      </c>
      <c r="H74" s="33">
        <f>'Monthly Data'!AZ74</f>
        <v>0</v>
      </c>
      <c r="I74" s="18">
        <f>'Monthly Data'!G74</f>
        <v>10147</v>
      </c>
      <c r="J74">
        <f>'Monthly Data'!BU74</f>
        <v>31</v>
      </c>
      <c r="K74" s="33">
        <f t="shared" ca="1" si="15"/>
        <v>426.27583333333331</v>
      </c>
      <c r="L74" s="33">
        <f t="shared" ca="1" si="16"/>
        <v>0</v>
      </c>
      <c r="M74" s="33">
        <f>'Monthly Data'!CQ74</f>
        <v>528.31666666666661</v>
      </c>
      <c r="N74" s="33">
        <f>'Monthly Data'!CX74</f>
        <v>0</v>
      </c>
      <c r="O74">
        <f>'Monthly Data'!BY74</f>
        <v>0.5</v>
      </c>
      <c r="P74" s="18"/>
      <c r="Q74" s="18">
        <f ca="1">(E74-G74)*'Res Predicted Monthly'!$X$9</f>
        <v>-1337063.082452185</v>
      </c>
      <c r="R74" s="18">
        <f ca="1">(F74-H74)*'Res Predicted Monthly'!$X$10</f>
        <v>0</v>
      </c>
      <c r="S74" s="18"/>
      <c r="T74" s="18"/>
      <c r="U74" s="18">
        <f ca="1">(K74-M74)*'Res Predicted Monthly'!$X$13</f>
        <v>-55186.216051366631</v>
      </c>
      <c r="V74" s="18">
        <f ca="1">(L74-N74)*'Res Predicted Monthly'!$X$14</f>
        <v>0</v>
      </c>
      <c r="W74" s="30">
        <f t="shared" ca="1" si="8"/>
        <v>9140576.2301935069</v>
      </c>
      <c r="X74" s="30">
        <f t="shared" ca="1" si="13"/>
        <v>-1392249.2985035516</v>
      </c>
      <c r="Y74" s="35">
        <f t="shared" ca="1" si="14"/>
        <v>0.13218193871248687</v>
      </c>
    </row>
    <row r="75" spans="1:25">
      <c r="A75" s="541">
        <f>'Monthly Data'!A75</f>
        <v>44593</v>
      </c>
      <c r="B75">
        <f t="shared" si="18"/>
        <v>2022</v>
      </c>
      <c r="C75">
        <f t="shared" si="19"/>
        <v>2</v>
      </c>
      <c r="D75" s="30">
        <f>'Monthly Data'!F75</f>
        <v>8586318.012812933</v>
      </c>
      <c r="E75" s="33">
        <f t="shared" ca="1" si="17"/>
        <v>747.22854166666662</v>
      </c>
      <c r="F75" s="33">
        <f t="shared" ca="1" si="17"/>
        <v>0</v>
      </c>
      <c r="G75" s="33">
        <f>'Monthly Data'!AS75</f>
        <v>785.76666666666654</v>
      </c>
      <c r="H75" s="33">
        <f>'Monthly Data'!AZ75</f>
        <v>0</v>
      </c>
      <c r="I75" s="18">
        <f>'Monthly Data'!G75</f>
        <v>10147</v>
      </c>
      <c r="J75">
        <f>'Monthly Data'!BU75</f>
        <v>29</v>
      </c>
      <c r="K75" s="33">
        <f t="shared" ca="1" si="15"/>
        <v>373.61427083333331</v>
      </c>
      <c r="L75" s="33">
        <f t="shared" ca="1" si="16"/>
        <v>0</v>
      </c>
      <c r="M75" s="33">
        <f>'Monthly Data'!CQ75</f>
        <v>392.88333333333327</v>
      </c>
      <c r="N75" s="33">
        <f>'Monthly Data'!CX75</f>
        <v>0</v>
      </c>
      <c r="O75">
        <f>'Monthly Data'!BY75</f>
        <v>0.5</v>
      </c>
      <c r="P75" s="18"/>
      <c r="Q75" s="18">
        <f ca="1">(E75-G75)*'Res Predicted Monthly'!$X$9</f>
        <v>-252486.68852058012</v>
      </c>
      <c r="R75" s="18">
        <f ca="1">(F75-H75)*'Res Predicted Monthly'!$X$10</f>
        <v>0</v>
      </c>
      <c r="S75" s="18"/>
      <c r="T75" s="18"/>
      <c r="U75" s="18">
        <f ca="1">(K75-M75)*'Res Predicted Monthly'!$X$13</f>
        <v>-10421.187396211828</v>
      </c>
      <c r="V75" s="18">
        <f ca="1">(L75-N75)*'Res Predicted Monthly'!$X$14</f>
        <v>0</v>
      </c>
      <c r="W75" s="30">
        <f t="shared" ca="1" si="8"/>
        <v>8323410.1368961409</v>
      </c>
      <c r="X75" s="30">
        <f t="shared" ca="1" si="13"/>
        <v>-262907.87591679208</v>
      </c>
      <c r="Y75" s="35">
        <f t="shared" ca="1" si="14"/>
        <v>3.0619396524152472E-2</v>
      </c>
    </row>
    <row r="76" spans="1:25">
      <c r="A76" s="541">
        <f>'Monthly Data'!A76</f>
        <v>44621</v>
      </c>
      <c r="B76">
        <f t="shared" si="18"/>
        <v>2022</v>
      </c>
      <c r="C76">
        <f t="shared" si="19"/>
        <v>3</v>
      </c>
      <c r="D76" s="30">
        <f>'Monthly Data'!F76</f>
        <v>8070371.4969288055</v>
      </c>
      <c r="E76" s="33">
        <f t="shared" ca="1" si="17"/>
        <v>636.29604166666672</v>
      </c>
      <c r="F76" s="33">
        <f t="shared" ca="1" si="17"/>
        <v>0</v>
      </c>
      <c r="G76" s="33">
        <f>'Monthly Data'!AS76</f>
        <v>642.6583333333333</v>
      </c>
      <c r="H76" s="33">
        <f>'Monthly Data'!AZ76</f>
        <v>0</v>
      </c>
      <c r="I76" s="18">
        <f>'Monthly Data'!G76</f>
        <v>10148</v>
      </c>
      <c r="J76">
        <f>'Monthly Data'!BU76</f>
        <v>31</v>
      </c>
      <c r="K76" s="33">
        <f t="shared" ca="1" si="15"/>
        <v>318.14802083333336</v>
      </c>
      <c r="L76" s="33">
        <f t="shared" ca="1" si="16"/>
        <v>0</v>
      </c>
      <c r="M76" s="33">
        <f>'Monthly Data'!CQ76</f>
        <v>321.32916666666665</v>
      </c>
      <c r="N76" s="33">
        <f>'Monthly Data'!CX76</f>
        <v>0</v>
      </c>
      <c r="O76">
        <f>'Monthly Data'!BY76</f>
        <v>0.5</v>
      </c>
      <c r="P76" s="18"/>
      <c r="Q76" s="18">
        <f ca="1">(E76-G76)*'Res Predicted Monthly'!$X$9</f>
        <v>-41683.241058529195</v>
      </c>
      <c r="R76" s="18">
        <f ca="1">(F76-H76)*'Res Predicted Monthly'!$X$10</f>
        <v>0</v>
      </c>
      <c r="S76" s="18"/>
      <c r="T76" s="18"/>
      <c r="U76" s="18">
        <f ca="1">(K76-M76)*'Res Predicted Monthly'!$X$13</f>
        <v>-1720.4426455020691</v>
      </c>
      <c r="V76" s="18">
        <f ca="1">(L76-N76)*'Res Predicted Monthly'!$X$14</f>
        <v>0</v>
      </c>
      <c r="W76" s="30">
        <f t="shared" ca="1" si="8"/>
        <v>8026967.8132247739</v>
      </c>
      <c r="X76" s="30">
        <f t="shared" ca="1" si="13"/>
        <v>-43403.683704031631</v>
      </c>
      <c r="Y76" s="35">
        <f t="shared" ca="1" si="14"/>
        <v>5.3781518881192746E-3</v>
      </c>
    </row>
    <row r="77" spans="1:25">
      <c r="A77" s="541">
        <f>'Monthly Data'!A77</f>
        <v>44652</v>
      </c>
      <c r="B77">
        <f t="shared" si="18"/>
        <v>2022</v>
      </c>
      <c r="C77">
        <f t="shared" si="19"/>
        <v>4</v>
      </c>
      <c r="D77" s="30">
        <f>'Monthly Data'!F77</f>
        <v>6548410.9810446789</v>
      </c>
      <c r="E77" s="33">
        <f t="shared" ca="1" si="17"/>
        <v>408.60374999999999</v>
      </c>
      <c r="F77" s="33">
        <f t="shared" ca="1" si="17"/>
        <v>2.8104166666666677</v>
      </c>
      <c r="G77" s="33">
        <f>'Monthly Data'!AS77</f>
        <v>401.22083333333353</v>
      </c>
      <c r="H77" s="33">
        <f>'Monthly Data'!AZ77</f>
        <v>0</v>
      </c>
      <c r="I77" s="18">
        <f>'Monthly Data'!G77</f>
        <v>10144</v>
      </c>
      <c r="J77">
        <f>'Monthly Data'!BU77</f>
        <v>30</v>
      </c>
      <c r="K77" s="33">
        <f t="shared" ca="1" si="15"/>
        <v>204.301875</v>
      </c>
      <c r="L77" s="33">
        <f t="shared" ca="1" si="16"/>
        <v>1.4052083333333338</v>
      </c>
      <c r="M77" s="33">
        <f>'Monthly Data'!CQ77</f>
        <v>200.61041666666677</v>
      </c>
      <c r="N77" s="33">
        <f>'Monthly Data'!CX77</f>
        <v>0</v>
      </c>
      <c r="O77">
        <f>'Monthly Data'!BY77</f>
        <v>0.5</v>
      </c>
      <c r="P77" s="18"/>
      <c r="Q77" s="18">
        <f ca="1">(E77-G77)*'Res Predicted Monthly'!$X$9</f>
        <v>48369.975985858626</v>
      </c>
      <c r="R77" s="18">
        <f ca="1">(F77-H77)*'Res Predicted Monthly'!$X$10</f>
        <v>40990.172374191818</v>
      </c>
      <c r="S77" s="18"/>
      <c r="T77" s="18"/>
      <c r="U77" s="18">
        <f ca="1">(K77-M77)*'Res Predicted Monthly'!$X$13</f>
        <v>1996.4323151151466</v>
      </c>
      <c r="V77" s="18">
        <f ca="1">(L77-N77)*'Res Predicted Monthly'!$X$14</f>
        <v>3082.7716877588718</v>
      </c>
      <c r="W77" s="30">
        <f t="shared" ca="1" si="8"/>
        <v>6642850.3334076032</v>
      </c>
      <c r="X77" s="30">
        <f t="shared" ca="1" si="13"/>
        <v>94439.352362924255</v>
      </c>
      <c r="Y77" s="35">
        <f t="shared" ca="1" si="14"/>
        <v>1.4421720419853396E-2</v>
      </c>
    </row>
    <row r="78" spans="1:25">
      <c r="A78" s="541">
        <f>'Monthly Data'!A78</f>
        <v>44682</v>
      </c>
      <c r="B78">
        <f t="shared" si="18"/>
        <v>2022</v>
      </c>
      <c r="C78">
        <f t="shared" si="19"/>
        <v>5</v>
      </c>
      <c r="D78" s="30">
        <f>'Monthly Data'!F78</f>
        <v>6080494.4651605524</v>
      </c>
      <c r="E78" s="33">
        <f t="shared" ca="1" si="17"/>
        <v>178.10395833333331</v>
      </c>
      <c r="F78" s="33">
        <f t="shared" ca="1" si="17"/>
        <v>74.673124999999999</v>
      </c>
      <c r="G78" s="33">
        <f>'Monthly Data'!AS78</f>
        <v>126.58749999999998</v>
      </c>
      <c r="H78" s="33">
        <f>'Monthly Data'!AZ78</f>
        <v>105.25833333333331</v>
      </c>
      <c r="I78" s="18">
        <f>'Monthly Data'!G78</f>
        <v>10146</v>
      </c>
      <c r="J78">
        <f>'Monthly Data'!BU78</f>
        <v>31</v>
      </c>
      <c r="K78" s="33">
        <f t="shared" ca="1" si="15"/>
        <v>89.051979166666655</v>
      </c>
      <c r="L78" s="33">
        <f t="shared" ca="1" si="16"/>
        <v>37.336562499999999</v>
      </c>
      <c r="M78" s="33">
        <f>'Monthly Data'!CQ78</f>
        <v>63.293749999999989</v>
      </c>
      <c r="N78" s="33">
        <f>'Monthly Data'!CX78</f>
        <v>52.629166666666656</v>
      </c>
      <c r="O78">
        <f>'Monthly Data'!BY78</f>
        <v>0.5</v>
      </c>
      <c r="P78" s="18"/>
      <c r="Q78" s="18">
        <f ca="1">(E78-G78)*'Res Predicted Monthly'!$X$9</f>
        <v>337515.64117070573</v>
      </c>
      <c r="R78" s="18">
        <f ca="1">(F78-H78)*'Res Predicted Monthly'!$X$10</f>
        <v>-446087.93299353006</v>
      </c>
      <c r="S78" s="18"/>
      <c r="T78" s="18"/>
      <c r="U78" s="18">
        <f ca="1">(K78-M78)*'Res Predicted Monthly'!$X$13</f>
        <v>13930.68983716271</v>
      </c>
      <c r="V78" s="18">
        <f ca="1">(L78-N78)*'Res Predicted Monthly'!$X$14</f>
        <v>-33549.194122178778</v>
      </c>
      <c r="W78" s="30">
        <f t="shared" ca="1" si="8"/>
        <v>5952303.6690527117</v>
      </c>
      <c r="X78" s="30">
        <f t="shared" ca="1" si="13"/>
        <v>-128190.79610784072</v>
      </c>
      <c r="Y78" s="35">
        <f t="shared" ca="1" si="14"/>
        <v>2.1082297968090646E-2</v>
      </c>
    </row>
    <row r="79" spans="1:25">
      <c r="A79" s="541">
        <f>'Monthly Data'!A79</f>
        <v>44713</v>
      </c>
      <c r="B79">
        <f t="shared" si="18"/>
        <v>2022</v>
      </c>
      <c r="C79">
        <f t="shared" si="19"/>
        <v>6</v>
      </c>
      <c r="D79" s="30">
        <f>'Monthly Data'!F79</f>
        <v>6310089.9492764249</v>
      </c>
      <c r="E79" s="33">
        <f t="shared" ref="E79:F94" ca="1" si="20">E67</f>
        <v>51.834166666666661</v>
      </c>
      <c r="F79" s="33">
        <f t="shared" ca="1" si="20"/>
        <v>169.78833333333333</v>
      </c>
      <c r="G79" s="33">
        <f>'Monthly Data'!AS79</f>
        <v>54.516666666666666</v>
      </c>
      <c r="H79" s="33">
        <f>'Monthly Data'!AZ79</f>
        <v>152.1875</v>
      </c>
      <c r="I79" s="18">
        <f>'Monthly Data'!G79</f>
        <v>10146</v>
      </c>
      <c r="J79">
        <f>'Monthly Data'!BU79</f>
        <v>30</v>
      </c>
      <c r="K79" s="33">
        <f t="shared" ca="1" si="15"/>
        <v>25.917083333333331</v>
      </c>
      <c r="L79" s="33">
        <f t="shared" ca="1" si="16"/>
        <v>84.894166666666663</v>
      </c>
      <c r="M79" s="33">
        <f>'Monthly Data'!CQ79</f>
        <v>27.258333333333333</v>
      </c>
      <c r="N79" s="33">
        <f>'Monthly Data'!CX79</f>
        <v>76.09375</v>
      </c>
      <c r="O79">
        <f>'Monthly Data'!BY79</f>
        <v>0.5</v>
      </c>
      <c r="P79" s="18"/>
      <c r="Q79" s="18">
        <f ca="1">(E79-G79)*'Res Predicted Monthly'!$X$9</f>
        <v>-17574.688492407418</v>
      </c>
      <c r="R79" s="18">
        <f ca="1">(F79-H79)*'Res Predicted Monthly'!$X$10</f>
        <v>256709.69035294434</v>
      </c>
      <c r="S79" s="18"/>
      <c r="T79" s="18"/>
      <c r="U79" s="18">
        <f ca="1">(K79-M79)*'Res Predicted Monthly'!$X$13</f>
        <v>-725.38129943629406</v>
      </c>
      <c r="V79" s="18">
        <f ca="1">(L79-N79)*'Res Predicted Monthly'!$X$14</f>
        <v>19306.514697451472</v>
      </c>
      <c r="W79" s="30">
        <f t="shared" ca="1" si="8"/>
        <v>6567806.0845349776</v>
      </c>
      <c r="X79" s="30">
        <f t="shared" ca="1" si="13"/>
        <v>257716.13525855262</v>
      </c>
      <c r="Y79" s="35">
        <f t="shared" ca="1" si="14"/>
        <v>4.0841911498916875E-2</v>
      </c>
    </row>
    <row r="80" spans="1:25">
      <c r="A80" s="541">
        <f>'Monthly Data'!A80</f>
        <v>44743</v>
      </c>
      <c r="B80">
        <f t="shared" si="18"/>
        <v>2022</v>
      </c>
      <c r="C80">
        <f t="shared" si="19"/>
        <v>7</v>
      </c>
      <c r="D80" s="30">
        <f>'Monthly Data'!F80</f>
        <v>7465233.4333922984</v>
      </c>
      <c r="E80" s="33">
        <f t="shared" ca="1" si="20"/>
        <v>6.5670833333333318</v>
      </c>
      <c r="F80" s="33">
        <f t="shared" ca="1" si="20"/>
        <v>265.99625000000003</v>
      </c>
      <c r="G80" s="33">
        <f>'Monthly Data'!AS80</f>
        <v>4.4583333333333375</v>
      </c>
      <c r="H80" s="33">
        <f>'Monthly Data'!AZ80</f>
        <v>248.86874999999998</v>
      </c>
      <c r="I80" s="18">
        <f>'Monthly Data'!G80</f>
        <v>10144</v>
      </c>
      <c r="J80">
        <f>'Monthly Data'!BU80</f>
        <v>31</v>
      </c>
      <c r="K80" s="33">
        <f t="shared" ca="1" si="15"/>
        <v>3.2835416666666659</v>
      </c>
      <c r="L80" s="33">
        <f t="shared" ca="1" si="16"/>
        <v>132.99812500000002</v>
      </c>
      <c r="M80" s="33">
        <f>'Monthly Data'!CQ80</f>
        <v>2.2291666666666687</v>
      </c>
      <c r="N80" s="33">
        <f>'Monthly Data'!CX80</f>
        <v>124.43437499999999</v>
      </c>
      <c r="O80">
        <f>'Monthly Data'!BY80</f>
        <v>0.5</v>
      </c>
      <c r="P80" s="18"/>
      <c r="Q80" s="18">
        <f ca="1">(E80-G80)*'Res Predicted Monthly'!$X$9</f>
        <v>13815.703395475857</v>
      </c>
      <c r="R80" s="18">
        <f ca="1">(F80-H80)*'Res Predicted Monthly'!$X$10</f>
        <v>249806.08237413398</v>
      </c>
      <c r="S80" s="18"/>
      <c r="T80" s="18"/>
      <c r="U80" s="18">
        <f ca="1">(K80-M80)*'Res Predicted Monthly'!$X$13</f>
        <v>570.23217714306747</v>
      </c>
      <c r="V80" s="18">
        <f ca="1">(L80-N80)*'Res Predicted Monthly'!$X$14</f>
        <v>18787.311044776361</v>
      </c>
      <c r="W80" s="30">
        <f t="shared" ca="1" si="8"/>
        <v>7748212.7623838279</v>
      </c>
      <c r="X80" s="30">
        <f t="shared" ca="1" si="13"/>
        <v>282979.32899152953</v>
      </c>
      <c r="Y80" s="35">
        <f t="shared" ca="1" si="14"/>
        <v>3.7906293422219225E-2</v>
      </c>
    </row>
    <row r="81" spans="1:25">
      <c r="A81" s="541">
        <f>'Monthly Data'!A81</f>
        <v>44774</v>
      </c>
      <c r="B81">
        <f t="shared" si="18"/>
        <v>2022</v>
      </c>
      <c r="C81">
        <f t="shared" si="19"/>
        <v>8</v>
      </c>
      <c r="D81" s="30">
        <f>'Monthly Data'!F81</f>
        <v>7425747.9175081719</v>
      </c>
      <c r="E81" s="33">
        <f t="shared" ca="1" si="20"/>
        <v>23.263124999999995</v>
      </c>
      <c r="F81" s="33">
        <f t="shared" ca="1" si="20"/>
        <v>218.46562499999996</v>
      </c>
      <c r="G81" s="33">
        <f>'Monthly Data'!AS81</f>
        <v>15.441666666666658</v>
      </c>
      <c r="H81" s="33">
        <f>'Monthly Data'!AZ81</f>
        <v>223.74166666666665</v>
      </c>
      <c r="I81" s="18">
        <f>'Monthly Data'!G81</f>
        <v>10153</v>
      </c>
      <c r="J81">
        <f>'Monthly Data'!BU81</f>
        <v>31</v>
      </c>
      <c r="K81" s="33">
        <f t="shared" ca="1" si="15"/>
        <v>11.631562499999998</v>
      </c>
      <c r="L81" s="33">
        <f t="shared" ca="1" si="16"/>
        <v>109.23281249999998</v>
      </c>
      <c r="M81" s="33">
        <f>'Monthly Data'!CQ81</f>
        <v>7.7208333333333288</v>
      </c>
      <c r="N81" s="33">
        <f>'Monthly Data'!CX81</f>
        <v>111.87083333333332</v>
      </c>
      <c r="O81">
        <f>'Monthly Data'!BY81</f>
        <v>0.5</v>
      </c>
      <c r="P81" s="18"/>
      <c r="Q81" s="18">
        <f ca="1">(E81-G81)*'Res Predicted Monthly'!$X$9</f>
        <v>51243.129082824715</v>
      </c>
      <c r="R81" s="18">
        <f ca="1">(F81-H81)*'Res Predicted Monthly'!$X$10</f>
        <v>-76951.528196917061</v>
      </c>
      <c r="S81" s="18"/>
      <c r="T81" s="18"/>
      <c r="U81" s="18">
        <f ca="1">(K81-M81)*'Res Predicted Monthly'!$X$13</f>
        <v>2115.0194256552313</v>
      </c>
      <c r="V81" s="18">
        <f ca="1">(L81-N81)*'Res Predicted Monthly'!$X$14</f>
        <v>-5787.3382499995323</v>
      </c>
      <c r="W81" s="30">
        <f t="shared" ref="W81:W120" ca="1" si="21">D81+Q81+R81+U81+V81</f>
        <v>7396367.1995697357</v>
      </c>
      <c r="X81" s="30">
        <f t="shared" ca="1" si="13"/>
        <v>-29380.717938436195</v>
      </c>
      <c r="Y81" s="35">
        <f t="shared" ca="1" si="14"/>
        <v>3.956600502040118E-3</v>
      </c>
    </row>
    <row r="82" spans="1:25">
      <c r="A82" s="541">
        <f>'Monthly Data'!A82</f>
        <v>44805</v>
      </c>
      <c r="B82">
        <f t="shared" si="18"/>
        <v>2022</v>
      </c>
      <c r="C82">
        <f t="shared" si="19"/>
        <v>9</v>
      </c>
      <c r="D82" s="30">
        <f>'Monthly Data'!F82</f>
        <v>5812994.4016240453</v>
      </c>
      <c r="E82" s="33">
        <f t="shared" ca="1" si="20"/>
        <v>114.73583333333336</v>
      </c>
      <c r="F82" s="33">
        <f t="shared" ca="1" si="20"/>
        <v>95.131249999999994</v>
      </c>
      <c r="G82" s="33">
        <f>'Monthly Data'!AS82</f>
        <v>130.7791666666667</v>
      </c>
      <c r="H82" s="33">
        <f>'Monthly Data'!AZ82</f>
        <v>74.350000000000023</v>
      </c>
      <c r="I82" s="18">
        <f>'Monthly Data'!G82</f>
        <v>10201</v>
      </c>
      <c r="J82">
        <f>'Monthly Data'!BU82</f>
        <v>30</v>
      </c>
      <c r="K82" s="33">
        <f t="shared" ca="1" si="15"/>
        <v>57.36791666666668</v>
      </c>
      <c r="L82" s="33">
        <f t="shared" ca="1" si="16"/>
        <v>47.565624999999997</v>
      </c>
      <c r="M82" s="33">
        <f>'Monthly Data'!CQ82</f>
        <v>65.389583333333348</v>
      </c>
      <c r="N82" s="33">
        <f>'Monthly Data'!CX82</f>
        <v>37.175000000000011</v>
      </c>
      <c r="O82">
        <f>'Monthly Data'!BY82</f>
        <v>0.5</v>
      </c>
      <c r="P82" s="18"/>
      <c r="Q82" s="18">
        <f ca="1">(E82-G82)*'Res Predicted Monthly'!$X$9</f>
        <v>-105109.63120715351</v>
      </c>
      <c r="R82" s="18">
        <f ca="1">(F82-H82)*'Res Predicted Monthly'!$X$10</f>
        <v>303096.34502043197</v>
      </c>
      <c r="S82" s="18"/>
      <c r="T82" s="18"/>
      <c r="U82" s="18">
        <f ca="1">(K82-M82)*'Res Predicted Monthly'!$X$13</f>
        <v>-4338.3164885826382</v>
      </c>
      <c r="V82" s="18">
        <f ca="1">(L82-N82)*'Res Predicted Monthly'!$X$14</f>
        <v>22795.142761597253</v>
      </c>
      <c r="W82" s="30">
        <f t="shared" ca="1" si="21"/>
        <v>6029437.9417103389</v>
      </c>
      <c r="X82" s="30">
        <f t="shared" ref="X82:X113" ca="1" si="22">W82-D82</f>
        <v>216443.54008629359</v>
      </c>
      <c r="Y82" s="35">
        <f t="shared" ref="Y82:Y113" ca="1" si="23">ABS(X82/D82)</f>
        <v>3.7234431195361753E-2</v>
      </c>
    </row>
    <row r="83" spans="1:25">
      <c r="A83" s="541">
        <f>'Monthly Data'!A83</f>
        <v>44835</v>
      </c>
      <c r="B83">
        <f t="shared" si="18"/>
        <v>2022</v>
      </c>
      <c r="C83">
        <f t="shared" si="19"/>
        <v>10</v>
      </c>
      <c r="D83" s="30">
        <f>'Monthly Data'!F83</f>
        <v>6059998.8857399179</v>
      </c>
      <c r="E83" s="33">
        <f t="shared" ca="1" si="20"/>
        <v>302.40479166666665</v>
      </c>
      <c r="F83" s="33">
        <f t="shared" ca="1" si="20"/>
        <v>21.813750000000006</v>
      </c>
      <c r="G83" s="33">
        <f>'Monthly Data'!AS83</f>
        <v>324.60833333333329</v>
      </c>
      <c r="H83" s="33">
        <f>'Monthly Data'!AZ83</f>
        <v>7.2291666666666661</v>
      </c>
      <c r="I83" s="18">
        <f>'Monthly Data'!G83</f>
        <v>10208</v>
      </c>
      <c r="J83">
        <f>'Monthly Data'!BU83</f>
        <v>31</v>
      </c>
      <c r="K83" s="33">
        <f t="shared" ca="1" si="15"/>
        <v>151.20239583333333</v>
      </c>
      <c r="L83" s="33">
        <f t="shared" ca="1" si="16"/>
        <v>10.906875000000003</v>
      </c>
      <c r="M83" s="33">
        <f>'Monthly Data'!CQ83</f>
        <v>162.30416666666665</v>
      </c>
      <c r="N83" s="33">
        <f>'Monthly Data'!CX83</f>
        <v>3.614583333333333</v>
      </c>
      <c r="O83">
        <f>'Monthly Data'!BY83</f>
        <v>0.5</v>
      </c>
      <c r="P83" s="18"/>
      <c r="Q83" s="18">
        <f ca="1">(E83-G83)*'Res Predicted Monthly'!$X$9</f>
        <v>-145468.90147990835</v>
      </c>
      <c r="R83" s="18">
        <f ca="1">(F83-H83)*'Res Predicted Monthly'!$X$10</f>
        <v>212717.42084712177</v>
      </c>
      <c r="S83" s="18"/>
      <c r="T83" s="18"/>
      <c r="U83" s="18">
        <f ca="1">(K83-M83)*'Res Predicted Monthly'!$X$13</f>
        <v>-6004.113292173166</v>
      </c>
      <c r="V83" s="18">
        <f ca="1">(L83-N83)*'Res Predicted Monthly'!$X$14</f>
        <v>15997.962548053936</v>
      </c>
      <c r="W83" s="30">
        <f t="shared" ca="1" si="21"/>
        <v>6137241.2543630116</v>
      </c>
      <c r="X83" s="30">
        <f t="shared" ca="1" si="22"/>
        <v>77242.368623093702</v>
      </c>
      <c r="Y83" s="35">
        <f t="shared" ca="1" si="23"/>
        <v>1.2746267793028234E-2</v>
      </c>
    </row>
    <row r="84" spans="1:25">
      <c r="A84" s="541">
        <f>'Monthly Data'!A84</f>
        <v>44866</v>
      </c>
      <c r="B84">
        <f t="shared" si="18"/>
        <v>2022</v>
      </c>
      <c r="C84">
        <f t="shared" si="19"/>
        <v>11</v>
      </c>
      <c r="D84" s="30">
        <f>'Monthly Data'!F84</f>
        <v>6806096.3698557913</v>
      </c>
      <c r="E84" s="33">
        <f t="shared" ca="1" si="20"/>
        <v>526.09395833333338</v>
      </c>
      <c r="F84" s="33">
        <f t="shared" ca="1" si="20"/>
        <v>2.2795833333333335</v>
      </c>
      <c r="G84" s="33">
        <f>'Monthly Data'!AS84</f>
        <v>451.01250000000005</v>
      </c>
      <c r="H84" s="33">
        <f>'Monthly Data'!AZ84</f>
        <v>15.083333333333337</v>
      </c>
      <c r="I84" s="18">
        <f>'Monthly Data'!G84</f>
        <v>10218</v>
      </c>
      <c r="J84">
        <f>'Monthly Data'!BU84</f>
        <v>30</v>
      </c>
      <c r="K84" s="33">
        <f t="shared" ca="1" si="15"/>
        <v>263.04697916666669</v>
      </c>
      <c r="L84" s="33">
        <f t="shared" ca="1" si="16"/>
        <v>1.1397916666666668</v>
      </c>
      <c r="M84" s="33">
        <f>'Monthly Data'!CQ84</f>
        <v>225.50625000000002</v>
      </c>
      <c r="N84" s="33">
        <f>'Monthly Data'!CX84</f>
        <v>7.5416666666666687</v>
      </c>
      <c r="O84">
        <f>'Monthly Data'!BY84</f>
        <v>0.5</v>
      </c>
      <c r="P84" s="18"/>
      <c r="Q84" s="18">
        <f ca="1">(E84-G84)*'Res Predicted Monthly'!$X$9</f>
        <v>491904.28397539543</v>
      </c>
      <c r="R84" s="18">
        <f ca="1">(F84-H84)*'Res Predicted Monthly'!$X$10</f>
        <v>-186743.81125078435</v>
      </c>
      <c r="S84" s="18"/>
      <c r="T84" s="18"/>
      <c r="U84" s="18">
        <f ca="1">(K84-M84)*'Res Predicted Monthly'!$X$13</f>
        <v>20302.958363245187</v>
      </c>
      <c r="V84" s="18">
        <f ca="1">(L84-N84)*'Res Predicted Monthly'!$X$14</f>
        <v>-14044.550213957358</v>
      </c>
      <c r="W84" s="30">
        <f t="shared" ca="1" si="21"/>
        <v>7117515.2507296903</v>
      </c>
      <c r="X84" s="30">
        <f t="shared" ca="1" si="22"/>
        <v>311418.88087389898</v>
      </c>
      <c r="Y84" s="35">
        <f t="shared" ca="1" si="23"/>
        <v>4.5755872963123702E-2</v>
      </c>
    </row>
    <row r="85" spans="1:25">
      <c r="A85" s="541">
        <f>'Monthly Data'!A85</f>
        <v>44896</v>
      </c>
      <c r="B85">
        <f t="shared" si="18"/>
        <v>2022</v>
      </c>
      <c r="C85">
        <f t="shared" si="19"/>
        <v>12</v>
      </c>
      <c r="D85" s="30">
        <f>'Monthly Data'!F85</f>
        <v>8382575.8539716648</v>
      </c>
      <c r="E85" s="33">
        <f t="shared" ca="1" si="20"/>
        <v>750.36333333333334</v>
      </c>
      <c r="F85" s="33">
        <f t="shared" ca="1" si="20"/>
        <v>0</v>
      </c>
      <c r="G85" s="33">
        <f>'Monthly Data'!AS85</f>
        <v>661.45416666666654</v>
      </c>
      <c r="H85" s="33">
        <f>'Monthly Data'!AZ85</f>
        <v>0</v>
      </c>
      <c r="I85" s="18">
        <f>'Monthly Data'!G85</f>
        <v>10223</v>
      </c>
      <c r="J85">
        <f>'Monthly Data'!BU85</f>
        <v>31</v>
      </c>
      <c r="K85" s="33">
        <f t="shared" ca="1" si="15"/>
        <v>375.18166666666667</v>
      </c>
      <c r="L85" s="33">
        <f t="shared" ca="1" si="16"/>
        <v>0</v>
      </c>
      <c r="M85" s="33">
        <f>'Monthly Data'!CQ85</f>
        <v>330.72708333333327</v>
      </c>
      <c r="N85" s="33">
        <f>'Monthly Data'!CX85</f>
        <v>0</v>
      </c>
      <c r="O85">
        <f>'Monthly Data'!BY85</f>
        <v>0.5</v>
      </c>
      <c r="P85" s="18"/>
      <c r="Q85" s="18">
        <f ca="1">(E85-G85)*'Res Predicted Monthly'!$X$9</f>
        <v>582498.00868078275</v>
      </c>
      <c r="R85" s="18">
        <f ca="1">(F85-H85)*'Res Predicted Monthly'!$X$10</f>
        <v>0</v>
      </c>
      <c r="S85" s="18"/>
      <c r="T85" s="18"/>
      <c r="U85" s="18">
        <f ca="1">(K85-M85)*'Res Predicted Monthly'!$X$13</f>
        <v>24042.142347983114</v>
      </c>
      <c r="V85" s="18">
        <f ca="1">(L85-N85)*'Res Predicted Monthly'!$X$14</f>
        <v>0</v>
      </c>
      <c r="W85" s="30">
        <f t="shared" ca="1" si="21"/>
        <v>8989116.0050004311</v>
      </c>
      <c r="X85" s="30">
        <f t="shared" ca="1" si="22"/>
        <v>606540.1510287663</v>
      </c>
      <c r="Y85" s="35">
        <f t="shared" ca="1" si="23"/>
        <v>7.2357251708183176E-2</v>
      </c>
    </row>
    <row r="86" spans="1:25">
      <c r="A86" s="541">
        <f>'Monthly Data'!A86</f>
        <v>44927</v>
      </c>
      <c r="B86">
        <f t="shared" si="18"/>
        <v>2023</v>
      </c>
      <c r="C86">
        <f t="shared" si="19"/>
        <v>1</v>
      </c>
      <c r="D86" s="30">
        <f>'Monthly Data'!F86</f>
        <v>8740554.5448313784</v>
      </c>
      <c r="E86" s="33">
        <f t="shared" ca="1" si="20"/>
        <v>852.55166666666662</v>
      </c>
      <c r="F86" s="33">
        <f t="shared" ca="1" si="20"/>
        <v>0</v>
      </c>
      <c r="G86" s="33">
        <f>'Monthly Data'!AS86</f>
        <v>759.78333333333342</v>
      </c>
      <c r="H86" s="33">
        <f>'Monthly Data'!AZ86</f>
        <v>0</v>
      </c>
      <c r="I86" s="18">
        <f>'Monthly Data'!G86</f>
        <v>10225</v>
      </c>
      <c r="J86">
        <f>'Monthly Data'!BU86</f>
        <v>31</v>
      </c>
      <c r="K86" s="33">
        <f t="shared" ca="1" si="15"/>
        <v>213.13791666666665</v>
      </c>
      <c r="L86" s="33">
        <f t="shared" ca="1" si="16"/>
        <v>0</v>
      </c>
      <c r="M86" s="33">
        <f>'Monthly Data'!CQ86</f>
        <v>189.94583333333335</v>
      </c>
      <c r="N86" s="33">
        <f>'Monthly Data'!CX86</f>
        <v>0</v>
      </c>
      <c r="O86">
        <f>'Monthly Data'!BY86</f>
        <v>0.25</v>
      </c>
      <c r="P86" s="18"/>
      <c r="Q86" s="18">
        <f ca="1">(E86-G86)*'Res Predicted Monthly'!$X$9</f>
        <v>607781.75593407045</v>
      </c>
      <c r="R86" s="18">
        <f ca="1">(F86-H86)*'Res Predicted Monthly'!$X$10</f>
        <v>0</v>
      </c>
      <c r="S86" s="18"/>
      <c r="T86" s="18"/>
      <c r="U86" s="18">
        <f ca="1">(K86-M86)*'Res Predicted Monthly'!$X$13</f>
        <v>12542.854460367642</v>
      </c>
      <c r="V86" s="18">
        <f ca="1">(L86-N86)*'Res Predicted Monthly'!$X$14</f>
        <v>0</v>
      </c>
      <c r="W86" s="30">
        <f t="shared" ca="1" si="21"/>
        <v>9360879.1552258171</v>
      </c>
      <c r="X86" s="30">
        <f t="shared" ca="1" si="22"/>
        <v>620324.61039443873</v>
      </c>
      <c r="Y86" s="35">
        <f t="shared" ca="1" si="23"/>
        <v>7.0970852846088603E-2</v>
      </c>
    </row>
    <row r="87" spans="1:25">
      <c r="A87" s="541">
        <f>'Monthly Data'!A87</f>
        <v>44958</v>
      </c>
      <c r="B87">
        <f t="shared" si="18"/>
        <v>2023</v>
      </c>
      <c r="C87">
        <f t="shared" si="19"/>
        <v>2</v>
      </c>
      <c r="D87" s="30">
        <f>'Monthly Data'!F87</f>
        <v>8231333.1919643153</v>
      </c>
      <c r="E87" s="33">
        <f t="shared" ca="1" si="20"/>
        <v>747.22854166666662</v>
      </c>
      <c r="F87" s="33">
        <f t="shared" ca="1" si="20"/>
        <v>0</v>
      </c>
      <c r="G87" s="33">
        <f>'Monthly Data'!AS87</f>
        <v>737.05833333333328</v>
      </c>
      <c r="H87" s="33">
        <f>'Monthly Data'!AZ87</f>
        <v>0</v>
      </c>
      <c r="I87" s="18">
        <f>'Monthly Data'!G87</f>
        <v>10255</v>
      </c>
      <c r="J87">
        <f>'Monthly Data'!BU87</f>
        <v>28</v>
      </c>
      <c r="K87" s="33">
        <f t="shared" ca="1" si="15"/>
        <v>186.80713541666665</v>
      </c>
      <c r="L87" s="33">
        <f t="shared" ca="1" si="16"/>
        <v>0</v>
      </c>
      <c r="M87" s="33">
        <f>'Monthly Data'!CQ87</f>
        <v>184.26458333333332</v>
      </c>
      <c r="N87" s="33">
        <f>'Monthly Data'!CX87</f>
        <v>0</v>
      </c>
      <c r="O87">
        <f>'Monthly Data'!BY87</f>
        <v>0.25</v>
      </c>
      <c r="P87" s="18"/>
      <c r="Q87" s="18">
        <f ca="1">(E87-G87)*'Res Predicted Monthly'!$X$9</f>
        <v>66631.218401200036</v>
      </c>
      <c r="R87" s="18">
        <f ca="1">(F87-H87)*'Res Predicted Monthly'!$X$10</f>
        <v>0</v>
      </c>
      <c r="S87" s="18"/>
      <c r="T87" s="18"/>
      <c r="U87" s="18">
        <f ca="1">(K87-M87)*'Res Predicted Monthly'!$X$13</f>
        <v>1375.0752910291051</v>
      </c>
      <c r="V87" s="18">
        <f ca="1">(L87-N87)*'Res Predicted Monthly'!$X$14</f>
        <v>0</v>
      </c>
      <c r="W87" s="30">
        <f t="shared" ca="1" si="21"/>
        <v>8299339.4856565446</v>
      </c>
      <c r="X87" s="30">
        <f t="shared" ca="1" si="22"/>
        <v>68006.293692229316</v>
      </c>
      <c r="Y87" s="35">
        <f t="shared" ca="1" si="23"/>
        <v>8.261880804268644E-3</v>
      </c>
    </row>
    <row r="88" spans="1:25">
      <c r="A88" s="541">
        <f>'Monthly Data'!A88</f>
        <v>44986</v>
      </c>
      <c r="B88">
        <f t="shared" si="18"/>
        <v>2023</v>
      </c>
      <c r="C88">
        <f t="shared" si="19"/>
        <v>3</v>
      </c>
      <c r="D88" s="30">
        <f>'Monthly Data'!F88</f>
        <v>7931351.8390972503</v>
      </c>
      <c r="E88" s="33">
        <f t="shared" ca="1" si="20"/>
        <v>636.29604166666672</v>
      </c>
      <c r="F88" s="33">
        <f t="shared" ca="1" si="20"/>
        <v>0</v>
      </c>
      <c r="G88" s="33">
        <f>'Monthly Data'!AS88</f>
        <v>628.10000000000025</v>
      </c>
      <c r="H88" s="33">
        <f>'Monthly Data'!AZ88</f>
        <v>0</v>
      </c>
      <c r="I88" s="18">
        <f>'Monthly Data'!G88</f>
        <v>10268</v>
      </c>
      <c r="J88">
        <f>'Monthly Data'!BU88</f>
        <v>31</v>
      </c>
      <c r="K88" s="33">
        <f t="shared" ca="1" si="15"/>
        <v>159.07401041666668</v>
      </c>
      <c r="L88" s="33">
        <f t="shared" ca="1" si="16"/>
        <v>0</v>
      </c>
      <c r="M88" s="33">
        <f>'Monthly Data'!CQ88</f>
        <v>157.02500000000006</v>
      </c>
      <c r="N88" s="33">
        <f>'Monthly Data'!CX88</f>
        <v>0</v>
      </c>
      <c r="O88">
        <f>'Monthly Data'!BY88</f>
        <v>0.25</v>
      </c>
      <c r="P88" s="18"/>
      <c r="Q88" s="18">
        <f ca="1">(E88-G88)*'Res Predicted Monthly'!$X$9</f>
        <v>53697.252250682111</v>
      </c>
      <c r="R88" s="18">
        <f ca="1">(F88-H88)*'Res Predicted Monthly'!$X$10</f>
        <v>0</v>
      </c>
      <c r="S88" s="18"/>
      <c r="T88" s="18"/>
      <c r="U88" s="18">
        <f ca="1">(K88-M88)*'Res Predicted Monthly'!$X$13</f>
        <v>1108.1557044548977</v>
      </c>
      <c r="V88" s="18">
        <f ca="1">(L88-N88)*'Res Predicted Monthly'!$X$14</f>
        <v>0</v>
      </c>
      <c r="W88" s="30">
        <f t="shared" ca="1" si="21"/>
        <v>7986157.2470523873</v>
      </c>
      <c r="X88" s="30">
        <f t="shared" ca="1" si="22"/>
        <v>54805.407955137081</v>
      </c>
      <c r="Y88" s="35">
        <f t="shared" ca="1" si="23"/>
        <v>6.909970591012774E-3</v>
      </c>
    </row>
    <row r="89" spans="1:25">
      <c r="A89" s="541">
        <f>'Monthly Data'!A89</f>
        <v>45017</v>
      </c>
      <c r="B89">
        <f t="shared" si="18"/>
        <v>2023</v>
      </c>
      <c r="C89">
        <f t="shared" si="19"/>
        <v>4</v>
      </c>
      <c r="D89" s="30">
        <f>'Monthly Data'!F89</f>
        <v>6481760.4862301862</v>
      </c>
      <c r="E89" s="33">
        <f t="shared" ca="1" si="20"/>
        <v>408.60374999999999</v>
      </c>
      <c r="F89" s="33">
        <f t="shared" ca="1" si="20"/>
        <v>2.8104166666666677</v>
      </c>
      <c r="G89" s="33">
        <f>'Monthly Data'!AS89</f>
        <v>360.70833333333337</v>
      </c>
      <c r="H89" s="33">
        <f>'Monthly Data'!AZ89</f>
        <v>7.1333333333333417</v>
      </c>
      <c r="I89" s="18">
        <f>'Monthly Data'!G89</f>
        <v>10271</v>
      </c>
      <c r="J89">
        <f>'Monthly Data'!BU89</f>
        <v>30</v>
      </c>
      <c r="K89" s="33">
        <f t="shared" ca="1" si="15"/>
        <v>102.1509375</v>
      </c>
      <c r="L89" s="33">
        <f t="shared" ca="1" si="16"/>
        <v>0.70260416666666692</v>
      </c>
      <c r="M89" s="33">
        <f>'Monthly Data'!CQ89</f>
        <v>90.177083333333343</v>
      </c>
      <c r="N89" s="33">
        <f>'Monthly Data'!CX89</f>
        <v>1.7833333333333354</v>
      </c>
      <c r="O89">
        <f>'Monthly Data'!BY89</f>
        <v>0.25</v>
      </c>
      <c r="P89" s="18"/>
      <c r="Q89" s="18">
        <f ca="1">(E89-G89)*'Res Predicted Monthly'!$X$9</f>
        <v>313791.99557529279</v>
      </c>
      <c r="R89" s="18">
        <f ca="1">(F89-H89)*'Res Predicted Monthly'!$X$10</f>
        <v>-63050.116883949697</v>
      </c>
      <c r="S89" s="18"/>
      <c r="T89" s="18"/>
      <c r="U89" s="18">
        <f ca="1">(K89-M89)*'Res Predicted Monthly'!$X$13</f>
        <v>6475.7576101974482</v>
      </c>
      <c r="V89" s="18">
        <f ca="1">(L89-N89)*'Res Predicted Monthly'!$X$14</f>
        <v>-2370.9233699405736</v>
      </c>
      <c r="W89" s="30">
        <f t="shared" ca="1" si="21"/>
        <v>6736607.1991617866</v>
      </c>
      <c r="X89" s="30">
        <f t="shared" ca="1" si="22"/>
        <v>254846.7129316004</v>
      </c>
      <c r="Y89" s="35">
        <f t="shared" ca="1" si="23"/>
        <v>3.9317514658709661E-2</v>
      </c>
    </row>
    <row r="90" spans="1:25">
      <c r="A90" s="541">
        <f>'Monthly Data'!A90</f>
        <v>45047</v>
      </c>
      <c r="B90">
        <f t="shared" si="18"/>
        <v>2023</v>
      </c>
      <c r="C90">
        <f t="shared" si="19"/>
        <v>5</v>
      </c>
      <c r="D90" s="30">
        <f>'Monthly Data'!F90</f>
        <v>5935915.1333631221</v>
      </c>
      <c r="E90" s="33">
        <f t="shared" ca="1" si="20"/>
        <v>178.10395833333331</v>
      </c>
      <c r="F90" s="33">
        <f t="shared" ca="1" si="20"/>
        <v>74.673124999999999</v>
      </c>
      <c r="G90" s="33">
        <f>'Monthly Data'!AS90</f>
        <v>177.13750000000005</v>
      </c>
      <c r="H90" s="33">
        <f>'Monthly Data'!AZ90</f>
        <v>64.672916666666652</v>
      </c>
      <c r="I90" s="18">
        <f>'Monthly Data'!G90</f>
        <v>10275</v>
      </c>
      <c r="J90">
        <f>'Monthly Data'!BU90</f>
        <v>31</v>
      </c>
      <c r="K90" s="33">
        <f t="shared" ca="1" si="15"/>
        <v>44.525989583333327</v>
      </c>
      <c r="L90" s="33">
        <f t="shared" ca="1" si="16"/>
        <v>18.66828125</v>
      </c>
      <c r="M90" s="33">
        <f>'Monthly Data'!CQ90</f>
        <v>44.284375000000011</v>
      </c>
      <c r="N90" s="33">
        <f>'Monthly Data'!CX90</f>
        <v>16.168229166666663</v>
      </c>
      <c r="O90">
        <f>'Monthly Data'!BY90</f>
        <v>0.25</v>
      </c>
      <c r="P90" s="18"/>
      <c r="Q90" s="18">
        <f ca="1">(E90-G90)*'Res Predicted Monthly'!$X$9</f>
        <v>6331.8561600087032</v>
      </c>
      <c r="R90" s="18">
        <f ca="1">(F90-H90)*'Res Predicted Monthly'!$X$10</f>
        <v>145853.91135163704</v>
      </c>
      <c r="S90" s="18"/>
      <c r="T90" s="18"/>
      <c r="U90" s="18">
        <f ca="1">(K90-M90)*'Res Predicted Monthly'!$X$13</f>
        <v>130.67116527200693</v>
      </c>
      <c r="V90" s="18">
        <f ca="1">(L90-N90)*'Res Predicted Monthly'!$X$14</f>
        <v>5484.6598882177086</v>
      </c>
      <c r="W90" s="30">
        <f t="shared" ca="1" si="21"/>
        <v>6093716.2319282573</v>
      </c>
      <c r="X90" s="30">
        <f t="shared" ca="1" si="22"/>
        <v>157801.09856513515</v>
      </c>
      <c r="Y90" s="35">
        <f t="shared" ca="1" si="23"/>
        <v>2.6584123091350449E-2</v>
      </c>
    </row>
    <row r="91" spans="1:25">
      <c r="A91" s="541">
        <f>'Monthly Data'!A91</f>
        <v>45078</v>
      </c>
      <c r="B91">
        <f t="shared" si="18"/>
        <v>2023</v>
      </c>
      <c r="C91">
        <f t="shared" si="19"/>
        <v>6</v>
      </c>
      <c r="D91" s="30">
        <f>'Monthly Data'!F91</f>
        <v>6617170.7804960571</v>
      </c>
      <c r="E91" s="33">
        <f t="shared" ca="1" si="20"/>
        <v>51.834166666666661</v>
      </c>
      <c r="F91" s="33">
        <f t="shared" ca="1" si="20"/>
        <v>169.78833333333333</v>
      </c>
      <c r="G91" s="33">
        <f>'Monthly Data'!AS91</f>
        <v>38.23749999999999</v>
      </c>
      <c r="H91" s="33">
        <f>'Monthly Data'!AZ91</f>
        <v>176.22499999999999</v>
      </c>
      <c r="I91" s="18">
        <f>'Monthly Data'!G91</f>
        <v>10280</v>
      </c>
      <c r="J91">
        <f>'Monthly Data'!BU91</f>
        <v>30</v>
      </c>
      <c r="K91" s="33">
        <f t="shared" ca="1" si="15"/>
        <v>12.958541666666665</v>
      </c>
      <c r="L91" s="33">
        <f t="shared" ca="1" si="16"/>
        <v>42.447083333333332</v>
      </c>
      <c r="M91" s="33">
        <f>'Monthly Data'!CQ91</f>
        <v>9.5593749999999975</v>
      </c>
      <c r="N91" s="33">
        <f>'Monthly Data'!CX91</f>
        <v>44.056249999999999</v>
      </c>
      <c r="O91">
        <f>'Monthly Data'!BY91</f>
        <v>0.25</v>
      </c>
      <c r="P91" s="18"/>
      <c r="Q91" s="18">
        <f ca="1">(E91-G91)*'Res Predicted Monthly'!$X$9</f>
        <v>89080.030270928575</v>
      </c>
      <c r="R91" s="18">
        <f ca="1">(F91-H91)*'Res Predicted Monthly'!$X$10</f>
        <v>-93879.345120313577</v>
      </c>
      <c r="S91" s="18"/>
      <c r="T91" s="18"/>
      <c r="U91" s="18">
        <f ca="1">(K91-M91)*'Res Predicted Monthly'!$X$13</f>
        <v>1838.3537250081638</v>
      </c>
      <c r="V91" s="18">
        <f ca="1">(L91-N91)*'Res Predicted Monthly'!$X$14</f>
        <v>-3530.219201816089</v>
      </c>
      <c r="W91" s="30">
        <f t="shared" ca="1" si="21"/>
        <v>6610679.6001698636</v>
      </c>
      <c r="X91" s="30">
        <f t="shared" ca="1" si="22"/>
        <v>-6491.1803261935711</v>
      </c>
      <c r="Y91" s="35">
        <f t="shared" ca="1" si="23"/>
        <v>9.8096007213931374E-4</v>
      </c>
    </row>
    <row r="92" spans="1:25">
      <c r="A92" s="541">
        <f>'Monthly Data'!A92</f>
        <v>45108</v>
      </c>
      <c r="B92">
        <f t="shared" si="18"/>
        <v>2023</v>
      </c>
      <c r="C92">
        <f t="shared" si="19"/>
        <v>7</v>
      </c>
      <c r="D92" s="30">
        <f>'Monthly Data'!F92</f>
        <v>8069819.4276289931</v>
      </c>
      <c r="E92" s="33">
        <f t="shared" ca="1" si="20"/>
        <v>6.5670833333333318</v>
      </c>
      <c r="F92" s="33">
        <f t="shared" ca="1" si="20"/>
        <v>265.99625000000003</v>
      </c>
      <c r="G92" s="33">
        <f>'Monthly Data'!AS92</f>
        <v>6.454166666666671</v>
      </c>
      <c r="H92" s="33">
        <f>'Monthly Data'!AZ92</f>
        <v>255.62083333333328</v>
      </c>
      <c r="I92" s="18">
        <f>'Monthly Data'!G92</f>
        <v>10278</v>
      </c>
      <c r="J92">
        <f>'Monthly Data'!BU92</f>
        <v>31</v>
      </c>
      <c r="K92" s="33">
        <f t="shared" ca="1" si="15"/>
        <v>1.641770833333333</v>
      </c>
      <c r="L92" s="33">
        <f t="shared" ca="1" si="16"/>
        <v>66.499062500000008</v>
      </c>
      <c r="M92" s="33">
        <f>'Monthly Data'!CQ92</f>
        <v>1.6135416666666678</v>
      </c>
      <c r="N92" s="33">
        <f>'Monthly Data'!CX92</f>
        <v>63.90520833333332</v>
      </c>
      <c r="O92">
        <f>'Monthly Data'!BY92</f>
        <v>0.25</v>
      </c>
      <c r="P92" s="18"/>
      <c r="Q92" s="18">
        <f ca="1">(E92-G92)*'Res Predicted Monthly'!$X$9</f>
        <v>739.78573803077893</v>
      </c>
      <c r="R92" s="18">
        <f ca="1">(F92-H92)*'Res Predicted Monthly'!$X$10</f>
        <v>151326.3576411799</v>
      </c>
      <c r="S92" s="18"/>
      <c r="T92" s="18"/>
      <c r="U92" s="18">
        <f ca="1">(K92-M92)*'Res Predicted Monthly'!$X$13</f>
        <v>15.267034183537211</v>
      </c>
      <c r="V92" s="18">
        <f ca="1">(L92-N92)*'Res Predicted Monthly'!$X$14</f>
        <v>5690.444610591866</v>
      </c>
      <c r="W92" s="30">
        <f t="shared" ca="1" si="21"/>
        <v>8227591.2826529788</v>
      </c>
      <c r="X92" s="30">
        <f t="shared" ca="1" si="22"/>
        <v>157771.85502398573</v>
      </c>
      <c r="Y92" s="35">
        <f t="shared" ca="1" si="23"/>
        <v>1.9550853205440425E-2</v>
      </c>
    </row>
    <row r="93" spans="1:25">
      <c r="A93" s="541">
        <f>'Monthly Data'!A93</f>
        <v>45139</v>
      </c>
      <c r="B93">
        <f t="shared" si="18"/>
        <v>2023</v>
      </c>
      <c r="C93">
        <f t="shared" si="19"/>
        <v>8</v>
      </c>
      <c r="D93" s="30">
        <f>'Monthly Data'!F93</f>
        <v>6590759.074761929</v>
      </c>
      <c r="E93" s="33">
        <f t="shared" ca="1" si="20"/>
        <v>23.263124999999995</v>
      </c>
      <c r="F93" s="33">
        <f t="shared" ca="1" si="20"/>
        <v>218.46562499999996</v>
      </c>
      <c r="G93" s="33">
        <f>'Monthly Data'!AS93</f>
        <v>30.016666666666659</v>
      </c>
      <c r="H93" s="33">
        <f>'Monthly Data'!AZ93</f>
        <v>170.83333333333337</v>
      </c>
      <c r="I93" s="18">
        <f>'Monthly Data'!G93</f>
        <v>10295</v>
      </c>
      <c r="J93">
        <f>'Monthly Data'!BU93</f>
        <v>31</v>
      </c>
      <c r="K93" s="33">
        <f t="shared" ca="1" si="15"/>
        <v>5.8157812499999988</v>
      </c>
      <c r="L93" s="33">
        <f t="shared" ca="1" si="16"/>
        <v>54.61640624999999</v>
      </c>
      <c r="M93" s="33">
        <f>'Monthly Data'!CQ93</f>
        <v>7.5041666666666647</v>
      </c>
      <c r="N93" s="33">
        <f>'Monthly Data'!CX93</f>
        <v>42.708333333333343</v>
      </c>
      <c r="O93">
        <f>'Monthly Data'!BY93</f>
        <v>0.25</v>
      </c>
      <c r="P93" s="18"/>
      <c r="Q93" s="18">
        <f ca="1">(E93-G93)*'Res Predicted Monthly'!$X$9</f>
        <v>-44246.557693256451</v>
      </c>
      <c r="R93" s="18">
        <f ca="1">(F93-H93)*'Res Predicted Monthly'!$X$10</f>
        <v>694721.1312656285</v>
      </c>
      <c r="S93" s="18"/>
      <c r="T93" s="18"/>
      <c r="U93" s="18">
        <f ca="1">(K93-M93)*'Res Predicted Monthly'!$X$13</f>
        <v>-913.12075115821278</v>
      </c>
      <c r="V93" s="18">
        <f ca="1">(L93-N93)*'Res Predicted Monthly'!$X$14</f>
        <v>26124.147695728254</v>
      </c>
      <c r="W93" s="30">
        <f t="shared" ca="1" si="21"/>
        <v>7266444.6752788713</v>
      </c>
      <c r="X93" s="30">
        <f t="shared" ca="1" si="22"/>
        <v>675685.60051694233</v>
      </c>
      <c r="Y93" s="35">
        <f t="shared" ca="1" si="23"/>
        <v>0.10252014871918974</v>
      </c>
    </row>
    <row r="94" spans="1:25">
      <c r="A94" s="541">
        <f>'Monthly Data'!A94</f>
        <v>45170</v>
      </c>
      <c r="B94">
        <f t="shared" si="18"/>
        <v>2023</v>
      </c>
      <c r="C94">
        <f t="shared" si="19"/>
        <v>9</v>
      </c>
      <c r="D94" s="30">
        <f>'Monthly Data'!F94</f>
        <v>6146868.721894864</v>
      </c>
      <c r="E94" s="33">
        <f t="shared" ca="1" si="20"/>
        <v>114.73583333333336</v>
      </c>
      <c r="F94" s="33">
        <f t="shared" ca="1" si="20"/>
        <v>95.131249999999994</v>
      </c>
      <c r="G94" s="33">
        <f>'Monthly Data'!AS94</f>
        <v>112.94166666666663</v>
      </c>
      <c r="H94" s="33">
        <f>'Monthly Data'!AZ94</f>
        <v>103.32083333333338</v>
      </c>
      <c r="I94" s="18">
        <f>'Monthly Data'!G94</f>
        <v>10291</v>
      </c>
      <c r="J94">
        <f>'Monthly Data'!BU94</f>
        <v>30</v>
      </c>
      <c r="K94" s="33">
        <f t="shared" ca="1" si="15"/>
        <v>28.68395833333334</v>
      </c>
      <c r="L94" s="33">
        <f t="shared" ca="1" si="16"/>
        <v>23.782812499999999</v>
      </c>
      <c r="M94" s="33">
        <f>'Monthly Data'!CQ94</f>
        <v>28.235416666666659</v>
      </c>
      <c r="N94" s="33">
        <f>'Monthly Data'!CX94</f>
        <v>25.830208333333346</v>
      </c>
      <c r="O94">
        <f>'Monthly Data'!BY94</f>
        <v>0.25</v>
      </c>
      <c r="P94" s="18"/>
      <c r="Q94" s="18">
        <f ca="1">(E94-G94)*'Res Predicted Monthly'!$X$9</f>
        <v>11754.676708342455</v>
      </c>
      <c r="R94" s="18">
        <f ca="1">(F94-H94)*'Res Predicted Monthly'!$X$10</f>
        <v>-119445.7876967747</v>
      </c>
      <c r="S94" s="18"/>
      <c r="T94" s="18"/>
      <c r="U94" s="18">
        <f ca="1">(K94-M94)*'Res Predicted Monthly'!$X$13</f>
        <v>242.58246935172261</v>
      </c>
      <c r="V94" s="18">
        <f ca="1">(L94-N94)*'Res Predicted Monthly'!$X$14</f>
        <v>-4491.6143456561167</v>
      </c>
      <c r="W94" s="30">
        <f t="shared" ca="1" si="21"/>
        <v>6034928.5790301273</v>
      </c>
      <c r="X94" s="30">
        <f t="shared" ca="1" si="22"/>
        <v>-111940.14286473673</v>
      </c>
      <c r="Y94" s="35">
        <f t="shared" ca="1" si="23"/>
        <v>1.8210921353503301E-2</v>
      </c>
    </row>
    <row r="95" spans="1:25">
      <c r="A95" s="541">
        <f>'Monthly Data'!A95</f>
        <v>45200</v>
      </c>
      <c r="B95">
        <f t="shared" si="18"/>
        <v>2023</v>
      </c>
      <c r="C95">
        <f t="shared" si="19"/>
        <v>10</v>
      </c>
      <c r="D95" s="30">
        <f>'Monthly Data'!F95</f>
        <v>6311574.3690277999</v>
      </c>
      <c r="E95" s="33">
        <f t="shared" ref="E95:F110" ca="1" si="24">E83</f>
        <v>302.40479166666665</v>
      </c>
      <c r="F95" s="33">
        <f t="shared" ca="1" si="24"/>
        <v>21.813750000000006</v>
      </c>
      <c r="G95" s="33">
        <f>'Monthly Data'!AS95</f>
        <v>250.95</v>
      </c>
      <c r="H95" s="33">
        <f>'Monthly Data'!AZ95</f>
        <v>46.733333333333334</v>
      </c>
      <c r="I95" s="18">
        <f>'Monthly Data'!G95</f>
        <v>10304</v>
      </c>
      <c r="J95">
        <f>'Monthly Data'!BU95</f>
        <v>31</v>
      </c>
      <c r="K95" s="33">
        <f t="shared" ca="1" si="15"/>
        <v>75.601197916666663</v>
      </c>
      <c r="L95" s="33">
        <f t="shared" ca="1" si="16"/>
        <v>5.4534375000000015</v>
      </c>
      <c r="M95" s="33">
        <f>'Monthly Data'!CQ95</f>
        <v>62.737499999999997</v>
      </c>
      <c r="N95" s="33">
        <f>'Monthly Data'!CX95</f>
        <v>11.683333333333334</v>
      </c>
      <c r="O95">
        <f>'Monthly Data'!BY95</f>
        <v>0.25</v>
      </c>
      <c r="P95" s="18"/>
      <c r="Q95" s="18">
        <f ca="1">(E95-G95)*'Res Predicted Monthly'!$X$9</f>
        <v>337111.62534329406</v>
      </c>
      <c r="R95" s="18">
        <f ca="1">(F95-H95)*'Res Predicted Monthly'!$X$10</f>
        <v>-363454.29787743348</v>
      </c>
      <c r="S95" s="18"/>
      <c r="T95" s="18"/>
      <c r="U95" s="18">
        <f ca="1">(K95-M95)*'Res Predicted Monthly'!$X$13</f>
        <v>6957.0072024958808</v>
      </c>
      <c r="V95" s="18">
        <f ca="1">(L95-N95)*'Res Predicted Monthly'!$X$14</f>
        <v>-13667.259179376928</v>
      </c>
      <c r="W95" s="30">
        <f t="shared" ca="1" si="21"/>
        <v>6278521.4445167789</v>
      </c>
      <c r="X95" s="30">
        <f t="shared" ca="1" si="22"/>
        <v>-33052.924511021003</v>
      </c>
      <c r="Y95" s="35">
        <f t="shared" ca="1" si="23"/>
        <v>5.2368747603163063E-3</v>
      </c>
    </row>
    <row r="96" spans="1:25">
      <c r="A96" s="541">
        <f>'Monthly Data'!A96</f>
        <v>45231</v>
      </c>
      <c r="B96">
        <f t="shared" si="18"/>
        <v>2023</v>
      </c>
      <c r="C96">
        <f t="shared" si="19"/>
        <v>11</v>
      </c>
      <c r="D96" s="30">
        <f>'Monthly Data'!F96</f>
        <v>7441339.0161607359</v>
      </c>
      <c r="E96" s="33">
        <f t="shared" ca="1" si="24"/>
        <v>526.09395833333338</v>
      </c>
      <c r="F96" s="33">
        <f t="shared" ca="1" si="24"/>
        <v>2.2795833333333335</v>
      </c>
      <c r="G96" s="33">
        <f>'Monthly Data'!AS96</f>
        <v>556.27291666666667</v>
      </c>
      <c r="H96" s="33">
        <f>'Monthly Data'!AZ96</f>
        <v>0</v>
      </c>
      <c r="I96" s="18">
        <f>'Monthly Data'!G96</f>
        <v>10324</v>
      </c>
      <c r="J96">
        <f>'Monthly Data'!BU96</f>
        <v>30</v>
      </c>
      <c r="K96" s="33">
        <f t="shared" ca="1" si="15"/>
        <v>131.52348958333334</v>
      </c>
      <c r="L96" s="33">
        <f t="shared" ca="1" si="16"/>
        <v>0.56989583333333338</v>
      </c>
      <c r="M96" s="33">
        <f>'Monthly Data'!CQ96</f>
        <v>139.06822916666667</v>
      </c>
      <c r="N96" s="33">
        <f>'Monthly Data'!CX96</f>
        <v>0</v>
      </c>
      <c r="O96">
        <f>'Monthly Data'!BY96</f>
        <v>0.25</v>
      </c>
      <c r="P96" s="18"/>
      <c r="Q96" s="18">
        <f ca="1">(E96-G96)*'Res Predicted Monthly'!$X$9</f>
        <v>-197720.70521292632</v>
      </c>
      <c r="R96" s="18">
        <f ca="1">(F96-H96)*'Res Predicted Monthly'!$X$10</f>
        <v>33247.921876827779</v>
      </c>
      <c r="S96" s="18"/>
      <c r="T96" s="18"/>
      <c r="U96" s="18">
        <f ca="1">(K96-M96)*'Res Predicted Monthly'!$X$13</f>
        <v>-4080.3824811681357</v>
      </c>
      <c r="V96" s="18">
        <f ca="1">(L96-N96)*'Res Predicted Monthly'!$X$14</f>
        <v>1250.2478801874561</v>
      </c>
      <c r="W96" s="30">
        <f t="shared" ca="1" si="21"/>
        <v>7274036.0982236573</v>
      </c>
      <c r="X96" s="30">
        <f t="shared" ca="1" si="22"/>
        <v>-167302.91793707851</v>
      </c>
      <c r="Y96" s="35">
        <f t="shared" ca="1" si="23"/>
        <v>2.2482904968277647E-2</v>
      </c>
    </row>
    <row r="97" spans="1:25">
      <c r="A97" s="541">
        <f>'Monthly Data'!A97</f>
        <v>45261</v>
      </c>
      <c r="B97">
        <f t="shared" si="18"/>
        <v>2023</v>
      </c>
      <c r="C97">
        <f t="shared" si="19"/>
        <v>12</v>
      </c>
      <c r="D97" s="30">
        <f>'Monthly Data'!F97</f>
        <v>8512565.6632936709</v>
      </c>
      <c r="E97" s="33">
        <f t="shared" ca="1" si="24"/>
        <v>750.36333333333334</v>
      </c>
      <c r="F97" s="33">
        <f t="shared" ca="1" si="24"/>
        <v>0</v>
      </c>
      <c r="G97" s="33">
        <f>'Monthly Data'!AS97</f>
        <v>651.16250000000025</v>
      </c>
      <c r="H97" s="33">
        <f>'Monthly Data'!AZ97</f>
        <v>0</v>
      </c>
      <c r="I97" s="18">
        <f>'Monthly Data'!G97</f>
        <v>10326</v>
      </c>
      <c r="J97">
        <f>'Monthly Data'!BU97</f>
        <v>31</v>
      </c>
      <c r="K97" s="33">
        <f t="shared" ca="1" si="15"/>
        <v>187.59083333333334</v>
      </c>
      <c r="L97" s="33">
        <f t="shared" ca="1" si="16"/>
        <v>0</v>
      </c>
      <c r="M97" s="33">
        <f>'Monthly Data'!CQ97</f>
        <v>162.79062500000006</v>
      </c>
      <c r="N97" s="33">
        <f>'Monthly Data'!CX97</f>
        <v>0</v>
      </c>
      <c r="O97">
        <f>'Monthly Data'!BY97</f>
        <v>0.25</v>
      </c>
      <c r="P97" s="18"/>
      <c r="Q97" s="18">
        <f ca="1">(E97-G97)*'Res Predicted Monthly'!$X$9</f>
        <v>649924.97447178105</v>
      </c>
      <c r="R97" s="18">
        <f ca="1">(F97-H97)*'Res Predicted Monthly'!$X$10</f>
        <v>0</v>
      </c>
      <c r="S97" s="18"/>
      <c r="T97" s="18"/>
      <c r="U97" s="18">
        <f ca="1">(K97-M97)*'Res Predicted Monthly'!$X$13</f>
        <v>13412.568385553826</v>
      </c>
      <c r="V97" s="18">
        <f ca="1">(L97-N97)*'Res Predicted Monthly'!$X$14</f>
        <v>0</v>
      </c>
      <c r="W97" s="30">
        <f t="shared" ca="1" si="21"/>
        <v>9175903.2061510067</v>
      </c>
      <c r="X97" s="30">
        <f t="shared" ca="1" si="22"/>
        <v>663337.54285733588</v>
      </c>
      <c r="Y97" s="35">
        <f t="shared" ca="1" si="23"/>
        <v>7.7924514076603099E-2</v>
      </c>
    </row>
    <row r="98" spans="1:25">
      <c r="A98" s="541">
        <f>'Monthly Data'!A98</f>
        <v>45292</v>
      </c>
      <c r="B98">
        <f t="shared" si="18"/>
        <v>2024</v>
      </c>
      <c r="C98">
        <f t="shared" si="19"/>
        <v>1</v>
      </c>
      <c r="D98" s="30">
        <f>'Monthly Data'!F98</f>
        <v>10058510.850234345</v>
      </c>
      <c r="E98" s="33">
        <f t="shared" ca="1" si="24"/>
        <v>852.55166666666662</v>
      </c>
      <c r="F98" s="33">
        <f t="shared" ca="1" si="24"/>
        <v>0</v>
      </c>
      <c r="G98" s="33">
        <f>'Monthly Data'!AS98</f>
        <v>767.07916666666677</v>
      </c>
      <c r="H98" s="33">
        <f>'Monthly Data'!AZ98</f>
        <v>0</v>
      </c>
      <c r="I98" s="18">
        <f>'Monthly Data'!G98</f>
        <v>10337</v>
      </c>
      <c r="J98">
        <f>'Monthly Data'!BU98</f>
        <v>31</v>
      </c>
      <c r="K98" s="33">
        <f t="shared" ca="1" si="15"/>
        <v>213.13791666666665</v>
      </c>
      <c r="L98" s="33">
        <f t="shared" ca="1" si="16"/>
        <v>0</v>
      </c>
      <c r="M98" s="33">
        <f>'Monthly Data'!CQ98</f>
        <v>191.76979166666669</v>
      </c>
      <c r="N98" s="33">
        <f>'Monthly Data'!CX98</f>
        <v>0</v>
      </c>
      <c r="O98">
        <f>'Monthly Data'!BY98</f>
        <v>0.25</v>
      </c>
      <c r="P98" s="18"/>
      <c r="Q98" s="18">
        <f ca="1">(E98-G98)*'Res Predicted Monthly'!$X$9</f>
        <v>559982.31581259577</v>
      </c>
      <c r="R98" s="18">
        <f ca="1">(F98-H98)*'Res Predicted Monthly'!$X$10</f>
        <v>0</v>
      </c>
      <c r="S98" s="18"/>
      <c r="T98" s="18"/>
      <c r="U98" s="18">
        <f ca="1">(K98-M98)*'Res Predicted Monthly'!$X$13</f>
        <v>11556.412509984797</v>
      </c>
      <c r="V98" s="18">
        <f ca="1">(L98-N98)*'Res Predicted Monthly'!$X$14</f>
        <v>0</v>
      </c>
      <c r="W98" s="30">
        <f t="shared" ca="1" si="21"/>
        <v>10630049.578556925</v>
      </c>
      <c r="X98" s="30">
        <f t="shared" ca="1" si="22"/>
        <v>571538.72832258046</v>
      </c>
      <c r="Y98" s="35">
        <f t="shared" ca="1" si="23"/>
        <v>5.6821405954865047E-2</v>
      </c>
    </row>
    <row r="99" spans="1:25">
      <c r="A99" s="541">
        <f>'Monthly Data'!A99</f>
        <v>45323</v>
      </c>
      <c r="B99">
        <f t="shared" si="18"/>
        <v>2024</v>
      </c>
      <c r="C99">
        <f t="shared" si="19"/>
        <v>2</v>
      </c>
      <c r="D99" s="30">
        <f>'Monthly Data'!F99</f>
        <v>7527358.4163905876</v>
      </c>
      <c r="E99" s="33">
        <f t="shared" ca="1" si="24"/>
        <v>747.22854166666662</v>
      </c>
      <c r="F99" s="33">
        <f t="shared" ca="1" si="24"/>
        <v>0</v>
      </c>
      <c r="G99" s="33">
        <f>'Monthly Data'!AS99</f>
        <v>653.87916666666672</v>
      </c>
      <c r="H99" s="33">
        <f>'Monthly Data'!AZ99</f>
        <v>0</v>
      </c>
      <c r="I99" s="18">
        <f>'Monthly Data'!G99</f>
        <v>10346</v>
      </c>
      <c r="J99">
        <f>'Monthly Data'!BU99</f>
        <v>28</v>
      </c>
      <c r="K99" s="33">
        <f t="shared" ca="1" si="15"/>
        <v>186.80713541666665</v>
      </c>
      <c r="L99" s="33">
        <f t="shared" ca="1" si="16"/>
        <v>0</v>
      </c>
      <c r="M99" s="33">
        <f>'Monthly Data'!CQ99</f>
        <v>163.46979166666668</v>
      </c>
      <c r="N99" s="33">
        <f>'Monthly Data'!CX99</f>
        <v>0</v>
      </c>
      <c r="O99">
        <f>'Monthly Data'!BY99</f>
        <v>0.25</v>
      </c>
      <c r="P99" s="18"/>
      <c r="Q99" s="18">
        <f ca="1">(E99-G99)*'Res Predicted Monthly'!$X$9</f>
        <v>611588.51317275688</v>
      </c>
      <c r="R99" s="18">
        <f ca="1">(F99-H99)*'Res Predicted Monthly'!$X$10</f>
        <v>0</v>
      </c>
      <c r="S99" s="18"/>
      <c r="T99" s="18"/>
      <c r="U99" s="18">
        <f ca="1">(K99-M99)*'Res Predicted Monthly'!$X$13</f>
        <v>12621.414900105445</v>
      </c>
      <c r="V99" s="18">
        <f ca="1">(L99-N99)*'Res Predicted Monthly'!$X$14</f>
        <v>0</v>
      </c>
      <c r="W99" s="30">
        <f t="shared" ca="1" si="21"/>
        <v>8151568.3444634499</v>
      </c>
      <c r="X99" s="30">
        <f t="shared" ca="1" si="22"/>
        <v>624209.92807286233</v>
      </c>
      <c r="Y99" s="35">
        <f t="shared" ca="1" si="23"/>
        <v>8.2925495710907654E-2</v>
      </c>
    </row>
    <row r="100" spans="1:25">
      <c r="A100" s="541">
        <f>'Monthly Data'!A100</f>
        <v>45352</v>
      </c>
      <c r="B100">
        <f t="shared" si="18"/>
        <v>2024</v>
      </c>
      <c r="C100">
        <f t="shared" si="19"/>
        <v>3</v>
      </c>
      <c r="D100" s="30">
        <f>'Monthly Data'!F100</f>
        <v>8124056.9825468305</v>
      </c>
      <c r="E100" s="33">
        <f t="shared" ca="1" si="24"/>
        <v>636.29604166666672</v>
      </c>
      <c r="F100" s="33">
        <f t="shared" ca="1" si="24"/>
        <v>0</v>
      </c>
      <c r="G100" s="33">
        <f>'Monthly Data'!AS100</f>
        <v>534.57916666666665</v>
      </c>
      <c r="H100" s="33">
        <f>'Monthly Data'!AZ100</f>
        <v>0</v>
      </c>
      <c r="I100" s="18">
        <f>'Monthly Data'!G100</f>
        <v>10340</v>
      </c>
      <c r="J100">
        <f>'Monthly Data'!BU100</f>
        <v>31</v>
      </c>
      <c r="K100" s="33">
        <f t="shared" ca="1" si="15"/>
        <v>159.07401041666668</v>
      </c>
      <c r="L100" s="33">
        <f t="shared" ca="1" si="16"/>
        <v>0</v>
      </c>
      <c r="M100" s="33">
        <f>'Monthly Data'!CQ100</f>
        <v>133.64479166666666</v>
      </c>
      <c r="N100" s="33">
        <f>'Monthly Data'!CX100</f>
        <v>0</v>
      </c>
      <c r="O100">
        <f>'Monthly Data'!BY100</f>
        <v>0.25</v>
      </c>
      <c r="P100" s="18"/>
      <c r="Q100" s="18">
        <f ca="1">(E100-G100)*'Res Predicted Monthly'!$X$9</f>
        <v>666409.09321384609</v>
      </c>
      <c r="R100" s="18">
        <f ca="1">(F100-H100)*'Res Predicted Monthly'!$X$10</f>
        <v>0</v>
      </c>
      <c r="S100" s="18"/>
      <c r="T100" s="18"/>
      <c r="U100" s="18">
        <f ca="1">(K100-M100)*'Res Predicted Monthly'!$X$13</f>
        <v>13752.752835433183</v>
      </c>
      <c r="V100" s="18">
        <f ca="1">(L100-N100)*'Res Predicted Monthly'!$X$14</f>
        <v>0</v>
      </c>
      <c r="W100" s="30">
        <f t="shared" ca="1" si="21"/>
        <v>8804218.8285961114</v>
      </c>
      <c r="X100" s="30">
        <f t="shared" ca="1" si="22"/>
        <v>680161.84604928084</v>
      </c>
      <c r="Y100" s="35">
        <f t="shared" ca="1" si="23"/>
        <v>8.3721944283563512E-2</v>
      </c>
    </row>
    <row r="101" spans="1:25">
      <c r="A101" s="541">
        <f>'Monthly Data'!A101</f>
        <v>45383</v>
      </c>
      <c r="B101">
        <f t="shared" si="18"/>
        <v>2024</v>
      </c>
      <c r="C101">
        <f t="shared" si="19"/>
        <v>4</v>
      </c>
      <c r="D101" s="30">
        <f>'Monthly Data'!F101</f>
        <v>5757851.5487030726</v>
      </c>
      <c r="E101" s="33">
        <f t="shared" ca="1" si="24"/>
        <v>408.60374999999999</v>
      </c>
      <c r="F101" s="33">
        <f t="shared" ca="1" si="24"/>
        <v>2.8104166666666677</v>
      </c>
      <c r="G101" s="33">
        <f>'Monthly Data'!AS101</f>
        <v>357.11249999999995</v>
      </c>
      <c r="H101" s="33">
        <f>'Monthly Data'!AZ101</f>
        <v>0.7333333333333325</v>
      </c>
      <c r="I101" s="18">
        <f>'Monthly Data'!G101</f>
        <v>10345</v>
      </c>
      <c r="J101">
        <f>'Monthly Data'!BU101</f>
        <v>30</v>
      </c>
      <c r="K101" s="33">
        <f t="shared" ca="1" si="15"/>
        <v>102.1509375</v>
      </c>
      <c r="L101" s="33">
        <f t="shared" ca="1" si="16"/>
        <v>0.70260416666666692</v>
      </c>
      <c r="M101" s="33">
        <f>'Monthly Data'!CQ101</f>
        <v>89.278124999999989</v>
      </c>
      <c r="N101" s="33">
        <f>'Monthly Data'!CX101</f>
        <v>0.18333333333333313</v>
      </c>
      <c r="O101">
        <f>'Monthly Data'!BY101</f>
        <v>0.25</v>
      </c>
      <c r="P101" s="18"/>
      <c r="Q101" s="18">
        <f ca="1">(E101-G101)*'Res Predicted Monthly'!$X$9</f>
        <v>337350.48605206812</v>
      </c>
      <c r="R101" s="18">
        <f ca="1">(F101-H101)*'Res Predicted Monthly'!$X$10</f>
        <v>30294.44170279412</v>
      </c>
      <c r="S101" s="18"/>
      <c r="T101" s="18"/>
      <c r="U101" s="18">
        <f ca="1">(K101-M101)*'Res Predicted Monthly'!$X$13</f>
        <v>6961.9365954518253</v>
      </c>
      <c r="V101" s="18">
        <f ca="1">(L101-N101)*'Res Predicted Monthly'!$X$14</f>
        <v>1139.185831243735</v>
      </c>
      <c r="W101" s="30">
        <f t="shared" ca="1" si="21"/>
        <v>6133597.5988846309</v>
      </c>
      <c r="X101" s="30">
        <f t="shared" ca="1" si="22"/>
        <v>375746.05018155836</v>
      </c>
      <c r="Y101" s="35">
        <f t="shared" ca="1" si="23"/>
        <v>6.5258030187699656E-2</v>
      </c>
    </row>
    <row r="102" spans="1:25">
      <c r="A102" s="541">
        <f>'Monthly Data'!A102</f>
        <v>45413</v>
      </c>
      <c r="B102">
        <f t="shared" si="18"/>
        <v>2024</v>
      </c>
      <c r="C102">
        <f t="shared" si="19"/>
        <v>5</v>
      </c>
      <c r="D102" s="30">
        <f>'Monthly Data'!F102</f>
        <v>6393480.1148593156</v>
      </c>
      <c r="E102" s="33">
        <f t="shared" ca="1" si="24"/>
        <v>178.10395833333331</v>
      </c>
      <c r="F102" s="33">
        <f t="shared" ca="1" si="24"/>
        <v>74.673124999999999</v>
      </c>
      <c r="G102" s="33">
        <f>'Monthly Data'!AS102</f>
        <v>107.28749999999998</v>
      </c>
      <c r="H102" s="33">
        <f>'Monthly Data'!AZ102</f>
        <v>96.229166666666686</v>
      </c>
      <c r="I102" s="18">
        <f>'Monthly Data'!G102</f>
        <v>10345</v>
      </c>
      <c r="J102">
        <f>'Monthly Data'!BU102</f>
        <v>31</v>
      </c>
      <c r="K102" s="33">
        <f t="shared" ca="1" si="15"/>
        <v>44.525989583333327</v>
      </c>
      <c r="L102" s="33">
        <f t="shared" ca="1" si="16"/>
        <v>18.66828125</v>
      </c>
      <c r="M102" s="33">
        <f>'Monthly Data'!CQ102</f>
        <v>26.821874999999995</v>
      </c>
      <c r="N102" s="33">
        <f>'Monthly Data'!CX102</f>
        <v>24.057291666666671</v>
      </c>
      <c r="O102">
        <f>'Monthly Data'!BY102</f>
        <v>0.25</v>
      </c>
      <c r="P102" s="18"/>
      <c r="Q102" s="18">
        <f ca="1">(E102-G102)*'Res Predicted Monthly'!$X$9</f>
        <v>463961.67580386979</v>
      </c>
      <c r="R102" s="18">
        <f ca="1">(F102-H102)*'Res Predicted Monthly'!$X$10</f>
        <v>-314396.74910194631</v>
      </c>
      <c r="S102" s="18"/>
      <c r="T102" s="18"/>
      <c r="U102" s="18">
        <f ca="1">(K102-M102)*'Res Predicted Monthly'!$X$13</f>
        <v>9574.8247096569285</v>
      </c>
      <c r="V102" s="18">
        <f ca="1">(L102-N102)*'Res Predicted Monthly'!$X$14</f>
        <v>-11822.509405512339</v>
      </c>
      <c r="W102" s="30">
        <f t="shared" ca="1" si="21"/>
        <v>6540797.3568653837</v>
      </c>
      <c r="X102" s="30">
        <f t="shared" ca="1" si="22"/>
        <v>147317.24200606812</v>
      </c>
      <c r="Y102" s="35">
        <f t="shared" ca="1" si="23"/>
        <v>2.3041792476007371E-2</v>
      </c>
    </row>
    <row r="103" spans="1:25">
      <c r="A103" s="541">
        <f>'Monthly Data'!A103</f>
        <v>45444</v>
      </c>
      <c r="B103">
        <f t="shared" si="18"/>
        <v>2024</v>
      </c>
      <c r="C103">
        <f t="shared" si="19"/>
        <v>6</v>
      </c>
      <c r="D103" s="30">
        <f>'Monthly Data'!F103</f>
        <v>6950866.6810155576</v>
      </c>
      <c r="E103" s="33">
        <f t="shared" ca="1" si="24"/>
        <v>51.834166666666661</v>
      </c>
      <c r="F103" s="33">
        <f t="shared" ca="1" si="24"/>
        <v>169.78833333333333</v>
      </c>
      <c r="G103" s="33">
        <f>'Monthly Data'!AS103</f>
        <v>44.020833333333336</v>
      </c>
      <c r="H103" s="33">
        <f>'Monthly Data'!AZ103</f>
        <v>187.28333333333333</v>
      </c>
      <c r="I103" s="18">
        <f>'Monthly Data'!G103</f>
        <v>10343</v>
      </c>
      <c r="J103">
        <f>'Monthly Data'!BU103</f>
        <v>30</v>
      </c>
      <c r="K103" s="33">
        <f t="shared" ca="1" si="15"/>
        <v>12.958541666666665</v>
      </c>
      <c r="L103" s="33">
        <f t="shared" ca="1" si="16"/>
        <v>42.447083333333332</v>
      </c>
      <c r="M103" s="33">
        <f>'Monthly Data'!CQ103</f>
        <v>11.005208333333334</v>
      </c>
      <c r="N103" s="33">
        <f>'Monthly Data'!CX103</f>
        <v>46.820833333333333</v>
      </c>
      <c r="O103">
        <f>'Monthly Data'!BY103</f>
        <v>0.25</v>
      </c>
      <c r="P103" s="18"/>
      <c r="Q103" s="18">
        <f ca="1">(E103-G103)*'Res Predicted Monthly'!$X$9</f>
        <v>51189.897267726476</v>
      </c>
      <c r="R103" s="18">
        <f ca="1">(F103-H103)*'Res Predicted Monthly'!$X$10</f>
        <v>-255166.10194923144</v>
      </c>
      <c r="S103" s="18"/>
      <c r="T103" s="18"/>
      <c r="U103" s="18">
        <f ca="1">(K103-M103)*'Res Predicted Monthly'!$X$13</f>
        <v>1056.4111623974331</v>
      </c>
      <c r="V103" s="18">
        <f ca="1">(L103-N103)*'Res Predicted Monthly'!$X$14</f>
        <v>-9595.2125741749078</v>
      </c>
      <c r="W103" s="30">
        <f t="shared" ca="1" si="21"/>
        <v>6738351.6749222754</v>
      </c>
      <c r="X103" s="30">
        <f t="shared" ca="1" si="22"/>
        <v>-212515.00609328225</v>
      </c>
      <c r="Y103" s="35">
        <f t="shared" ca="1" si="23"/>
        <v>3.0573886084408787E-2</v>
      </c>
    </row>
    <row r="104" spans="1:25">
      <c r="A104" s="541">
        <f>'Monthly Data'!A104</f>
        <v>45474</v>
      </c>
      <c r="B104">
        <f t="shared" si="18"/>
        <v>2024</v>
      </c>
      <c r="C104">
        <f t="shared" si="19"/>
        <v>7</v>
      </c>
      <c r="D104" s="30">
        <f>'Monthly Data'!F104</f>
        <v>8232160.2471718006</v>
      </c>
      <c r="E104" s="33">
        <f t="shared" ca="1" si="24"/>
        <v>6.5670833333333318</v>
      </c>
      <c r="F104" s="33">
        <f t="shared" ca="1" si="24"/>
        <v>265.99625000000003</v>
      </c>
      <c r="G104" s="33">
        <f>'Monthly Data'!AS104</f>
        <v>2.2499999999999964</v>
      </c>
      <c r="H104" s="33">
        <f>'Monthly Data'!AZ104</f>
        <v>274.14166666666665</v>
      </c>
      <c r="I104" s="18">
        <f>'Monthly Data'!G104</f>
        <v>10353</v>
      </c>
      <c r="J104">
        <f>'Monthly Data'!BU104</f>
        <v>31</v>
      </c>
      <c r="K104" s="33">
        <f t="shared" ca="1" si="15"/>
        <v>1.641770833333333</v>
      </c>
      <c r="L104" s="33">
        <f t="shared" ca="1" si="16"/>
        <v>66.499062500000008</v>
      </c>
      <c r="M104" s="33">
        <f>'Monthly Data'!CQ104</f>
        <v>0.56249999999999911</v>
      </c>
      <c r="N104" s="33">
        <f>'Monthly Data'!CX104</f>
        <v>68.535416666666663</v>
      </c>
      <c r="O104">
        <f>'Monthly Data'!BY104</f>
        <v>0.25</v>
      </c>
      <c r="P104" s="18"/>
      <c r="Q104" s="18">
        <f ca="1">(E104-G104)*'Res Predicted Monthly'!$X$9</f>
        <v>28283.837755488203</v>
      </c>
      <c r="R104" s="18">
        <f ca="1">(F104-H104)*'Res Predicted Monthly'!$X$10</f>
        <v>-118801.61300860949</v>
      </c>
      <c r="S104" s="18"/>
      <c r="T104" s="18"/>
      <c r="U104" s="18">
        <f ca="1">(K104-M104)*'Res Predicted Monthly'!$X$13</f>
        <v>583.6964619027209</v>
      </c>
      <c r="V104" s="18">
        <f ca="1">(L104-N104)*'Res Predicted Monthly'!$X$14</f>
        <v>-4467.3909358041374</v>
      </c>
      <c r="W104" s="30">
        <f t="shared" ca="1" si="21"/>
        <v>8137758.7774447789</v>
      </c>
      <c r="X104" s="30">
        <f t="shared" ca="1" si="22"/>
        <v>-94401.469727021642</v>
      </c>
      <c r="Y104" s="35">
        <f t="shared" ca="1" si="23"/>
        <v>1.1467399430113588E-2</v>
      </c>
    </row>
    <row r="105" spans="1:25">
      <c r="A105" s="541">
        <f>'Monthly Data'!A105</f>
        <v>45505</v>
      </c>
      <c r="B105">
        <f t="shared" si="18"/>
        <v>2024</v>
      </c>
      <c r="C105">
        <f t="shared" si="19"/>
        <v>8</v>
      </c>
      <c r="D105" s="30">
        <f>'Monthly Data'!F105</f>
        <v>7428027.8133280436</v>
      </c>
      <c r="E105" s="33">
        <f t="shared" ca="1" si="24"/>
        <v>23.263124999999995</v>
      </c>
      <c r="F105" s="33">
        <f t="shared" ca="1" si="24"/>
        <v>218.46562499999996</v>
      </c>
      <c r="G105" s="33">
        <f>'Monthly Data'!AS105</f>
        <v>30.883333333333333</v>
      </c>
      <c r="H105" s="33">
        <f>'Monthly Data'!AZ105</f>
        <v>212.65</v>
      </c>
      <c r="I105" s="18">
        <f>'Monthly Data'!G105</f>
        <v>10354</v>
      </c>
      <c r="J105">
        <f>'Monthly Data'!BU105</f>
        <v>31</v>
      </c>
      <c r="K105" s="33">
        <f t="shared" ca="1" si="15"/>
        <v>5.8157812499999988</v>
      </c>
      <c r="L105" s="33">
        <f t="shared" ca="1" si="16"/>
        <v>54.61640624999999</v>
      </c>
      <c r="M105" s="33">
        <f>'Monthly Data'!CQ105</f>
        <v>7.7208333333333332</v>
      </c>
      <c r="N105" s="33">
        <f>'Monthly Data'!CX105</f>
        <v>53.162500000000001</v>
      </c>
      <c r="O105">
        <f>'Monthly Data'!BY105</f>
        <v>0.25</v>
      </c>
      <c r="P105" s="18"/>
      <c r="Q105" s="18">
        <f ca="1">(E105-G105)*'Res Predicted Monthly'!$X$9</f>
        <v>-49924.617970393403</v>
      </c>
      <c r="R105" s="18">
        <f ca="1">(F105-H105)*'Res Predicted Monthly'!$X$10</f>
        <v>84821.398207972961</v>
      </c>
      <c r="S105" s="18"/>
      <c r="T105" s="18"/>
      <c r="U105" s="18">
        <f ca="1">(K105-M105)*'Res Predicted Monthly'!$X$13</f>
        <v>-1030.2994637108302</v>
      </c>
      <c r="V105" s="18">
        <f ca="1">(L105-N105)*'Res Predicted Monthly'!$X$14</f>
        <v>3189.6060661152042</v>
      </c>
      <c r="W105" s="30">
        <f t="shared" ca="1" si="21"/>
        <v>7465083.9001680277</v>
      </c>
      <c r="X105" s="30">
        <f t="shared" ca="1" si="22"/>
        <v>37056.086839984171</v>
      </c>
      <c r="Y105" s="35">
        <f t="shared" ca="1" si="23"/>
        <v>4.9886844491205014E-3</v>
      </c>
    </row>
    <row r="106" spans="1:25">
      <c r="A106" s="541">
        <f>'Monthly Data'!A106</f>
        <v>45536</v>
      </c>
      <c r="B106">
        <f t="shared" si="18"/>
        <v>2024</v>
      </c>
      <c r="C106">
        <f t="shared" si="19"/>
        <v>9</v>
      </c>
      <c r="D106" s="30">
        <f>'Monthly Data'!F106</f>
        <v>6258910.3794842856</v>
      </c>
      <c r="E106" s="33">
        <f t="shared" ca="1" si="24"/>
        <v>114.73583333333336</v>
      </c>
      <c r="F106" s="33">
        <f t="shared" ca="1" si="24"/>
        <v>95.131249999999994</v>
      </c>
      <c r="G106" s="33">
        <f>'Monthly Data'!AS106</f>
        <v>70.695833333333326</v>
      </c>
      <c r="H106" s="33">
        <f>'Monthly Data'!AZ106</f>
        <v>127.19583333333331</v>
      </c>
      <c r="I106" s="18">
        <f>'Monthly Data'!G106</f>
        <v>10358</v>
      </c>
      <c r="J106">
        <f>'Monthly Data'!BU106</f>
        <v>30</v>
      </c>
      <c r="K106" s="33">
        <f t="shared" ca="1" si="15"/>
        <v>28.68395833333334</v>
      </c>
      <c r="L106" s="33">
        <f t="shared" ca="1" si="16"/>
        <v>23.782812499999999</v>
      </c>
      <c r="M106" s="33">
        <f>'Monthly Data'!CQ106</f>
        <v>17.673958333333331</v>
      </c>
      <c r="N106" s="33">
        <f>'Monthly Data'!CX106</f>
        <v>31.798958333333328</v>
      </c>
      <c r="O106">
        <f>'Monthly Data'!BY106</f>
        <v>0.25</v>
      </c>
      <c r="P106" s="18"/>
      <c r="Q106" s="18">
        <f ca="1">(E106-G106)*'Res Predicted Monthly'!$X$9</f>
        <v>288532.81685204926</v>
      </c>
      <c r="R106" s="18">
        <f ca="1">(F106-H106)*'Res Predicted Monthly'!$X$10</f>
        <v>-467664.74648716516</v>
      </c>
      <c r="S106" s="18"/>
      <c r="T106" s="18"/>
      <c r="U106" s="18">
        <f ca="1">(K106-M106)*'Res Predicted Monthly'!$X$13</f>
        <v>5954.4813470968056</v>
      </c>
      <c r="V106" s="18">
        <f ca="1">(L106-N106)*'Res Predicted Monthly'!$X$14</f>
        <v>-17585.967029761585</v>
      </c>
      <c r="W106" s="30">
        <f t="shared" ca="1" si="21"/>
        <v>6068146.9641665053</v>
      </c>
      <c r="X106" s="30">
        <f t="shared" ca="1" si="22"/>
        <v>-190763.41531778034</v>
      </c>
      <c r="Y106" s="35">
        <f t="shared" ca="1" si="23"/>
        <v>3.0478694173840949E-2</v>
      </c>
    </row>
    <row r="107" spans="1:25">
      <c r="A107" s="541">
        <f>'Monthly Data'!A107</f>
        <v>45566</v>
      </c>
      <c r="B107">
        <f t="shared" si="18"/>
        <v>2024</v>
      </c>
      <c r="C107">
        <f t="shared" si="19"/>
        <v>10</v>
      </c>
      <c r="D107" s="30">
        <f>'Monthly Data'!F107</f>
        <v>6160614.9456405286</v>
      </c>
      <c r="E107" s="33">
        <f t="shared" ca="1" si="24"/>
        <v>302.40479166666665</v>
      </c>
      <c r="F107" s="33">
        <f t="shared" ca="1" si="24"/>
        <v>21.813750000000006</v>
      </c>
      <c r="G107" s="33">
        <f>'Monthly Data'!AS107</f>
        <v>299.2833333333333</v>
      </c>
      <c r="H107" s="33">
        <f>'Monthly Data'!AZ107</f>
        <v>20.145833333333339</v>
      </c>
      <c r="I107" s="18">
        <f>'Monthly Data'!G107</f>
        <v>10359</v>
      </c>
      <c r="J107">
        <f>'Monthly Data'!BU107</f>
        <v>31</v>
      </c>
      <c r="K107" s="33">
        <f t="shared" ca="1" si="15"/>
        <v>75.601197916666663</v>
      </c>
      <c r="L107" s="33">
        <f t="shared" ca="1" si="16"/>
        <v>5.4534375000000015</v>
      </c>
      <c r="M107" s="33">
        <f>'Monthly Data'!CQ107</f>
        <v>74.820833333333326</v>
      </c>
      <c r="N107" s="33">
        <f>'Monthly Data'!CX107</f>
        <v>5.0364583333333348</v>
      </c>
      <c r="O107">
        <f>'Monthly Data'!BY107</f>
        <v>0.25</v>
      </c>
      <c r="P107" s="18"/>
      <c r="Q107" s="18">
        <f ca="1">(E107-G107)*'Res Predicted Monthly'!$X$9</f>
        <v>20450.571426043913</v>
      </c>
      <c r="R107" s="18">
        <f ca="1">(F107-H107)*'Res Predicted Monthly'!$X$10</f>
        <v>24326.71015773014</v>
      </c>
      <c r="S107" s="18"/>
      <c r="T107" s="18"/>
      <c r="U107" s="18">
        <f ca="1">(K107-M107)*'Res Predicted Monthly'!$X$13</f>
        <v>422.04054090765908</v>
      </c>
      <c r="V107" s="18">
        <f ca="1">(L107-N107)*'Res Predicted Monthly'!$X$14</f>
        <v>914.77650601176879</v>
      </c>
      <c r="W107" s="30">
        <f t="shared" ca="1" si="21"/>
        <v>6206729.0442712214</v>
      </c>
      <c r="X107" s="30">
        <f t="shared" ca="1" si="22"/>
        <v>46114.09863069281</v>
      </c>
      <c r="Y107" s="35">
        <f t="shared" ca="1" si="23"/>
        <v>7.4853077229448976E-3</v>
      </c>
    </row>
    <row r="108" spans="1:25">
      <c r="A108" s="541">
        <f>'Monthly Data'!A108</f>
        <v>45597</v>
      </c>
      <c r="B108">
        <f t="shared" si="18"/>
        <v>2024</v>
      </c>
      <c r="C108">
        <f t="shared" si="19"/>
        <v>11</v>
      </c>
      <c r="D108" s="30">
        <f>'Monthly Data'!F108</f>
        <v>6834550.5117967715</v>
      </c>
      <c r="E108" s="33">
        <f t="shared" ca="1" si="24"/>
        <v>526.09395833333338</v>
      </c>
      <c r="F108" s="33">
        <f t="shared" ca="1" si="24"/>
        <v>2.2795833333333335</v>
      </c>
      <c r="G108" s="33">
        <f>'Monthly Data'!AS108</f>
        <v>446.44583333333333</v>
      </c>
      <c r="H108" s="33">
        <f>'Monthly Data'!AZ108</f>
        <v>2.6374999999999975</v>
      </c>
      <c r="I108" s="18">
        <f>'Monthly Data'!G108</f>
        <v>10364</v>
      </c>
      <c r="J108">
        <f>'Monthly Data'!BU108</f>
        <v>30</v>
      </c>
      <c r="K108" s="33">
        <f t="shared" ca="1" si="15"/>
        <v>131.52348958333334</v>
      </c>
      <c r="L108" s="33">
        <f t="shared" ca="1" si="16"/>
        <v>0.56989583333333338</v>
      </c>
      <c r="M108" s="33">
        <f>'Monthly Data'!CQ108</f>
        <v>111.61145833333333</v>
      </c>
      <c r="N108" s="33">
        <f>'Monthly Data'!CX108</f>
        <v>0.65937499999999938</v>
      </c>
      <c r="O108">
        <f>'Monthly Data'!BY108</f>
        <v>0.25</v>
      </c>
      <c r="P108" s="18"/>
      <c r="Q108" s="18">
        <f ca="1">(E108-G108)*'Res Predicted Monthly'!$X$9</f>
        <v>521823.29389723251</v>
      </c>
      <c r="R108" s="18">
        <f ca="1">(F108-H108)*'Res Predicted Monthly'!$X$10</f>
        <v>-5220.2458220060043</v>
      </c>
      <c r="S108" s="18"/>
      <c r="T108" s="18"/>
      <c r="U108" s="18">
        <f ca="1">(K108-M108)*'Res Predicted Monthly'!$X$13</f>
        <v>10768.920859303695</v>
      </c>
      <c r="V108" s="18">
        <f ca="1">(L108-N108)*'Res Predicted Monthly'!$X$14</f>
        <v>-196.30102889435511</v>
      </c>
      <c r="W108" s="30">
        <f t="shared" ca="1" si="21"/>
        <v>7361726.1797024077</v>
      </c>
      <c r="X108" s="30">
        <f t="shared" ca="1" si="22"/>
        <v>527175.66790563613</v>
      </c>
      <c r="Y108" s="35">
        <f t="shared" ca="1" si="23"/>
        <v>7.7133919340519164E-2</v>
      </c>
    </row>
    <row r="109" spans="1:25">
      <c r="A109" s="541">
        <f>'Monthly Data'!A109</f>
        <v>45627</v>
      </c>
      <c r="B109">
        <f t="shared" si="18"/>
        <v>2024</v>
      </c>
      <c r="C109">
        <f t="shared" si="19"/>
        <v>12</v>
      </c>
      <c r="D109" s="30">
        <f>'Monthly Data'!F109</f>
        <v>9082027.0779530145</v>
      </c>
      <c r="E109" s="33">
        <f t="shared" ca="1" si="24"/>
        <v>750.36333333333334</v>
      </c>
      <c r="F109" s="33">
        <f t="shared" ca="1" si="24"/>
        <v>0</v>
      </c>
      <c r="G109" s="33">
        <f>'Monthly Data'!AS109</f>
        <v>734.64791666666656</v>
      </c>
      <c r="H109" s="33">
        <f>'Monthly Data'!AZ109</f>
        <v>0</v>
      </c>
      <c r="I109" s="18">
        <f>'Monthly Data'!G109</f>
        <v>10367</v>
      </c>
      <c r="J109">
        <f>'Monthly Data'!BU109</f>
        <v>31</v>
      </c>
      <c r="K109" s="33">
        <f t="shared" ca="1" si="15"/>
        <v>187.59083333333334</v>
      </c>
      <c r="L109" s="33">
        <f t="shared" ca="1" si="16"/>
        <v>0</v>
      </c>
      <c r="M109" s="33">
        <f>'Monthly Data'!CQ109</f>
        <v>183.66197916666664</v>
      </c>
      <c r="N109" s="33">
        <f>'Monthly Data'!CX109</f>
        <v>0</v>
      </c>
      <c r="O109">
        <f>'Monthly Data'!BY109</f>
        <v>0.25</v>
      </c>
      <c r="P109" s="18"/>
      <c r="Q109" s="18">
        <f ca="1">(E109-G109)*'Res Predicted Monthly'!$X$9</f>
        <v>102961.24974652601</v>
      </c>
      <c r="R109" s="18">
        <f ca="1">(F109-H109)*'Res Predicted Monthly'!$X$10</f>
        <v>0</v>
      </c>
      <c r="S109" s="18"/>
      <c r="T109" s="18"/>
      <c r="U109" s="18">
        <f ca="1">(K109-M109)*'Res Predicted Monthly'!$X$13</f>
        <v>2124.8218756476281</v>
      </c>
      <c r="V109" s="18">
        <f ca="1">(L109-N109)*'Res Predicted Monthly'!$X$14</f>
        <v>0</v>
      </c>
      <c r="W109" s="30">
        <f t="shared" ca="1" si="21"/>
        <v>9187113.1495751869</v>
      </c>
      <c r="X109" s="30">
        <f t="shared" ca="1" si="22"/>
        <v>105086.07162217237</v>
      </c>
      <c r="Y109" s="35">
        <f t="shared" ca="1" si="23"/>
        <v>1.1570772771342318E-2</v>
      </c>
    </row>
    <row r="110" spans="1:25">
      <c r="A110" s="541">
        <f>'Monthly Data'!A110</f>
        <v>45658</v>
      </c>
      <c r="B110">
        <f t="shared" si="18"/>
        <v>2025</v>
      </c>
      <c r="C110">
        <f t="shared" si="19"/>
        <v>1</v>
      </c>
      <c r="D110" s="30">
        <f>'Monthly Data'!F110</f>
        <v>9808318.0739879906</v>
      </c>
      <c r="E110" s="33">
        <f t="shared" ca="1" si="24"/>
        <v>852.55166666666662</v>
      </c>
      <c r="F110" s="33">
        <f t="shared" ca="1" si="24"/>
        <v>0</v>
      </c>
      <c r="G110" s="33">
        <f>'Monthly Data'!AS110</f>
        <v>868.57291666666663</v>
      </c>
      <c r="H110" s="33">
        <f>'Monthly Data'!AZ110</f>
        <v>0</v>
      </c>
      <c r="I110" s="18">
        <f>'Monthly Data'!G110</f>
        <v>10366</v>
      </c>
      <c r="J110">
        <f>'Monthly Data'!BU110</f>
        <v>31</v>
      </c>
      <c r="K110" s="33">
        <f t="shared" ca="1" si="15"/>
        <v>213.13791666666665</v>
      </c>
      <c r="L110" s="33">
        <f t="shared" ca="1" si="16"/>
        <v>0</v>
      </c>
      <c r="M110" s="33">
        <f>'Monthly Data'!CQ110</f>
        <v>217.14322916666666</v>
      </c>
      <c r="N110" s="33">
        <f>'Monthly Data'!CX110</f>
        <v>0</v>
      </c>
      <c r="O110">
        <f>'Monthly Data'!BY110</f>
        <v>0.25</v>
      </c>
      <c r="P110" s="18"/>
      <c r="Q110" s="18">
        <f ca="1">(E110-G110)*'Res Predicted Monthly'!$X$9</f>
        <v>-104964.94986355343</v>
      </c>
      <c r="R110" s="18">
        <f ca="1">(F110-H110)*'Res Predicted Monthly'!$X$10</f>
        <v>0</v>
      </c>
      <c r="S110" s="18"/>
      <c r="T110" s="18"/>
      <c r="U110" s="18">
        <f ca="1">(K110-M110)*'Res Predicted Monthly'!$X$13</f>
        <v>-2166.172440558008</v>
      </c>
      <c r="V110" s="18">
        <f ca="1">(L110-N110)*'Res Predicted Monthly'!$X$14</f>
        <v>0</v>
      </c>
      <c r="W110" s="30">
        <f t="shared" ca="1" si="21"/>
        <v>9701186.9516838789</v>
      </c>
      <c r="X110" s="30">
        <f t="shared" ca="1" si="22"/>
        <v>-107131.12230411172</v>
      </c>
      <c r="Y110" s="35">
        <f t="shared" ca="1" si="23"/>
        <v>1.0922476360980512E-2</v>
      </c>
    </row>
    <row r="111" spans="1:25">
      <c r="A111" s="541">
        <f>'Monthly Data'!A111</f>
        <v>45689</v>
      </c>
      <c r="B111">
        <f t="shared" si="18"/>
        <v>2025</v>
      </c>
      <c r="C111">
        <f t="shared" si="19"/>
        <v>2</v>
      </c>
      <c r="D111" s="30">
        <f>'Monthly Data'!F111</f>
        <v>8864275.7553072311</v>
      </c>
      <c r="E111" s="33">
        <f t="shared" ref="E111:F121" ca="1" si="25">E99</f>
        <v>747.22854166666662</v>
      </c>
      <c r="F111" s="33">
        <f t="shared" ca="1" si="25"/>
        <v>0</v>
      </c>
      <c r="G111" s="33">
        <f>'Monthly Data'!AS111</f>
        <v>795.05000000000007</v>
      </c>
      <c r="H111" s="33">
        <f>'Monthly Data'!AZ111</f>
        <v>0</v>
      </c>
      <c r="I111" s="18">
        <f>'Monthly Data'!G111</f>
        <v>10371</v>
      </c>
      <c r="J111">
        <f>'Monthly Data'!BU111</f>
        <v>28</v>
      </c>
      <c r="K111" s="33">
        <f t="shared" ca="1" si="15"/>
        <v>186.80713541666665</v>
      </c>
      <c r="L111" s="33">
        <f t="shared" ca="1" si="16"/>
        <v>0</v>
      </c>
      <c r="M111" s="33">
        <f>'Monthly Data'!CQ111</f>
        <v>198.76250000000002</v>
      </c>
      <c r="N111" s="33">
        <f>'Monthly Data'!CX111</f>
        <v>0</v>
      </c>
      <c r="O111">
        <f>'Monthly Data'!BY111</f>
        <v>0.25</v>
      </c>
      <c r="P111" s="18"/>
      <c r="Q111" s="18">
        <f ca="1">(E111-G111)*'Res Predicted Monthly'!$X$9</f>
        <v>-313307.44956606708</v>
      </c>
      <c r="R111" s="18">
        <f ca="1">(F111-H111)*'Res Predicted Monthly'!$X$10</f>
        <v>0</v>
      </c>
      <c r="S111" s="18"/>
      <c r="T111" s="18"/>
      <c r="U111" s="18">
        <f ca="1">(K111-M111)*'Res Predicted Monthly'!$X$13</f>
        <v>-6465.7579844868515</v>
      </c>
      <c r="V111" s="18">
        <f ca="1">(L111-N111)*'Res Predicted Monthly'!$X$14</f>
        <v>0</v>
      </c>
      <c r="W111" s="30">
        <f t="shared" ca="1" si="21"/>
        <v>8544502.5477566775</v>
      </c>
      <c r="X111" s="30">
        <f t="shared" ca="1" si="22"/>
        <v>-319773.2075505536</v>
      </c>
      <c r="Y111" s="35">
        <f t="shared" ca="1" si="23"/>
        <v>3.6074374983099837E-2</v>
      </c>
    </row>
    <row r="112" spans="1:25">
      <c r="A112" s="541">
        <f>'Monthly Data'!A112</f>
        <v>45717</v>
      </c>
      <c r="B112">
        <f t="shared" si="18"/>
        <v>2025</v>
      </c>
      <c r="C112">
        <f t="shared" si="19"/>
        <v>3</v>
      </c>
      <c r="D112" s="30">
        <f>'Monthly Data'!F112</f>
        <v>8273577.4366264734</v>
      </c>
      <c r="E112" s="33">
        <f t="shared" ca="1" si="25"/>
        <v>636.29604166666672</v>
      </c>
      <c r="F112" s="33">
        <f t="shared" ca="1" si="25"/>
        <v>0</v>
      </c>
      <c r="G112" s="33">
        <f>'Monthly Data'!AS112</f>
        <v>620.18333333333362</v>
      </c>
      <c r="H112" s="33">
        <f>'Monthly Data'!AZ112</f>
        <v>0</v>
      </c>
      <c r="I112" s="18">
        <f>'Monthly Data'!G112</f>
        <v>10390</v>
      </c>
      <c r="J112">
        <f>'Monthly Data'!BU112</f>
        <v>31</v>
      </c>
      <c r="K112" s="33">
        <f t="shared" ca="1" si="15"/>
        <v>159.07401041666668</v>
      </c>
      <c r="L112" s="33">
        <f t="shared" ca="1" si="16"/>
        <v>0</v>
      </c>
      <c r="M112" s="33">
        <f>'Monthly Data'!CQ112</f>
        <v>155.04583333333341</v>
      </c>
      <c r="N112" s="33">
        <f>'Monthly Data'!CX112</f>
        <v>0</v>
      </c>
      <c r="O112">
        <f>'Monthly Data'!BY112</f>
        <v>0.25</v>
      </c>
      <c r="P112" s="18"/>
      <c r="Q112" s="18">
        <f ca="1">(E112-G112)*'Res Predicted Monthly'!$X$9</f>
        <v>105564.14901299011</v>
      </c>
      <c r="R112" s="18">
        <f ca="1">(F112-H112)*'Res Predicted Monthly'!$X$10</f>
        <v>0</v>
      </c>
      <c r="S112" s="18"/>
      <c r="T112" s="18"/>
      <c r="U112" s="18">
        <f ca="1">(K112-M112)*'Res Predicted Monthly'!$X$13</f>
        <v>2178.5381748874465</v>
      </c>
      <c r="V112" s="18">
        <f ca="1">(L112-N112)*'Res Predicted Monthly'!$X$14</f>
        <v>0</v>
      </c>
      <c r="W112" s="30">
        <f t="shared" ca="1" si="21"/>
        <v>8381320.1238143509</v>
      </c>
      <c r="X112" s="30">
        <f t="shared" ca="1" si="22"/>
        <v>107742.68718787748</v>
      </c>
      <c r="Y112" s="35">
        <f t="shared" ca="1" si="23"/>
        <v>1.3022503024013424E-2</v>
      </c>
    </row>
    <row r="113" spans="1:25">
      <c r="A113" s="541">
        <f>'Monthly Data'!A113</f>
        <v>45748</v>
      </c>
      <c r="B113">
        <f t="shared" si="18"/>
        <v>2025</v>
      </c>
      <c r="C113">
        <f t="shared" si="19"/>
        <v>4</v>
      </c>
      <c r="D113" s="30">
        <f>'Monthly Data'!F113</f>
        <v>6923951.1179457149</v>
      </c>
      <c r="E113" s="33">
        <f t="shared" ca="1" si="25"/>
        <v>408.60374999999999</v>
      </c>
      <c r="F113" s="33">
        <f t="shared" ca="1" si="25"/>
        <v>2.8104166666666677</v>
      </c>
      <c r="G113" s="33">
        <f>'Monthly Data'!AS113</f>
        <v>419.4354166666667</v>
      </c>
      <c r="H113" s="33">
        <f>'Monthly Data'!AZ113</f>
        <v>4.6874999999999982</v>
      </c>
      <c r="I113" s="18">
        <f>'Monthly Data'!G113</f>
        <v>10390</v>
      </c>
      <c r="J113">
        <f>'Monthly Data'!BU113</f>
        <v>30</v>
      </c>
      <c r="K113" s="33">
        <f t="shared" ca="1" si="15"/>
        <v>102.1509375</v>
      </c>
      <c r="L113" s="33">
        <f t="shared" ca="1" si="16"/>
        <v>0.70260416666666692</v>
      </c>
      <c r="M113" s="33">
        <f>'Monthly Data'!CQ113</f>
        <v>104.85885416666667</v>
      </c>
      <c r="N113" s="33">
        <f>'Monthly Data'!CX113</f>
        <v>1.1718749999999996</v>
      </c>
      <c r="O113">
        <f>'Monthly Data'!BY113</f>
        <v>0.25</v>
      </c>
      <c r="P113" s="18"/>
      <c r="Q113" s="18">
        <f ca="1">(E113-G113)*'Res Predicted Monthly'!$X$9</f>
        <v>-70964.834117524719</v>
      </c>
      <c r="R113" s="18">
        <f ca="1">(F113-H113)*'Res Predicted Monthly'!$X$10</f>
        <v>-27377.424246958311</v>
      </c>
      <c r="S113" s="18"/>
      <c r="T113" s="18"/>
      <c r="U113" s="18">
        <f ca="1">(K113-M113)*'Res Predicted Monthly'!$X$13</f>
        <v>-1464.5085632297248</v>
      </c>
      <c r="V113" s="18">
        <f ca="1">(L113-N113)*'Res Predicted Monthly'!$X$14</f>
        <v>-1029.494918706723</v>
      </c>
      <c r="W113" s="30">
        <f t="shared" ca="1" si="21"/>
        <v>6823114.8560992954</v>
      </c>
      <c r="X113" s="30">
        <f t="shared" ca="1" si="22"/>
        <v>-100836.26184641942</v>
      </c>
      <c r="Y113" s="35">
        <f t="shared" ca="1" si="23"/>
        <v>1.4563398864135366E-2</v>
      </c>
    </row>
    <row r="114" spans="1:25">
      <c r="A114" s="541">
        <f>'Monthly Data'!A114</f>
        <v>45778</v>
      </c>
      <c r="B114">
        <f t="shared" si="18"/>
        <v>2025</v>
      </c>
      <c r="C114">
        <f t="shared" si="19"/>
        <v>5</v>
      </c>
      <c r="D114" s="30">
        <f>'Monthly Data'!F114</f>
        <v>6113839.7992649563</v>
      </c>
      <c r="E114" s="33">
        <f t="shared" ca="1" si="25"/>
        <v>178.10395833333331</v>
      </c>
      <c r="F114" s="33">
        <f t="shared" ca="1" si="25"/>
        <v>74.673124999999999</v>
      </c>
      <c r="G114" s="33">
        <f>'Monthly Data'!AS114</f>
        <v>177.67291666666665</v>
      </c>
      <c r="H114" s="33">
        <f>'Monthly Data'!AZ114</f>
        <v>62.020833333333329</v>
      </c>
      <c r="I114" s="18">
        <f>'Monthly Data'!G114</f>
        <v>10389</v>
      </c>
      <c r="J114">
        <f>'Monthly Data'!BU114</f>
        <v>31</v>
      </c>
      <c r="K114" s="33">
        <f t="shared" ca="1" si="15"/>
        <v>44.525989583333327</v>
      </c>
      <c r="L114" s="33">
        <f t="shared" ca="1" si="16"/>
        <v>18.66828125</v>
      </c>
      <c r="M114" s="33">
        <f>'Monthly Data'!CQ114</f>
        <v>44.418229166666663</v>
      </c>
      <c r="N114" s="33">
        <f>'Monthly Data'!CX114</f>
        <v>15.505208333333332</v>
      </c>
      <c r="O114">
        <f>'Monthly Data'!BY114</f>
        <v>0.25</v>
      </c>
      <c r="P114" s="18"/>
      <c r="Q114" s="18">
        <f ca="1">(E114-G114)*'Res Predicted Monthly'!$X$9</f>
        <v>2824.0160368740439</v>
      </c>
      <c r="R114" s="18">
        <f ca="1">(F114-H114)*'Res Predicted Monthly'!$X$10</f>
        <v>184534.77823995874</v>
      </c>
      <c r="S114" s="18"/>
      <c r="T114" s="18"/>
      <c r="U114" s="18">
        <f ca="1">(K114-M114)*'Res Predicted Monthly'!$X$13</f>
        <v>58.27950871907661</v>
      </c>
      <c r="V114" s="18">
        <f ca="1">(L114-N114)*'Res Predicted Monthly'!$X$14</f>
        <v>6939.2070930053387</v>
      </c>
      <c r="W114" s="30">
        <f t="shared" ca="1" si="21"/>
        <v>6308196.0801435132</v>
      </c>
      <c r="X114" s="30">
        <f t="shared" ref="X114:X127" ca="1" si="26">W114-D114</f>
        <v>194356.28087855689</v>
      </c>
      <c r="Y114" s="35">
        <f t="shared" ref="Y114:Y121" ca="1" si="27">ABS(X114/D114)</f>
        <v>3.1789560613270179E-2</v>
      </c>
    </row>
    <row r="115" spans="1:25">
      <c r="A115" s="541">
        <f>'Monthly Data'!A115</f>
        <v>45809</v>
      </c>
      <c r="B115">
        <f t="shared" si="18"/>
        <v>2025</v>
      </c>
      <c r="C115">
        <f t="shared" si="19"/>
        <v>6</v>
      </c>
      <c r="D115" s="30">
        <f>'Monthly Data'!F115</f>
        <v>7082189.4805841977</v>
      </c>
      <c r="E115" s="33">
        <f t="shared" ca="1" si="25"/>
        <v>51.834166666666661</v>
      </c>
      <c r="F115" s="33">
        <f t="shared" ca="1" si="25"/>
        <v>169.78833333333333</v>
      </c>
      <c r="G115" s="33">
        <f>'Monthly Data'!AS115</f>
        <v>46.833333333333336</v>
      </c>
      <c r="H115" s="33">
        <f>'Monthly Data'!AZ115</f>
        <v>191.33749999999998</v>
      </c>
      <c r="I115" s="18">
        <f>'Monthly Data'!G115</f>
        <v>10389</v>
      </c>
      <c r="J115">
        <f>'Monthly Data'!BU115</f>
        <v>30</v>
      </c>
      <c r="K115" s="33">
        <f t="shared" ca="1" si="15"/>
        <v>12.958541666666665</v>
      </c>
      <c r="L115" s="33">
        <f t="shared" ca="1" si="16"/>
        <v>42.447083333333332</v>
      </c>
      <c r="M115" s="33">
        <f>'Monthly Data'!CQ115</f>
        <v>11.708333333333334</v>
      </c>
      <c r="N115" s="33">
        <f>'Monthly Data'!CX115</f>
        <v>47.834374999999994</v>
      </c>
      <c r="O115">
        <f>'Monthly Data'!BY115</f>
        <v>0.25</v>
      </c>
      <c r="P115" s="18"/>
      <c r="Q115" s="18">
        <f ca="1">(E115-G115)*'Res Predicted Monthly'!$X$9</f>
        <v>32763.499733748551</v>
      </c>
      <c r="R115" s="18">
        <f ca="1">(F115-H115)*'Res Predicted Monthly'!$X$10</f>
        <v>-314296.47662690142</v>
      </c>
      <c r="S115" s="18"/>
      <c r="T115" s="18"/>
      <c r="U115" s="18">
        <f ca="1">(K115-M115)*'Res Predicted Monthly'!$X$13</f>
        <v>676.14370579639433</v>
      </c>
      <c r="V115" s="18">
        <f ca="1">(L115-N115)*'Res Predicted Monthly'!$X$14</f>
        <v>-11818.73878039386</v>
      </c>
      <c r="W115" s="30">
        <f t="shared" ca="1" si="21"/>
        <v>6789513.9086164478</v>
      </c>
      <c r="X115" s="30">
        <f t="shared" ca="1" si="26"/>
        <v>-292675.57196774986</v>
      </c>
      <c r="Y115" s="35">
        <f t="shared" ca="1" si="27"/>
        <v>4.1325577742606166E-2</v>
      </c>
    </row>
    <row r="116" spans="1:25">
      <c r="A116" s="541">
        <f>'Monthly Data'!A116</f>
        <v>45839</v>
      </c>
      <c r="B116">
        <f t="shared" si="18"/>
        <v>2025</v>
      </c>
      <c r="C116">
        <f t="shared" si="19"/>
        <v>7</v>
      </c>
      <c r="D116" s="30">
        <f>'Monthly Data'!F116</f>
        <v>8777773.1619034391</v>
      </c>
      <c r="E116" s="33">
        <f t="shared" ca="1" si="25"/>
        <v>6.5670833333333318</v>
      </c>
      <c r="F116" s="33">
        <f t="shared" ca="1" si="25"/>
        <v>265.99625000000003</v>
      </c>
      <c r="G116" s="33">
        <f>'Monthly Data'!AS116</f>
        <v>8.0333333333333403</v>
      </c>
      <c r="H116" s="33">
        <f>'Monthly Data'!AZ116</f>
        <v>285.84375000000006</v>
      </c>
      <c r="I116" s="18">
        <f>'Monthly Data'!G116</f>
        <v>10393</v>
      </c>
      <c r="J116">
        <f>'Monthly Data'!BU116</f>
        <v>31</v>
      </c>
      <c r="K116" s="33">
        <f t="shared" ca="1" si="15"/>
        <v>1.641770833333333</v>
      </c>
      <c r="L116" s="33">
        <f t="shared" ca="1" si="16"/>
        <v>66.499062500000008</v>
      </c>
      <c r="M116" s="33">
        <f>'Monthly Data'!CQ116</f>
        <v>2.0083333333333351</v>
      </c>
      <c r="N116" s="33">
        <f>'Monthly Data'!CX116</f>
        <v>71.460937500000014</v>
      </c>
      <c r="O116">
        <f>'Monthly Data'!BY116</f>
        <v>0.25</v>
      </c>
      <c r="P116" s="18"/>
      <c r="Q116" s="18">
        <f ca="1">(E116-G116)*'Res Predicted Monthly'!$X$9</f>
        <v>-9606.2952477138806</v>
      </c>
      <c r="R116" s="18">
        <f ca="1">(F116-H116)*'Res Predicted Monthly'!$X$10</f>
        <v>-289477.51977349963</v>
      </c>
      <c r="S116" s="18"/>
      <c r="T116" s="18"/>
      <c r="U116" s="18">
        <f ca="1">(K116-M116)*'Res Predicted Monthly'!$X$13</f>
        <v>-198.24610070800944</v>
      </c>
      <c r="V116" s="18">
        <f ca="1">(L116-N116)*'Res Predicted Monthly'!$X$14</f>
        <v>-10885.451932891492</v>
      </c>
      <c r="W116" s="30">
        <f t="shared" ca="1" si="21"/>
        <v>8467605.6488486249</v>
      </c>
      <c r="X116" s="30">
        <f t="shared" ca="1" si="26"/>
        <v>-310167.51305481419</v>
      </c>
      <c r="Y116" s="35">
        <f t="shared" ca="1" si="27"/>
        <v>3.5335558043465672E-2</v>
      </c>
    </row>
    <row r="117" spans="1:25">
      <c r="A117" s="541">
        <f>'Monthly Data'!A117</f>
        <v>45870</v>
      </c>
      <c r="B117">
        <f t="shared" si="18"/>
        <v>2025</v>
      </c>
      <c r="C117">
        <f t="shared" si="19"/>
        <v>8</v>
      </c>
      <c r="D117" s="30">
        <f>'Monthly Data'!F117</f>
        <v>7696904.8432226805</v>
      </c>
      <c r="E117" s="33">
        <f t="shared" ca="1" si="25"/>
        <v>23.263124999999995</v>
      </c>
      <c r="F117" s="33">
        <f t="shared" ca="1" si="25"/>
        <v>218.46562499999996</v>
      </c>
      <c r="G117" s="33">
        <f>'Monthly Data'!AS117</f>
        <v>32.360416666666666</v>
      </c>
      <c r="H117" s="33">
        <f>'Monthly Data'!AZ117</f>
        <v>218.76041666666663</v>
      </c>
      <c r="I117" s="18">
        <f>'Monthly Data'!G117</f>
        <v>10396</v>
      </c>
      <c r="J117">
        <f>'Monthly Data'!BU117</f>
        <v>31</v>
      </c>
      <c r="K117" s="33">
        <f t="shared" ref="K117:K145" ca="1" si="28">E117*O117</f>
        <v>5.8157812499999988</v>
      </c>
      <c r="L117" s="33">
        <f t="shared" ref="L117:L145" ca="1" si="29">F117*O117</f>
        <v>54.61640624999999</v>
      </c>
      <c r="M117" s="33">
        <f>'Monthly Data'!CQ117</f>
        <v>8.0901041666666664</v>
      </c>
      <c r="N117" s="33">
        <f>'Monthly Data'!CX117</f>
        <v>54.690104166666657</v>
      </c>
      <c r="O117">
        <f>'Monthly Data'!BY117</f>
        <v>0.25</v>
      </c>
      <c r="P117" s="18"/>
      <c r="Q117" s="18">
        <f ca="1">(E117-G117)*'Res Predicted Monthly'!$X$9</f>
        <v>-59601.888971571439</v>
      </c>
      <c r="R117" s="18">
        <f ca="1">(F117-H117)*'Res Predicted Monthly'!$X$10</f>
        <v>-4299.562187507915</v>
      </c>
      <c r="S117" s="18"/>
      <c r="T117" s="18"/>
      <c r="U117" s="18">
        <f ca="1">(K117-M117)*'Res Predicted Monthly'!$X$13</f>
        <v>-1230.0102983257461</v>
      </c>
      <c r="V117" s="18">
        <f ca="1">(L117-N117)*'Res Predicted Monthly'!$X$14</f>
        <v>-161.67983462486399</v>
      </c>
      <c r="W117" s="30">
        <f t="shared" ca="1" si="21"/>
        <v>7631611.7019306505</v>
      </c>
      <c r="X117" s="30">
        <f t="shared" ca="1" si="26"/>
        <v>-65293.141292029992</v>
      </c>
      <c r="Y117" s="35">
        <f t="shared" ca="1" si="27"/>
        <v>8.4830386528062969E-3</v>
      </c>
    </row>
    <row r="118" spans="1:25">
      <c r="A118" s="541">
        <f>'Monthly Data'!A118</f>
        <v>45901</v>
      </c>
      <c r="B118">
        <f t="shared" si="18"/>
        <v>2025</v>
      </c>
      <c r="C118">
        <f t="shared" si="19"/>
        <v>9</v>
      </c>
      <c r="D118" s="30">
        <f>'Monthly Data'!F118</f>
        <v>5759107.5245419219</v>
      </c>
      <c r="E118" s="33">
        <f t="shared" ca="1" si="25"/>
        <v>114.73583333333336</v>
      </c>
      <c r="F118" s="33">
        <f t="shared" ca="1" si="25"/>
        <v>95.131249999999994</v>
      </c>
      <c r="G118" s="33">
        <f>'Monthly Data'!AS118</f>
        <v>119.1583333333333</v>
      </c>
      <c r="H118" s="33">
        <f>'Monthly Data'!AZ118</f>
        <v>73.020833333333343</v>
      </c>
      <c r="I118" s="18">
        <f>'Monthly Data'!G118</f>
        <v>10397</v>
      </c>
      <c r="J118">
        <f>'Monthly Data'!BU118</f>
        <v>30</v>
      </c>
      <c r="K118" s="33">
        <f t="shared" ca="1" si="28"/>
        <v>28.68395833333334</v>
      </c>
      <c r="L118" s="33">
        <f t="shared" ca="1" si="29"/>
        <v>23.782812499999999</v>
      </c>
      <c r="M118" s="33">
        <f>'Monthly Data'!CQ118</f>
        <v>29.789583333333326</v>
      </c>
      <c r="N118" s="33">
        <f>'Monthly Data'!CX118</f>
        <v>18.255208333333336</v>
      </c>
      <c r="O118">
        <f>'Monthly Data'!BY118</f>
        <v>0.25</v>
      </c>
      <c r="P118" s="18"/>
      <c r="Q118" s="18">
        <f ca="1">(E118-G118)*'Res Predicted Monthly'!$X$9</f>
        <v>-28974.486433428025</v>
      </c>
      <c r="R118" s="18">
        <f ca="1">(F118-H118)*'Res Predicted Monthly'!$X$10</f>
        <v>322482.35686234053</v>
      </c>
      <c r="S118" s="18"/>
      <c r="T118" s="18"/>
      <c r="U118" s="18">
        <f ca="1">(K118-M118)*'Res Predicted Monthly'!$X$13</f>
        <v>-597.94944953531478</v>
      </c>
      <c r="V118" s="18">
        <f ca="1">(L118-N118)*'Res Predicted Monthly'!$X$14</f>
        <v>12126.558903700843</v>
      </c>
      <c r="W118" s="30">
        <f t="shared" ca="1" si="21"/>
        <v>6064144.0044249995</v>
      </c>
      <c r="X118" s="30">
        <f t="shared" ca="1" si="26"/>
        <v>305036.47988307755</v>
      </c>
      <c r="Y118" s="35">
        <f t="shared" ca="1" si="27"/>
        <v>5.2965928936591626E-2</v>
      </c>
    </row>
    <row r="119" spans="1:25">
      <c r="A119" s="541">
        <f>'Monthly Data'!A119</f>
        <v>45931</v>
      </c>
      <c r="B119">
        <f t="shared" si="18"/>
        <v>2025</v>
      </c>
      <c r="C119">
        <f t="shared" si="19"/>
        <v>10</v>
      </c>
      <c r="D119" s="30">
        <f>'Monthly Data'!F119</f>
        <v>6185821.2058611633</v>
      </c>
      <c r="E119" s="33">
        <f t="shared" ca="1" si="25"/>
        <v>302.40479166666665</v>
      </c>
      <c r="F119" s="33">
        <f t="shared" ca="1" si="25"/>
        <v>21.813750000000006</v>
      </c>
      <c r="G119" s="33">
        <f>'Monthly Data'!AS119</f>
        <v>289.06666666666666</v>
      </c>
      <c r="H119" s="33">
        <f>'Monthly Data'!AZ119</f>
        <v>37.666666666666671</v>
      </c>
      <c r="I119" s="18">
        <f>'Monthly Data'!G119</f>
        <v>10402</v>
      </c>
      <c r="J119">
        <f>'Monthly Data'!BU119</f>
        <v>31</v>
      </c>
      <c r="K119" s="33">
        <f t="shared" ca="1" si="28"/>
        <v>75.601197916666663</v>
      </c>
      <c r="L119" s="33">
        <f t="shared" ca="1" si="29"/>
        <v>5.4534375000000015</v>
      </c>
      <c r="M119" s="33">
        <f>'Monthly Data'!CQ119</f>
        <v>72.266666666666666</v>
      </c>
      <c r="N119" s="33">
        <f>'Monthly Data'!CX119</f>
        <v>9.4166666666666679</v>
      </c>
      <c r="O119">
        <f>'Monthly Data'!BY119</f>
        <v>0.25</v>
      </c>
      <c r="P119" s="18"/>
      <c r="Q119" s="18">
        <f ca="1">(E119-G119)*'Res Predicted Monthly'!$X$9</f>
        <v>87386.166616138362</v>
      </c>
      <c r="R119" s="18">
        <f ca="1">(F119-H119)*'Res Predicted Monthly'!$X$10</f>
        <v>-231216.17321287998</v>
      </c>
      <c r="S119" s="18"/>
      <c r="T119" s="18"/>
      <c r="U119" s="18">
        <f ca="1">(K119-M119)*'Res Predicted Monthly'!$X$13</f>
        <v>1803.3972869606146</v>
      </c>
      <c r="V119" s="18">
        <f ca="1">(L119-N119)*'Res Predicted Monthly'!$X$14</f>
        <v>-8694.6044776991657</v>
      </c>
      <c r="W119" s="30">
        <f t="shared" ca="1" si="21"/>
        <v>6035099.9920736831</v>
      </c>
      <c r="X119" s="30">
        <f t="shared" ca="1" si="26"/>
        <v>-150721.21378748026</v>
      </c>
      <c r="Y119" s="35">
        <f t="shared" ca="1" si="27"/>
        <v>2.4365594926130347E-2</v>
      </c>
    </row>
    <row r="120" spans="1:25">
      <c r="A120" s="541">
        <f>'Monthly Data'!A120</f>
        <v>45962</v>
      </c>
      <c r="B120">
        <f t="shared" si="18"/>
        <v>2025</v>
      </c>
      <c r="C120">
        <f t="shared" si="19"/>
        <v>11</v>
      </c>
      <c r="D120" s="30">
        <f>'Monthly Data'!F120</f>
        <v>7688916.8871804047</v>
      </c>
      <c r="E120" s="33">
        <f t="shared" ca="1" si="25"/>
        <v>526.09395833333338</v>
      </c>
      <c r="F120" s="33">
        <f t="shared" ca="1" si="25"/>
        <v>2.2795833333333335</v>
      </c>
      <c r="G120" s="33">
        <f>'Monthly Data'!AS120</f>
        <v>547.22916666666663</v>
      </c>
      <c r="H120" s="33">
        <f>'Monthly Data'!AZ120</f>
        <v>0</v>
      </c>
      <c r="I120" s="18">
        <f>'Monthly Data'!G120</f>
        <v>10407</v>
      </c>
      <c r="J120">
        <f>'Monthly Data'!BU120</f>
        <v>30</v>
      </c>
      <c r="K120" s="33">
        <f t="shared" ca="1" si="28"/>
        <v>131.52348958333334</v>
      </c>
      <c r="L120" s="33">
        <f t="shared" ca="1" si="29"/>
        <v>0.56989583333333338</v>
      </c>
      <c r="M120" s="33">
        <f>'Monthly Data'!CQ120</f>
        <v>136.80729166666666</v>
      </c>
      <c r="N120" s="33">
        <f>'Monthly Data'!CX120</f>
        <v>0</v>
      </c>
      <c r="O120">
        <f>'Monthly Data'!BY120</f>
        <v>0.25</v>
      </c>
      <c r="P120" s="18"/>
      <c r="Q120" s="18">
        <f ca="1">(E120-G120)*'Res Predicted Monthly'!$X$9</f>
        <v>-138469.60025366812</v>
      </c>
      <c r="R120" s="18">
        <f ca="1">(F120-H120)*'Res Predicted Monthly'!$X$10</f>
        <v>33247.921876827779</v>
      </c>
      <c r="S120" s="18"/>
      <c r="T120" s="18"/>
      <c r="U120" s="18">
        <f ca="1">(K120-M120)*'Res Predicted Monthly'!$X$13</f>
        <v>-2857.6113484976777</v>
      </c>
      <c r="V120" s="18">
        <f ca="1">(L120-N120)*'Res Predicted Monthly'!$X$14</f>
        <v>1250.2478801874561</v>
      </c>
      <c r="W120" s="30">
        <f t="shared" ca="1" si="21"/>
        <v>7582087.8453352554</v>
      </c>
      <c r="X120" s="30">
        <f t="shared" ca="1" si="26"/>
        <v>-106829.04184514936</v>
      </c>
      <c r="Y120" s="35">
        <f t="shared" ca="1" si="27"/>
        <v>1.3893899935797659E-2</v>
      </c>
    </row>
    <row r="121" spans="1:25">
      <c r="A121" s="541">
        <f>'Monthly Data'!A121</f>
        <v>45992</v>
      </c>
      <c r="B121">
        <f t="shared" si="18"/>
        <v>2025</v>
      </c>
      <c r="C121">
        <f t="shared" si="19"/>
        <v>12</v>
      </c>
      <c r="D121" s="30">
        <f>'Monthly Data'!F121</f>
        <v>9982601.5684996471</v>
      </c>
      <c r="E121" s="33">
        <f t="shared" ca="1" si="25"/>
        <v>750.36333333333334</v>
      </c>
      <c r="F121" s="33">
        <f t="shared" ca="1" si="25"/>
        <v>0</v>
      </c>
      <c r="G121" s="33">
        <f>'Monthly Data'!AS121</f>
        <v>853.94583333333321</v>
      </c>
      <c r="H121" s="33">
        <f>'Monthly Data'!AZ121</f>
        <v>0</v>
      </c>
      <c r="I121" s="18">
        <f>'Monthly Data'!G121</f>
        <v>10411</v>
      </c>
      <c r="J121">
        <f>'Monthly Data'!BU121</f>
        <v>31</v>
      </c>
      <c r="K121" s="33">
        <f t="shared" ca="1" si="28"/>
        <v>187.59083333333334</v>
      </c>
      <c r="L121" s="33">
        <f t="shared" ca="1" si="29"/>
        <v>0</v>
      </c>
      <c r="M121" s="33">
        <f>'Monthly Data'!CQ121</f>
        <v>213.4864583333333</v>
      </c>
      <c r="N121" s="33">
        <f>'Monthly Data'!CX121</f>
        <v>0</v>
      </c>
      <c r="O121">
        <f>'Monthly Data'!BY121</f>
        <v>0.25</v>
      </c>
      <c r="P121" s="18"/>
      <c r="Q121" s="18">
        <f ca="1">(E121-G121)*'Res Predicted Monthly'!$X$9</f>
        <v>-678631.93691138353</v>
      </c>
      <c r="R121" s="18">
        <f ca="1">(F121-H121)*'Res Predicted Monthly'!$X$10</f>
        <v>0</v>
      </c>
      <c r="S121" s="18"/>
      <c r="T121" s="18"/>
      <c r="U121" s="18">
        <f ca="1">(K121-M121)*'Res Predicted Monthly'!$X$13</f>
        <v>-14004.99691497851</v>
      </c>
      <c r="V121" s="18">
        <f ca="1">(L121-N121)*'Res Predicted Monthly'!$X$14</f>
        <v>0</v>
      </c>
      <c r="W121" s="30">
        <f ca="1">D121+Q121+R121+U121+V121</f>
        <v>9289964.6346732844</v>
      </c>
      <c r="X121" s="30">
        <f t="shared" ca="1" si="26"/>
        <v>-692636.93382636271</v>
      </c>
      <c r="Y121" s="35">
        <f t="shared" ca="1" si="27"/>
        <v>6.9384411375487148E-2</v>
      </c>
    </row>
    <row r="122" spans="1:25">
      <c r="A122" s="541">
        <f>EOMONTH(A121,0)+1</f>
        <v>46023</v>
      </c>
      <c r="B122">
        <f t="shared" si="18"/>
        <v>2026</v>
      </c>
      <c r="C122">
        <f t="shared" si="19"/>
        <v>1</v>
      </c>
      <c r="E122" s="264">
        <f t="shared" ref="E122:F133" ca="1" si="30">E110</f>
        <v>852.55166666666662</v>
      </c>
      <c r="F122" s="264">
        <f t="shared" ca="1" si="30"/>
        <v>0</v>
      </c>
      <c r="G122" s="33"/>
      <c r="H122" s="33"/>
      <c r="I122" s="18">
        <f>'Customer Count'!C36</f>
        <v>10447.578743177361</v>
      </c>
      <c r="J122">
        <f>J74</f>
        <v>31</v>
      </c>
      <c r="K122" s="33">
        <f t="shared" ca="1" si="28"/>
        <v>213.13791666666665</v>
      </c>
      <c r="L122" s="33">
        <f t="shared" ca="1" si="29"/>
        <v>0</v>
      </c>
      <c r="M122" s="33"/>
      <c r="N122" s="33"/>
      <c r="O122">
        <f>O121</f>
        <v>0.25</v>
      </c>
      <c r="P122" s="18">
        <f>'Res Predicted Monthly'!$X$8</f>
        <v>-16404845.677784801</v>
      </c>
      <c r="Q122" s="18">
        <f ca="1">E122*'Res Predicted Monthly'!$X$9</f>
        <v>5585584.3300463771</v>
      </c>
      <c r="R122" s="18">
        <f ca="1">F122*'Res Predicted Monthly'!$X$10</f>
        <v>0</v>
      </c>
      <c r="S122" s="18">
        <f>I122*'Res Predicted Monthly'!$X$11</f>
        <v>14073246.708722664</v>
      </c>
      <c r="T122" s="18">
        <f>J122*'Res Predicted Monthly'!$X$12</f>
        <v>6513250.5985030681</v>
      </c>
      <c r="U122" s="18">
        <f ca="1">K122*'Res Predicted Monthly'!$X$13</f>
        <v>115270.27694375468</v>
      </c>
      <c r="V122" s="18">
        <f ca="1">L122*'Res Predicted Monthly'!$X$14</f>
        <v>0</v>
      </c>
      <c r="W122" s="30">
        <f ca="1">SUM(P122:V122)</f>
        <v>9882506.2364310641</v>
      </c>
      <c r="X122" s="30">
        <f t="shared" ca="1" si="26"/>
        <v>9882506.2364310641</v>
      </c>
      <c r="Y122" s="35"/>
    </row>
    <row r="123" spans="1:25">
      <c r="A123" s="541">
        <f t="shared" ref="A123:A145" si="31">EOMONTH(A122,0)+1</f>
        <v>46054</v>
      </c>
      <c r="B123">
        <f t="shared" si="18"/>
        <v>2026</v>
      </c>
      <c r="C123">
        <f t="shared" si="19"/>
        <v>2</v>
      </c>
      <c r="E123" s="264">
        <f t="shared" ca="1" si="30"/>
        <v>747.22854166666662</v>
      </c>
      <c r="F123" s="264">
        <f t="shared" ca="1" si="30"/>
        <v>0</v>
      </c>
      <c r="G123" s="33"/>
      <c r="H123" s="33"/>
      <c r="I123" s="18">
        <f>'Customer Count'!C37</f>
        <v>10456.200491328842</v>
      </c>
      <c r="J123">
        <f t="shared" ref="J123:J145" si="32">J75</f>
        <v>29</v>
      </c>
      <c r="K123" s="33">
        <f t="shared" ca="1" si="28"/>
        <v>186.80713541666665</v>
      </c>
      <c r="L123" s="33">
        <f t="shared" ca="1" si="29"/>
        <v>0</v>
      </c>
      <c r="M123" s="33"/>
      <c r="N123" s="33"/>
      <c r="O123">
        <f t="shared" ref="O123:O145" si="33">O122</f>
        <v>0.25</v>
      </c>
      <c r="P123" s="18">
        <f>'Res Predicted Monthly'!$X$8</f>
        <v>-16404845.677784801</v>
      </c>
      <c r="Q123" s="18">
        <f ca="1">E123*'Res Predicted Monthly'!$X$9</f>
        <v>4895548.500438964</v>
      </c>
      <c r="R123" s="18">
        <f ca="1">F123*'Res Predicted Monthly'!$X$10</f>
        <v>0</v>
      </c>
      <c r="S123" s="18">
        <f>I123*'Res Predicted Monthly'!$X$11</f>
        <v>14084860.499035133</v>
      </c>
      <c r="T123" s="18">
        <f>J123*'Res Predicted Monthly'!$X$12</f>
        <v>6093040.8824706124</v>
      </c>
      <c r="U123" s="18">
        <f ca="1">K123*'Res Predicted Monthly'!$X$13</f>
        <v>101029.93672507972</v>
      </c>
      <c r="V123" s="18">
        <f ca="1">L123*'Res Predicted Monthly'!$X$14</f>
        <v>0</v>
      </c>
      <c r="W123" s="30">
        <f t="shared" ref="W123:W145" ca="1" si="34">SUM(P123:V123)</f>
        <v>8769634.140884988</v>
      </c>
      <c r="X123" s="30">
        <f t="shared" ca="1" si="26"/>
        <v>8769634.140884988</v>
      </c>
      <c r="Y123" s="35"/>
    </row>
    <row r="124" spans="1:25">
      <c r="A124" s="541">
        <f t="shared" si="31"/>
        <v>46082</v>
      </c>
      <c r="B124">
        <f t="shared" si="18"/>
        <v>2026</v>
      </c>
      <c r="C124">
        <f t="shared" si="19"/>
        <v>3</v>
      </c>
      <c r="E124" s="264">
        <f t="shared" ca="1" si="30"/>
        <v>636.29604166666672</v>
      </c>
      <c r="F124" s="264">
        <f t="shared" ca="1" si="30"/>
        <v>0</v>
      </c>
      <c r="G124" s="33"/>
      <c r="H124" s="33"/>
      <c r="I124" s="18">
        <f>'Customer Count'!C38</f>
        <v>10464.829354482088</v>
      </c>
      <c r="J124">
        <f t="shared" si="32"/>
        <v>31</v>
      </c>
      <c r="K124" s="33">
        <f t="shared" ca="1" si="28"/>
        <v>159.07401041666668</v>
      </c>
      <c r="L124" s="33">
        <f t="shared" ca="1" si="29"/>
        <v>0</v>
      </c>
      <c r="M124" s="33"/>
      <c r="N124" s="33"/>
      <c r="O124">
        <f t="shared" si="33"/>
        <v>0.25</v>
      </c>
      <c r="P124" s="18">
        <f>'Res Predicted Monthly'!$X$8</f>
        <v>-16404845.677784801</v>
      </c>
      <c r="Q124" s="18">
        <f ca="1">E124*'Res Predicted Monthly'!$X$9</f>
        <v>4168762.2446387853</v>
      </c>
      <c r="R124" s="18">
        <f ca="1">F124*'Res Predicted Monthly'!$X$10</f>
        <v>0</v>
      </c>
      <c r="S124" s="18">
        <f>I124*'Res Predicted Monthly'!$X$11</f>
        <v>14096483.873498879</v>
      </c>
      <c r="T124" s="18">
        <f>J124*'Res Predicted Monthly'!$X$12</f>
        <v>6513250.5985030681</v>
      </c>
      <c r="U124" s="18">
        <f ca="1">K124*'Res Predicted Monthly'!$X$13</f>
        <v>86031.174190183825</v>
      </c>
      <c r="V124" s="18">
        <f ca="1">L124*'Res Predicted Monthly'!$X$14</f>
        <v>0</v>
      </c>
      <c r="W124" s="30">
        <f t="shared" ca="1" si="34"/>
        <v>8459682.2130461168</v>
      </c>
      <c r="X124" s="30">
        <f t="shared" ca="1" si="26"/>
        <v>8459682.2130461168</v>
      </c>
      <c r="Y124" s="35"/>
    </row>
    <row r="125" spans="1:25">
      <c r="A125" s="541">
        <f t="shared" si="31"/>
        <v>46113</v>
      </c>
      <c r="B125">
        <f t="shared" si="18"/>
        <v>2026</v>
      </c>
      <c r="C125">
        <f t="shared" si="19"/>
        <v>4</v>
      </c>
      <c r="E125" s="264">
        <f t="shared" ca="1" si="30"/>
        <v>408.60374999999999</v>
      </c>
      <c r="F125" s="264">
        <f t="shared" ca="1" si="30"/>
        <v>2.8104166666666677</v>
      </c>
      <c r="G125" s="33"/>
      <c r="H125" s="33"/>
      <c r="I125" s="18">
        <f>'Customer Count'!C39</f>
        <v>10473.465338508673</v>
      </c>
      <c r="J125">
        <f t="shared" si="32"/>
        <v>30</v>
      </c>
      <c r="K125" s="33">
        <f t="shared" ca="1" si="28"/>
        <v>102.1509375</v>
      </c>
      <c r="L125" s="33">
        <f t="shared" ca="1" si="29"/>
        <v>0.70260416666666692</v>
      </c>
      <c r="M125" s="33"/>
      <c r="N125" s="33"/>
      <c r="O125">
        <f t="shared" si="33"/>
        <v>0.25</v>
      </c>
      <c r="P125" s="18">
        <f>'Res Predicted Monthly'!$X$8</f>
        <v>-16404845.677784801</v>
      </c>
      <c r="Q125" s="18">
        <f ca="1">E125*'Res Predicted Monthly'!$X$9</f>
        <v>2677011.6022663582</v>
      </c>
      <c r="R125" s="18">
        <f ca="1">F125*'Res Predicted Monthly'!$X$10</f>
        <v>40990.172374191818</v>
      </c>
      <c r="S125" s="18">
        <f>I125*'Res Predicted Monthly'!$X$11</f>
        <v>14108116.840023117</v>
      </c>
      <c r="T125" s="18">
        <f>J125*'Res Predicted Monthly'!$X$12</f>
        <v>6303145.7404868407</v>
      </c>
      <c r="U125" s="18">
        <f ca="1">K125*'Res Predicted Monthly'!$X$13</f>
        <v>55245.763118274401</v>
      </c>
      <c r="V125" s="18">
        <f ca="1">L125*'Res Predicted Monthly'!$X$14</f>
        <v>1541.3858438794359</v>
      </c>
      <c r="W125" s="30">
        <f t="shared" ca="1" si="34"/>
        <v>6781205.8263278622</v>
      </c>
      <c r="X125" s="30">
        <f t="shared" ca="1" si="26"/>
        <v>6781205.8263278622</v>
      </c>
      <c r="Y125" s="35"/>
    </row>
    <row r="126" spans="1:25">
      <c r="A126" s="541">
        <f t="shared" si="31"/>
        <v>46143</v>
      </c>
      <c r="B126">
        <f t="shared" si="18"/>
        <v>2026</v>
      </c>
      <c r="C126">
        <f t="shared" si="19"/>
        <v>5</v>
      </c>
      <c r="E126" s="264">
        <f t="shared" ca="1" si="30"/>
        <v>178.10395833333331</v>
      </c>
      <c r="F126" s="264">
        <f t="shared" ca="1" si="30"/>
        <v>74.673124999999999</v>
      </c>
      <c r="G126" s="33"/>
      <c r="H126" s="33"/>
      <c r="I126" s="18">
        <f>'Customer Count'!C40</f>
        <v>10482.10844928502</v>
      </c>
      <c r="J126">
        <f t="shared" si="32"/>
        <v>31</v>
      </c>
      <c r="K126" s="33">
        <f t="shared" ca="1" si="28"/>
        <v>44.525989583333327</v>
      </c>
      <c r="L126" s="33">
        <f t="shared" ca="1" si="29"/>
        <v>18.66828125</v>
      </c>
      <c r="M126" s="33"/>
      <c r="N126" s="33"/>
      <c r="O126">
        <f t="shared" si="33"/>
        <v>0.25</v>
      </c>
      <c r="P126" s="18">
        <f>'Res Predicted Monthly'!$X$8</f>
        <v>-16404845.677784801</v>
      </c>
      <c r="Q126" s="18">
        <f ca="1">E126*'Res Predicted Monthly'!$X$9</f>
        <v>1166867.3204000143</v>
      </c>
      <c r="R126" s="18">
        <f ca="1">F126*'Res Predicted Monthly'!$X$10</f>
        <v>1089114.045534021</v>
      </c>
      <c r="S126" s="18">
        <f>I126*'Res Predicted Monthly'!$X$11</f>
        <v>14119759.406523589</v>
      </c>
      <c r="T126" s="18">
        <f>J126*'Res Predicted Monthly'!$X$12</f>
        <v>6513250.5985030681</v>
      </c>
      <c r="U126" s="18">
        <f ca="1">K126*'Res Predicted Monthly'!$X$13</f>
        <v>24080.76062079789</v>
      </c>
      <c r="V126" s="18">
        <f ca="1">L126*'Res Predicted Monthly'!$X$14</f>
        <v>40954.816116200884</v>
      </c>
      <c r="W126" s="30">
        <f t="shared" ca="1" si="34"/>
        <v>6549181.2699128902</v>
      </c>
      <c r="X126" s="30">
        <f t="shared" ca="1" si="26"/>
        <v>6549181.2699128902</v>
      </c>
      <c r="Y126" s="35"/>
    </row>
    <row r="127" spans="1:25">
      <c r="A127" s="541">
        <f t="shared" si="31"/>
        <v>46174</v>
      </c>
      <c r="B127">
        <f t="shared" si="18"/>
        <v>2026</v>
      </c>
      <c r="C127">
        <f t="shared" si="19"/>
        <v>6</v>
      </c>
      <c r="E127" s="264">
        <f t="shared" ca="1" si="30"/>
        <v>51.834166666666661</v>
      </c>
      <c r="F127" s="264">
        <f t="shared" ca="1" si="30"/>
        <v>169.78833333333333</v>
      </c>
      <c r="G127" s="33"/>
      <c r="H127" s="33"/>
      <c r="I127" s="18">
        <f>'Customer Count'!C41</f>
        <v>10490.7586926924</v>
      </c>
      <c r="J127">
        <f t="shared" si="32"/>
        <v>30</v>
      </c>
      <c r="K127" s="33">
        <f t="shared" ca="1" si="28"/>
        <v>12.958541666666665</v>
      </c>
      <c r="L127" s="33">
        <f t="shared" ca="1" si="29"/>
        <v>42.447083333333332</v>
      </c>
      <c r="M127" s="33"/>
      <c r="N127" s="33"/>
      <c r="O127">
        <f t="shared" si="33"/>
        <v>0.25</v>
      </c>
      <c r="P127" s="18">
        <f>'Res Predicted Monthly'!$X$8</f>
        <v>-16404845.677784801</v>
      </c>
      <c r="Q127" s="18">
        <f ca="1">E127*'Res Predicted Monthly'!$X$9</f>
        <v>339597.14163287729</v>
      </c>
      <c r="R127" s="18">
        <f ca="1">F127*'Res Predicted Monthly'!$X$10</f>
        <v>2476377.6606529527</v>
      </c>
      <c r="S127" s="18">
        <f>I127*'Res Predicted Monthly'!$X$11</f>
        <v>14131411.580922566</v>
      </c>
      <c r="T127" s="18">
        <f>J127*'Res Predicted Monthly'!$X$12</f>
        <v>6303145.7404868407</v>
      </c>
      <c r="U127" s="18">
        <f ca="1">K127*'Res Predicted Monthly'!$X$13</f>
        <v>7008.3010571973982</v>
      </c>
      <c r="V127" s="18">
        <f ca="1">L127*'Res Predicted Monthly'!$X$14</f>
        <v>93121.186107356392</v>
      </c>
      <c r="W127" s="30">
        <f t="shared" ca="1" si="34"/>
        <v>6945815.9330749894</v>
      </c>
      <c r="X127" s="30">
        <f t="shared" ca="1" si="26"/>
        <v>6945815.9330749894</v>
      </c>
      <c r="Y127" s="35"/>
    </row>
    <row r="128" spans="1:25">
      <c r="A128" s="541">
        <f t="shared" si="31"/>
        <v>46204</v>
      </c>
      <c r="B128">
        <f t="shared" ref="B128:B145" si="35">YEAR(A128)</f>
        <v>2026</v>
      </c>
      <c r="C128">
        <f t="shared" ref="C128:C145" si="36">MONTH(A128)</f>
        <v>7</v>
      </c>
      <c r="E128" s="264">
        <f t="shared" ca="1" si="30"/>
        <v>6.5670833333333318</v>
      </c>
      <c r="F128" s="264">
        <f t="shared" ca="1" si="30"/>
        <v>265.99625000000003</v>
      </c>
      <c r="G128" s="33"/>
      <c r="H128" s="33"/>
      <c r="I128" s="18">
        <f>'Customer Count'!C42</f>
        <v>10499.416074616936</v>
      </c>
      <c r="J128">
        <f t="shared" si="32"/>
        <v>31</v>
      </c>
      <c r="K128" s="33">
        <f t="shared" ca="1" si="28"/>
        <v>1.641770833333333</v>
      </c>
      <c r="L128" s="33">
        <f t="shared" ca="1" si="29"/>
        <v>66.499062500000008</v>
      </c>
      <c r="M128" s="33"/>
      <c r="N128" s="33"/>
      <c r="O128">
        <f t="shared" si="33"/>
        <v>0.25</v>
      </c>
      <c r="P128" s="18">
        <f>'Res Predicted Monthly'!$X$8</f>
        <v>-16404845.677784801</v>
      </c>
      <c r="Q128" s="18">
        <f ca="1">E128*'Res Predicted Monthly'!$X$9</f>
        <v>43024.95578267052</v>
      </c>
      <c r="R128" s="18">
        <f ca="1">F128*'Res Predicted Monthly'!$X$10</f>
        <v>3879578.5221842378</v>
      </c>
      <c r="S128" s="18">
        <f>I128*'Res Predicted Monthly'!$X$11</f>
        <v>14143073.371148862</v>
      </c>
      <c r="T128" s="18">
        <f>J128*'Res Predicted Monthly'!$X$12</f>
        <v>6513250.5985030681</v>
      </c>
      <c r="U128" s="18">
        <f ca="1">K128*'Res Predicted Monthly'!$X$13</f>
        <v>887.91042718355152</v>
      </c>
      <c r="V128" s="18">
        <f ca="1">L128*'Res Predicted Monthly'!$X$14</f>
        <v>145886.85696961256</v>
      </c>
      <c r="W128" s="30">
        <f t="shared" ca="1" si="34"/>
        <v>8320856.5372308344</v>
      </c>
      <c r="X128" s="30">
        <f t="shared" ref="X128:X133" ca="1" si="37">W128-D128</f>
        <v>8320856.5372308344</v>
      </c>
      <c r="Y128" s="35"/>
    </row>
    <row r="129" spans="1:25">
      <c r="A129" s="541">
        <f t="shared" si="31"/>
        <v>46235</v>
      </c>
      <c r="B129">
        <f t="shared" si="35"/>
        <v>2026</v>
      </c>
      <c r="C129">
        <f t="shared" si="36"/>
        <v>8</v>
      </c>
      <c r="E129" s="264">
        <f t="shared" ca="1" si="30"/>
        <v>23.263124999999995</v>
      </c>
      <c r="F129" s="264">
        <f t="shared" ca="1" si="30"/>
        <v>218.46562499999996</v>
      </c>
      <c r="G129" s="33"/>
      <c r="H129" s="33"/>
      <c r="I129" s="18">
        <f>'Customer Count'!C43</f>
        <v>10508.080600949612</v>
      </c>
      <c r="J129">
        <f t="shared" si="32"/>
        <v>31</v>
      </c>
      <c r="K129" s="33">
        <f t="shared" ca="1" si="28"/>
        <v>5.8157812499999988</v>
      </c>
      <c r="L129" s="33">
        <f t="shared" ca="1" si="29"/>
        <v>54.61640624999999</v>
      </c>
      <c r="M129" s="33"/>
      <c r="N129" s="33"/>
      <c r="O129">
        <f t="shared" si="33"/>
        <v>0.25</v>
      </c>
      <c r="P129" s="18">
        <f>'Res Predicted Monthly'!$X$8</f>
        <v>-16404845.677784801</v>
      </c>
      <c r="Q129" s="18">
        <f ca="1">E129*'Res Predicted Monthly'!$X$9</f>
        <v>152410.87613604273</v>
      </c>
      <c r="R129" s="18">
        <f ca="1">F129*'Res Predicted Monthly'!$X$10</f>
        <v>3186340.2081253235</v>
      </c>
      <c r="S129" s="18">
        <f>I129*'Res Predicted Monthly'!$X$11</f>
        <v>14154744.78513783</v>
      </c>
      <c r="T129" s="18">
        <f>J129*'Res Predicted Monthly'!$X$12</f>
        <v>6513250.5985030681</v>
      </c>
      <c r="U129" s="18">
        <f ca="1">K129*'Res Predicted Monthly'!$X$13</f>
        <v>3145.318889366059</v>
      </c>
      <c r="V129" s="18">
        <f ca="1">L129*'Res Predicted Monthly'!$X$14</f>
        <v>119818.46882109054</v>
      </c>
      <c r="W129" s="30">
        <f t="shared" ca="1" si="34"/>
        <v>7724864.5778279202</v>
      </c>
      <c r="X129" s="30">
        <f t="shared" ca="1" si="37"/>
        <v>7724864.5778279202</v>
      </c>
      <c r="Y129" s="35"/>
    </row>
    <row r="130" spans="1:25">
      <c r="A130" s="541">
        <f t="shared" si="31"/>
        <v>46266</v>
      </c>
      <c r="B130">
        <f t="shared" si="35"/>
        <v>2026</v>
      </c>
      <c r="C130">
        <f t="shared" si="36"/>
        <v>9</v>
      </c>
      <c r="E130" s="264">
        <f t="shared" ca="1" si="30"/>
        <v>114.73583333333336</v>
      </c>
      <c r="F130" s="264">
        <f t="shared" ca="1" si="30"/>
        <v>95.131249999999994</v>
      </c>
      <c r="G130" s="33"/>
      <c r="H130" s="33"/>
      <c r="I130" s="18">
        <f>'Customer Count'!C44</f>
        <v>10516.752277586271</v>
      </c>
      <c r="J130">
        <f t="shared" si="32"/>
        <v>30</v>
      </c>
      <c r="K130" s="33">
        <f t="shared" ca="1" si="28"/>
        <v>28.68395833333334</v>
      </c>
      <c r="L130" s="33">
        <f t="shared" ca="1" si="29"/>
        <v>23.782812499999999</v>
      </c>
      <c r="M130" s="33"/>
      <c r="N130" s="33"/>
      <c r="O130">
        <f t="shared" si="33"/>
        <v>0.25</v>
      </c>
      <c r="P130" s="18">
        <f>'Res Predicted Monthly'!$X$8</f>
        <v>-16404845.677784801</v>
      </c>
      <c r="Q130" s="18">
        <f ca="1">E130*'Res Predicted Monthly'!$X$9</f>
        <v>751704.20493946178</v>
      </c>
      <c r="R130" s="18">
        <f ca="1">F130*'Res Predicted Monthly'!$X$10</f>
        <v>1387497.5842273687</v>
      </c>
      <c r="S130" s="18">
        <f>I130*'Res Predicted Monthly'!$X$11</f>
        <v>14166425.830831375</v>
      </c>
      <c r="T130" s="18">
        <f>J130*'Res Predicted Monthly'!$X$12</f>
        <v>6303145.7404868407</v>
      </c>
      <c r="U130" s="18">
        <f ca="1">K130*'Res Predicted Monthly'!$X$13</f>
        <v>15512.996808059512</v>
      </c>
      <c r="V130" s="18">
        <f ca="1">L130*'Res Predicted Monthly'!$X$14</f>
        <v>52175.168116431916</v>
      </c>
      <c r="W130" s="30">
        <f t="shared" ca="1" si="34"/>
        <v>6271615.8476247368</v>
      </c>
      <c r="X130" s="30">
        <f t="shared" ca="1" si="37"/>
        <v>6271615.8476247368</v>
      </c>
      <c r="Y130" s="35"/>
    </row>
    <row r="131" spans="1:25">
      <c r="A131" s="541">
        <f t="shared" si="31"/>
        <v>46296</v>
      </c>
      <c r="B131">
        <f t="shared" si="35"/>
        <v>2026</v>
      </c>
      <c r="C131">
        <f t="shared" si="36"/>
        <v>10</v>
      </c>
      <c r="E131" s="264">
        <f t="shared" ca="1" si="30"/>
        <v>302.40479166666665</v>
      </c>
      <c r="F131" s="264">
        <f t="shared" ca="1" si="30"/>
        <v>21.813750000000006</v>
      </c>
      <c r="G131" s="33"/>
      <c r="H131" s="33"/>
      <c r="I131" s="18">
        <f>'Customer Count'!C45</f>
        <v>10525.43111042762</v>
      </c>
      <c r="J131">
        <f t="shared" si="32"/>
        <v>31</v>
      </c>
      <c r="K131" s="33">
        <f t="shared" ca="1" si="28"/>
        <v>75.601197916666663</v>
      </c>
      <c r="L131" s="33">
        <f t="shared" ca="1" si="29"/>
        <v>5.4534375000000015</v>
      </c>
      <c r="M131" s="33"/>
      <c r="N131" s="33"/>
      <c r="O131">
        <f t="shared" si="33"/>
        <v>0.25</v>
      </c>
      <c r="P131" s="18">
        <f>'Res Predicted Monthly'!$X$8</f>
        <v>-16404845.677784801</v>
      </c>
      <c r="Q131" s="18">
        <f ca="1">E131*'Res Predicted Monthly'!$X$9</f>
        <v>1981237.655975031</v>
      </c>
      <c r="R131" s="18">
        <f ca="1">F131*'Res Predicted Monthly'!$X$10</f>
        <v>318155.44763618446</v>
      </c>
      <c r="S131" s="18">
        <f>I131*'Res Predicted Monthly'!$X$11</f>
        <v>14178116.516177952</v>
      </c>
      <c r="T131" s="18">
        <f>J131*'Res Predicted Monthly'!$X$12</f>
        <v>6513250.5985030681</v>
      </c>
      <c r="U131" s="18">
        <f ca="1">K131*'Res Predicted Monthly'!$X$13</f>
        <v>40887.004796817913</v>
      </c>
      <c r="V131" s="18">
        <f ca="1">L131*'Res Predicted Monthly'!$X$14</f>
        <v>11963.850716770958</v>
      </c>
      <c r="W131" s="30">
        <f t="shared" ca="1" si="34"/>
        <v>6638765.3960210243</v>
      </c>
      <c r="X131" s="30">
        <f t="shared" ca="1" si="37"/>
        <v>6638765.3960210243</v>
      </c>
      <c r="Y131" s="35"/>
    </row>
    <row r="132" spans="1:25">
      <c r="A132" s="541">
        <f t="shared" si="31"/>
        <v>46327</v>
      </c>
      <c r="B132">
        <f t="shared" si="35"/>
        <v>2026</v>
      </c>
      <c r="C132">
        <f t="shared" si="36"/>
        <v>11</v>
      </c>
      <c r="E132" s="264">
        <f t="shared" ca="1" si="30"/>
        <v>526.09395833333338</v>
      </c>
      <c r="F132" s="264">
        <f t="shared" ca="1" si="30"/>
        <v>2.2795833333333335</v>
      </c>
      <c r="G132" s="33"/>
      <c r="H132" s="33"/>
      <c r="I132" s="18">
        <f>'Customer Count'!C46</f>
        <v>10534.117105379239</v>
      </c>
      <c r="J132">
        <f t="shared" si="32"/>
        <v>30</v>
      </c>
      <c r="K132" s="33">
        <f t="shared" ca="1" si="28"/>
        <v>131.52348958333334</v>
      </c>
      <c r="L132" s="33">
        <f t="shared" ca="1" si="29"/>
        <v>0.56989583333333338</v>
      </c>
      <c r="M132" s="33"/>
      <c r="N132" s="33"/>
      <c r="O132">
        <f t="shared" si="33"/>
        <v>0.25</v>
      </c>
      <c r="P132" s="18">
        <f>'Res Predicted Monthly'!$X$8</f>
        <v>-16404845.677784801</v>
      </c>
      <c r="Q132" s="18">
        <f ca="1">E132*'Res Predicted Monthly'!$X$9</f>
        <v>3446761.3925240957</v>
      </c>
      <c r="R132" s="18">
        <f ca="1">F132*'Res Predicted Monthly'!$X$10</f>
        <v>33247.921876827779</v>
      </c>
      <c r="S132" s="18">
        <f>I132*'Res Predicted Monthly'!$X$11</f>
        <v>14189816.849132579</v>
      </c>
      <c r="T132" s="18">
        <f>J132*'Res Predicted Monthly'!$X$12</f>
        <v>6303145.7404868407</v>
      </c>
      <c r="U132" s="18">
        <f ca="1">K132*'Res Predicted Monthly'!$X$13</f>
        <v>71131.168522165201</v>
      </c>
      <c r="V132" s="18">
        <f ca="1">L132*'Res Predicted Monthly'!$X$14</f>
        <v>1250.2478801874561</v>
      </c>
      <c r="W132" s="30">
        <f t="shared" ca="1" si="34"/>
        <v>7640507.6426378945</v>
      </c>
      <c r="X132" s="30">
        <f t="shared" ca="1" si="37"/>
        <v>7640507.6426378945</v>
      </c>
      <c r="Y132" s="35"/>
    </row>
    <row r="133" spans="1:25">
      <c r="A133" s="541">
        <f t="shared" si="31"/>
        <v>46357</v>
      </c>
      <c r="B133">
        <f t="shared" si="35"/>
        <v>2026</v>
      </c>
      <c r="C133">
        <f t="shared" si="36"/>
        <v>12</v>
      </c>
      <c r="E133" s="264">
        <f t="shared" ca="1" si="30"/>
        <v>750.36333333333334</v>
      </c>
      <c r="F133" s="264">
        <f t="shared" ca="1" si="30"/>
        <v>0</v>
      </c>
      <c r="G133" s="33"/>
      <c r="H133" s="33"/>
      <c r="I133" s="18">
        <f>'Customer Count'!C47</f>
        <v>10542.810268351579</v>
      </c>
      <c r="J133">
        <f t="shared" si="32"/>
        <v>31</v>
      </c>
      <c r="K133" s="33">
        <f t="shared" ca="1" si="28"/>
        <v>187.59083333333334</v>
      </c>
      <c r="L133" s="33">
        <f t="shared" ca="1" si="29"/>
        <v>0</v>
      </c>
      <c r="M133" s="33"/>
      <c r="N133" s="33"/>
      <c r="O133">
        <f t="shared" si="33"/>
        <v>0.25</v>
      </c>
      <c r="P133" s="18">
        <f>'Res Predicted Monthly'!$X$8</f>
        <v>-16404845.677784801</v>
      </c>
      <c r="Q133" s="18">
        <f ca="1">E133*'Res Predicted Monthly'!$X$9</f>
        <v>4916086.4266385026</v>
      </c>
      <c r="R133" s="18">
        <f ca="1">F133*'Res Predicted Monthly'!$X$10</f>
        <v>0</v>
      </c>
      <c r="S133" s="18">
        <f>I133*'Res Predicted Monthly'!$X$11</f>
        <v>14201526.837656835</v>
      </c>
      <c r="T133" s="18">
        <f>J133*'Res Predicted Monthly'!$X$12</f>
        <v>6513250.5985030681</v>
      </c>
      <c r="U133" s="18">
        <f ca="1">K133*'Res Predicted Monthly'!$X$13</f>
        <v>101453.78001541128</v>
      </c>
      <c r="V133" s="18">
        <f ca="1">L133*'Res Predicted Monthly'!$X$14</f>
        <v>0</v>
      </c>
      <c r="W133" s="30">
        <f t="shared" ca="1" si="34"/>
        <v>9327471.9650290161</v>
      </c>
      <c r="X133" s="30">
        <f t="shared" ca="1" si="37"/>
        <v>9327471.9650290161</v>
      </c>
      <c r="Y133" s="35"/>
    </row>
    <row r="134" spans="1:25">
      <c r="A134" s="541">
        <f t="shared" si="31"/>
        <v>46388</v>
      </c>
      <c r="B134">
        <f t="shared" si="35"/>
        <v>2027</v>
      </c>
      <c r="C134">
        <f t="shared" si="36"/>
        <v>1</v>
      </c>
      <c r="E134" s="264">
        <f t="shared" ref="E134:F142" ca="1" si="38">E122</f>
        <v>852.55166666666662</v>
      </c>
      <c r="F134" s="264">
        <f t="shared" ca="1" si="38"/>
        <v>0</v>
      </c>
      <c r="G134" s="33"/>
      <c r="H134" s="33"/>
      <c r="I134" s="18">
        <f>'Customer Count'!C48</f>
        <v>10551.510605259969</v>
      </c>
      <c r="J134">
        <f t="shared" si="32"/>
        <v>31</v>
      </c>
      <c r="K134" s="33">
        <f t="shared" ca="1" si="28"/>
        <v>213.13791666666665</v>
      </c>
      <c r="L134" s="33">
        <f t="shared" ca="1" si="29"/>
        <v>0</v>
      </c>
      <c r="M134" s="33"/>
      <c r="N134" s="33"/>
      <c r="O134">
        <f t="shared" si="33"/>
        <v>0.25</v>
      </c>
      <c r="P134" s="18">
        <f>'Res Predicted Monthly'!$X$8</f>
        <v>-16404845.677784801</v>
      </c>
      <c r="Q134" s="18">
        <f ca="1">E134*'Res Predicted Monthly'!$X$9</f>
        <v>5585584.3300463771</v>
      </c>
      <c r="R134" s="18">
        <f ca="1">F134*'Res Predicted Monthly'!$X$10</f>
        <v>0</v>
      </c>
      <c r="S134" s="18">
        <f>I134*'Res Predicted Monthly'!$X$11</f>
        <v>14213246.489718873</v>
      </c>
      <c r="T134" s="18">
        <f>J134*'Res Predicted Monthly'!$X$12</f>
        <v>6513250.5985030681</v>
      </c>
      <c r="U134" s="18">
        <f ca="1">K134*'Res Predicted Monthly'!$X$13</f>
        <v>115270.27694375468</v>
      </c>
      <c r="V134" s="18">
        <f ca="1">L134*'Res Predicted Monthly'!$X$14</f>
        <v>0</v>
      </c>
      <c r="W134" s="30">
        <f t="shared" ca="1" si="34"/>
        <v>10022506.017427273</v>
      </c>
      <c r="X134" s="30">
        <f t="shared" ref="X134:X145" ca="1" si="39">W134-D134</f>
        <v>10022506.017427273</v>
      </c>
      <c r="Y134" s="35"/>
    </row>
    <row r="135" spans="1:25">
      <c r="A135" s="541">
        <f t="shared" si="31"/>
        <v>46419</v>
      </c>
      <c r="B135">
        <f t="shared" si="35"/>
        <v>2027</v>
      </c>
      <c r="C135">
        <f t="shared" si="36"/>
        <v>2</v>
      </c>
      <c r="E135" s="264">
        <f t="shared" ca="1" si="38"/>
        <v>747.22854166666662</v>
      </c>
      <c r="F135" s="264">
        <f t="shared" ca="1" si="38"/>
        <v>0</v>
      </c>
      <c r="G135" s="33"/>
      <c r="H135" s="33"/>
      <c r="I135" s="18">
        <f>'Customer Count'!C49</f>
        <v>10560.218122024622</v>
      </c>
      <c r="J135">
        <f t="shared" si="32"/>
        <v>28</v>
      </c>
      <c r="K135" s="33">
        <f t="shared" ca="1" si="28"/>
        <v>186.80713541666665</v>
      </c>
      <c r="L135" s="33">
        <f t="shared" ca="1" si="29"/>
        <v>0</v>
      </c>
      <c r="M135" s="33"/>
      <c r="N135" s="33"/>
      <c r="O135">
        <f t="shared" si="33"/>
        <v>0.25</v>
      </c>
      <c r="P135" s="18">
        <f>'Res Predicted Monthly'!$X$8</f>
        <v>-16404845.677784801</v>
      </c>
      <c r="Q135" s="18">
        <f ca="1">E135*'Res Predicted Monthly'!$X$9</f>
        <v>4895548.500438964</v>
      </c>
      <c r="R135" s="18">
        <f ca="1">F135*'Res Predicted Monthly'!$X$10</f>
        <v>0</v>
      </c>
      <c r="S135" s="18">
        <f>I135*'Res Predicted Monthly'!$X$11</f>
        <v>14224975.813293422</v>
      </c>
      <c r="T135" s="18">
        <f>J135*'Res Predicted Monthly'!$X$12</f>
        <v>5882936.0244543841</v>
      </c>
      <c r="U135" s="18">
        <f ca="1">K135*'Res Predicted Monthly'!$X$13</f>
        <v>101029.93672507972</v>
      </c>
      <c r="V135" s="18">
        <f ca="1">L135*'Res Predicted Monthly'!$X$14</f>
        <v>0</v>
      </c>
      <c r="W135" s="30">
        <f t="shared" ca="1" si="34"/>
        <v>8699644.5971270502</v>
      </c>
      <c r="X135" s="30">
        <f t="shared" ca="1" si="39"/>
        <v>8699644.5971270502</v>
      </c>
      <c r="Y135" s="35"/>
    </row>
    <row r="136" spans="1:25">
      <c r="A136" s="541">
        <f t="shared" si="31"/>
        <v>46447</v>
      </c>
      <c r="B136">
        <f t="shared" si="35"/>
        <v>2027</v>
      </c>
      <c r="C136">
        <f t="shared" si="36"/>
        <v>3</v>
      </c>
      <c r="E136" s="264">
        <f t="shared" ca="1" si="38"/>
        <v>636.29604166666672</v>
      </c>
      <c r="F136" s="264">
        <f t="shared" ca="1" si="38"/>
        <v>0</v>
      </c>
      <c r="G136" s="33"/>
      <c r="H136" s="33"/>
      <c r="I136" s="18">
        <f>'Customer Count'!C50</f>
        <v>10568.932824570633</v>
      </c>
      <c r="J136">
        <f t="shared" si="32"/>
        <v>31</v>
      </c>
      <c r="K136" s="33">
        <f t="shared" ca="1" si="28"/>
        <v>159.07401041666668</v>
      </c>
      <c r="L136" s="33">
        <f t="shared" ca="1" si="29"/>
        <v>0</v>
      </c>
      <c r="M136" s="33"/>
      <c r="N136" s="33"/>
      <c r="O136">
        <f t="shared" si="33"/>
        <v>0.25</v>
      </c>
      <c r="P136" s="18">
        <f>'Res Predicted Monthly'!$X$8</f>
        <v>-16404845.677784801</v>
      </c>
      <c r="Q136" s="18">
        <f ca="1">E136*'Res Predicted Monthly'!$X$9</f>
        <v>4168762.2446387853</v>
      </c>
      <c r="R136" s="18">
        <f ca="1">F136*'Res Predicted Monthly'!$X$10</f>
        <v>0</v>
      </c>
      <c r="S136" s="18">
        <f>I136*'Res Predicted Monthly'!$X$11</f>
        <v>14236714.816361787</v>
      </c>
      <c r="T136" s="18">
        <f>J136*'Res Predicted Monthly'!$X$12</f>
        <v>6513250.5985030681</v>
      </c>
      <c r="U136" s="18">
        <f ca="1">K136*'Res Predicted Monthly'!$X$13</f>
        <v>86031.174190183825</v>
      </c>
      <c r="V136" s="18">
        <f ca="1">L136*'Res Predicted Monthly'!$X$14</f>
        <v>0</v>
      </c>
      <c r="W136" s="30">
        <f t="shared" ca="1" si="34"/>
        <v>8599913.1559090242</v>
      </c>
      <c r="X136" s="30">
        <f t="shared" ca="1" si="39"/>
        <v>8599913.1559090242</v>
      </c>
      <c r="Y136" s="35"/>
    </row>
    <row r="137" spans="1:25">
      <c r="A137" s="541">
        <f t="shared" si="31"/>
        <v>46478</v>
      </c>
      <c r="B137">
        <f t="shared" si="35"/>
        <v>2027</v>
      </c>
      <c r="C137">
        <f t="shared" si="36"/>
        <v>4</v>
      </c>
      <c r="E137" s="264">
        <f t="shared" ca="1" si="38"/>
        <v>408.60374999999999</v>
      </c>
      <c r="F137" s="264">
        <f t="shared" ca="1" si="38"/>
        <v>2.8104166666666677</v>
      </c>
      <c r="G137" s="33"/>
      <c r="H137" s="33"/>
      <c r="I137" s="18">
        <f>'Customer Count'!C51</f>
        <v>10577.654718827987</v>
      </c>
      <c r="J137">
        <f t="shared" si="32"/>
        <v>30</v>
      </c>
      <c r="K137" s="33">
        <f t="shared" ca="1" si="28"/>
        <v>102.1509375</v>
      </c>
      <c r="L137" s="33">
        <f t="shared" ca="1" si="29"/>
        <v>0.70260416666666692</v>
      </c>
      <c r="M137" s="33"/>
      <c r="N137" s="33"/>
      <c r="O137">
        <f t="shared" si="33"/>
        <v>0.25</v>
      </c>
      <c r="P137" s="18">
        <f>'Res Predicted Monthly'!$X$8</f>
        <v>-16404845.677784801</v>
      </c>
      <c r="Q137" s="18">
        <f ca="1">E137*'Res Predicted Monthly'!$X$9</f>
        <v>2677011.6022663582</v>
      </c>
      <c r="R137" s="18">
        <f ca="1">F137*'Res Predicted Monthly'!$X$10</f>
        <v>40990.172374191818</v>
      </c>
      <c r="S137" s="18">
        <f>I137*'Res Predicted Monthly'!$X$11</f>
        <v>14248463.506911863</v>
      </c>
      <c r="T137" s="18">
        <f>J137*'Res Predicted Monthly'!$X$12</f>
        <v>6303145.7404868407</v>
      </c>
      <c r="U137" s="18">
        <f ca="1">K137*'Res Predicted Monthly'!$X$13</f>
        <v>55245.763118274401</v>
      </c>
      <c r="V137" s="18">
        <f ca="1">L137*'Res Predicted Monthly'!$X$14</f>
        <v>1541.3858438794359</v>
      </c>
      <c r="W137" s="30">
        <f t="shared" ca="1" si="34"/>
        <v>6921552.4932166077</v>
      </c>
      <c r="X137" s="30">
        <f t="shared" ca="1" si="39"/>
        <v>6921552.4932166077</v>
      </c>
      <c r="Y137" s="35"/>
    </row>
    <row r="138" spans="1:25">
      <c r="A138" s="541">
        <f t="shared" si="31"/>
        <v>46508</v>
      </c>
      <c r="B138">
        <f t="shared" si="35"/>
        <v>2027</v>
      </c>
      <c r="C138">
        <f t="shared" si="36"/>
        <v>5</v>
      </c>
      <c r="E138" s="264">
        <f t="shared" ca="1" si="38"/>
        <v>178.10395833333331</v>
      </c>
      <c r="F138" s="264">
        <f t="shared" ca="1" si="38"/>
        <v>74.673124999999999</v>
      </c>
      <c r="G138" s="33"/>
      <c r="H138" s="33"/>
      <c r="I138" s="18">
        <f>'Customer Count'!C52</f>
        <v>10586.383810731566</v>
      </c>
      <c r="J138">
        <f t="shared" si="32"/>
        <v>31</v>
      </c>
      <c r="K138" s="33">
        <f t="shared" ca="1" si="28"/>
        <v>44.525989583333327</v>
      </c>
      <c r="L138" s="33">
        <f t="shared" ca="1" si="29"/>
        <v>18.66828125</v>
      </c>
      <c r="M138" s="33"/>
      <c r="N138" s="33"/>
      <c r="O138">
        <f t="shared" si="33"/>
        <v>0.25</v>
      </c>
      <c r="P138" s="18">
        <f>'Res Predicted Monthly'!$X$8</f>
        <v>-16404845.677784801</v>
      </c>
      <c r="Q138" s="18">
        <f ca="1">E138*'Res Predicted Monthly'!$X$9</f>
        <v>1166867.3204000143</v>
      </c>
      <c r="R138" s="18">
        <f ca="1">F138*'Res Predicted Monthly'!$X$10</f>
        <v>1089114.045534021</v>
      </c>
      <c r="S138" s="18">
        <f>I138*'Res Predicted Monthly'!$X$11</f>
        <v>14260221.892938137</v>
      </c>
      <c r="T138" s="18">
        <f>J138*'Res Predicted Monthly'!$X$12</f>
        <v>6513250.5985030681</v>
      </c>
      <c r="U138" s="18">
        <f ca="1">K138*'Res Predicted Monthly'!$X$13</f>
        <v>24080.76062079789</v>
      </c>
      <c r="V138" s="18">
        <f ca="1">L138*'Res Predicted Monthly'!$X$14</f>
        <v>40954.816116200884</v>
      </c>
      <c r="W138" s="30">
        <f t="shared" ca="1" si="34"/>
        <v>6689643.7563274382</v>
      </c>
      <c r="X138" s="30">
        <f t="shared" ca="1" si="39"/>
        <v>6689643.7563274382</v>
      </c>
      <c r="Y138" s="35"/>
    </row>
    <row r="139" spans="1:25">
      <c r="A139" s="541">
        <f t="shared" si="31"/>
        <v>46539</v>
      </c>
      <c r="B139">
        <f t="shared" si="35"/>
        <v>2027</v>
      </c>
      <c r="C139">
        <f t="shared" si="36"/>
        <v>6</v>
      </c>
      <c r="E139" s="264">
        <f t="shared" ca="1" si="38"/>
        <v>51.834166666666661</v>
      </c>
      <c r="F139" s="264">
        <f t="shared" ca="1" si="38"/>
        <v>169.78833333333333</v>
      </c>
      <c r="G139" s="33"/>
      <c r="H139" s="33"/>
      <c r="I139" s="18">
        <f>'Customer Count'!C53</f>
        <v>10595.120106221146</v>
      </c>
      <c r="J139">
        <f t="shared" si="32"/>
        <v>30</v>
      </c>
      <c r="K139" s="33">
        <f t="shared" ca="1" si="28"/>
        <v>12.958541666666665</v>
      </c>
      <c r="L139" s="33">
        <f t="shared" ca="1" si="29"/>
        <v>42.447083333333332</v>
      </c>
      <c r="M139" s="33"/>
      <c r="N139" s="33"/>
      <c r="O139">
        <f t="shared" si="33"/>
        <v>0.25</v>
      </c>
      <c r="P139" s="18">
        <f>'Res Predicted Monthly'!$X$8</f>
        <v>-16404845.677784801</v>
      </c>
      <c r="Q139" s="18">
        <f ca="1">E139*'Res Predicted Monthly'!$X$9</f>
        <v>339597.14163287729</v>
      </c>
      <c r="R139" s="18">
        <f ca="1">F139*'Res Predicted Monthly'!$X$10</f>
        <v>2476377.6606529527</v>
      </c>
      <c r="S139" s="18">
        <f>I139*'Res Predicted Monthly'!$X$11</f>
        <v>14271989.982441692</v>
      </c>
      <c r="T139" s="18">
        <f>J139*'Res Predicted Monthly'!$X$12</f>
        <v>6303145.7404868407</v>
      </c>
      <c r="U139" s="18">
        <f ca="1">K139*'Res Predicted Monthly'!$X$13</f>
        <v>7008.3010571973982</v>
      </c>
      <c r="V139" s="18">
        <f ca="1">L139*'Res Predicted Monthly'!$X$14</f>
        <v>93121.186107356392</v>
      </c>
      <c r="W139" s="30">
        <f t="shared" ca="1" si="34"/>
        <v>7086394.3345941147</v>
      </c>
      <c r="X139" s="30">
        <f t="shared" ca="1" si="39"/>
        <v>7086394.3345941147</v>
      </c>
      <c r="Y139" s="35"/>
    </row>
    <row r="140" spans="1:25">
      <c r="A140" s="541">
        <f t="shared" si="31"/>
        <v>46569</v>
      </c>
      <c r="B140">
        <f t="shared" si="35"/>
        <v>2027</v>
      </c>
      <c r="C140">
        <f t="shared" si="36"/>
        <v>7</v>
      </c>
      <c r="E140" s="264">
        <f t="shared" ca="1" si="38"/>
        <v>6.5670833333333318</v>
      </c>
      <c r="F140" s="264">
        <f t="shared" ca="1" si="38"/>
        <v>265.99625000000003</v>
      </c>
      <c r="G140" s="33"/>
      <c r="H140" s="33"/>
      <c r="I140" s="18">
        <f>'Customer Count'!C54</f>
        <v>10603.863611241406</v>
      </c>
      <c r="J140">
        <f t="shared" si="32"/>
        <v>31</v>
      </c>
      <c r="K140" s="33">
        <f t="shared" ca="1" si="28"/>
        <v>1.641770833333333</v>
      </c>
      <c r="L140" s="33">
        <f t="shared" ca="1" si="29"/>
        <v>66.499062500000008</v>
      </c>
      <c r="M140" s="33"/>
      <c r="N140" s="33"/>
      <c r="O140">
        <f t="shared" si="33"/>
        <v>0.25</v>
      </c>
      <c r="P140" s="18">
        <f>'Res Predicted Monthly'!$X$8</f>
        <v>-16404845.677784801</v>
      </c>
      <c r="Q140" s="18">
        <f ca="1">E140*'Res Predicted Monthly'!$X$9</f>
        <v>43024.95578267052</v>
      </c>
      <c r="R140" s="18">
        <f ca="1">F140*'Res Predicted Monthly'!$X$10</f>
        <v>3879578.5221842378</v>
      </c>
      <c r="S140" s="18">
        <f>I140*'Res Predicted Monthly'!$X$11</f>
        <v>14283767.783430217</v>
      </c>
      <c r="T140" s="18">
        <f>J140*'Res Predicted Monthly'!$X$12</f>
        <v>6513250.5985030681</v>
      </c>
      <c r="U140" s="18">
        <f ca="1">K140*'Res Predicted Monthly'!$X$13</f>
        <v>887.91042718355152</v>
      </c>
      <c r="V140" s="18">
        <f ca="1">L140*'Res Predicted Monthly'!$X$14</f>
        <v>145886.85696961256</v>
      </c>
      <c r="W140" s="30">
        <f t="shared" ca="1" si="34"/>
        <v>8461550.9495121893</v>
      </c>
      <c r="X140" s="30">
        <f t="shared" ca="1" si="39"/>
        <v>8461550.9495121893</v>
      </c>
      <c r="Y140" s="35"/>
    </row>
    <row r="141" spans="1:25">
      <c r="A141" s="541">
        <f t="shared" si="31"/>
        <v>46600</v>
      </c>
      <c r="B141">
        <f t="shared" si="35"/>
        <v>2027</v>
      </c>
      <c r="C141">
        <f t="shared" si="36"/>
        <v>8</v>
      </c>
      <c r="E141" s="264">
        <f t="shared" ca="1" si="38"/>
        <v>23.263124999999995</v>
      </c>
      <c r="F141" s="264">
        <f t="shared" ca="1" si="38"/>
        <v>218.46562499999996</v>
      </c>
      <c r="G141" s="33"/>
      <c r="H141" s="33"/>
      <c r="I141" s="18">
        <f>'Customer Count'!C55</f>
        <v>10612.614331741932</v>
      </c>
      <c r="J141">
        <f t="shared" si="32"/>
        <v>31</v>
      </c>
      <c r="K141" s="33">
        <f t="shared" ca="1" si="28"/>
        <v>5.8157812499999988</v>
      </c>
      <c r="L141" s="33">
        <f t="shared" ca="1" si="29"/>
        <v>54.61640624999999</v>
      </c>
      <c r="M141" s="33"/>
      <c r="N141" s="33"/>
      <c r="O141">
        <f t="shared" si="33"/>
        <v>0.25</v>
      </c>
      <c r="P141" s="18">
        <f>'Res Predicted Monthly'!$X$8</f>
        <v>-16404845.677784801</v>
      </c>
      <c r="Q141" s="18">
        <f ca="1">E141*'Res Predicted Monthly'!$X$9</f>
        <v>152410.87613604273</v>
      </c>
      <c r="R141" s="18">
        <f ca="1">F141*'Res Predicted Monthly'!$X$10</f>
        <v>3186340.2081253235</v>
      </c>
      <c r="S141" s="18">
        <f>I141*'Res Predicted Monthly'!$X$11</f>
        <v>14295555.303918004</v>
      </c>
      <c r="T141" s="18">
        <f>J141*'Res Predicted Monthly'!$X$12</f>
        <v>6513250.5985030681</v>
      </c>
      <c r="U141" s="18">
        <f ca="1">K141*'Res Predicted Monthly'!$X$13</f>
        <v>3145.318889366059</v>
      </c>
      <c r="V141" s="18">
        <f ca="1">L141*'Res Predicted Monthly'!$X$14</f>
        <v>119818.46882109054</v>
      </c>
      <c r="W141" s="30">
        <f t="shared" ca="1" si="34"/>
        <v>7865675.0966080939</v>
      </c>
      <c r="X141" s="30">
        <f t="shared" ca="1" si="39"/>
        <v>7865675.0966080939</v>
      </c>
      <c r="Y141" s="35"/>
    </row>
    <row r="142" spans="1:25">
      <c r="A142" s="541">
        <f t="shared" si="31"/>
        <v>46631</v>
      </c>
      <c r="B142">
        <f t="shared" si="35"/>
        <v>2027</v>
      </c>
      <c r="C142">
        <f t="shared" si="36"/>
        <v>9</v>
      </c>
      <c r="E142" s="264">
        <f t="shared" ca="1" si="38"/>
        <v>114.73583333333336</v>
      </c>
      <c r="F142" s="264">
        <f t="shared" ca="1" si="38"/>
        <v>95.131249999999994</v>
      </c>
      <c r="G142" s="33"/>
      <c r="H142" s="33"/>
      <c r="I142" s="18">
        <f>'Customer Count'!C56</f>
        <v>10621.372273677218</v>
      </c>
      <c r="J142">
        <f t="shared" si="32"/>
        <v>30</v>
      </c>
      <c r="K142" s="33">
        <f t="shared" ca="1" si="28"/>
        <v>28.68395833333334</v>
      </c>
      <c r="L142" s="33">
        <f t="shared" ca="1" si="29"/>
        <v>23.782812499999999</v>
      </c>
      <c r="M142" s="33"/>
      <c r="N142" s="33"/>
      <c r="O142">
        <f t="shared" si="33"/>
        <v>0.25</v>
      </c>
      <c r="P142" s="18">
        <f>'Res Predicted Monthly'!$X$8</f>
        <v>-16404845.677784801</v>
      </c>
      <c r="Q142" s="18">
        <f ca="1">E142*'Res Predicted Monthly'!$X$9</f>
        <v>751704.20493946178</v>
      </c>
      <c r="R142" s="18">
        <f ca="1">F142*'Res Predicted Monthly'!$X$10</f>
        <v>1387497.5842273687</v>
      </c>
      <c r="S142" s="18">
        <f>I142*'Res Predicted Monthly'!$X$11</f>
        <v>14307352.551925963</v>
      </c>
      <c r="T142" s="18">
        <f>J142*'Res Predicted Monthly'!$X$12</f>
        <v>6303145.7404868407</v>
      </c>
      <c r="U142" s="18">
        <f ca="1">K142*'Res Predicted Monthly'!$X$13</f>
        <v>15512.996808059512</v>
      </c>
      <c r="V142" s="18">
        <f ca="1">L142*'Res Predicted Monthly'!$X$14</f>
        <v>52175.168116431916</v>
      </c>
      <c r="W142" s="30">
        <f t="shared" ca="1" si="34"/>
        <v>6412542.5687193247</v>
      </c>
      <c r="X142" s="30">
        <f t="shared" ca="1" si="39"/>
        <v>6412542.5687193247</v>
      </c>
      <c r="Y142" s="35"/>
    </row>
    <row r="143" spans="1:25">
      <c r="A143" s="541">
        <f t="shared" si="31"/>
        <v>46661</v>
      </c>
      <c r="B143">
        <f t="shared" si="35"/>
        <v>2027</v>
      </c>
      <c r="C143">
        <f t="shared" si="36"/>
        <v>10</v>
      </c>
      <c r="E143" s="264">
        <f t="shared" ref="E143:F145" ca="1" si="40">E131</f>
        <v>302.40479166666665</v>
      </c>
      <c r="F143" s="264">
        <f t="shared" ca="1" si="40"/>
        <v>21.813750000000006</v>
      </c>
      <c r="G143" s="33"/>
      <c r="H143" s="33"/>
      <c r="I143" s="18">
        <f>'Customer Count'!C57</f>
        <v>10630.137443006673</v>
      </c>
      <c r="J143">
        <f t="shared" si="32"/>
        <v>31</v>
      </c>
      <c r="K143" s="33">
        <f t="shared" ca="1" si="28"/>
        <v>75.601197916666663</v>
      </c>
      <c r="L143" s="33">
        <f t="shared" ca="1" si="29"/>
        <v>5.4534375000000015</v>
      </c>
      <c r="M143" s="33"/>
      <c r="N143" s="33"/>
      <c r="O143">
        <f t="shared" si="33"/>
        <v>0.25</v>
      </c>
      <c r="P143" s="18">
        <f>'Res Predicted Monthly'!$X$8</f>
        <v>-16404845.677784801</v>
      </c>
      <c r="Q143" s="18">
        <f ca="1">E143*'Res Predicted Monthly'!$X$9</f>
        <v>1981237.655975031</v>
      </c>
      <c r="R143" s="18">
        <f ca="1">F143*'Res Predicted Monthly'!$X$10</f>
        <v>318155.44763618446</v>
      </c>
      <c r="S143" s="18">
        <f>I143*'Res Predicted Monthly'!$X$11</f>
        <v>14319159.535481622</v>
      </c>
      <c r="T143" s="18">
        <f>J143*'Res Predicted Monthly'!$X$12</f>
        <v>6513250.5985030681</v>
      </c>
      <c r="U143" s="18">
        <f ca="1">K143*'Res Predicted Monthly'!$X$13</f>
        <v>40887.004796817913</v>
      </c>
      <c r="V143" s="18">
        <f ca="1">L143*'Res Predicted Monthly'!$X$14</f>
        <v>11963.850716770958</v>
      </c>
      <c r="W143" s="30">
        <f t="shared" ca="1" si="34"/>
        <v>6779808.4153246945</v>
      </c>
      <c r="X143" s="30">
        <f t="shared" ca="1" si="39"/>
        <v>6779808.4153246945</v>
      </c>
      <c r="Y143" s="35"/>
    </row>
    <row r="144" spans="1:25">
      <c r="A144" s="541">
        <f t="shared" si="31"/>
        <v>46692</v>
      </c>
      <c r="B144">
        <f t="shared" si="35"/>
        <v>2027</v>
      </c>
      <c r="C144">
        <f t="shared" si="36"/>
        <v>11</v>
      </c>
      <c r="E144" s="264">
        <f t="shared" ca="1" si="40"/>
        <v>526.09395833333338</v>
      </c>
      <c r="F144" s="264">
        <f t="shared" ca="1" si="40"/>
        <v>2.2795833333333335</v>
      </c>
      <c r="G144" s="33"/>
      <c r="H144" s="33"/>
      <c r="I144" s="18">
        <f>'Customer Count'!C58</f>
        <v>10638.909845694625</v>
      </c>
      <c r="J144">
        <f t="shared" si="32"/>
        <v>30</v>
      </c>
      <c r="K144" s="33">
        <f t="shared" ca="1" si="28"/>
        <v>131.52348958333334</v>
      </c>
      <c r="L144" s="33">
        <f t="shared" ca="1" si="29"/>
        <v>0.56989583333333338</v>
      </c>
      <c r="M144" s="33"/>
      <c r="N144" s="33"/>
      <c r="O144">
        <f t="shared" si="33"/>
        <v>0.25</v>
      </c>
      <c r="P144" s="18">
        <f>'Res Predicted Monthly'!$X$8</f>
        <v>-16404845.677784801</v>
      </c>
      <c r="Q144" s="18">
        <f ca="1">E144*'Res Predicted Monthly'!$X$9</f>
        <v>3446761.3925240957</v>
      </c>
      <c r="R144" s="18">
        <f ca="1">F144*'Res Predicted Monthly'!$X$10</f>
        <v>33247.921876827779</v>
      </c>
      <c r="S144" s="18">
        <f>I144*'Res Predicted Monthly'!$X$11</f>
        <v>14330976.262619136</v>
      </c>
      <c r="T144" s="18">
        <f>J144*'Res Predicted Monthly'!$X$12</f>
        <v>6303145.7404868407</v>
      </c>
      <c r="U144" s="18">
        <f ca="1">K144*'Res Predicted Monthly'!$X$13</f>
        <v>71131.168522165201</v>
      </c>
      <c r="V144" s="18">
        <f ca="1">L144*'Res Predicted Monthly'!$X$14</f>
        <v>1250.2478801874561</v>
      </c>
      <c r="W144" s="30">
        <f t="shared" ca="1" si="34"/>
        <v>7781667.0561244516</v>
      </c>
      <c r="X144" s="30">
        <f t="shared" ca="1" si="39"/>
        <v>7781667.0561244516</v>
      </c>
      <c r="Y144" s="35"/>
    </row>
    <row r="145" spans="1:25">
      <c r="A145" s="541">
        <f t="shared" si="31"/>
        <v>46722</v>
      </c>
      <c r="B145">
        <f t="shared" si="35"/>
        <v>2027</v>
      </c>
      <c r="C145">
        <f t="shared" si="36"/>
        <v>12</v>
      </c>
      <c r="E145" s="264">
        <f t="shared" ca="1" si="40"/>
        <v>750.36333333333334</v>
      </c>
      <c r="F145" s="264">
        <f t="shared" ca="1" si="40"/>
        <v>0</v>
      </c>
      <c r="G145" s="33"/>
      <c r="H145" s="33"/>
      <c r="I145" s="18">
        <f>'Customer Count'!C59</f>
        <v>10647.68948771032</v>
      </c>
      <c r="J145">
        <f t="shared" si="32"/>
        <v>31</v>
      </c>
      <c r="K145" s="33">
        <f t="shared" ca="1" si="28"/>
        <v>187.59083333333334</v>
      </c>
      <c r="L145" s="33">
        <f t="shared" ca="1" si="29"/>
        <v>0</v>
      </c>
      <c r="M145" s="33"/>
      <c r="N145" s="33"/>
      <c r="O145">
        <f t="shared" si="33"/>
        <v>0.25</v>
      </c>
      <c r="P145" s="18">
        <f>'Res Predicted Monthly'!$X$8</f>
        <v>-16404845.677784801</v>
      </c>
      <c r="Q145" s="18">
        <f ca="1">E145*'Res Predicted Monthly'!$X$9</f>
        <v>4916086.4266385026</v>
      </c>
      <c r="R145" s="18">
        <f ca="1">F145*'Res Predicted Monthly'!$X$10</f>
        <v>0</v>
      </c>
      <c r="S145" s="18">
        <f>I145*'Res Predicted Monthly'!$X$11</f>
        <v>14342802.741379283</v>
      </c>
      <c r="T145" s="18">
        <f>J145*'Res Predicted Monthly'!$X$12</f>
        <v>6513250.5985030681</v>
      </c>
      <c r="U145" s="18">
        <f ca="1">K145*'Res Predicted Monthly'!$X$13</f>
        <v>101453.78001541128</v>
      </c>
      <c r="V145" s="18">
        <f ca="1">L145*'Res Predicted Monthly'!$X$14</f>
        <v>0</v>
      </c>
      <c r="W145" s="30">
        <f t="shared" ca="1" si="34"/>
        <v>9468747.8687514644</v>
      </c>
      <c r="X145" s="30">
        <f t="shared" ca="1" si="39"/>
        <v>9468747.8687514644</v>
      </c>
      <c r="Y145" s="35"/>
    </row>
    <row r="193" spans="1:23">
      <c r="A193" s="9"/>
      <c r="E193" s="33"/>
      <c r="F193" s="33"/>
      <c r="G193" s="33"/>
      <c r="H193" s="33"/>
      <c r="I193" s="18"/>
      <c r="M193" s="33"/>
      <c r="N193" s="33"/>
      <c r="S193" s="32"/>
      <c r="U193" s="32"/>
      <c r="V193" s="32"/>
      <c r="W193" s="30"/>
    </row>
    <row r="195" spans="1:23">
      <c r="I195" s="18"/>
      <c r="Q195" s="18"/>
      <c r="R195" s="18"/>
      <c r="S195" s="18"/>
      <c r="T195" s="18"/>
      <c r="U195" s="18"/>
      <c r="V195" s="18"/>
      <c r="W195" s="18"/>
    </row>
    <row r="196" spans="1:23">
      <c r="I196" s="18"/>
      <c r="Q196" s="18"/>
      <c r="R196" s="18"/>
      <c r="S196" s="18"/>
      <c r="T196" s="18"/>
      <c r="U196" s="18"/>
      <c r="V196" s="18"/>
      <c r="W196" s="18"/>
    </row>
    <row r="197" spans="1:23">
      <c r="I197" s="18"/>
      <c r="Q197" s="18"/>
      <c r="R197" s="18"/>
      <c r="S197" s="18"/>
      <c r="T197" s="18"/>
      <c r="U197" s="18"/>
      <c r="V197" s="18"/>
      <c r="W197" s="18"/>
    </row>
    <row r="198" spans="1:23">
      <c r="I198" s="18"/>
      <c r="Q198" s="18"/>
      <c r="R198" s="18"/>
      <c r="S198" s="18"/>
      <c r="T198" s="18"/>
      <c r="U198" s="18"/>
      <c r="V198" s="18"/>
      <c r="W198" s="18"/>
    </row>
    <row r="199" spans="1:23">
      <c r="I199" s="18"/>
      <c r="Q199" s="18"/>
      <c r="R199" s="18"/>
      <c r="S199" s="18"/>
      <c r="T199" s="18"/>
      <c r="U199" s="18"/>
      <c r="V199" s="18"/>
      <c r="W199" s="18"/>
    </row>
    <row r="200" spans="1:23">
      <c r="I200" s="18"/>
      <c r="Q200" s="18"/>
      <c r="R200" s="18"/>
      <c r="S200" s="18"/>
      <c r="T200" s="18"/>
      <c r="U200" s="18"/>
      <c r="V200" s="18"/>
      <c r="W200" s="18"/>
    </row>
    <row r="201" spans="1:23">
      <c r="I201" s="18"/>
      <c r="Q201" s="18"/>
      <c r="R201" s="18"/>
      <c r="S201" s="18"/>
      <c r="T201" s="18"/>
      <c r="U201" s="18"/>
      <c r="V201" s="18"/>
      <c r="W201" s="18"/>
    </row>
    <row r="202" spans="1:23">
      <c r="I202" s="18"/>
      <c r="Q202" s="18"/>
      <c r="R202" s="18"/>
      <c r="S202" s="18"/>
      <c r="T202" s="18"/>
      <c r="U202" s="18"/>
      <c r="V202" s="18"/>
      <c r="W202" s="18"/>
    </row>
    <row r="204" spans="1:23">
      <c r="P204" s="31"/>
      <c r="Q204" s="31"/>
      <c r="R204" s="31"/>
      <c r="S204" s="31"/>
      <c r="T204" s="31"/>
      <c r="U204" s="31"/>
      <c r="V204" s="31"/>
      <c r="W204" s="31"/>
    </row>
  </sheetData>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4C954-9394-43E6-BA36-E8D48A6E3C9E}">
  <sheetPr codeName="Sheet8">
    <tabColor theme="6" tint="0.59999389629810485"/>
  </sheetPr>
  <dimension ref="A1:W204"/>
  <sheetViews>
    <sheetView topLeftCell="N131" workbookViewId="0">
      <selection activeCell="U150" sqref="U150:W161"/>
    </sheetView>
  </sheetViews>
  <sheetFormatPr defaultColWidth="9.33203125" defaultRowHeight="13.15"/>
  <cols>
    <col min="4" max="4" width="17.5" customWidth="1"/>
    <col min="9" max="9" width="9.33203125" style="18"/>
    <col min="10" max="10" width="10.6640625" customWidth="1"/>
    <col min="13" max="13" width="14.6640625" bestFit="1" customWidth="1"/>
    <col min="14" max="15" width="12.83203125" bestFit="1" customWidth="1"/>
    <col min="16" max="16" width="12.5" customWidth="1"/>
    <col min="17" max="17" width="15.5" customWidth="1"/>
    <col min="18" max="18" width="16.1640625" customWidth="1"/>
    <col min="19" max="19" width="14.1640625" bestFit="1" customWidth="1"/>
    <col min="21" max="21" width="13.83203125" bestFit="1" customWidth="1"/>
    <col min="22" max="22" width="14.83203125" bestFit="1" customWidth="1"/>
    <col min="23" max="23" width="9.83203125" bestFit="1" customWidth="1"/>
  </cols>
  <sheetData>
    <row r="1" spans="1:19">
      <c r="A1" s="266" t="str">
        <f>'Monthly Data'!A1</f>
        <v>Date</v>
      </c>
      <c r="B1" s="258" t="s">
        <v>27</v>
      </c>
      <c r="C1" s="258" t="s">
        <v>28</v>
      </c>
      <c r="D1" s="267" t="str">
        <f>'Monthly Data'!J1</f>
        <v>GS_lt_50_NoCDM</v>
      </c>
      <c r="E1" s="268" t="str">
        <f>G1&amp;"Norm"</f>
        <v>HDD20Norm</v>
      </c>
      <c r="F1" s="268" t="str">
        <f>H1&amp;"Norm"</f>
        <v>CDD12Norm</v>
      </c>
      <c r="G1" s="268" t="str">
        <f>'Monthly Data'!AQ1</f>
        <v>HDD20</v>
      </c>
      <c r="H1" s="268" t="str">
        <f>'Monthly Data'!AZ1</f>
        <v>CDD12</v>
      </c>
      <c r="I1" s="269" t="str">
        <f>'Monthly Data'!AD1</f>
        <v>ON GDP</v>
      </c>
      <c r="J1" s="268" t="str">
        <f>'Monthly Data'!BU1</f>
        <v>Month Days</v>
      </c>
      <c r="K1" s="267" t="str">
        <f>'Monthly Data'!BX1</f>
        <v>COVID_AM</v>
      </c>
      <c r="M1" s="268" t="s">
        <v>187</v>
      </c>
      <c r="N1" s="268" t="str">
        <f>E1</f>
        <v>HDD20Norm</v>
      </c>
      <c r="O1" s="268" t="str">
        <f>F1</f>
        <v>CDD12Norm</v>
      </c>
      <c r="P1" s="268" t="str">
        <f>I1</f>
        <v>ON GDP</v>
      </c>
      <c r="Q1" s="268" t="str">
        <f>J1</f>
        <v>Month Days</v>
      </c>
      <c r="R1" s="268" t="str">
        <f>K1</f>
        <v>COVID_AM</v>
      </c>
      <c r="S1" s="258" t="s">
        <v>385</v>
      </c>
    </row>
    <row r="2" spans="1:19">
      <c r="A2" s="541">
        <f>'Monthly Data'!A2</f>
        <v>42370</v>
      </c>
      <c r="B2">
        <f>YEAR(A2)</f>
        <v>2016</v>
      </c>
      <c r="C2">
        <f>MONTH(A2)</f>
        <v>1</v>
      </c>
      <c r="D2" s="30">
        <f>'Monthly Data'!J2</f>
        <v>17466.899038461539</v>
      </c>
      <c r="E2" s="516">
        <f ca="1">Weather!AA39</f>
        <v>914.55166666666662</v>
      </c>
      <c r="F2" s="516">
        <f ca="1">Weather!CF39</f>
        <v>0</v>
      </c>
      <c r="G2" s="33">
        <f>'Monthly Data'!AQ2</f>
        <v>887.26875000000007</v>
      </c>
      <c r="H2" s="33">
        <f>'Monthly Data'!AZ2</f>
        <v>0</v>
      </c>
      <c r="I2" s="18">
        <f>'Monthly Data'!AD2</f>
        <v>743976.2</v>
      </c>
      <c r="J2" s="8">
        <f>'Monthly Data'!BU2</f>
        <v>31</v>
      </c>
      <c r="K2" s="30">
        <f>'Monthly Data'!BX2</f>
        <v>0</v>
      </c>
      <c r="M2" s="18"/>
      <c r="N2" s="18">
        <f ca="1">(E2-G2)*'GS&lt;50 Predicted Monthly'!$V$9</f>
        <v>51451.996437448404</v>
      </c>
      <c r="O2" s="18">
        <f ca="1">(F2-H2)*'GS&lt;50 Predicted Monthly'!$V$10</f>
        <v>0</v>
      </c>
      <c r="P2" s="18"/>
      <c r="Q2" s="18"/>
      <c r="R2" s="18"/>
      <c r="S2" s="20">
        <f t="shared" ref="S2:S33" ca="1" si="0">D2+N2+O2</f>
        <v>68918.895475909943</v>
      </c>
    </row>
    <row r="3" spans="1:19">
      <c r="A3" s="541">
        <f>'Monthly Data'!A3</f>
        <v>42401</v>
      </c>
      <c r="B3">
        <f>YEAR(A3)</f>
        <v>2016</v>
      </c>
      <c r="C3">
        <f>MONTH(A3)</f>
        <v>2</v>
      </c>
      <c r="D3" s="30">
        <f>'Monthly Data'!J3</f>
        <v>19795.81891025641</v>
      </c>
      <c r="E3" s="516">
        <f ca="1">Weather!AA40</f>
        <v>803.82854166666664</v>
      </c>
      <c r="F3" s="516">
        <f ca="1">Weather!CF40</f>
        <v>0</v>
      </c>
      <c r="G3" s="33">
        <f>'Monthly Data'!AQ3</f>
        <v>864.28750000000002</v>
      </c>
      <c r="H3" s="33">
        <f>'Monthly Data'!AZ3</f>
        <v>0</v>
      </c>
      <c r="I3" s="18">
        <f>'Monthly Data'!AD3</f>
        <v>743976.2</v>
      </c>
      <c r="J3" s="8">
        <f>'Monthly Data'!BU3</f>
        <v>28</v>
      </c>
      <c r="K3" s="30">
        <f>'Monthly Data'!BX3</f>
        <v>0</v>
      </c>
      <c r="M3" s="18"/>
      <c r="N3" s="18">
        <f ca="1">(E3-G3)*'GS&lt;50 Predicted Monthly'!$V$9</f>
        <v>-114017.65239341556</v>
      </c>
      <c r="O3" s="18">
        <f ca="1">(F3-H3)*'GS&lt;50 Predicted Monthly'!$V$10</f>
        <v>0</v>
      </c>
      <c r="P3" s="18"/>
      <c r="Q3" s="18"/>
      <c r="R3" s="18"/>
      <c r="S3" s="20">
        <f t="shared" ca="1" si="0"/>
        <v>-94221.833483159149</v>
      </c>
    </row>
    <row r="4" spans="1:19">
      <c r="A4" s="541">
        <f>'Monthly Data'!A4</f>
        <v>42430</v>
      </c>
      <c r="B4">
        <f t="shared" ref="B4:B67" si="1">YEAR(A4)</f>
        <v>2016</v>
      </c>
      <c r="C4">
        <f t="shared" ref="C4:C67" si="2">MONTH(A4)</f>
        <v>3</v>
      </c>
      <c r="D4" s="30">
        <f>'Monthly Data'!J4</f>
        <v>22124.738782051281</v>
      </c>
      <c r="E4" s="516">
        <f ca="1">Weather!AA41</f>
        <v>698.29604166666672</v>
      </c>
      <c r="F4" s="516">
        <f ca="1">Weather!CF41</f>
        <v>0</v>
      </c>
      <c r="G4" s="33">
        <f>'Monthly Data'!AQ4</f>
        <v>694.14374999999995</v>
      </c>
      <c r="H4" s="33">
        <f>'Monthly Data'!AZ4</f>
        <v>0</v>
      </c>
      <c r="I4" s="18">
        <f>'Monthly Data'!AD4</f>
        <v>743976.2</v>
      </c>
      <c r="J4" s="8">
        <f>'Monthly Data'!BU4</f>
        <v>31</v>
      </c>
      <c r="K4" s="30">
        <f>'Monthly Data'!BX4</f>
        <v>0</v>
      </c>
      <c r="M4" s="18"/>
      <c r="N4" s="18">
        <f ca="1">(E4-G4)*'GS&lt;50 Predicted Monthly'!$V$9</f>
        <v>7830.6765603843514</v>
      </c>
      <c r="O4" s="18">
        <f ca="1">(F4-H4)*'GS&lt;50 Predicted Monthly'!$V$10</f>
        <v>0</v>
      </c>
      <c r="P4" s="18"/>
      <c r="Q4" s="18"/>
      <c r="R4" s="18"/>
      <c r="S4" s="20">
        <f t="shared" ca="1" si="0"/>
        <v>29955.415342435634</v>
      </c>
    </row>
    <row r="5" spans="1:19">
      <c r="A5" s="541">
        <f>'Monthly Data'!A5</f>
        <v>42461</v>
      </c>
      <c r="B5">
        <f t="shared" si="1"/>
        <v>2016</v>
      </c>
      <c r="C5">
        <f t="shared" si="2"/>
        <v>4</v>
      </c>
      <c r="D5" s="30">
        <f>'Monthly Data'!J5</f>
        <v>24453.658653846152</v>
      </c>
      <c r="E5" s="516">
        <f ca="1">Weather!AA42</f>
        <v>468.60374999999993</v>
      </c>
      <c r="F5" s="516">
        <f ca="1">Weather!CF42</f>
        <v>2.8104166666666677</v>
      </c>
      <c r="G5" s="33">
        <f>'Monthly Data'!AQ5</f>
        <v>544.44166666666672</v>
      </c>
      <c r="H5" s="33">
        <f>'Monthly Data'!AZ5</f>
        <v>0</v>
      </c>
      <c r="I5" s="18">
        <f>'Monthly Data'!AD5</f>
        <v>743976.2</v>
      </c>
      <c r="J5" s="8">
        <f>'Monthly Data'!BU5</f>
        <v>30</v>
      </c>
      <c r="K5" s="30">
        <f>'Monthly Data'!BX5</f>
        <v>0</v>
      </c>
      <c r="M5" s="18"/>
      <c r="N5" s="18">
        <f ca="1">(E5-G5)*'GS&lt;50 Predicted Monthly'!$V$9</f>
        <v>-143020.3473415366</v>
      </c>
      <c r="O5" s="18">
        <f ca="1">(F5-H5)*'GS&lt;50 Predicted Monthly'!$V$10</f>
        <v>10434.724261170442</v>
      </c>
      <c r="P5" s="18"/>
      <c r="Q5" s="18"/>
      <c r="R5" s="18"/>
      <c r="S5" s="20">
        <f t="shared" ca="1" si="0"/>
        <v>-108131.96442652</v>
      </c>
    </row>
    <row r="6" spans="1:19">
      <c r="A6" s="541">
        <f>'Monthly Data'!A6</f>
        <v>42491</v>
      </c>
      <c r="B6">
        <f t="shared" si="1"/>
        <v>2016</v>
      </c>
      <c r="C6">
        <f t="shared" si="2"/>
        <v>5</v>
      </c>
      <c r="D6" s="30">
        <f>'Monthly Data'!J6</f>
        <v>26782.578525641024</v>
      </c>
      <c r="E6" s="516">
        <f ca="1">Weather!AA43</f>
        <v>232.88687500000006</v>
      </c>
      <c r="F6" s="516">
        <f ca="1">Weather!CF43</f>
        <v>74.673124999999999</v>
      </c>
      <c r="G6" s="33">
        <f>'Monthly Data'!AQ6</f>
        <v>215.85833333333335</v>
      </c>
      <c r="H6" s="33">
        <f>'Monthly Data'!AZ6</f>
        <v>92.229166666666643</v>
      </c>
      <c r="I6" s="18">
        <f>'Monthly Data'!AD6</f>
        <v>743976.2</v>
      </c>
      <c r="J6" s="8">
        <f>'Monthly Data'!BU6</f>
        <v>31</v>
      </c>
      <c r="K6" s="30">
        <f>'Monthly Data'!BX6</f>
        <v>0</v>
      </c>
      <c r="M6" s="18"/>
      <c r="N6" s="18">
        <f ca="1">(E6-G6)*'GS&lt;50 Predicted Monthly'!$V$9</f>
        <v>32113.592394567335</v>
      </c>
      <c r="O6" s="18">
        <f ca="1">(F6-H6)*'GS&lt;50 Predicted Monthly'!$V$10</f>
        <v>-65183.378707529322</v>
      </c>
      <c r="P6" s="18"/>
      <c r="Q6" s="18"/>
      <c r="R6" s="18"/>
      <c r="S6" s="20">
        <f t="shared" ca="1" si="0"/>
        <v>-6287.2077873209637</v>
      </c>
    </row>
    <row r="7" spans="1:19">
      <c r="A7" s="541">
        <f>'Monthly Data'!A7</f>
        <v>42522</v>
      </c>
      <c r="B7">
        <f t="shared" si="1"/>
        <v>2016</v>
      </c>
      <c r="C7">
        <f t="shared" si="2"/>
        <v>6</v>
      </c>
      <c r="D7" s="30">
        <f>'Monthly Data'!J7</f>
        <v>29111.498397435898</v>
      </c>
      <c r="E7" s="516">
        <f ca="1">Weather!AA44</f>
        <v>92.751249999999999</v>
      </c>
      <c r="F7" s="516">
        <f ca="1">Weather!CF44</f>
        <v>169.78833333333333</v>
      </c>
      <c r="G7" s="33">
        <f>'Monthly Data'!AQ7</f>
        <v>99.395833333333343</v>
      </c>
      <c r="H7" s="33">
        <f>'Monthly Data'!AZ7</f>
        <v>165.58333333333331</v>
      </c>
      <c r="I7" s="18">
        <f>'Monthly Data'!AD7</f>
        <v>743976.2</v>
      </c>
      <c r="J7" s="8">
        <f>'Monthly Data'!BU7</f>
        <v>30</v>
      </c>
      <c r="K7" s="30">
        <f>'Monthly Data'!BX7</f>
        <v>0</v>
      </c>
      <c r="M7" s="18"/>
      <c r="N7" s="18">
        <f ca="1">(E7-G7)*'GS&lt;50 Predicted Monthly'!$V$9</f>
        <v>-12530.811209517471</v>
      </c>
      <c r="O7" s="18">
        <f ca="1">(F7-H7)*'GS&lt;50 Predicted Monthly'!$V$10</f>
        <v>15612.637100627484</v>
      </c>
      <c r="P7" s="18"/>
      <c r="Q7" s="18"/>
      <c r="R7" s="18"/>
      <c r="S7" s="20">
        <f t="shared" ca="1" si="0"/>
        <v>32193.324288545911</v>
      </c>
    </row>
    <row r="8" spans="1:19">
      <c r="A8" s="541">
        <f>'Monthly Data'!A8</f>
        <v>42552</v>
      </c>
      <c r="B8">
        <f t="shared" si="1"/>
        <v>2016</v>
      </c>
      <c r="C8">
        <f t="shared" si="2"/>
        <v>7</v>
      </c>
      <c r="D8" s="30">
        <f>'Monthly Data'!J8</f>
        <v>31440.41826923077</v>
      </c>
      <c r="E8" s="516">
        <f ca="1">Weather!AA45</f>
        <v>25.464999999999996</v>
      </c>
      <c r="F8" s="516">
        <f ca="1">Weather!CF45</f>
        <v>265.99625000000003</v>
      </c>
      <c r="G8" s="33">
        <f>'Monthly Data'!AQ8</f>
        <v>31.595833333333335</v>
      </c>
      <c r="H8" s="33">
        <f>'Monthly Data'!AZ8</f>
        <v>258.39583333333337</v>
      </c>
      <c r="I8" s="18">
        <f>'Monthly Data'!AD8</f>
        <v>743976.2</v>
      </c>
      <c r="J8" s="8">
        <f>'Monthly Data'!BU8</f>
        <v>31</v>
      </c>
      <c r="K8" s="30">
        <f>'Monthly Data'!BX8</f>
        <v>0</v>
      </c>
      <c r="M8" s="18"/>
      <c r="N8" s="18">
        <f ca="1">(E8-G8)*'GS&lt;50 Predicted Monthly'!$V$9</f>
        <v>-11561.946205357743</v>
      </c>
      <c r="O8" s="18">
        <f ca="1">(F8-H8)*'GS&lt;50 Predicted Monthly'!$V$10</f>
        <v>28219.392920386927</v>
      </c>
      <c r="P8" s="18"/>
      <c r="Q8" s="18"/>
      <c r="R8" s="18"/>
      <c r="S8" s="20">
        <f t="shared" ca="1" si="0"/>
        <v>48097.864984259955</v>
      </c>
    </row>
    <row r="9" spans="1:19">
      <c r="A9" s="541">
        <f>'Monthly Data'!A9</f>
        <v>42583</v>
      </c>
      <c r="B9">
        <f t="shared" si="1"/>
        <v>2016</v>
      </c>
      <c r="C9">
        <f t="shared" si="2"/>
        <v>8</v>
      </c>
      <c r="D9" s="30">
        <f>'Monthly Data'!J9</f>
        <v>33769.338141025641</v>
      </c>
      <c r="E9" s="516">
        <f ca="1">Weather!AA46</f>
        <v>54.974791666666668</v>
      </c>
      <c r="F9" s="516">
        <f ca="1">Weather!CF46</f>
        <v>218.46562499999996</v>
      </c>
      <c r="G9" s="33">
        <f>'Monthly Data'!AQ9</f>
        <v>19.462499999999999</v>
      </c>
      <c r="H9" s="33">
        <f>'Monthly Data'!AZ9</f>
        <v>274.35833333333335</v>
      </c>
      <c r="I9" s="18">
        <f>'Monthly Data'!AD9</f>
        <v>743976.2</v>
      </c>
      <c r="J9" s="8">
        <f>'Monthly Data'!BU9</f>
        <v>31</v>
      </c>
      <c r="K9" s="30">
        <f>'Monthly Data'!BX9</f>
        <v>0</v>
      </c>
      <c r="M9" s="18"/>
      <c r="N9" s="18">
        <f ca="1">(E9-G9)*'GS&lt;50 Predicted Monthly'!$V$9</f>
        <v>66971.516522328195</v>
      </c>
      <c r="O9" s="18">
        <f ca="1">(F9-H9)*'GS&lt;50 Predicted Monthly'!$V$10</f>
        <v>-207522.60922224712</v>
      </c>
      <c r="P9" s="18"/>
      <c r="Q9" s="18"/>
      <c r="R9" s="18"/>
      <c r="S9" s="20">
        <f t="shared" ca="1" si="0"/>
        <v>-106781.75455889328</v>
      </c>
    </row>
    <row r="10" spans="1:19">
      <c r="A10" s="541">
        <f>'Monthly Data'!A10</f>
        <v>42614</v>
      </c>
      <c r="B10">
        <f t="shared" si="1"/>
        <v>2016</v>
      </c>
      <c r="C10">
        <f t="shared" si="2"/>
        <v>9</v>
      </c>
      <c r="D10" s="30">
        <f>'Monthly Data'!J10</f>
        <v>36098.258012820515</v>
      </c>
      <c r="E10" s="516">
        <f ca="1">Weather!AA47</f>
        <v>166.50624999999999</v>
      </c>
      <c r="F10" s="516">
        <f ca="1">Weather!CF47</f>
        <v>95.131249999999994</v>
      </c>
      <c r="G10" s="33">
        <f>'Monthly Data'!AQ10</f>
        <v>150.00416666666666</v>
      </c>
      <c r="H10" s="33">
        <f>'Monthly Data'!AZ10</f>
        <v>107.68749999999999</v>
      </c>
      <c r="I10" s="18">
        <f>'Monthly Data'!AD10</f>
        <v>743976.2</v>
      </c>
      <c r="J10" s="8">
        <f>'Monthly Data'!BU10</f>
        <v>30</v>
      </c>
      <c r="K10" s="30">
        <f>'Monthly Data'!BX10</f>
        <v>0</v>
      </c>
      <c r="M10" s="18"/>
      <c r="N10" s="18">
        <f ca="1">(E10-G10)*'GS&lt;50 Predicted Monthly'!$V$9</f>
        <v>31120.761143345993</v>
      </c>
      <c r="O10" s="18">
        <f ca="1">(F10-H10)*'GS&lt;50 Predicted Monthly'!$V$10</f>
        <v>-46619.779927408592</v>
      </c>
      <c r="P10" s="18"/>
      <c r="Q10" s="18"/>
      <c r="R10" s="18"/>
      <c r="S10" s="20">
        <f t="shared" ca="1" si="0"/>
        <v>20599.239228757921</v>
      </c>
    </row>
    <row r="11" spans="1:19">
      <c r="A11" s="541">
        <f>'Monthly Data'!A11</f>
        <v>42644</v>
      </c>
      <c r="B11">
        <f t="shared" si="1"/>
        <v>2016</v>
      </c>
      <c r="C11">
        <f t="shared" si="2"/>
        <v>10</v>
      </c>
      <c r="D11" s="30">
        <f>'Monthly Data'!J11</f>
        <v>38427.177884615383</v>
      </c>
      <c r="E11" s="516">
        <f ca="1">Weather!AA48</f>
        <v>363.47645833333326</v>
      </c>
      <c r="F11" s="516">
        <f ca="1">Weather!CF48</f>
        <v>21.813750000000006</v>
      </c>
      <c r="G11" s="33">
        <f>'Monthly Data'!AQ11</f>
        <v>371.38749999999993</v>
      </c>
      <c r="H11" s="33">
        <f>'Monthly Data'!AZ11</f>
        <v>19.216666666666676</v>
      </c>
      <c r="I11" s="18">
        <f>'Monthly Data'!AD11</f>
        <v>743976.2</v>
      </c>
      <c r="J11" s="8">
        <f>'Monthly Data'!BU11</f>
        <v>31</v>
      </c>
      <c r="K11" s="30">
        <f>'Monthly Data'!BX11</f>
        <v>0</v>
      </c>
      <c r="M11" s="18"/>
      <c r="N11" s="18">
        <f ca="1">(E11-G11)*'GS&lt;50 Predicted Monthly'!$V$9</f>
        <v>-14919.185240452962</v>
      </c>
      <c r="O11" s="18">
        <f ca="1">(F11-H11)*'GS&lt;50 Predicted Monthly'!$V$10</f>
        <v>9642.6443765567474</v>
      </c>
      <c r="P11" s="18"/>
      <c r="Q11" s="18"/>
      <c r="R11" s="18"/>
      <c r="S11" s="20">
        <f t="shared" ca="1" si="0"/>
        <v>33150.637020719165</v>
      </c>
    </row>
    <row r="12" spans="1:19">
      <c r="A12" s="541">
        <f>'Monthly Data'!A12</f>
        <v>42675</v>
      </c>
      <c r="B12">
        <f t="shared" si="1"/>
        <v>2016</v>
      </c>
      <c r="C12">
        <f t="shared" si="2"/>
        <v>11</v>
      </c>
      <c r="D12" s="30">
        <f>'Monthly Data'!J12</f>
        <v>40756.097756410258</v>
      </c>
      <c r="E12" s="516">
        <f ca="1">Weather!AA49</f>
        <v>586.00395833333334</v>
      </c>
      <c r="F12" s="516">
        <f ca="1">Weather!CF49</f>
        <v>2.2795833333333335</v>
      </c>
      <c r="G12" s="33">
        <f>'Monthly Data'!AQ12</f>
        <v>532.77083333333348</v>
      </c>
      <c r="H12" s="33">
        <f>'Monthly Data'!AZ12</f>
        <v>0</v>
      </c>
      <c r="I12" s="18">
        <f>'Monthly Data'!AD12</f>
        <v>743976.2</v>
      </c>
      <c r="J12" s="8">
        <f>'Monthly Data'!BU12</f>
        <v>30</v>
      </c>
      <c r="K12" s="30">
        <f>'Monthly Data'!BX12</f>
        <v>0</v>
      </c>
      <c r="M12" s="18"/>
      <c r="N12" s="18">
        <f ca="1">(E12-G12)*'GS&lt;50 Predicted Monthly'!$V$9</f>
        <v>100390.68004780464</v>
      </c>
      <c r="O12" s="18">
        <f ca="1">(F12-H12)*'GS&lt;50 Predicted Monthly'!$V$10</f>
        <v>8463.8067357840573</v>
      </c>
      <c r="P12" s="18"/>
      <c r="Q12" s="18"/>
      <c r="R12" s="18"/>
      <c r="S12" s="20">
        <f t="shared" ca="1" si="0"/>
        <v>149610.58453999893</v>
      </c>
    </row>
    <row r="13" spans="1:19">
      <c r="A13" s="541">
        <f>'Monthly Data'!A13</f>
        <v>42705</v>
      </c>
      <c r="B13">
        <f t="shared" si="1"/>
        <v>2016</v>
      </c>
      <c r="C13">
        <f t="shared" si="2"/>
        <v>12</v>
      </c>
      <c r="D13" s="30">
        <f>'Monthly Data'!J13</f>
        <v>29557146.017628204</v>
      </c>
      <c r="E13" s="516">
        <f ca="1">Weather!AA50</f>
        <v>812.36333333333334</v>
      </c>
      <c r="F13" s="516">
        <f ca="1">Weather!CF50</f>
        <v>0</v>
      </c>
      <c r="G13" s="33">
        <f>'Monthly Data'!AQ13</f>
        <v>812.63333333333298</v>
      </c>
      <c r="H13" s="33">
        <f>'Monthly Data'!AZ13</f>
        <v>0</v>
      </c>
      <c r="I13" s="18">
        <f>'Monthly Data'!AD13</f>
        <v>743976.2</v>
      </c>
      <c r="J13" s="8">
        <f>'Monthly Data'!BU13</f>
        <v>31</v>
      </c>
      <c r="K13" s="30">
        <f>'Monthly Data'!BX13</f>
        <v>0</v>
      </c>
      <c r="M13" s="18"/>
      <c r="N13" s="18">
        <f ca="1">(E13-G13)*'GS&lt;50 Predicted Monthly'!$V$9</f>
        <v>-509.1845277328967</v>
      </c>
      <c r="O13" s="18">
        <f ca="1">(F13-H13)*'GS&lt;50 Predicted Monthly'!$V$10</f>
        <v>0</v>
      </c>
      <c r="P13" s="18"/>
      <c r="Q13" s="18"/>
      <c r="R13" s="18"/>
      <c r="S13" s="20">
        <f t="shared" ca="1" si="0"/>
        <v>29556636.833100472</v>
      </c>
    </row>
    <row r="14" spans="1:19">
      <c r="A14" s="541">
        <f>'Monthly Data'!A14</f>
        <v>42736</v>
      </c>
      <c r="B14">
        <f t="shared" si="1"/>
        <v>2017</v>
      </c>
      <c r="C14">
        <f t="shared" si="2"/>
        <v>1</v>
      </c>
      <c r="D14" s="30">
        <f>'Monthly Data'!J14</f>
        <v>63199.167467948719</v>
      </c>
      <c r="E14" s="33">
        <f t="shared" ref="E14:F33" ca="1" si="3">E2</f>
        <v>914.55166666666662</v>
      </c>
      <c r="F14" s="33">
        <f t="shared" ca="1" si="3"/>
        <v>0</v>
      </c>
      <c r="G14" s="33">
        <f>'Monthly Data'!AQ14</f>
        <v>835.17083333333335</v>
      </c>
      <c r="H14" s="33">
        <f>'Monthly Data'!AZ14</f>
        <v>0</v>
      </c>
      <c r="I14" s="18">
        <f>'Monthly Data'!AD14</f>
        <v>764464.8</v>
      </c>
      <c r="J14" s="8">
        <f>'Monthly Data'!BU14</f>
        <v>31</v>
      </c>
      <c r="K14" s="30">
        <f>'Monthly Data'!BX14</f>
        <v>0</v>
      </c>
      <c r="M14" s="18"/>
      <c r="N14" s="18">
        <f ca="1">(E14-G14)*'GS&lt;50 Predicted Monthly'!$V$9</f>
        <v>149701.82271085508</v>
      </c>
      <c r="O14" s="18">
        <f ca="1">(F14-H14)*'GS&lt;50 Predicted Monthly'!$V$10</f>
        <v>0</v>
      </c>
      <c r="P14" s="18"/>
      <c r="Q14" s="18"/>
      <c r="R14" s="18"/>
      <c r="S14" s="20">
        <f t="shared" ca="1" si="0"/>
        <v>212900.9901788038</v>
      </c>
    </row>
    <row r="15" spans="1:19">
      <c r="A15" s="541">
        <f>'Monthly Data'!A15</f>
        <v>42767</v>
      </c>
      <c r="B15">
        <f t="shared" si="1"/>
        <v>2017</v>
      </c>
      <c r="C15">
        <f t="shared" si="2"/>
        <v>2</v>
      </c>
      <c r="D15" s="30">
        <f>'Monthly Data'!J15</f>
        <v>67588.928685897437</v>
      </c>
      <c r="E15" s="33">
        <f t="shared" ca="1" si="3"/>
        <v>803.82854166666664</v>
      </c>
      <c r="F15" s="33">
        <f t="shared" ca="1" si="3"/>
        <v>0</v>
      </c>
      <c r="G15" s="33">
        <f>'Monthly Data'!AQ15</f>
        <v>738.8125</v>
      </c>
      <c r="H15" s="33">
        <f>'Monthly Data'!AZ15</f>
        <v>0</v>
      </c>
      <c r="I15" s="18">
        <f>'Monthly Data'!AD15</f>
        <v>764464.8</v>
      </c>
      <c r="J15" s="8">
        <f>'Monthly Data'!BU15</f>
        <v>28</v>
      </c>
      <c r="K15" s="30">
        <f>'Monthly Data'!BX15</f>
        <v>0</v>
      </c>
      <c r="M15" s="18"/>
      <c r="N15" s="18">
        <f ca="1">(E15-G15)*'GS&lt;50 Predicted Monthly'!$V$9</f>
        <v>122611.71285610384</v>
      </c>
      <c r="O15" s="18">
        <f ca="1">(F15-H15)*'GS&lt;50 Predicted Monthly'!$V$10</f>
        <v>0</v>
      </c>
      <c r="P15" s="18"/>
      <c r="Q15" s="18"/>
      <c r="R15" s="18"/>
      <c r="S15" s="20">
        <f t="shared" ca="1" si="0"/>
        <v>190200.64154200128</v>
      </c>
    </row>
    <row r="16" spans="1:19">
      <c r="A16" s="541">
        <f>'Monthly Data'!A16</f>
        <v>42795</v>
      </c>
      <c r="B16">
        <f t="shared" si="1"/>
        <v>2017</v>
      </c>
      <c r="C16">
        <f t="shared" si="2"/>
        <v>3</v>
      </c>
      <c r="D16" s="30">
        <f>'Monthly Data'!J16</f>
        <v>71978.689903846156</v>
      </c>
      <c r="E16" s="33">
        <f t="shared" ca="1" si="3"/>
        <v>698.29604166666672</v>
      </c>
      <c r="F16" s="33">
        <f t="shared" ca="1" si="3"/>
        <v>0</v>
      </c>
      <c r="G16" s="33">
        <f>'Monthly Data'!AQ16</f>
        <v>818.92500000000018</v>
      </c>
      <c r="H16" s="33">
        <f>'Monthly Data'!AZ16</f>
        <v>0</v>
      </c>
      <c r="I16" s="18">
        <f>'Monthly Data'!AD16</f>
        <v>764464.8</v>
      </c>
      <c r="J16" s="8">
        <f>'Monthly Data'!BU16</f>
        <v>31</v>
      </c>
      <c r="K16" s="30">
        <f>'Monthly Data'!BX16</f>
        <v>0</v>
      </c>
      <c r="M16" s="18"/>
      <c r="N16" s="18">
        <f ca="1">(E16-G16)*'GS&lt;50 Predicted Monthly'!$V$9</f>
        <v>-227490.36733315332</v>
      </c>
      <c r="O16" s="18">
        <f ca="1">(F16-H16)*'GS&lt;50 Predicted Monthly'!$V$10</f>
        <v>0</v>
      </c>
      <c r="P16" s="18"/>
      <c r="Q16" s="18"/>
      <c r="R16" s="18"/>
      <c r="S16" s="20">
        <f t="shared" ca="1" si="0"/>
        <v>-155511.67742930716</v>
      </c>
    </row>
    <row r="17" spans="1:19">
      <c r="A17" s="541">
        <f>'Monthly Data'!A17</f>
        <v>42826</v>
      </c>
      <c r="B17">
        <f t="shared" si="1"/>
        <v>2017</v>
      </c>
      <c r="C17">
        <f t="shared" si="2"/>
        <v>4</v>
      </c>
      <c r="D17" s="30">
        <f>'Monthly Data'!J17</f>
        <v>76368.451121794875</v>
      </c>
      <c r="E17" s="33">
        <f t="shared" ca="1" si="3"/>
        <v>468.60374999999993</v>
      </c>
      <c r="F17" s="33">
        <f t="shared" ca="1" si="3"/>
        <v>2.8104166666666677</v>
      </c>
      <c r="G17" s="33">
        <f>'Monthly Data'!AQ17</f>
        <v>427.46041666666662</v>
      </c>
      <c r="H17" s="33">
        <f>'Monthly Data'!AZ17</f>
        <v>6.4625000000000004</v>
      </c>
      <c r="I17" s="18">
        <f>'Monthly Data'!AD17</f>
        <v>764464.8</v>
      </c>
      <c r="J17" s="8">
        <f>'Monthly Data'!BU17</f>
        <v>30</v>
      </c>
      <c r="K17" s="30">
        <f>'Monthly Data'!BX17</f>
        <v>0</v>
      </c>
      <c r="M17" s="18"/>
      <c r="N17" s="18">
        <f ca="1">(E17-G17)*'GS&lt;50 Predicted Monthly'!$V$9</f>
        <v>77590.921306364253</v>
      </c>
      <c r="O17" s="18">
        <f ca="1">(F17-H17)*'GS&lt;50 Predicted Monthly'!$V$10</f>
        <v>-13559.726930935341</v>
      </c>
      <c r="P17" s="18"/>
      <c r="Q17" s="18"/>
      <c r="R17" s="18"/>
      <c r="S17" s="20">
        <f t="shared" ca="1" si="0"/>
        <v>140399.64549722377</v>
      </c>
    </row>
    <row r="18" spans="1:19">
      <c r="A18" s="541">
        <f>'Monthly Data'!A18</f>
        <v>42856</v>
      </c>
      <c r="B18">
        <f t="shared" si="1"/>
        <v>2017</v>
      </c>
      <c r="C18">
        <f t="shared" si="2"/>
        <v>5</v>
      </c>
      <c r="D18" s="30">
        <f>'Monthly Data'!J18</f>
        <v>80758.212339743593</v>
      </c>
      <c r="E18" s="33">
        <f t="shared" ca="1" si="3"/>
        <v>232.88687500000006</v>
      </c>
      <c r="F18" s="33">
        <f t="shared" ca="1" si="3"/>
        <v>74.673124999999999</v>
      </c>
      <c r="G18" s="33">
        <f>'Monthly Data'!AQ18</f>
        <v>278.46250000000009</v>
      </c>
      <c r="H18" s="33">
        <f>'Monthly Data'!AZ18</f>
        <v>55.529166666666654</v>
      </c>
      <c r="I18" s="18">
        <f>'Monthly Data'!AD18</f>
        <v>764464.8</v>
      </c>
      <c r="J18" s="8">
        <f>'Monthly Data'!BU18</f>
        <v>31</v>
      </c>
      <c r="K18" s="30">
        <f>'Monthly Data'!BX18</f>
        <v>0</v>
      </c>
      <c r="M18" s="18"/>
      <c r="N18" s="18">
        <f ca="1">(E18-G18)*'GS&lt;50 Predicted Monthly'!$V$9</f>
        <v>-85949.641080694419</v>
      </c>
      <c r="O18" s="18">
        <f ca="1">(F18-H18)*'GS&lt;50 Predicted Monthly'!$V$10</f>
        <v>71079.113942417593</v>
      </c>
      <c r="P18" s="18"/>
      <c r="Q18" s="18"/>
      <c r="R18" s="18"/>
      <c r="S18" s="20">
        <f t="shared" ca="1" si="0"/>
        <v>65887.685201466767</v>
      </c>
    </row>
    <row r="19" spans="1:19">
      <c r="A19" s="541">
        <f>'Monthly Data'!A19</f>
        <v>42887</v>
      </c>
      <c r="B19">
        <f t="shared" si="1"/>
        <v>2017</v>
      </c>
      <c r="C19">
        <f t="shared" si="2"/>
        <v>6</v>
      </c>
      <c r="D19" s="30">
        <f>'Monthly Data'!J19</f>
        <v>85147.973557692312</v>
      </c>
      <c r="E19" s="33">
        <f t="shared" ca="1" si="3"/>
        <v>92.751249999999999</v>
      </c>
      <c r="F19" s="33">
        <f t="shared" ca="1" si="3"/>
        <v>169.78833333333333</v>
      </c>
      <c r="G19" s="33">
        <f>'Monthly Data'!AQ19</f>
        <v>107.97500000000002</v>
      </c>
      <c r="H19" s="33">
        <f>'Monthly Data'!AZ19</f>
        <v>149.61666666666667</v>
      </c>
      <c r="I19" s="18">
        <f>'Monthly Data'!AD19</f>
        <v>764464.8</v>
      </c>
      <c r="J19" s="8">
        <f>'Monthly Data'!BU19</f>
        <v>30</v>
      </c>
      <c r="K19" s="30">
        <f>'Monthly Data'!BX19</f>
        <v>0</v>
      </c>
      <c r="M19" s="18"/>
      <c r="N19" s="18">
        <f ca="1">(E19-G19)*'GS&lt;50 Predicted Monthly'!$V$9</f>
        <v>-28709.992422533382</v>
      </c>
      <c r="O19" s="18">
        <f ca="1">(F19-H19)*'GS&lt;50 Predicted Monthly'!$V$10</f>
        <v>74894.865964682424</v>
      </c>
      <c r="P19" s="18"/>
      <c r="Q19" s="18"/>
      <c r="R19" s="18"/>
      <c r="S19" s="20">
        <f t="shared" ca="1" si="0"/>
        <v>131332.84709984134</v>
      </c>
    </row>
    <row r="20" spans="1:19">
      <c r="A20" s="541">
        <f>'Monthly Data'!A20</f>
        <v>42917</v>
      </c>
      <c r="B20">
        <f t="shared" si="1"/>
        <v>2017</v>
      </c>
      <c r="C20">
        <f t="shared" si="2"/>
        <v>7</v>
      </c>
      <c r="D20" s="30">
        <f>'Monthly Data'!J20</f>
        <v>89537.734775641031</v>
      </c>
      <c r="E20" s="33">
        <f t="shared" ca="1" si="3"/>
        <v>25.464999999999996</v>
      </c>
      <c r="F20" s="33">
        <f t="shared" ca="1" si="3"/>
        <v>265.99625000000003</v>
      </c>
      <c r="G20" s="33">
        <f>'Monthly Data'!AQ20</f>
        <v>38.441666666666649</v>
      </c>
      <c r="H20" s="33">
        <f>'Monthly Data'!AZ20</f>
        <v>224.875</v>
      </c>
      <c r="I20" s="18">
        <f>'Monthly Data'!AD20</f>
        <v>764464.8</v>
      </c>
      <c r="J20" s="8">
        <f>'Monthly Data'!BU20</f>
        <v>31</v>
      </c>
      <c r="K20" s="30">
        <f>'Monthly Data'!BX20</f>
        <v>0</v>
      </c>
      <c r="M20" s="18"/>
      <c r="N20" s="18">
        <f ca="1">(E20-G20)*'GS&lt;50 Predicted Monthly'!$V$9</f>
        <v>-24472.288474898793</v>
      </c>
      <c r="O20" s="18">
        <f ca="1">(F20-H20)*'GS&lt;50 Predicted Monthly'!$V$10</f>
        <v>152678.03885236065</v>
      </c>
      <c r="P20" s="18"/>
      <c r="Q20" s="18"/>
      <c r="R20" s="18"/>
      <c r="S20" s="20">
        <f t="shared" ca="1" si="0"/>
        <v>217743.4851531029</v>
      </c>
    </row>
    <row r="21" spans="1:19">
      <c r="A21" s="541">
        <f>'Monthly Data'!A21</f>
        <v>42948</v>
      </c>
      <c r="B21">
        <f t="shared" si="1"/>
        <v>2017</v>
      </c>
      <c r="C21">
        <f t="shared" si="2"/>
        <v>8</v>
      </c>
      <c r="D21" s="30">
        <f>'Monthly Data'!J21</f>
        <v>93927.49599358975</v>
      </c>
      <c r="E21" s="33">
        <f t="shared" ca="1" si="3"/>
        <v>54.974791666666668</v>
      </c>
      <c r="F21" s="33">
        <f t="shared" ca="1" si="3"/>
        <v>218.46562499999996</v>
      </c>
      <c r="G21" s="33">
        <f>'Monthly Data'!AQ21</f>
        <v>86.879166666666663</v>
      </c>
      <c r="H21" s="33">
        <f>'Monthly Data'!AZ21</f>
        <v>164.64583333333331</v>
      </c>
      <c r="I21" s="18">
        <f>'Monthly Data'!AD21</f>
        <v>764464.8</v>
      </c>
      <c r="J21" s="8">
        <f>'Monthly Data'!BU21</f>
        <v>31</v>
      </c>
      <c r="K21" s="30">
        <f>'Monthly Data'!BX21</f>
        <v>0</v>
      </c>
      <c r="M21" s="18"/>
      <c r="N21" s="18">
        <f ca="1">(E21-G21)*'GS&lt;50 Predicted Monthly'!$V$9</f>
        <v>-60167.459692629069</v>
      </c>
      <c r="O21" s="18">
        <f ca="1">(F21-H21)*'GS&lt;50 Predicted Monthly'!$V$10</f>
        <v>199826.12987468229</v>
      </c>
      <c r="P21" s="18"/>
      <c r="Q21" s="18"/>
      <c r="R21" s="18"/>
      <c r="S21" s="20">
        <f t="shared" ca="1" si="0"/>
        <v>233586.16617564298</v>
      </c>
    </row>
    <row r="22" spans="1:19">
      <c r="A22" s="541">
        <f>'Monthly Data'!A22</f>
        <v>42979</v>
      </c>
      <c r="B22">
        <f t="shared" si="1"/>
        <v>2017</v>
      </c>
      <c r="C22">
        <f t="shared" si="2"/>
        <v>9</v>
      </c>
      <c r="D22" s="30">
        <f>'Monthly Data'!J22</f>
        <v>98317.257211538468</v>
      </c>
      <c r="E22" s="33">
        <f t="shared" ca="1" si="3"/>
        <v>166.50624999999999</v>
      </c>
      <c r="F22" s="33">
        <f t="shared" ca="1" si="3"/>
        <v>95.131249999999994</v>
      </c>
      <c r="G22" s="33">
        <f>'Monthly Data'!AQ22</f>
        <v>140.68333333333331</v>
      </c>
      <c r="H22" s="33">
        <f>'Monthly Data'!AZ22</f>
        <v>126.25</v>
      </c>
      <c r="I22" s="18">
        <f>'Monthly Data'!AD22</f>
        <v>764464.8</v>
      </c>
      <c r="J22" s="8">
        <f>'Monthly Data'!BU22</f>
        <v>30</v>
      </c>
      <c r="K22" s="30">
        <f>'Monthly Data'!BX22</f>
        <v>0</v>
      </c>
      <c r="M22" s="18"/>
      <c r="N22" s="18">
        <f ca="1">(E22-G22)*'GS&lt;50 Predicted Monthly'!$V$9</f>
        <v>48698.628250444883</v>
      </c>
      <c r="O22" s="18">
        <f ca="1">(F22-H22)*'GS&lt;50 Predicted Monthly'!$V$10</f>
        <v>-115540.01207494653</v>
      </c>
      <c r="P22" s="18"/>
      <c r="Q22" s="18"/>
      <c r="R22" s="18"/>
      <c r="S22" s="20">
        <f t="shared" ca="1" si="0"/>
        <v>31475.873387036831</v>
      </c>
    </row>
    <row r="23" spans="1:19">
      <c r="A23" s="541">
        <f>'Monthly Data'!A23</f>
        <v>43009</v>
      </c>
      <c r="B23">
        <f t="shared" si="1"/>
        <v>2017</v>
      </c>
      <c r="C23">
        <f t="shared" si="2"/>
        <v>10</v>
      </c>
      <c r="D23" s="30">
        <f>'Monthly Data'!J23</f>
        <v>102707.01842948719</v>
      </c>
      <c r="E23" s="33">
        <f t="shared" ca="1" si="3"/>
        <v>363.47645833333326</v>
      </c>
      <c r="F23" s="33">
        <f t="shared" ca="1" si="3"/>
        <v>21.813750000000006</v>
      </c>
      <c r="G23" s="33">
        <f>'Monthly Data'!AQ23</f>
        <v>297.41041666666666</v>
      </c>
      <c r="H23" s="33">
        <f>'Monthly Data'!AZ23</f>
        <v>31.320833333333333</v>
      </c>
      <c r="I23" s="18">
        <f>'Monthly Data'!AD23</f>
        <v>764464.8</v>
      </c>
      <c r="J23" s="8">
        <f>'Monthly Data'!BU23</f>
        <v>31</v>
      </c>
      <c r="K23" s="30">
        <f>'Monthly Data'!BX23</f>
        <v>0</v>
      </c>
      <c r="M23" s="18"/>
      <c r="N23" s="18">
        <f ca="1">(E23-G23)*'GS&lt;50 Predicted Monthly'!$V$9</f>
        <v>124591.87490840098</v>
      </c>
      <c r="O23" s="18">
        <f ca="1">(F23-H23)*'GS&lt;50 Predicted Monthly'!$V$10</f>
        <v>-35298.606889121678</v>
      </c>
      <c r="P23" s="18"/>
      <c r="Q23" s="18"/>
      <c r="R23" s="18"/>
      <c r="S23" s="20">
        <f t="shared" ca="1" si="0"/>
        <v>192000.28644876651</v>
      </c>
    </row>
    <row r="24" spans="1:19">
      <c r="A24" s="541">
        <f>'Monthly Data'!A24</f>
        <v>43040</v>
      </c>
      <c r="B24">
        <f t="shared" si="1"/>
        <v>2017</v>
      </c>
      <c r="C24">
        <f t="shared" si="2"/>
        <v>11</v>
      </c>
      <c r="D24" s="30">
        <f>'Monthly Data'!J24</f>
        <v>107096.77964743591</v>
      </c>
      <c r="E24" s="33">
        <f t="shared" ca="1" si="3"/>
        <v>586.00395833333334</v>
      </c>
      <c r="F24" s="33">
        <f t="shared" ca="1" si="3"/>
        <v>2.2795833333333335</v>
      </c>
      <c r="G24" s="33">
        <f>'Monthly Data'!AQ24</f>
        <v>625.73333333333346</v>
      </c>
      <c r="H24" s="33">
        <f>'Monthly Data'!AZ24</f>
        <v>0</v>
      </c>
      <c r="I24" s="18">
        <f>'Monthly Data'!AD24</f>
        <v>764464.8</v>
      </c>
      <c r="J24" s="8">
        <f>'Monthly Data'!BU24</f>
        <v>30</v>
      </c>
      <c r="K24" s="30">
        <f>'Monthly Data'!BX24</f>
        <v>0</v>
      </c>
      <c r="M24" s="18"/>
      <c r="N24" s="18">
        <f ca="1">(E24-G24)*'GS&lt;50 Predicted Monthly'!$V$9</f>
        <v>-74924.38165379678</v>
      </c>
      <c r="O24" s="18">
        <f ca="1">(F24-H24)*'GS&lt;50 Predicted Monthly'!$V$10</f>
        <v>8463.8067357840573</v>
      </c>
      <c r="P24" s="18"/>
      <c r="Q24" s="18"/>
      <c r="R24" s="18"/>
      <c r="S24" s="20">
        <f t="shared" ca="1" si="0"/>
        <v>40636.204729423182</v>
      </c>
    </row>
    <row r="25" spans="1:19">
      <c r="A25" s="541">
        <f>'Monthly Data'!A25</f>
        <v>43070</v>
      </c>
      <c r="B25">
        <f t="shared" si="1"/>
        <v>2017</v>
      </c>
      <c r="C25">
        <f t="shared" si="2"/>
        <v>12</v>
      </c>
      <c r="D25" s="30">
        <f>'Monthly Data'!J25</f>
        <v>28984020.540865384</v>
      </c>
      <c r="E25" s="33">
        <f t="shared" ca="1" si="3"/>
        <v>812.36333333333334</v>
      </c>
      <c r="F25" s="33">
        <f t="shared" ca="1" si="3"/>
        <v>0</v>
      </c>
      <c r="G25" s="33">
        <f>'Monthly Data'!AQ25</f>
        <v>954.57499999999993</v>
      </c>
      <c r="H25" s="33">
        <f>'Monthly Data'!AZ25</f>
        <v>0</v>
      </c>
      <c r="I25" s="18">
        <f>'Monthly Data'!AD25</f>
        <v>764464.8</v>
      </c>
      <c r="J25" s="8">
        <f>'Monthly Data'!BU25</f>
        <v>31</v>
      </c>
      <c r="K25" s="30">
        <f>'Monthly Data'!BX25</f>
        <v>0</v>
      </c>
      <c r="M25" s="18"/>
      <c r="N25" s="18">
        <f ca="1">(E25-G25)*'GS&lt;50 Predicted Monthly'!$V$9</f>
        <v>-268192.51974026335</v>
      </c>
      <c r="O25" s="18">
        <f ca="1">(F25-H25)*'GS&lt;50 Predicted Monthly'!$V$10</f>
        <v>0</v>
      </c>
      <c r="P25" s="18"/>
      <c r="Q25" s="18"/>
      <c r="R25" s="18"/>
      <c r="S25" s="20">
        <f t="shared" ca="1" si="0"/>
        <v>28715828.021125119</v>
      </c>
    </row>
    <row r="26" spans="1:19">
      <c r="A26" s="541">
        <f>'Monthly Data'!A26</f>
        <v>43101</v>
      </c>
      <c r="B26">
        <f t="shared" si="1"/>
        <v>2018</v>
      </c>
      <c r="C26">
        <f t="shared" si="2"/>
        <v>1</v>
      </c>
      <c r="D26" s="30">
        <f>'Monthly Data'!J26</f>
        <v>116499.30518896331</v>
      </c>
      <c r="E26" s="33">
        <f t="shared" ca="1" si="3"/>
        <v>914.55166666666662</v>
      </c>
      <c r="F26" s="33">
        <f t="shared" ca="1" si="3"/>
        <v>0</v>
      </c>
      <c r="G26" s="33">
        <f>'Monthly Data'!AQ26</f>
        <v>963.85000000000014</v>
      </c>
      <c r="H26" s="33">
        <f>'Monthly Data'!AZ26</f>
        <v>0</v>
      </c>
      <c r="I26" s="18">
        <f>'Monthly Data'!AD26</f>
        <v>789531.6</v>
      </c>
      <c r="J26" s="8">
        <f>'Monthly Data'!BU26</f>
        <v>31</v>
      </c>
      <c r="K26" s="30">
        <f>'Monthly Data'!BX26</f>
        <v>0</v>
      </c>
      <c r="M26" s="18"/>
      <c r="N26" s="18">
        <f ca="1">(E26-G26)*'GS&lt;50 Predicted Monthly'!$V$9</f>
        <v>-92970.179912539796</v>
      </c>
      <c r="O26" s="18">
        <f ca="1">(F26-H26)*'GS&lt;50 Predicted Monthly'!$V$10</f>
        <v>0</v>
      </c>
      <c r="P26" s="18"/>
      <c r="Q26" s="18"/>
      <c r="R26" s="18"/>
      <c r="S26" s="20">
        <f t="shared" ca="1" si="0"/>
        <v>23529.125276423511</v>
      </c>
    </row>
    <row r="27" spans="1:19">
      <c r="A27" s="541">
        <f>'Monthly Data'!A27</f>
        <v>43132</v>
      </c>
      <c r="B27">
        <f t="shared" si="1"/>
        <v>2018</v>
      </c>
      <c r="C27">
        <f t="shared" si="2"/>
        <v>2</v>
      </c>
      <c r="D27" s="30">
        <f>'Monthly Data'!J27</f>
        <v>120386.83199193618</v>
      </c>
      <c r="E27" s="33">
        <f t="shared" ca="1" si="3"/>
        <v>803.82854166666664</v>
      </c>
      <c r="F27" s="33">
        <f t="shared" ca="1" si="3"/>
        <v>0</v>
      </c>
      <c r="G27" s="33">
        <f>'Monthly Data'!AQ27</f>
        <v>754.27916666666658</v>
      </c>
      <c r="H27" s="33">
        <f>'Monthly Data'!AZ27</f>
        <v>0</v>
      </c>
      <c r="I27" s="18">
        <f>'Monthly Data'!AD27</f>
        <v>789531.6</v>
      </c>
      <c r="J27" s="8">
        <f>'Monthly Data'!BU27</f>
        <v>29</v>
      </c>
      <c r="K27" s="30">
        <f>'Monthly Data'!BX27</f>
        <v>0</v>
      </c>
      <c r="M27" s="18"/>
      <c r="N27" s="18">
        <f ca="1">(E27-G27)*'GS&lt;50 Predicted Monthly'!$V$9</f>
        <v>93443.611514328877</v>
      </c>
      <c r="O27" s="18">
        <f ca="1">(F27-H27)*'GS&lt;50 Predicted Monthly'!$V$10</f>
        <v>0</v>
      </c>
      <c r="P27" s="18"/>
      <c r="Q27" s="18"/>
      <c r="R27" s="18"/>
      <c r="S27" s="20">
        <f t="shared" ca="1" si="0"/>
        <v>213830.44350626506</v>
      </c>
    </row>
    <row r="28" spans="1:19">
      <c r="A28" s="541">
        <f>'Monthly Data'!A28</f>
        <v>43160</v>
      </c>
      <c r="B28">
        <f t="shared" si="1"/>
        <v>2018</v>
      </c>
      <c r="C28">
        <f t="shared" si="2"/>
        <v>3</v>
      </c>
      <c r="D28" s="30">
        <f>'Monthly Data'!J28</f>
        <v>124274.35879490906</v>
      </c>
      <c r="E28" s="33">
        <f t="shared" ca="1" si="3"/>
        <v>698.29604166666672</v>
      </c>
      <c r="F28" s="33">
        <f t="shared" ca="1" si="3"/>
        <v>0</v>
      </c>
      <c r="G28" s="33">
        <f>'Monthly Data'!AQ28</f>
        <v>711.45</v>
      </c>
      <c r="H28" s="33">
        <f>'Monthly Data'!AZ28</f>
        <v>0</v>
      </c>
      <c r="I28" s="18">
        <f>'Monthly Data'!AD28</f>
        <v>789531.6</v>
      </c>
      <c r="J28" s="8">
        <f>'Monthly Data'!BU28</f>
        <v>31</v>
      </c>
      <c r="K28" s="30">
        <f>'Monthly Data'!BX28</f>
        <v>0</v>
      </c>
      <c r="M28" s="18"/>
      <c r="N28" s="18">
        <f ca="1">(E28-G28)*'GS&lt;50 Predicted Monthly'!$V$9</f>
        <v>-24806.637265871999</v>
      </c>
      <c r="O28" s="18">
        <f ca="1">(F28-H28)*'GS&lt;50 Predicted Monthly'!$V$10</f>
        <v>0</v>
      </c>
      <c r="P28" s="18"/>
      <c r="Q28" s="18"/>
      <c r="R28" s="18"/>
      <c r="S28" s="20">
        <f t="shared" ca="1" si="0"/>
        <v>99467.721529037051</v>
      </c>
    </row>
    <row r="29" spans="1:19">
      <c r="A29" s="541">
        <f>'Monthly Data'!A29</f>
        <v>43191</v>
      </c>
      <c r="B29">
        <f t="shared" si="1"/>
        <v>2018</v>
      </c>
      <c r="C29">
        <f t="shared" si="2"/>
        <v>4</v>
      </c>
      <c r="D29" s="30">
        <f>'Monthly Data'!J29</f>
        <v>128161.88559788195</v>
      </c>
      <c r="E29" s="33">
        <f t="shared" ca="1" si="3"/>
        <v>468.60374999999993</v>
      </c>
      <c r="F29" s="33">
        <f t="shared" ca="1" si="3"/>
        <v>2.8104166666666677</v>
      </c>
      <c r="G29" s="33">
        <f>'Monthly Data'!AQ29</f>
        <v>561.15416666666681</v>
      </c>
      <c r="H29" s="33">
        <f>'Monthly Data'!AZ29</f>
        <v>0</v>
      </c>
      <c r="I29" s="18">
        <f>'Monthly Data'!AD29</f>
        <v>789531.6</v>
      </c>
      <c r="J29" s="8">
        <f>'Monthly Data'!BU29</f>
        <v>30</v>
      </c>
      <c r="K29" s="30">
        <f>'Monthly Data'!BX29</f>
        <v>0</v>
      </c>
      <c r="M29" s="18"/>
      <c r="N29" s="18">
        <f ca="1">(E29-G29)*'GS&lt;50 Predicted Monthly'!$V$9</f>
        <v>-174537.92667393442</v>
      </c>
      <c r="O29" s="18">
        <f ca="1">(F29-H29)*'GS&lt;50 Predicted Monthly'!$V$10</f>
        <v>10434.724261170442</v>
      </c>
      <c r="P29" s="18"/>
      <c r="Q29" s="18"/>
      <c r="R29" s="18"/>
      <c r="S29" s="20">
        <f t="shared" ca="1" si="0"/>
        <v>-35941.316814882026</v>
      </c>
    </row>
    <row r="30" spans="1:19">
      <c r="A30" s="541">
        <f>'Monthly Data'!A30</f>
        <v>43221</v>
      </c>
      <c r="B30">
        <f t="shared" si="1"/>
        <v>2018</v>
      </c>
      <c r="C30">
        <f t="shared" si="2"/>
        <v>5</v>
      </c>
      <c r="D30" s="30">
        <f>'Monthly Data'!J30</f>
        <v>132049.41240085484</v>
      </c>
      <c r="E30" s="33">
        <f t="shared" ca="1" si="3"/>
        <v>232.88687500000006</v>
      </c>
      <c r="F30" s="33">
        <f t="shared" ca="1" si="3"/>
        <v>74.673124999999999</v>
      </c>
      <c r="G30" s="33">
        <f>'Monthly Data'!AQ30</f>
        <v>189.08749999999998</v>
      </c>
      <c r="H30" s="33">
        <f>'Monthly Data'!AZ30</f>
        <v>91.550000000000011</v>
      </c>
      <c r="I30" s="18">
        <f>'Monthly Data'!AD30</f>
        <v>789531.6</v>
      </c>
      <c r="J30" s="8">
        <f>'Monthly Data'!BU30</f>
        <v>31</v>
      </c>
      <c r="K30" s="30">
        <f>'Monthly Data'!BX30</f>
        <v>0</v>
      </c>
      <c r="M30" s="18"/>
      <c r="N30" s="18">
        <f ca="1">(E30-G30)*'GS&lt;50 Predicted Monthly'!$V$9</f>
        <v>82599.866942225039</v>
      </c>
      <c r="O30" s="18">
        <f ca="1">(F30-H30)*'GS&lt;50 Predicted Monthly'!$V$10</f>
        <v>-62661.71813737262</v>
      </c>
      <c r="P30" s="18"/>
      <c r="Q30" s="18"/>
      <c r="R30" s="18"/>
      <c r="S30" s="20">
        <f t="shared" ca="1" si="0"/>
        <v>151987.56120570726</v>
      </c>
    </row>
    <row r="31" spans="1:19">
      <c r="A31" s="541">
        <f>'Monthly Data'!A31</f>
        <v>43252</v>
      </c>
      <c r="B31">
        <f t="shared" si="1"/>
        <v>2018</v>
      </c>
      <c r="C31">
        <f t="shared" si="2"/>
        <v>6</v>
      </c>
      <c r="D31" s="30">
        <f>'Monthly Data'!J31</f>
        <v>135936.9392038277</v>
      </c>
      <c r="E31" s="33">
        <f t="shared" ca="1" si="3"/>
        <v>92.751249999999999</v>
      </c>
      <c r="F31" s="33">
        <f t="shared" ca="1" si="3"/>
        <v>169.78833333333333</v>
      </c>
      <c r="G31" s="33">
        <f>'Monthly Data'!AQ31</f>
        <v>109.22083333333332</v>
      </c>
      <c r="H31" s="33">
        <f>'Monthly Data'!AZ31</f>
        <v>145.35</v>
      </c>
      <c r="I31" s="18">
        <f>'Monthly Data'!AD31</f>
        <v>789531.6</v>
      </c>
      <c r="J31" s="8">
        <f>'Monthly Data'!BU31</f>
        <v>30</v>
      </c>
      <c r="K31" s="30">
        <f>'Monthly Data'!BX31</f>
        <v>0</v>
      </c>
      <c r="M31" s="18"/>
      <c r="N31" s="18">
        <f ca="1">(E31-G31)*'GS&lt;50 Predicted Monthly'!$V$9</f>
        <v>-31059.470413155817</v>
      </c>
      <c r="O31" s="18">
        <f ca="1">(F31-H31)*'GS&lt;50 Predicted Monthly'!$V$10</f>
        <v>90736.463656956039</v>
      </c>
      <c r="P31" s="18"/>
      <c r="Q31" s="18"/>
      <c r="R31" s="18"/>
      <c r="S31" s="20">
        <f t="shared" ca="1" si="0"/>
        <v>195613.93244762791</v>
      </c>
    </row>
    <row r="32" spans="1:19">
      <c r="A32" s="541">
        <f>'Monthly Data'!A32</f>
        <v>43282</v>
      </c>
      <c r="B32">
        <f t="shared" si="1"/>
        <v>2018</v>
      </c>
      <c r="C32">
        <f t="shared" si="2"/>
        <v>7</v>
      </c>
      <c r="D32" s="30">
        <f>'Monthly Data'!J32</f>
        <v>139824.46600680059</v>
      </c>
      <c r="E32" s="33">
        <f t="shared" ca="1" si="3"/>
        <v>25.464999999999996</v>
      </c>
      <c r="F32" s="33">
        <f t="shared" ca="1" si="3"/>
        <v>265.99625000000003</v>
      </c>
      <c r="G32" s="33">
        <f>'Monthly Data'!AQ32</f>
        <v>15.241666666666678</v>
      </c>
      <c r="H32" s="33">
        <f>'Monthly Data'!AZ32</f>
        <v>294.87916666666672</v>
      </c>
      <c r="I32" s="18">
        <f>'Monthly Data'!AD32</f>
        <v>789531.6</v>
      </c>
      <c r="J32" s="8">
        <f>'Monthly Data'!BU32</f>
        <v>31</v>
      </c>
      <c r="K32" s="30">
        <f>'Monthly Data'!BX32</f>
        <v>0</v>
      </c>
      <c r="M32" s="18"/>
      <c r="N32" s="18">
        <f ca="1">(E32-G32)*'GS&lt;50 Predicted Monthly'!$V$9</f>
        <v>19279.863537763824</v>
      </c>
      <c r="O32" s="18">
        <f ca="1">(F32-H32)*'GS&lt;50 Predicted Monthly'!$V$10</f>
        <v>-107238.64359674932</v>
      </c>
      <c r="P32" s="18"/>
      <c r="Q32" s="18"/>
      <c r="R32" s="18"/>
      <c r="S32" s="20">
        <f t="shared" ca="1" si="0"/>
        <v>51865.685947815102</v>
      </c>
    </row>
    <row r="33" spans="1:19">
      <c r="A33" s="541">
        <f>'Monthly Data'!A33</f>
        <v>43313</v>
      </c>
      <c r="B33">
        <f t="shared" si="1"/>
        <v>2018</v>
      </c>
      <c r="C33">
        <f t="shared" si="2"/>
        <v>8</v>
      </c>
      <c r="D33" s="30">
        <f>'Monthly Data'!J33</f>
        <v>143711.99280977348</v>
      </c>
      <c r="E33" s="33">
        <f t="shared" ca="1" si="3"/>
        <v>54.974791666666668</v>
      </c>
      <c r="F33" s="33">
        <f t="shared" ca="1" si="3"/>
        <v>218.46562499999996</v>
      </c>
      <c r="G33" s="33">
        <f>'Monthly Data'!AQ33</f>
        <v>25.450000000000003</v>
      </c>
      <c r="H33" s="33">
        <f>'Monthly Data'!AZ33</f>
        <v>257.05</v>
      </c>
      <c r="I33" s="18">
        <f>'Monthly Data'!AD33</f>
        <v>789531.6</v>
      </c>
      <c r="J33" s="8">
        <f>'Monthly Data'!BU33</f>
        <v>31</v>
      </c>
      <c r="K33" s="30">
        <f>'Monthly Data'!BX33</f>
        <v>0</v>
      </c>
      <c r="M33" s="18"/>
      <c r="N33" s="18">
        <f ca="1">(E33-G33)*'GS&lt;50 Predicted Monthly'!$V$9</f>
        <v>55679.878152680867</v>
      </c>
      <c r="O33" s="18">
        <f ca="1">(F33-H33)*'GS&lt;50 Predicted Monthly'!$V$10</f>
        <v>-143258.94045886386</v>
      </c>
      <c r="P33" s="18"/>
      <c r="Q33" s="18"/>
      <c r="R33" s="18"/>
      <c r="S33" s="20">
        <f t="shared" ca="1" si="0"/>
        <v>56132.930503590498</v>
      </c>
    </row>
    <row r="34" spans="1:19">
      <c r="A34" s="541">
        <f>'Monthly Data'!A34</f>
        <v>43344</v>
      </c>
      <c r="B34">
        <f t="shared" si="1"/>
        <v>2018</v>
      </c>
      <c r="C34">
        <f t="shared" si="2"/>
        <v>9</v>
      </c>
      <c r="D34" s="30">
        <f>'Monthly Data'!J34</f>
        <v>147599.51961274637</v>
      </c>
      <c r="E34" s="33">
        <f t="shared" ref="E34:F53" ca="1" si="4">E22</f>
        <v>166.50624999999999</v>
      </c>
      <c r="F34" s="33">
        <f t="shared" ca="1" si="4"/>
        <v>95.131249999999994</v>
      </c>
      <c r="G34" s="33">
        <f>'Monthly Data'!AQ34</f>
        <v>165.60416666666669</v>
      </c>
      <c r="H34" s="33">
        <f>'Monthly Data'!AZ34</f>
        <v>120.82499999999999</v>
      </c>
      <c r="I34" s="18">
        <f>'Monthly Data'!AD34</f>
        <v>789531.6</v>
      </c>
      <c r="J34" s="8">
        <f>'Monthly Data'!BU34</f>
        <v>30</v>
      </c>
      <c r="K34" s="30">
        <f>'Monthly Data'!BX34</f>
        <v>0</v>
      </c>
      <c r="M34" s="18"/>
      <c r="N34" s="18">
        <f ca="1">(E34-G34)*'GS&lt;50 Predicted Monthly'!$V$9</f>
        <v>1701.2106520727748</v>
      </c>
      <c r="O34" s="18">
        <f ca="1">(F34-H34)*'GS&lt;50 Predicted Monthly'!$V$10</f>
        <v>-95397.668134184569</v>
      </c>
      <c r="P34" s="18"/>
      <c r="Q34" s="18"/>
      <c r="R34" s="18"/>
      <c r="S34" s="20">
        <f t="shared" ref="S34:S65" ca="1" si="5">D34+N34+O34</f>
        <v>53903.062130634571</v>
      </c>
    </row>
    <row r="35" spans="1:19">
      <c r="A35" s="541">
        <f>'Monthly Data'!A35</f>
        <v>43374</v>
      </c>
      <c r="B35">
        <f t="shared" si="1"/>
        <v>2018</v>
      </c>
      <c r="C35">
        <f t="shared" si="2"/>
        <v>10</v>
      </c>
      <c r="D35" s="30">
        <f>'Monthly Data'!J35</f>
        <v>151487.04641571926</v>
      </c>
      <c r="E35" s="33">
        <f t="shared" ca="1" si="4"/>
        <v>363.47645833333326</v>
      </c>
      <c r="F35" s="33">
        <f t="shared" ca="1" si="4"/>
        <v>21.813750000000006</v>
      </c>
      <c r="G35" s="33">
        <f>'Monthly Data'!AQ35</f>
        <v>439.75416666666661</v>
      </c>
      <c r="H35" s="33">
        <f>'Monthly Data'!AZ35</f>
        <v>12.950000000000003</v>
      </c>
      <c r="I35" s="18">
        <f>'Monthly Data'!AD35</f>
        <v>789531.6</v>
      </c>
      <c r="J35" s="8">
        <f>'Monthly Data'!BU35</f>
        <v>31</v>
      </c>
      <c r="K35" s="30">
        <f>'Monthly Data'!BX35</f>
        <v>0</v>
      </c>
      <c r="M35" s="18"/>
      <c r="N35" s="18">
        <f ca="1">(E35-G35)*'GS&lt;50 Predicted Monthly'!$V$9</f>
        <v>-143849.73664558394</v>
      </c>
      <c r="O35" s="18">
        <f ca="1">(F35-H35)*'GS&lt;50 Predicted Monthly'!$V$10</f>
        <v>32909.990987083591</v>
      </c>
      <c r="P35" s="18"/>
      <c r="Q35" s="18"/>
      <c r="R35" s="18"/>
      <c r="S35" s="20">
        <f t="shared" ca="1" si="5"/>
        <v>40547.300757218916</v>
      </c>
    </row>
    <row r="36" spans="1:19">
      <c r="A36" s="541">
        <f>'Monthly Data'!A36</f>
        <v>43405</v>
      </c>
      <c r="B36">
        <f t="shared" si="1"/>
        <v>2018</v>
      </c>
      <c r="C36">
        <f t="shared" si="2"/>
        <v>11</v>
      </c>
      <c r="D36" s="30">
        <f>'Monthly Data'!J36</f>
        <v>155374.57321869212</v>
      </c>
      <c r="E36" s="33">
        <f t="shared" ca="1" si="4"/>
        <v>586.00395833333334</v>
      </c>
      <c r="F36" s="33">
        <f t="shared" ca="1" si="4"/>
        <v>2.2795833333333335</v>
      </c>
      <c r="G36" s="33">
        <f>'Monthly Data'!AQ36</f>
        <v>681.23333333333335</v>
      </c>
      <c r="H36" s="33">
        <f>'Monthly Data'!AZ36</f>
        <v>0</v>
      </c>
      <c r="I36" s="18">
        <f>'Monthly Data'!AD36</f>
        <v>789531.6</v>
      </c>
      <c r="J36" s="8">
        <f>'Monthly Data'!BU36</f>
        <v>30</v>
      </c>
      <c r="K36" s="30">
        <f>'Monthly Data'!BX36</f>
        <v>0</v>
      </c>
      <c r="M36" s="18"/>
      <c r="N36" s="18">
        <f ca="1">(E36-G36)*'GS&lt;50 Predicted Monthly'!$V$9</f>
        <v>-179590.0901323646</v>
      </c>
      <c r="O36" s="18">
        <f ca="1">(F36-H36)*'GS&lt;50 Predicted Monthly'!$V$10</f>
        <v>8463.8067357840573</v>
      </c>
      <c r="P36" s="18"/>
      <c r="Q36" s="18"/>
      <c r="R36" s="18"/>
      <c r="S36" s="20">
        <f t="shared" ca="1" si="5"/>
        <v>-15751.710177888415</v>
      </c>
    </row>
    <row r="37" spans="1:19">
      <c r="A37" s="541">
        <f>'Monthly Data'!A37</f>
        <v>43435</v>
      </c>
      <c r="B37">
        <f t="shared" si="1"/>
        <v>2018</v>
      </c>
      <c r="C37">
        <f t="shared" si="2"/>
        <v>12</v>
      </c>
      <c r="D37" s="30">
        <f>'Monthly Data'!J37</f>
        <v>30219324.100021664</v>
      </c>
      <c r="E37" s="33">
        <f t="shared" ca="1" si="4"/>
        <v>812.36333333333334</v>
      </c>
      <c r="F37" s="33">
        <f t="shared" ca="1" si="4"/>
        <v>0</v>
      </c>
      <c r="G37" s="33">
        <f>'Monthly Data'!AQ37</f>
        <v>855.4000000000002</v>
      </c>
      <c r="H37" s="33">
        <f>'Monthly Data'!AZ37</f>
        <v>0</v>
      </c>
      <c r="I37" s="18">
        <f>'Monthly Data'!AD37</f>
        <v>789531.6</v>
      </c>
      <c r="J37" s="8">
        <f>'Monthly Data'!BU37</f>
        <v>31</v>
      </c>
      <c r="K37" s="30">
        <f>'Monthly Data'!BX37</f>
        <v>0</v>
      </c>
      <c r="M37" s="18"/>
      <c r="N37" s="18">
        <f ca="1">(E37-G37)*'GS&lt;50 Predicted Monthly'!$V$9</f>
        <v>-81161.499229237117</v>
      </c>
      <c r="O37" s="18">
        <f ca="1">(F37-H37)*'GS&lt;50 Predicted Monthly'!$V$10</f>
        <v>0</v>
      </c>
      <c r="P37" s="18"/>
      <c r="Q37" s="18"/>
      <c r="R37" s="18"/>
      <c r="S37" s="20">
        <f t="shared" ca="1" si="5"/>
        <v>30138162.600792427</v>
      </c>
    </row>
    <row r="38" spans="1:19">
      <c r="A38" s="541">
        <f>'Monthly Data'!A38</f>
        <v>43466</v>
      </c>
      <c r="B38">
        <f t="shared" si="1"/>
        <v>2019</v>
      </c>
      <c r="C38">
        <f t="shared" si="2"/>
        <v>1</v>
      </c>
      <c r="D38" s="30">
        <f>'Monthly Data'!J38</f>
        <v>151405.07528035509</v>
      </c>
      <c r="E38" s="33">
        <f t="shared" ca="1" si="4"/>
        <v>914.55166666666662</v>
      </c>
      <c r="F38" s="33">
        <f t="shared" ca="1" si="4"/>
        <v>0</v>
      </c>
      <c r="G38" s="33">
        <f>'Monthly Data'!AQ38</f>
        <v>1054.7000000000003</v>
      </c>
      <c r="H38" s="33">
        <f>'Monthly Data'!AZ38</f>
        <v>0</v>
      </c>
      <c r="I38" s="18">
        <f>'Monthly Data'!AD38</f>
        <v>807274.5</v>
      </c>
      <c r="J38" s="8">
        <f>'Monthly Data'!BU38</f>
        <v>31</v>
      </c>
      <c r="K38" s="30">
        <f>'Monthly Data'!BX38</f>
        <v>0</v>
      </c>
      <c r="M38" s="18"/>
      <c r="N38" s="18">
        <f ca="1">(E38-G38)*'GS&lt;50 Predicted Monthly'!$V$9</f>
        <v>-264301.34415178158</v>
      </c>
      <c r="O38" s="18">
        <f ca="1">(F38-H38)*'GS&lt;50 Predicted Monthly'!$V$10</f>
        <v>0</v>
      </c>
      <c r="P38" s="18"/>
      <c r="Q38" s="18"/>
      <c r="R38" s="18"/>
      <c r="S38" s="20">
        <f t="shared" ca="1" si="5"/>
        <v>-112896.2688714265</v>
      </c>
    </row>
    <row r="39" spans="1:19">
      <c r="A39" s="541">
        <f>'Monthly Data'!A39</f>
        <v>43497</v>
      </c>
      <c r="B39">
        <f t="shared" si="1"/>
        <v>2019</v>
      </c>
      <c r="C39">
        <f t="shared" si="2"/>
        <v>2</v>
      </c>
      <c r="D39" s="30">
        <f>'Monthly Data'!J39</f>
        <v>153208.32497036053</v>
      </c>
      <c r="E39" s="33">
        <f t="shared" ca="1" si="4"/>
        <v>803.82854166666664</v>
      </c>
      <c r="F39" s="33">
        <f t="shared" ca="1" si="4"/>
        <v>0</v>
      </c>
      <c r="G39" s="33">
        <f>'Monthly Data'!AQ39</f>
        <v>858.87708333333342</v>
      </c>
      <c r="H39" s="33">
        <f>'Monthly Data'!AZ39</f>
        <v>0</v>
      </c>
      <c r="I39" s="18">
        <f>'Monthly Data'!AD39</f>
        <v>807274.5</v>
      </c>
      <c r="J39" s="8">
        <f>'Monthly Data'!BU39</f>
        <v>28</v>
      </c>
      <c r="K39" s="30">
        <f>'Monthly Data'!BX39</f>
        <v>0</v>
      </c>
      <c r="M39" s="18"/>
      <c r="N39" s="18">
        <f ca="1">(E39-G39)*'GS&lt;50 Predicted Monthly'!$V$9</f>
        <v>-103814.31737393966</v>
      </c>
      <c r="O39" s="18">
        <f ca="1">(F39-H39)*'GS&lt;50 Predicted Monthly'!$V$10</f>
        <v>0</v>
      </c>
      <c r="P39" s="18"/>
      <c r="Q39" s="18"/>
      <c r="R39" s="18"/>
      <c r="S39" s="20">
        <f t="shared" ca="1" si="5"/>
        <v>49394.007596420866</v>
      </c>
    </row>
    <row r="40" spans="1:19">
      <c r="A40" s="541">
        <f>'Monthly Data'!A40</f>
        <v>43525</v>
      </c>
      <c r="B40">
        <f t="shared" si="1"/>
        <v>2019</v>
      </c>
      <c r="C40">
        <f t="shared" si="2"/>
        <v>3</v>
      </c>
      <c r="D40" s="30">
        <f>'Monthly Data'!J40</f>
        <v>155011.57466036599</v>
      </c>
      <c r="E40" s="33">
        <f t="shared" ca="1" si="4"/>
        <v>698.29604166666672</v>
      </c>
      <c r="F40" s="33">
        <f t="shared" ca="1" si="4"/>
        <v>0</v>
      </c>
      <c r="G40" s="33">
        <f>'Monthly Data'!AQ40</f>
        <v>773.79166666666663</v>
      </c>
      <c r="H40" s="33">
        <f>'Monthly Data'!AZ40</f>
        <v>0</v>
      </c>
      <c r="I40" s="18">
        <f>'Monthly Data'!AD40</f>
        <v>807274.5</v>
      </c>
      <c r="J40" s="8">
        <f>'Monthly Data'!BU40</f>
        <v>31</v>
      </c>
      <c r="K40" s="30">
        <f>'Monthly Data'!BX40</f>
        <v>0</v>
      </c>
      <c r="M40" s="18"/>
      <c r="N40" s="18">
        <f ca="1">(E40-G40)*'GS&lt;50 Predicted Monthly'!$V$9</f>
        <v>-142374.83022805915</v>
      </c>
      <c r="O40" s="18">
        <f ca="1">(F40-H40)*'GS&lt;50 Predicted Monthly'!$V$10</f>
        <v>0</v>
      </c>
      <c r="P40" s="18"/>
      <c r="Q40" s="18"/>
      <c r="R40" s="18"/>
      <c r="S40" s="20">
        <f t="shared" ca="1" si="5"/>
        <v>12636.744432306848</v>
      </c>
    </row>
    <row r="41" spans="1:19">
      <c r="A41" s="541">
        <f>'Monthly Data'!A41</f>
        <v>43556</v>
      </c>
      <c r="B41">
        <f t="shared" si="1"/>
        <v>2019</v>
      </c>
      <c r="C41">
        <f t="shared" si="2"/>
        <v>4</v>
      </c>
      <c r="D41" s="30">
        <f>'Monthly Data'!J41</f>
        <v>156814.82435037143</v>
      </c>
      <c r="E41" s="33">
        <f t="shared" ca="1" si="4"/>
        <v>468.60374999999993</v>
      </c>
      <c r="F41" s="33">
        <f t="shared" ca="1" si="4"/>
        <v>2.8104166666666677</v>
      </c>
      <c r="G41" s="33">
        <f>'Monthly Data'!AQ41</f>
        <v>501.13749999999999</v>
      </c>
      <c r="H41" s="33">
        <f>'Monthly Data'!AZ41</f>
        <v>0</v>
      </c>
      <c r="I41" s="18">
        <f>'Monthly Data'!AD41</f>
        <v>807274.5</v>
      </c>
      <c r="J41" s="8">
        <f>'Monthly Data'!BU41</f>
        <v>30</v>
      </c>
      <c r="K41" s="30">
        <f>'Monthly Data'!BX41</f>
        <v>0</v>
      </c>
      <c r="M41" s="18"/>
      <c r="N41" s="18">
        <f ca="1">(E41-G41)*'GS&lt;50 Predicted Monthly'!$V$9</f>
        <v>-61354.378256119249</v>
      </c>
      <c r="O41" s="18">
        <f ca="1">(F41-H41)*'GS&lt;50 Predicted Monthly'!$V$10</f>
        <v>10434.724261170442</v>
      </c>
      <c r="P41" s="18"/>
      <c r="Q41" s="18"/>
      <c r="R41" s="18"/>
      <c r="S41" s="20">
        <f t="shared" ca="1" si="5"/>
        <v>105895.17035542263</v>
      </c>
    </row>
    <row r="42" spans="1:19">
      <c r="A42" s="541">
        <f>'Monthly Data'!A42</f>
        <v>43586</v>
      </c>
      <c r="B42">
        <f t="shared" si="1"/>
        <v>2019</v>
      </c>
      <c r="C42">
        <f t="shared" si="2"/>
        <v>5</v>
      </c>
      <c r="D42" s="30">
        <f>'Monthly Data'!J42</f>
        <v>158618.0740403769</v>
      </c>
      <c r="E42" s="33">
        <f t="shared" ca="1" si="4"/>
        <v>232.88687500000006</v>
      </c>
      <c r="F42" s="33">
        <f t="shared" ca="1" si="4"/>
        <v>74.673124999999999</v>
      </c>
      <c r="G42" s="33">
        <f>'Monthly Data'!AQ42</f>
        <v>307.42916666666667</v>
      </c>
      <c r="H42" s="33">
        <f>'Monthly Data'!AZ42</f>
        <v>16.06666666666667</v>
      </c>
      <c r="I42" s="18">
        <f>'Monthly Data'!AD42</f>
        <v>807274.5</v>
      </c>
      <c r="J42" s="8">
        <f>'Monthly Data'!BU42</f>
        <v>31</v>
      </c>
      <c r="K42" s="30">
        <f>'Monthly Data'!BX42</f>
        <v>0</v>
      </c>
      <c r="M42" s="18"/>
      <c r="N42" s="18">
        <f ca="1">(E42-G42)*'GS&lt;50 Predicted Monthly'!$V$9</f>
        <v>-140576.96880914809</v>
      </c>
      <c r="O42" s="18">
        <f ca="1">(F42-H42)*'GS&lt;50 Predicted Monthly'!$V$10</f>
        <v>217598.42228570176</v>
      </c>
      <c r="P42" s="18"/>
      <c r="Q42" s="18"/>
      <c r="R42" s="18"/>
      <c r="S42" s="20">
        <f t="shared" ca="1" si="5"/>
        <v>235639.52751693057</v>
      </c>
    </row>
    <row r="43" spans="1:19">
      <c r="A43" s="541">
        <f>'Monthly Data'!A43</f>
        <v>43617</v>
      </c>
      <c r="B43">
        <f t="shared" si="1"/>
        <v>2019</v>
      </c>
      <c r="C43">
        <f t="shared" si="2"/>
        <v>6</v>
      </c>
      <c r="D43" s="30">
        <f>'Monthly Data'!J43</f>
        <v>160421.32373038234</v>
      </c>
      <c r="E43" s="33">
        <f t="shared" ca="1" si="4"/>
        <v>92.751249999999999</v>
      </c>
      <c r="F43" s="33">
        <f t="shared" ca="1" si="4"/>
        <v>169.78833333333333</v>
      </c>
      <c r="G43" s="33">
        <f>'Monthly Data'!AQ43</f>
        <v>114.8875</v>
      </c>
      <c r="H43" s="33">
        <f>'Monthly Data'!AZ43</f>
        <v>134.69583333333335</v>
      </c>
      <c r="I43" s="18">
        <f>'Monthly Data'!AD43</f>
        <v>807274.5</v>
      </c>
      <c r="J43" s="8">
        <f>'Monthly Data'!BU43</f>
        <v>30</v>
      </c>
      <c r="K43" s="30">
        <f>'Monthly Data'!BX43</f>
        <v>0</v>
      </c>
      <c r="M43" s="18"/>
      <c r="N43" s="18">
        <f ca="1">(E43-G43)*'GS&lt;50 Predicted Monthly'!$V$9</f>
        <v>-41746.05926682346</v>
      </c>
      <c r="O43" s="18">
        <f ca="1">(F43-H43)*'GS&lt;50 Predicted Monthly'!$V$10</f>
        <v>130294.04695690081</v>
      </c>
      <c r="P43" s="18"/>
      <c r="Q43" s="18"/>
      <c r="R43" s="18"/>
      <c r="S43" s="20">
        <f t="shared" ca="1" si="5"/>
        <v>248969.31142045971</v>
      </c>
    </row>
    <row r="44" spans="1:19">
      <c r="A44" s="541">
        <f>'Monthly Data'!A44</f>
        <v>43647</v>
      </c>
      <c r="B44">
        <f t="shared" si="1"/>
        <v>2019</v>
      </c>
      <c r="C44">
        <f t="shared" si="2"/>
        <v>7</v>
      </c>
      <c r="D44" s="30">
        <f>'Monthly Data'!J44</f>
        <v>162224.57342038781</v>
      </c>
      <c r="E44" s="33">
        <f t="shared" ca="1" si="4"/>
        <v>25.464999999999996</v>
      </c>
      <c r="F44" s="33">
        <f t="shared" ca="1" si="4"/>
        <v>265.99625000000003</v>
      </c>
      <c r="G44" s="33">
        <f>'Monthly Data'!AQ44</f>
        <v>14.054166666666667</v>
      </c>
      <c r="H44" s="33">
        <f>'Monthly Data'!AZ44</f>
        <v>290.43749999999994</v>
      </c>
      <c r="I44" s="18">
        <f>'Monthly Data'!AD44</f>
        <v>807274.5</v>
      </c>
      <c r="J44" s="8">
        <f>'Monthly Data'!BU44</f>
        <v>31</v>
      </c>
      <c r="K44" s="30">
        <f>'Monthly Data'!BX44</f>
        <v>0</v>
      </c>
      <c r="M44" s="18"/>
      <c r="N44" s="18">
        <f ca="1">(E44-G44)*'GS&lt;50 Predicted Monthly'!$V$9</f>
        <v>21519.332525480953</v>
      </c>
      <c r="O44" s="18">
        <f ca="1">(F44-H44)*'GS&lt;50 Predicted Monthly'!$V$10</f>
        <v>-90747.292874128165</v>
      </c>
      <c r="P44" s="18"/>
      <c r="Q44" s="18"/>
      <c r="R44" s="18"/>
      <c r="S44" s="20">
        <f t="shared" ca="1" si="5"/>
        <v>92996.61307174059</v>
      </c>
    </row>
    <row r="45" spans="1:19">
      <c r="A45" s="541">
        <f>'Monthly Data'!A45</f>
        <v>43678</v>
      </c>
      <c r="B45">
        <f t="shared" si="1"/>
        <v>2019</v>
      </c>
      <c r="C45">
        <f t="shared" si="2"/>
        <v>8</v>
      </c>
      <c r="D45" s="30">
        <f>'Monthly Data'!J45</f>
        <v>164027.82311039325</v>
      </c>
      <c r="E45" s="33">
        <f t="shared" ca="1" si="4"/>
        <v>54.974791666666668</v>
      </c>
      <c r="F45" s="33">
        <f t="shared" ca="1" si="4"/>
        <v>218.46562499999996</v>
      </c>
      <c r="G45" s="33">
        <f>'Monthly Data'!AQ45</f>
        <v>58.420833333333356</v>
      </c>
      <c r="H45" s="33">
        <f>'Monthly Data'!AZ45</f>
        <v>199.80416666666667</v>
      </c>
      <c r="I45" s="18">
        <f>'Monthly Data'!AD45</f>
        <v>807274.5</v>
      </c>
      <c r="J45" s="8">
        <f>'Monthly Data'!BU45</f>
        <v>31</v>
      </c>
      <c r="K45" s="30">
        <f>'Monthly Data'!BX45</f>
        <v>0</v>
      </c>
      <c r="M45" s="18"/>
      <c r="N45" s="18">
        <f ca="1">(E45-G45)*'GS&lt;50 Predicted Monthly'!$V$9</f>
        <v>-6498.7818466366525</v>
      </c>
      <c r="O45" s="18">
        <f ca="1">(F45-H45)*'GS&lt;50 Predicted Monthly'!$V$10</f>
        <v>69287.652015888772</v>
      </c>
      <c r="P45" s="18"/>
      <c r="Q45" s="18"/>
      <c r="R45" s="18"/>
      <c r="S45" s="20">
        <f t="shared" ca="1" si="5"/>
        <v>226816.69327964538</v>
      </c>
    </row>
    <row r="46" spans="1:19">
      <c r="A46" s="541">
        <f>'Monthly Data'!A46</f>
        <v>43709</v>
      </c>
      <c r="B46">
        <f t="shared" si="1"/>
        <v>2019</v>
      </c>
      <c r="C46">
        <f t="shared" si="2"/>
        <v>9</v>
      </c>
      <c r="D46" s="30">
        <f>'Monthly Data'!J46</f>
        <v>165831.07280039872</v>
      </c>
      <c r="E46" s="33">
        <f t="shared" ca="1" si="4"/>
        <v>166.50624999999999</v>
      </c>
      <c r="F46" s="33">
        <f t="shared" ca="1" si="4"/>
        <v>95.131249999999994</v>
      </c>
      <c r="G46" s="33">
        <f>'Monthly Data'!AQ46</f>
        <v>189.70000000000007</v>
      </c>
      <c r="H46" s="33">
        <f>'Monthly Data'!AZ46</f>
        <v>66.591666666666669</v>
      </c>
      <c r="I46" s="18">
        <f>'Monthly Data'!AD46</f>
        <v>807274.5</v>
      </c>
      <c r="J46" s="8">
        <f>'Monthly Data'!BU46</f>
        <v>30</v>
      </c>
      <c r="K46" s="30">
        <f>'Monthly Data'!BX46</f>
        <v>0</v>
      </c>
      <c r="M46" s="18"/>
      <c r="N46" s="18">
        <f ca="1">(E46-G46)*'GS&lt;50 Predicted Monthly'!$V$9</f>
        <v>-43740.365333780101</v>
      </c>
      <c r="O46" s="18">
        <f ca="1">(F46-H46)*'GS&lt;50 Predicted Monthly'!$V$10</f>
        <v>105963.89003244907</v>
      </c>
      <c r="P46" s="18"/>
      <c r="Q46" s="18"/>
      <c r="R46" s="18"/>
      <c r="S46" s="20">
        <f t="shared" ca="1" si="5"/>
        <v>228054.59749906769</v>
      </c>
    </row>
    <row r="47" spans="1:19">
      <c r="A47" s="541">
        <f>'Monthly Data'!A47</f>
        <v>43739</v>
      </c>
      <c r="B47">
        <f t="shared" si="1"/>
        <v>2019</v>
      </c>
      <c r="C47">
        <f t="shared" si="2"/>
        <v>10</v>
      </c>
      <c r="D47" s="30">
        <f>'Monthly Data'!J47</f>
        <v>167634.32249040419</v>
      </c>
      <c r="E47" s="33">
        <f t="shared" ca="1" si="4"/>
        <v>363.47645833333326</v>
      </c>
      <c r="F47" s="33">
        <f t="shared" ca="1" si="4"/>
        <v>21.813750000000006</v>
      </c>
      <c r="G47" s="33">
        <f>'Monthly Data'!AQ47</f>
        <v>396.53333333333319</v>
      </c>
      <c r="H47" s="33">
        <f>'Monthly Data'!AZ47</f>
        <v>0.59166666666666856</v>
      </c>
      <c r="I47" s="18">
        <f>'Monthly Data'!AD47</f>
        <v>807274.5</v>
      </c>
      <c r="J47" s="8">
        <f>'Monthly Data'!BU47</f>
        <v>31</v>
      </c>
      <c r="K47" s="30">
        <f>'Monthly Data'!BX47</f>
        <v>0</v>
      </c>
      <c r="M47" s="18"/>
      <c r="N47" s="18">
        <f ca="1">(E47-G47)*'GS&lt;50 Predicted Monthly'!$V$9</f>
        <v>-62340.923278602822</v>
      </c>
      <c r="O47" s="18">
        <f ca="1">(F47-H47)*'GS&lt;50 Predicted Monthly'!$V$10</f>
        <v>78794.931177790073</v>
      </c>
      <c r="P47" s="18"/>
      <c r="Q47" s="18"/>
      <c r="R47" s="18"/>
      <c r="S47" s="20">
        <f t="shared" ca="1" si="5"/>
        <v>184088.33038959143</v>
      </c>
    </row>
    <row r="48" spans="1:19">
      <c r="A48" s="541">
        <f>'Monthly Data'!A48</f>
        <v>43770</v>
      </c>
      <c r="B48">
        <f t="shared" si="1"/>
        <v>2019</v>
      </c>
      <c r="C48">
        <f t="shared" si="2"/>
        <v>11</v>
      </c>
      <c r="D48" s="30">
        <f>'Monthly Data'!J48</f>
        <v>169437.57218040962</v>
      </c>
      <c r="E48" s="33">
        <f t="shared" ca="1" si="4"/>
        <v>586.00395833333334</v>
      </c>
      <c r="F48" s="33">
        <f t="shared" ca="1" si="4"/>
        <v>2.2795833333333335</v>
      </c>
      <c r="G48" s="33">
        <f>'Monthly Data'!AQ48</f>
        <v>682.0916666666667</v>
      </c>
      <c r="H48" s="33">
        <f>'Monthly Data'!AZ48</f>
        <v>0</v>
      </c>
      <c r="I48" s="18">
        <f>'Monthly Data'!AD48</f>
        <v>807274.5</v>
      </c>
      <c r="J48" s="8">
        <f>'Monthly Data'!BU48</f>
        <v>30</v>
      </c>
      <c r="K48" s="30">
        <f>'Monthly Data'!BX48</f>
        <v>0</v>
      </c>
      <c r="M48" s="18"/>
      <c r="N48" s="18">
        <f ca="1">(E48-G48)*'GS&lt;50 Predicted Monthly'!$V$9</f>
        <v>-181208.79403225839</v>
      </c>
      <c r="O48" s="18">
        <f ca="1">(F48-H48)*'GS&lt;50 Predicted Monthly'!$V$10</f>
        <v>8463.8067357840573</v>
      </c>
      <c r="P48" s="18"/>
      <c r="Q48" s="18"/>
      <c r="R48" s="18"/>
      <c r="S48" s="20">
        <f t="shared" ca="1" si="5"/>
        <v>-3307.415116064707</v>
      </c>
    </row>
    <row r="49" spans="1:19">
      <c r="A49" s="541">
        <f>'Monthly Data'!A49</f>
        <v>43800</v>
      </c>
      <c r="B49">
        <f t="shared" si="1"/>
        <v>2019</v>
      </c>
      <c r="C49">
        <f t="shared" si="2"/>
        <v>12</v>
      </c>
      <c r="D49" s="30">
        <f>'Monthly Data'!J49</f>
        <v>30938448.821870416</v>
      </c>
      <c r="E49" s="33">
        <f t="shared" ca="1" si="4"/>
        <v>812.36333333333334</v>
      </c>
      <c r="F49" s="33">
        <f t="shared" ca="1" si="4"/>
        <v>0</v>
      </c>
      <c r="G49" s="33">
        <f>'Monthly Data'!AQ49</f>
        <v>811.69166666666661</v>
      </c>
      <c r="H49" s="33">
        <f>'Monthly Data'!AZ49</f>
        <v>0</v>
      </c>
      <c r="I49" s="18">
        <f>'Monthly Data'!AD49</f>
        <v>807274.5</v>
      </c>
      <c r="J49" s="8">
        <f>'Monthly Data'!BU49</f>
        <v>31</v>
      </c>
      <c r="K49" s="30">
        <f>'Monthly Data'!BX49</f>
        <v>0</v>
      </c>
      <c r="M49" s="18"/>
      <c r="N49" s="18">
        <f ca="1">(E49-G49)*'GS&lt;50 Predicted Monthly'!$V$9</f>
        <v>1266.6750905966185</v>
      </c>
      <c r="O49" s="18">
        <f ca="1">(F49-H49)*'GS&lt;50 Predicted Monthly'!$V$10</f>
        <v>0</v>
      </c>
      <c r="P49" s="18"/>
      <c r="Q49" s="18"/>
      <c r="R49" s="18"/>
      <c r="S49" s="20">
        <f t="shared" ca="1" si="5"/>
        <v>30939715.496961012</v>
      </c>
    </row>
    <row r="50" spans="1:19">
      <c r="A50" s="541">
        <f>'Monthly Data'!A50</f>
        <v>43831</v>
      </c>
      <c r="B50">
        <f t="shared" si="1"/>
        <v>2020</v>
      </c>
      <c r="C50">
        <f t="shared" si="2"/>
        <v>1</v>
      </c>
      <c r="D50" s="30">
        <f>'Monthly Data'!J50</f>
        <v>3010167.2574951407</v>
      </c>
      <c r="E50" s="33">
        <f t="shared" ca="1" si="4"/>
        <v>914.55166666666662</v>
      </c>
      <c r="F50" s="33">
        <f t="shared" ca="1" si="4"/>
        <v>0</v>
      </c>
      <c r="G50" s="33">
        <f>'Monthly Data'!AQ50</f>
        <v>851.48333333333335</v>
      </c>
      <c r="H50" s="33">
        <f>'Monthly Data'!AZ50</f>
        <v>0</v>
      </c>
      <c r="I50" s="18">
        <f>'Monthly Data'!AD50</f>
        <v>769942</v>
      </c>
      <c r="J50" s="8">
        <f>'Monthly Data'!BU50</f>
        <v>31</v>
      </c>
      <c r="K50" s="30">
        <f>'Monthly Data'!BX50</f>
        <v>0</v>
      </c>
      <c r="M50" s="18"/>
      <c r="N50" s="18">
        <f ca="1">(E50-G50)*'GS&lt;50 Predicted Monthly'!$V$9</f>
        <v>118938.59082695162</v>
      </c>
      <c r="O50" s="18">
        <f ca="1">(F50-H50)*'GS&lt;50 Predicted Monthly'!$V$10</f>
        <v>0</v>
      </c>
      <c r="P50" s="18"/>
      <c r="Q50" s="18"/>
      <c r="R50" s="18"/>
      <c r="S50" s="20">
        <f t="shared" ca="1" si="5"/>
        <v>3129105.8483220921</v>
      </c>
    </row>
    <row r="51" spans="1:19">
      <c r="A51" s="541">
        <f>'Monthly Data'!A51</f>
        <v>43862</v>
      </c>
      <c r="B51">
        <f t="shared" si="1"/>
        <v>2020</v>
      </c>
      <c r="C51">
        <f t="shared" si="2"/>
        <v>2</v>
      </c>
      <c r="D51" s="30">
        <f>'Monthly Data'!J51</f>
        <v>2813125.8986844411</v>
      </c>
      <c r="E51" s="33">
        <f t="shared" ca="1" si="4"/>
        <v>803.82854166666664</v>
      </c>
      <c r="F51" s="33">
        <f t="shared" ca="1" si="4"/>
        <v>0</v>
      </c>
      <c r="G51" s="33">
        <f>'Monthly Data'!AQ51</f>
        <v>804.35833333333335</v>
      </c>
      <c r="H51" s="33">
        <f>'Monthly Data'!AZ51</f>
        <v>0</v>
      </c>
      <c r="I51" s="18">
        <f>'Monthly Data'!AD51</f>
        <v>769942</v>
      </c>
      <c r="J51" s="8">
        <f>'Monthly Data'!BU51</f>
        <v>28</v>
      </c>
      <c r="K51" s="30">
        <f>'Monthly Data'!BX51</f>
        <v>0</v>
      </c>
      <c r="M51" s="18"/>
      <c r="N51" s="18">
        <f ca="1">(E51-G51)*'GS&lt;50 Predicted Monthly'!$V$9</f>
        <v>-999.11747995878602</v>
      </c>
      <c r="O51" s="18">
        <f ca="1">(F51-H51)*'GS&lt;50 Predicted Monthly'!$V$10</f>
        <v>0</v>
      </c>
      <c r="P51" s="18"/>
      <c r="Q51" s="18"/>
      <c r="R51" s="18"/>
      <c r="S51" s="20">
        <f t="shared" ca="1" si="5"/>
        <v>2812126.7812044825</v>
      </c>
    </row>
    <row r="52" spans="1:19">
      <c r="A52" s="541">
        <f>'Monthly Data'!A52</f>
        <v>43891</v>
      </c>
      <c r="B52">
        <f t="shared" si="1"/>
        <v>2020</v>
      </c>
      <c r="C52">
        <f t="shared" si="2"/>
        <v>3</v>
      </c>
      <c r="D52" s="30">
        <f>'Monthly Data'!J52</f>
        <v>2549801.539873742</v>
      </c>
      <c r="E52" s="33">
        <f t="shared" ca="1" si="4"/>
        <v>698.29604166666672</v>
      </c>
      <c r="F52" s="33">
        <f t="shared" ca="1" si="4"/>
        <v>0</v>
      </c>
      <c r="G52" s="33">
        <f>'Monthly Data'!AQ52</f>
        <v>659.47500000000002</v>
      </c>
      <c r="H52" s="33">
        <f>'Monthly Data'!AZ52</f>
        <v>0</v>
      </c>
      <c r="I52" s="18">
        <f>'Monthly Data'!AD52</f>
        <v>769942</v>
      </c>
      <c r="J52" s="8">
        <f>'Monthly Data'!BU52</f>
        <v>31</v>
      </c>
      <c r="K52" s="30">
        <f>'Monthly Data'!BX52</f>
        <v>0.5</v>
      </c>
      <c r="M52" s="18"/>
      <c r="N52" s="18">
        <f ca="1">(E52-G52)*'GS&lt;50 Predicted Monthly'!$V$9</f>
        <v>73211.384322841084</v>
      </c>
      <c r="O52" s="18">
        <f ca="1">(F52-H52)*'GS&lt;50 Predicted Monthly'!$V$10</f>
        <v>0</v>
      </c>
      <c r="P52" s="18"/>
      <c r="Q52" s="18"/>
      <c r="R52" s="18"/>
      <c r="S52" s="20">
        <f t="shared" ca="1" si="5"/>
        <v>2623012.9241965832</v>
      </c>
    </row>
    <row r="53" spans="1:19">
      <c r="A53" s="541">
        <f>'Monthly Data'!A53</f>
        <v>43922</v>
      </c>
      <c r="B53">
        <f t="shared" si="1"/>
        <v>2020</v>
      </c>
      <c r="C53">
        <f t="shared" si="2"/>
        <v>4</v>
      </c>
      <c r="D53" s="30">
        <f>'Monthly Data'!J53</f>
        <v>2013068.1810630427</v>
      </c>
      <c r="E53" s="33">
        <f t="shared" ca="1" si="4"/>
        <v>468.60374999999993</v>
      </c>
      <c r="F53" s="33">
        <f t="shared" ca="1" si="4"/>
        <v>2.8104166666666677</v>
      </c>
      <c r="G53" s="33">
        <f>'Monthly Data'!AQ53</f>
        <v>492.17083333333346</v>
      </c>
      <c r="H53" s="33">
        <f>'Monthly Data'!AZ53</f>
        <v>0</v>
      </c>
      <c r="I53" s="18">
        <f>'Monthly Data'!AD53</f>
        <v>769942</v>
      </c>
      <c r="J53" s="8">
        <f>'Monthly Data'!BU53</f>
        <v>30</v>
      </c>
      <c r="K53" s="30">
        <f>'Monthly Data'!BX53</f>
        <v>1</v>
      </c>
      <c r="M53" s="18"/>
      <c r="N53" s="18">
        <f ca="1">(E53-G53)*'GS&lt;50 Predicted Monthly'!$V$9</f>
        <v>-44444.422952374895</v>
      </c>
      <c r="O53" s="18">
        <f ca="1">(F53-H53)*'GS&lt;50 Predicted Monthly'!$V$10</f>
        <v>10434.724261170442</v>
      </c>
      <c r="P53" s="18"/>
      <c r="Q53" s="18"/>
      <c r="R53" s="18"/>
      <c r="S53" s="20">
        <f t="shared" ca="1" si="5"/>
        <v>1979058.4823718383</v>
      </c>
    </row>
    <row r="54" spans="1:19">
      <c r="A54" s="541">
        <f>'Monthly Data'!A54</f>
        <v>43952</v>
      </c>
      <c r="B54">
        <f t="shared" si="1"/>
        <v>2020</v>
      </c>
      <c r="C54">
        <f t="shared" si="2"/>
        <v>5</v>
      </c>
      <c r="D54" s="30">
        <f>'Monthly Data'!J54</f>
        <v>1942219.8222523434</v>
      </c>
      <c r="E54" s="33">
        <f t="shared" ref="E54:F73" ca="1" si="6">E42</f>
        <v>232.88687500000006</v>
      </c>
      <c r="F54" s="33">
        <f t="shared" ca="1" si="6"/>
        <v>74.673124999999999</v>
      </c>
      <c r="G54" s="33">
        <f>'Monthly Data'!AQ54</f>
        <v>278.21250000000003</v>
      </c>
      <c r="H54" s="33">
        <f>'Monthly Data'!AZ54</f>
        <v>84.133333333333326</v>
      </c>
      <c r="I54" s="18">
        <f>'Monthly Data'!AD54</f>
        <v>769942</v>
      </c>
      <c r="J54" s="8">
        <f>'Monthly Data'!BU54</f>
        <v>31</v>
      </c>
      <c r="K54" s="30">
        <f>'Monthly Data'!BX54</f>
        <v>1</v>
      </c>
      <c r="M54" s="18"/>
      <c r="N54" s="18">
        <f ca="1">(E54-G54)*'GS&lt;50 Predicted Monthly'!$V$9</f>
        <v>-85478.173925385447</v>
      </c>
      <c r="O54" s="18">
        <f ca="1">(F54-H54)*'GS&lt;50 Predicted Monthly'!$V$10</f>
        <v>-35124.565898850116</v>
      </c>
      <c r="P54" s="18"/>
      <c r="Q54" s="18"/>
      <c r="R54" s="18"/>
      <c r="S54" s="20">
        <f t="shared" ca="1" si="5"/>
        <v>1821617.082428108</v>
      </c>
    </row>
    <row r="55" spans="1:19">
      <c r="A55" s="541">
        <f>'Monthly Data'!A55</f>
        <v>43983</v>
      </c>
      <c r="B55">
        <f t="shared" si="1"/>
        <v>2020</v>
      </c>
      <c r="C55">
        <f t="shared" si="2"/>
        <v>6</v>
      </c>
      <c r="D55" s="30">
        <f>'Monthly Data'!J55</f>
        <v>2049006.4634416441</v>
      </c>
      <c r="E55" s="33">
        <f t="shared" ca="1" si="6"/>
        <v>92.751249999999999</v>
      </c>
      <c r="F55" s="33">
        <f t="shared" ca="1" si="6"/>
        <v>169.78833333333333</v>
      </c>
      <c r="G55" s="33">
        <f>'Monthly Data'!AQ55</f>
        <v>92.391666666666652</v>
      </c>
      <c r="H55" s="33">
        <f>'Monthly Data'!AZ55</f>
        <v>179.51249999999999</v>
      </c>
      <c r="I55" s="18">
        <f>'Monthly Data'!AD55</f>
        <v>769942</v>
      </c>
      <c r="J55" s="8">
        <f>'Monthly Data'!BU55</f>
        <v>30</v>
      </c>
      <c r="K55" s="30">
        <f>'Monthly Data'!BX55</f>
        <v>0.5</v>
      </c>
      <c r="M55" s="18"/>
      <c r="N55" s="18">
        <f ca="1">(E55-G55)*'GS&lt;50 Predicted Monthly'!$V$9</f>
        <v>678.12692505261066</v>
      </c>
      <c r="O55" s="18">
        <f ca="1">(F55-H55)*'GS&lt;50 Predicted Monthly'!$V$10</f>
        <v>-36104.61005295709</v>
      </c>
      <c r="P55" s="18"/>
      <c r="Q55" s="18"/>
      <c r="R55" s="18"/>
      <c r="S55" s="20">
        <f t="shared" ca="1" si="5"/>
        <v>2013579.9803137395</v>
      </c>
    </row>
    <row r="56" spans="1:19">
      <c r="A56" s="541">
        <f>'Monthly Data'!A56</f>
        <v>44013</v>
      </c>
      <c r="B56">
        <f t="shared" si="1"/>
        <v>2020</v>
      </c>
      <c r="C56">
        <f t="shared" si="2"/>
        <v>7</v>
      </c>
      <c r="D56" s="30">
        <f>'Monthly Data'!J56</f>
        <v>2479208.1046309448</v>
      </c>
      <c r="E56" s="33">
        <f t="shared" ca="1" si="6"/>
        <v>25.464999999999996</v>
      </c>
      <c r="F56" s="33">
        <f t="shared" ca="1" si="6"/>
        <v>265.99625000000003</v>
      </c>
      <c r="G56" s="33">
        <f>'Monthly Data'!AQ56</f>
        <v>3.850000000000005</v>
      </c>
      <c r="H56" s="33">
        <f>'Monthly Data'!AZ56</f>
        <v>321.12500000000011</v>
      </c>
      <c r="I56" s="18">
        <f>'Monthly Data'!AD56</f>
        <v>769942</v>
      </c>
      <c r="J56" s="8">
        <f>'Monthly Data'!BU56</f>
        <v>31</v>
      </c>
      <c r="K56" s="30">
        <f>'Monthly Data'!BX56</f>
        <v>0.5</v>
      </c>
      <c r="M56" s="18"/>
      <c r="N56" s="18">
        <f ca="1">(E56-G56)*'GS&lt;50 Predicted Monthly'!$V$9</f>
        <v>40763.050248004452</v>
      </c>
      <c r="O56" s="18">
        <f ca="1">(F56-H56)*'GS&lt;50 Predicted Monthly'!$V$10</f>
        <v>-204686.12783857694</v>
      </c>
      <c r="P56" s="18"/>
      <c r="Q56" s="18"/>
      <c r="R56" s="18"/>
      <c r="S56" s="20">
        <f t="shared" ca="1" si="5"/>
        <v>2315285.0270403721</v>
      </c>
    </row>
    <row r="57" spans="1:19">
      <c r="A57" s="541">
        <f>'Monthly Data'!A57</f>
        <v>44044</v>
      </c>
      <c r="B57">
        <f t="shared" si="1"/>
        <v>2020</v>
      </c>
      <c r="C57">
        <f t="shared" si="2"/>
        <v>8</v>
      </c>
      <c r="D57" s="30">
        <f>'Monthly Data'!J57</f>
        <v>2169068.7458202457</v>
      </c>
      <c r="E57" s="33">
        <f t="shared" ca="1" si="6"/>
        <v>54.974791666666668</v>
      </c>
      <c r="F57" s="33">
        <f t="shared" ca="1" si="6"/>
        <v>218.46562499999996</v>
      </c>
      <c r="G57" s="33">
        <f>'Monthly Data'!AQ57</f>
        <v>79.675000000000011</v>
      </c>
      <c r="H57" s="33">
        <f>'Monthly Data'!AZ57</f>
        <v>178.70833333333334</v>
      </c>
      <c r="I57" s="18">
        <f>'Monthly Data'!AD57</f>
        <v>769942</v>
      </c>
      <c r="J57" s="8">
        <f>'Monthly Data'!BU57</f>
        <v>31</v>
      </c>
      <c r="K57" s="30">
        <f>'Monthly Data'!BX57</f>
        <v>0.5</v>
      </c>
      <c r="M57" s="18"/>
      <c r="N57" s="18">
        <f ca="1">(E57-G57)*'GS&lt;50 Predicted Monthly'!$V$9</f>
        <v>-46581.347833811975</v>
      </c>
      <c r="O57" s="18">
        <f ca="1">(F57-H57)*'GS&lt;50 Predicted Monthly'!$V$10</f>
        <v>147613.8327932141</v>
      </c>
      <c r="P57" s="18"/>
      <c r="Q57" s="18"/>
      <c r="R57" s="18"/>
      <c r="S57" s="20">
        <f t="shared" ca="1" si="5"/>
        <v>2270101.2307796478</v>
      </c>
    </row>
    <row r="58" spans="1:19">
      <c r="A58" s="541">
        <f>'Monthly Data'!A58</f>
        <v>44075</v>
      </c>
      <c r="B58">
        <f t="shared" si="1"/>
        <v>2020</v>
      </c>
      <c r="C58">
        <f t="shared" si="2"/>
        <v>9</v>
      </c>
      <c r="D58" s="30">
        <f>'Monthly Data'!J58</f>
        <v>1937707.3870095464</v>
      </c>
      <c r="E58" s="33">
        <f t="shared" ca="1" si="6"/>
        <v>166.50624999999999</v>
      </c>
      <c r="F58" s="33">
        <f t="shared" ca="1" si="6"/>
        <v>95.131249999999994</v>
      </c>
      <c r="G58" s="33">
        <f>'Monthly Data'!AQ58</f>
        <v>206.67499999999998</v>
      </c>
      <c r="H58" s="33">
        <f>'Monthly Data'!AZ58</f>
        <v>68.32916666666668</v>
      </c>
      <c r="I58" s="18">
        <f>'Monthly Data'!AD58</f>
        <v>769942</v>
      </c>
      <c r="J58" s="8">
        <f>'Monthly Data'!BU58</f>
        <v>30</v>
      </c>
      <c r="K58" s="30">
        <f>'Monthly Data'!BX58</f>
        <v>0.5</v>
      </c>
      <c r="M58" s="18"/>
      <c r="N58" s="18">
        <f ca="1">(E58-G58)*'GS&lt;50 Predicted Monthly'!$V$9</f>
        <v>-75752.98517925186</v>
      </c>
      <c r="O58" s="18">
        <f ca="1">(F58-H58)*'GS&lt;50 Predicted Monthly'!$V$10</f>
        <v>99512.770659716523</v>
      </c>
      <c r="P58" s="18"/>
      <c r="Q58" s="18"/>
      <c r="R58" s="18"/>
      <c r="S58" s="20">
        <f t="shared" ca="1" si="5"/>
        <v>1961467.1724900112</v>
      </c>
    </row>
    <row r="59" spans="1:19">
      <c r="A59" s="541">
        <f>'Monthly Data'!A59</f>
        <v>44105</v>
      </c>
      <c r="B59">
        <f t="shared" si="1"/>
        <v>2020</v>
      </c>
      <c r="C59">
        <f t="shared" si="2"/>
        <v>10</v>
      </c>
      <c r="D59" s="30">
        <f>'Monthly Data'!J59</f>
        <v>2079800.0281988471</v>
      </c>
      <c r="E59" s="33">
        <f t="shared" ca="1" si="6"/>
        <v>363.47645833333326</v>
      </c>
      <c r="F59" s="33">
        <f t="shared" ca="1" si="6"/>
        <v>21.813750000000006</v>
      </c>
      <c r="G59" s="33">
        <f>'Monthly Data'!AQ59</f>
        <v>432.26666666666665</v>
      </c>
      <c r="H59" s="33">
        <f>'Monthly Data'!AZ59</f>
        <v>4.1500000000000021</v>
      </c>
      <c r="I59" s="18">
        <f>'Monthly Data'!AD59</f>
        <v>769942</v>
      </c>
      <c r="J59" s="8">
        <f>'Monthly Data'!BU59</f>
        <v>31</v>
      </c>
      <c r="K59" s="30">
        <f>'Monthly Data'!BX59</f>
        <v>0.5</v>
      </c>
      <c r="M59" s="18"/>
      <c r="N59" s="18">
        <f ca="1">(E59-G59)*'GS&lt;50 Predicted Monthly'!$V$9</f>
        <v>-129729.29534408351</v>
      </c>
      <c r="O59" s="18">
        <f ca="1">(F59-H59)*'GS&lt;50 Predicted Monthly'!$V$10</f>
        <v>65583.286227397854</v>
      </c>
      <c r="P59" s="18"/>
      <c r="Q59" s="18"/>
      <c r="R59" s="18"/>
      <c r="S59" s="20">
        <f t="shared" ca="1" si="5"/>
        <v>2015654.0190821614</v>
      </c>
    </row>
    <row r="60" spans="1:19">
      <c r="A60" s="541">
        <f>'Monthly Data'!A60</f>
        <v>44136</v>
      </c>
      <c r="B60">
        <f t="shared" si="1"/>
        <v>2020</v>
      </c>
      <c r="C60">
        <f t="shared" si="2"/>
        <v>11</v>
      </c>
      <c r="D60" s="30">
        <f>'Monthly Data'!J60</f>
        <v>2308536.669388148</v>
      </c>
      <c r="E60" s="33">
        <f t="shared" ca="1" si="6"/>
        <v>586.00395833333334</v>
      </c>
      <c r="F60" s="33">
        <f t="shared" ca="1" si="6"/>
        <v>2.2795833333333335</v>
      </c>
      <c r="G60" s="33">
        <f>'Monthly Data'!AQ60</f>
        <v>513.82916666666665</v>
      </c>
      <c r="H60" s="33">
        <f>'Monthly Data'!AZ60</f>
        <v>5.0749999999999975</v>
      </c>
      <c r="I60" s="18">
        <f>'Monthly Data'!AD60</f>
        <v>769942</v>
      </c>
      <c r="J60" s="8">
        <f>'Monthly Data'!BU60</f>
        <v>30</v>
      </c>
      <c r="K60" s="30">
        <f>'Monthly Data'!BX60</f>
        <v>0.5</v>
      </c>
      <c r="M60" s="18"/>
      <c r="N60" s="18">
        <f ca="1">(E60-G60)*'GS&lt;50 Predicted Monthly'!$V$9</f>
        <v>136112.17484837328</v>
      </c>
      <c r="O60" s="18">
        <f ca="1">(F60-H60)*'GS&lt;50 Predicted Monthly'!$V$10</f>
        <v>-10379.031144283528</v>
      </c>
      <c r="P60" s="18"/>
      <c r="Q60" s="18"/>
      <c r="R60" s="18"/>
      <c r="S60" s="20">
        <f t="shared" ca="1" si="5"/>
        <v>2434269.8130922373</v>
      </c>
    </row>
    <row r="61" spans="1:19">
      <c r="A61" s="541">
        <f>'Monthly Data'!A61</f>
        <v>44166</v>
      </c>
      <c r="B61">
        <f t="shared" si="1"/>
        <v>2020</v>
      </c>
      <c r="C61">
        <f t="shared" si="2"/>
        <v>12</v>
      </c>
      <c r="D61" s="30">
        <f>'Monthly Data'!J61</f>
        <v>2757605.3105774485</v>
      </c>
      <c r="E61" s="33">
        <f t="shared" ca="1" si="6"/>
        <v>812.36333333333334</v>
      </c>
      <c r="F61" s="33">
        <f t="shared" ca="1" si="6"/>
        <v>0</v>
      </c>
      <c r="G61" s="33">
        <f>'Monthly Data'!AQ61</f>
        <v>775.91666666666674</v>
      </c>
      <c r="H61" s="33">
        <f>'Monthly Data'!AZ61</f>
        <v>0</v>
      </c>
      <c r="I61" s="18">
        <f>'Monthly Data'!AD61</f>
        <v>769942</v>
      </c>
      <c r="J61" s="8">
        <f>'Monthly Data'!BU61</f>
        <v>31</v>
      </c>
      <c r="K61" s="30">
        <f>'Monthly Data'!BX61</f>
        <v>0.5</v>
      </c>
      <c r="M61" s="18"/>
      <c r="N61" s="18">
        <f ca="1">(E61-G61)*'GS&lt;50 Predicted Monthly'!$V$9</f>
        <v>68733.625015294951</v>
      </c>
      <c r="O61" s="18">
        <f ca="1">(F61-H61)*'GS&lt;50 Predicted Monthly'!$V$10</f>
        <v>0</v>
      </c>
      <c r="P61" s="18"/>
      <c r="Q61" s="18"/>
      <c r="R61" s="18"/>
      <c r="S61" s="20">
        <f t="shared" ca="1" si="5"/>
        <v>2826338.9355927436</v>
      </c>
    </row>
    <row r="62" spans="1:19">
      <c r="A62" s="541">
        <f>'Monthly Data'!A62</f>
        <v>44197</v>
      </c>
      <c r="B62">
        <f t="shared" si="1"/>
        <v>2021</v>
      </c>
      <c r="C62">
        <f t="shared" si="2"/>
        <v>1</v>
      </c>
      <c r="D62" s="30">
        <f>'Monthly Data'!J62</f>
        <v>2771093.6241201404</v>
      </c>
      <c r="E62" s="33">
        <f t="shared" ca="1" si="6"/>
        <v>914.55166666666662</v>
      </c>
      <c r="F62" s="33">
        <f t="shared" ca="1" si="6"/>
        <v>0</v>
      </c>
      <c r="G62" s="33">
        <f>'Monthly Data'!AQ62</f>
        <v>852.97499999999991</v>
      </c>
      <c r="H62" s="33">
        <f>'Monthly Data'!AZ62</f>
        <v>0</v>
      </c>
      <c r="I62" s="18">
        <f>'Monthly Data'!AD62</f>
        <v>817265.5</v>
      </c>
      <c r="J62" s="8">
        <f>'Monthly Data'!BU62</f>
        <v>31</v>
      </c>
      <c r="K62" s="30">
        <f>'Monthly Data'!BX62</f>
        <v>0.5</v>
      </c>
      <c r="M62" s="18"/>
      <c r="N62" s="18">
        <f ca="1">(E62-G62)*'GS&lt;50 Predicted Monthly'!$V$9</f>
        <v>116125.50346694226</v>
      </c>
      <c r="O62" s="18">
        <f ca="1">(F62-H62)*'GS&lt;50 Predicted Monthly'!$V$10</f>
        <v>0</v>
      </c>
      <c r="P62" s="18"/>
      <c r="Q62" s="18"/>
      <c r="R62" s="18"/>
      <c r="S62" s="20">
        <f t="shared" ca="1" si="5"/>
        <v>2887219.1275870828</v>
      </c>
    </row>
    <row r="63" spans="1:19">
      <c r="A63" s="541">
        <f>'Monthly Data'!A63</f>
        <v>44228</v>
      </c>
      <c r="B63">
        <f t="shared" si="1"/>
        <v>2021</v>
      </c>
      <c r="C63">
        <f t="shared" si="2"/>
        <v>2</v>
      </c>
      <c r="D63" s="30">
        <f>'Monthly Data'!J63</f>
        <v>2684641.5361313201</v>
      </c>
      <c r="E63" s="33">
        <f t="shared" ca="1" si="6"/>
        <v>803.82854166666664</v>
      </c>
      <c r="F63" s="33">
        <f t="shared" ca="1" si="6"/>
        <v>0</v>
      </c>
      <c r="G63" s="33">
        <f>'Monthly Data'!AQ63</f>
        <v>819.91666666666652</v>
      </c>
      <c r="H63" s="33">
        <f>'Monthly Data'!AZ63</f>
        <v>0</v>
      </c>
      <c r="I63" s="18">
        <f>'Monthly Data'!AD63</f>
        <v>817265.5</v>
      </c>
      <c r="J63" s="8">
        <f>'Monthly Data'!BU63</f>
        <v>28</v>
      </c>
      <c r="K63" s="30">
        <f>'Monthly Data'!BX63</f>
        <v>0.5</v>
      </c>
      <c r="M63" s="18"/>
      <c r="N63" s="18">
        <f ca="1">(E63-G63)*'GS&lt;50 Predicted Monthly'!$V$9</f>
        <v>-30340.090112013506</v>
      </c>
      <c r="O63" s="18">
        <f ca="1">(F63-H63)*'GS&lt;50 Predicted Monthly'!$V$10</f>
        <v>0</v>
      </c>
      <c r="P63" s="18"/>
      <c r="Q63" s="18"/>
      <c r="R63" s="18"/>
      <c r="S63" s="20">
        <f t="shared" ca="1" si="5"/>
        <v>2654301.4460193068</v>
      </c>
    </row>
    <row r="64" spans="1:19">
      <c r="A64" s="541">
        <f>'Monthly Data'!A64</f>
        <v>44256</v>
      </c>
      <c r="B64">
        <f t="shared" si="1"/>
        <v>2021</v>
      </c>
      <c r="C64">
        <f t="shared" si="2"/>
        <v>3</v>
      </c>
      <c r="D64" s="30">
        <f>'Monthly Data'!J64</f>
        <v>2687386.4481424992</v>
      </c>
      <c r="E64" s="33">
        <f t="shared" ca="1" si="6"/>
        <v>698.29604166666672</v>
      </c>
      <c r="F64" s="33">
        <f t="shared" ca="1" si="6"/>
        <v>0</v>
      </c>
      <c r="G64" s="33">
        <f>'Monthly Data'!AQ64</f>
        <v>651.65416666666704</v>
      </c>
      <c r="H64" s="33">
        <f>'Monthly Data'!AZ64</f>
        <v>0</v>
      </c>
      <c r="I64" s="18">
        <f>'Monthly Data'!AD64</f>
        <v>817265.5</v>
      </c>
      <c r="J64" s="8">
        <f>'Monthly Data'!BU64</f>
        <v>31</v>
      </c>
      <c r="K64" s="30">
        <f>'Monthly Data'!BX64</f>
        <v>0.5</v>
      </c>
      <c r="M64" s="18"/>
      <c r="N64" s="18">
        <f ca="1">(E64-G64)*'GS&lt;50 Predicted Monthly'!$V$9</f>
        <v>87960.448498086087</v>
      </c>
      <c r="O64" s="18">
        <f ca="1">(F64-H64)*'GS&lt;50 Predicted Monthly'!$V$10</f>
        <v>0</v>
      </c>
      <c r="P64" s="18"/>
      <c r="Q64" s="18"/>
      <c r="R64" s="18"/>
      <c r="S64" s="20">
        <f t="shared" ca="1" si="5"/>
        <v>2775346.8966405853</v>
      </c>
    </row>
    <row r="65" spans="1:19">
      <c r="A65" s="541">
        <f>'Monthly Data'!A65</f>
        <v>44287</v>
      </c>
      <c r="B65">
        <f t="shared" si="1"/>
        <v>2021</v>
      </c>
      <c r="C65">
        <f t="shared" si="2"/>
        <v>4</v>
      </c>
      <c r="D65" s="30">
        <f>'Monthly Data'!J65</f>
        <v>2030798.3601536788</v>
      </c>
      <c r="E65" s="33">
        <f t="shared" ca="1" si="6"/>
        <v>468.60374999999993</v>
      </c>
      <c r="F65" s="33">
        <f t="shared" ca="1" si="6"/>
        <v>2.8104166666666677</v>
      </c>
      <c r="G65" s="33">
        <f>'Monthly Data'!AQ65</f>
        <v>381.19583333333338</v>
      </c>
      <c r="H65" s="33">
        <f>'Monthly Data'!AZ65</f>
        <v>9.0875000000000004</v>
      </c>
      <c r="I65" s="18">
        <f>'Monthly Data'!AD65</f>
        <v>817265.5</v>
      </c>
      <c r="J65" s="8">
        <f>'Monthly Data'!BU65</f>
        <v>30</v>
      </c>
      <c r="K65" s="30">
        <f>'Monthly Data'!BX65</f>
        <v>0.5</v>
      </c>
      <c r="M65" s="18"/>
      <c r="N65" s="18">
        <f ca="1">(E65-G65)*'GS&lt;50 Predicted Monthly'!$V$9</f>
        <v>164839.84728923044</v>
      </c>
      <c r="O65" s="18">
        <f ca="1">(F65-H65)*'GS&lt;50 Predicted Monthly'!$V$10</f>
        <v>-23306.022386142718</v>
      </c>
      <c r="P65" s="18"/>
      <c r="Q65" s="18"/>
      <c r="R65" s="18"/>
      <c r="S65" s="20">
        <f t="shared" ca="1" si="5"/>
        <v>2172332.185056767</v>
      </c>
    </row>
    <row r="66" spans="1:19">
      <c r="A66" s="541">
        <f>'Monthly Data'!A66</f>
        <v>44317</v>
      </c>
      <c r="B66">
        <f t="shared" si="1"/>
        <v>2021</v>
      </c>
      <c r="C66">
        <f t="shared" si="2"/>
        <v>5</v>
      </c>
      <c r="D66" s="30">
        <f>'Monthly Data'!J66</f>
        <v>2061848.2721648582</v>
      </c>
      <c r="E66" s="33">
        <f t="shared" ca="1" si="6"/>
        <v>232.88687500000006</v>
      </c>
      <c r="F66" s="33">
        <f t="shared" ca="1" si="6"/>
        <v>74.673124999999999</v>
      </c>
      <c r="G66" s="33">
        <f>'Monthly Data'!AQ66</f>
        <v>251.67499999999995</v>
      </c>
      <c r="H66" s="33">
        <f>'Monthly Data'!AZ66</f>
        <v>79.041666666666686</v>
      </c>
      <c r="I66" s="18">
        <f>'Monthly Data'!AD66</f>
        <v>817265.5</v>
      </c>
      <c r="J66" s="8">
        <f>'Monthly Data'!BU66</f>
        <v>31</v>
      </c>
      <c r="K66" s="30">
        <f>'Monthly Data'!BX66</f>
        <v>0.5</v>
      </c>
      <c r="M66" s="18"/>
      <c r="N66" s="18">
        <f ca="1">(E66-G66)*'GS&lt;50 Predicted Monthly'!$V$9</f>
        <v>-35431.935389349281</v>
      </c>
      <c r="O66" s="18">
        <f ca="1">(F66-H66)*'GS&lt;50 Predicted Monthly'!$V$10</f>
        <v>-16219.846777797178</v>
      </c>
      <c r="P66" s="18"/>
      <c r="Q66" s="18"/>
      <c r="R66" s="18"/>
      <c r="S66" s="20">
        <f t="shared" ref="S66:S97" ca="1" si="7">D66+N66+O66</f>
        <v>2010196.4899977117</v>
      </c>
    </row>
    <row r="67" spans="1:19">
      <c r="A67" s="541">
        <f>'Monthly Data'!A67</f>
        <v>44348</v>
      </c>
      <c r="B67">
        <f t="shared" si="1"/>
        <v>2021</v>
      </c>
      <c r="C67">
        <f t="shared" si="2"/>
        <v>6</v>
      </c>
      <c r="D67" s="30">
        <f>'Monthly Data'!J67</f>
        <v>2202367.1841760376</v>
      </c>
      <c r="E67" s="33">
        <f t="shared" ca="1" si="6"/>
        <v>92.751249999999999</v>
      </c>
      <c r="F67" s="33">
        <f t="shared" ca="1" si="6"/>
        <v>169.78833333333333</v>
      </c>
      <c r="G67" s="33">
        <f>'Monthly Data'!AQ67</f>
        <v>55.149999999999991</v>
      </c>
      <c r="H67" s="33">
        <f>'Monthly Data'!AZ67</f>
        <v>216.09166666666664</v>
      </c>
      <c r="I67" s="18">
        <f>'Monthly Data'!AD67</f>
        <v>817265.5</v>
      </c>
      <c r="J67" s="8">
        <f>'Monthly Data'!BU67</f>
        <v>30</v>
      </c>
      <c r="K67" s="30">
        <f>'Monthly Data'!BX67</f>
        <v>0.5</v>
      </c>
      <c r="M67" s="18"/>
      <c r="N67" s="18">
        <f ca="1">(E67-G67)*'GS&lt;50 Predicted Monthly'!$V$9</f>
        <v>70911.017494229862</v>
      </c>
      <c r="O67" s="18">
        <f ca="1">(F67-H67)*'GS&lt;50 Predicted Monthly'!$V$10</f>
        <v>-171918.46370575952</v>
      </c>
      <c r="P67" s="18"/>
      <c r="Q67" s="18"/>
      <c r="R67" s="18"/>
      <c r="S67" s="20">
        <f t="shared" ca="1" si="7"/>
        <v>2101359.7379645081</v>
      </c>
    </row>
    <row r="68" spans="1:19">
      <c r="A68" s="541">
        <f>'Monthly Data'!A68</f>
        <v>44378</v>
      </c>
      <c r="B68">
        <f t="shared" ref="B68:B127" si="8">YEAR(A68)</f>
        <v>2021</v>
      </c>
      <c r="C68">
        <f t="shared" ref="C68:C127" si="9">MONTH(A68)</f>
        <v>7</v>
      </c>
      <c r="D68" s="30">
        <f>'Monthly Data'!J68</f>
        <v>2304019.0961872172</v>
      </c>
      <c r="E68" s="33">
        <f t="shared" ca="1" si="6"/>
        <v>25.464999999999996</v>
      </c>
      <c r="F68" s="33">
        <f t="shared" ca="1" si="6"/>
        <v>265.99625000000003</v>
      </c>
      <c r="G68" s="33">
        <f>'Monthly Data'!AQ68</f>
        <v>58.799999999999976</v>
      </c>
      <c r="H68" s="33">
        <f>'Monthly Data'!AZ68</f>
        <v>205.77500000000006</v>
      </c>
      <c r="I68" s="18">
        <f>'Monthly Data'!AD68</f>
        <v>817265.5</v>
      </c>
      <c r="J68" s="8">
        <f>'Monthly Data'!BU68</f>
        <v>31</v>
      </c>
      <c r="K68" s="30">
        <f>'Monthly Data'!BX68</f>
        <v>0.5</v>
      </c>
      <c r="M68" s="18"/>
      <c r="N68" s="18">
        <f ca="1">(E68-G68)*'GS&lt;50 Predicted Monthly'!$V$9</f>
        <v>-62865.43048888402</v>
      </c>
      <c r="O68" s="18">
        <f ca="1">(F68-H68)*'GS&lt;50 Predicted Monthly'!$V$10</f>
        <v>223593.94102167885</v>
      </c>
      <c r="P68" s="18"/>
      <c r="Q68" s="18"/>
      <c r="R68" s="18"/>
      <c r="S68" s="20">
        <f t="shared" ca="1" si="7"/>
        <v>2464747.6067200121</v>
      </c>
    </row>
    <row r="69" spans="1:19">
      <c r="A69" s="541">
        <f>'Monthly Data'!A69</f>
        <v>44409</v>
      </c>
      <c r="B69">
        <f t="shared" si="8"/>
        <v>2021</v>
      </c>
      <c r="C69">
        <f t="shared" si="9"/>
        <v>8</v>
      </c>
      <c r="D69" s="30">
        <f>'Monthly Data'!J69</f>
        <v>2586724.0081983968</v>
      </c>
      <c r="E69" s="33">
        <f t="shared" ca="1" si="6"/>
        <v>54.974791666666668</v>
      </c>
      <c r="F69" s="33">
        <f t="shared" ca="1" si="6"/>
        <v>218.46562499999996</v>
      </c>
      <c r="G69" s="33">
        <f>'Monthly Data'!AQ69</f>
        <v>27.104166666666682</v>
      </c>
      <c r="H69" s="33">
        <f>'Monthly Data'!AZ69</f>
        <v>284.10416666666663</v>
      </c>
      <c r="I69" s="18">
        <f>'Monthly Data'!AD69</f>
        <v>817265.5</v>
      </c>
      <c r="J69" s="8">
        <f>'Monthly Data'!BU69</f>
        <v>31</v>
      </c>
      <c r="K69" s="30">
        <f>'Monthly Data'!BX69</f>
        <v>0.5</v>
      </c>
      <c r="M69" s="18"/>
      <c r="N69" s="18">
        <f ca="1">(E69-G69)*'GS&lt;50 Predicted Monthly'!$V$9</f>
        <v>52560.33714172052</v>
      </c>
      <c r="O69" s="18">
        <f ca="1">(F69-H69)*'GS&lt;50 Predicted Monthly'!$V$10</f>
        <v>-243707.6648884851</v>
      </c>
      <c r="P69" s="18"/>
      <c r="Q69" s="18"/>
      <c r="R69" s="18"/>
      <c r="S69" s="20">
        <f t="shared" ca="1" si="7"/>
        <v>2395576.6804516325</v>
      </c>
    </row>
    <row r="70" spans="1:19">
      <c r="A70" s="541">
        <f>'Monthly Data'!A70</f>
        <v>44440</v>
      </c>
      <c r="B70">
        <f t="shared" si="8"/>
        <v>2021</v>
      </c>
      <c r="C70">
        <f t="shared" si="9"/>
        <v>9</v>
      </c>
      <c r="D70" s="30">
        <f>'Monthly Data'!J70</f>
        <v>2084247.9202095759</v>
      </c>
      <c r="E70" s="33">
        <f t="shared" ca="1" si="6"/>
        <v>166.50624999999999</v>
      </c>
      <c r="F70" s="33">
        <f t="shared" ca="1" si="6"/>
        <v>95.131249999999994</v>
      </c>
      <c r="G70" s="33">
        <f>'Monthly Data'!AQ70</f>
        <v>164.45000000000005</v>
      </c>
      <c r="H70" s="33">
        <f>'Monthly Data'!AZ70</f>
        <v>83.741666666666646</v>
      </c>
      <c r="I70" s="18">
        <f>'Monthly Data'!AD70</f>
        <v>817265.5</v>
      </c>
      <c r="J70" s="8">
        <f>'Monthly Data'!BU70</f>
        <v>30</v>
      </c>
      <c r="K70" s="30">
        <f>'Monthly Data'!BX70</f>
        <v>0.5</v>
      </c>
      <c r="M70" s="18"/>
      <c r="N70" s="18">
        <f ca="1">(E70-G70)*'GS&lt;50 Predicted Monthly'!$V$9</f>
        <v>3877.8173524153185</v>
      </c>
      <c r="O70" s="18">
        <f ca="1">(F70-H70)*'GS&lt;50 Predicted Monthly'!$V$10</f>
        <v>42288.093058427621</v>
      </c>
      <c r="P70" s="18"/>
      <c r="Q70" s="18"/>
      <c r="R70" s="18"/>
      <c r="S70" s="20">
        <f t="shared" ca="1" si="7"/>
        <v>2130413.8306204188</v>
      </c>
    </row>
    <row r="71" spans="1:19">
      <c r="A71" s="541">
        <f>'Monthly Data'!A71</f>
        <v>44470</v>
      </c>
      <c r="B71">
        <f t="shared" si="8"/>
        <v>2021</v>
      </c>
      <c r="C71">
        <f t="shared" si="9"/>
        <v>10</v>
      </c>
      <c r="D71" s="30">
        <f>'Monthly Data'!J71</f>
        <v>2150223.8322207555</v>
      </c>
      <c r="E71" s="33">
        <f t="shared" ca="1" si="6"/>
        <v>363.47645833333326</v>
      </c>
      <c r="F71" s="33">
        <f t="shared" ca="1" si="6"/>
        <v>21.813750000000006</v>
      </c>
      <c r="G71" s="33">
        <f>'Monthly Data'!AQ71</f>
        <v>294.72916666666663</v>
      </c>
      <c r="H71" s="33">
        <f>'Monthly Data'!AZ71</f>
        <v>38.133333333333326</v>
      </c>
      <c r="I71" s="18">
        <f>'Monthly Data'!AD71</f>
        <v>817265.5</v>
      </c>
      <c r="J71" s="8">
        <f>'Monthly Data'!BU71</f>
        <v>31</v>
      </c>
      <c r="K71" s="30">
        <f>'Monthly Data'!BX71</f>
        <v>0.5</v>
      </c>
      <c r="M71" s="18"/>
      <c r="N71" s="18">
        <f ca="1">(E71-G71)*'GS&lt;50 Predicted Monthly'!$V$9</f>
        <v>129648.36014908862</v>
      </c>
      <c r="O71" s="18">
        <f ca="1">(F71-H71)*'GS&lt;50 Predicted Monthly'!$V$10</f>
        <v>-60592.56414192175</v>
      </c>
      <c r="P71" s="18"/>
      <c r="Q71" s="18"/>
      <c r="R71" s="18"/>
      <c r="S71" s="20">
        <f t="shared" ca="1" si="7"/>
        <v>2219279.6282279226</v>
      </c>
    </row>
    <row r="72" spans="1:19">
      <c r="A72" s="541">
        <f>'Monthly Data'!A72</f>
        <v>44501</v>
      </c>
      <c r="B72">
        <f t="shared" si="8"/>
        <v>2021</v>
      </c>
      <c r="C72">
        <f t="shared" si="9"/>
        <v>11</v>
      </c>
      <c r="D72" s="30">
        <f>'Monthly Data'!J72</f>
        <v>2496393.7442319351</v>
      </c>
      <c r="E72" s="33">
        <f t="shared" ca="1" si="6"/>
        <v>586.00395833333334</v>
      </c>
      <c r="F72" s="33">
        <f t="shared" ca="1" si="6"/>
        <v>2.2795833333333335</v>
      </c>
      <c r="G72" s="33">
        <f>'Monthly Data'!AQ72</f>
        <v>584.32083333333333</v>
      </c>
      <c r="H72" s="33">
        <f>'Monthly Data'!AZ72</f>
        <v>0</v>
      </c>
      <c r="I72" s="18">
        <f>'Monthly Data'!AD72</f>
        <v>817265.5</v>
      </c>
      <c r="J72" s="8">
        <f>'Monthly Data'!BU72</f>
        <v>30</v>
      </c>
      <c r="K72" s="30">
        <f>'Monthly Data'!BX72</f>
        <v>0.5</v>
      </c>
      <c r="M72" s="18"/>
      <c r="N72" s="18">
        <f ca="1">(E72-G72)*'GS&lt;50 Predicted Monthly'!$V$9</f>
        <v>3174.1526231169682</v>
      </c>
      <c r="O72" s="18">
        <f ca="1">(F72-H72)*'GS&lt;50 Predicted Monthly'!$V$10</f>
        <v>8463.8067357840573</v>
      </c>
      <c r="P72" s="18"/>
      <c r="Q72" s="18"/>
      <c r="R72" s="18"/>
      <c r="S72" s="20">
        <f t="shared" ca="1" si="7"/>
        <v>2508031.7035908364</v>
      </c>
    </row>
    <row r="73" spans="1:19">
      <c r="A73" s="541">
        <f>'Monthly Data'!A73</f>
        <v>44531</v>
      </c>
      <c r="B73">
        <f t="shared" si="8"/>
        <v>2021</v>
      </c>
      <c r="C73">
        <f t="shared" si="9"/>
        <v>12</v>
      </c>
      <c r="D73" s="30">
        <f>'Monthly Data'!J73</f>
        <v>2949612.3062431142</v>
      </c>
      <c r="E73" s="33">
        <f t="shared" ca="1" si="6"/>
        <v>812.36333333333334</v>
      </c>
      <c r="F73" s="33">
        <f t="shared" ca="1" si="6"/>
        <v>0</v>
      </c>
      <c r="G73" s="33">
        <f>'Monthly Data'!AQ73</f>
        <v>764.20624999999995</v>
      </c>
      <c r="H73" s="33">
        <f>'Monthly Data'!AZ73</f>
        <v>0</v>
      </c>
      <c r="I73" s="18">
        <f>'Monthly Data'!AD73</f>
        <v>817265.5</v>
      </c>
      <c r="J73" s="8">
        <f>'Monthly Data'!BU73</f>
        <v>31</v>
      </c>
      <c r="K73" s="30">
        <f>'Monthly Data'!BX73</f>
        <v>0.5</v>
      </c>
      <c r="M73" s="18"/>
      <c r="N73" s="18">
        <f ca="1">(E73-G73)*'GS&lt;50 Predicted Monthly'!$V$9</f>
        <v>90817.93234855459</v>
      </c>
      <c r="O73" s="18">
        <f ca="1">(F73-H73)*'GS&lt;50 Predicted Monthly'!$V$10</f>
        <v>0</v>
      </c>
      <c r="P73" s="18"/>
      <c r="Q73" s="18"/>
      <c r="R73" s="18"/>
      <c r="S73" s="20">
        <f t="shared" ca="1" si="7"/>
        <v>3040430.2385916687</v>
      </c>
    </row>
    <row r="74" spans="1:19">
      <c r="A74" s="541">
        <f>'Monthly Data'!A74</f>
        <v>44562</v>
      </c>
      <c r="B74">
        <f t="shared" si="8"/>
        <v>2022</v>
      </c>
      <c r="C74">
        <f t="shared" si="9"/>
        <v>1</v>
      </c>
      <c r="D74" s="30">
        <f>'Monthly Data'!J74</f>
        <v>3512426.4695312781</v>
      </c>
      <c r="E74" s="33">
        <f t="shared" ref="E74:F93" ca="1" si="10">E62</f>
        <v>914.55166666666662</v>
      </c>
      <c r="F74" s="33">
        <f t="shared" ca="1" si="10"/>
        <v>0</v>
      </c>
      <c r="G74" s="33">
        <f>'Monthly Data'!AQ74</f>
        <v>1118.6333333333332</v>
      </c>
      <c r="H74" s="33">
        <f>'Monthly Data'!AZ74</f>
        <v>0</v>
      </c>
      <c r="I74" s="18">
        <f>'Monthly Data'!AD74</f>
        <v>850461.9</v>
      </c>
      <c r="J74" s="8">
        <f>'Monthly Data'!BU74</f>
        <v>31</v>
      </c>
      <c r="K74" s="30">
        <f>'Monthly Data'!BX74</f>
        <v>0.25</v>
      </c>
      <c r="M74" s="18"/>
      <c r="N74" s="18">
        <f ca="1">(E74-G74)*'GS&lt;50 Predicted Monthly'!$V$9</f>
        <v>-384871.21133610129</v>
      </c>
      <c r="O74" s="18">
        <f ca="1">(F74-H74)*'GS&lt;50 Predicted Monthly'!$V$10</f>
        <v>0</v>
      </c>
      <c r="P74" s="18"/>
      <c r="Q74" s="18"/>
      <c r="R74" s="18"/>
      <c r="S74" s="20">
        <f t="shared" ca="1" si="7"/>
        <v>3127555.2581951767</v>
      </c>
    </row>
    <row r="75" spans="1:19">
      <c r="A75" s="541">
        <f>'Monthly Data'!A75</f>
        <v>44593</v>
      </c>
      <c r="B75">
        <f t="shared" si="8"/>
        <v>2022</v>
      </c>
      <c r="C75">
        <f t="shared" si="9"/>
        <v>2</v>
      </c>
      <c r="D75" s="30">
        <f>'Monthly Data'!J75</f>
        <v>3065402.7801112318</v>
      </c>
      <c r="E75" s="33">
        <f t="shared" ca="1" si="10"/>
        <v>803.82854166666664</v>
      </c>
      <c r="F75" s="33">
        <f t="shared" ca="1" si="10"/>
        <v>0</v>
      </c>
      <c r="G75" s="33">
        <f>'Monthly Data'!AQ75</f>
        <v>841.76666666666654</v>
      </c>
      <c r="H75" s="33">
        <f>'Monthly Data'!AZ75</f>
        <v>0</v>
      </c>
      <c r="I75" s="18">
        <f>'Monthly Data'!AD75</f>
        <v>850461.9</v>
      </c>
      <c r="J75" s="8">
        <f>'Monthly Data'!BU75</f>
        <v>29</v>
      </c>
      <c r="K75" s="30">
        <f>'Monthly Data'!BX75</f>
        <v>0.25</v>
      </c>
      <c r="M75" s="18"/>
      <c r="N75" s="18">
        <f ca="1">(E75-G75)*'GS&lt;50 Predicted Monthly'!$V$9</f>
        <v>-71546.319486008346</v>
      </c>
      <c r="O75" s="18">
        <f ca="1">(F75-H75)*'GS&lt;50 Predicted Monthly'!$V$10</f>
        <v>0</v>
      </c>
      <c r="P75" s="18"/>
      <c r="Q75" s="18"/>
      <c r="R75" s="18"/>
      <c r="S75" s="20">
        <f t="shared" ca="1" si="7"/>
        <v>2993856.4606252233</v>
      </c>
    </row>
    <row r="76" spans="1:19">
      <c r="A76" s="541">
        <f>'Monthly Data'!A76</f>
        <v>44621</v>
      </c>
      <c r="B76">
        <f t="shared" si="8"/>
        <v>2022</v>
      </c>
      <c r="C76">
        <f t="shared" si="9"/>
        <v>3</v>
      </c>
      <c r="D76" s="30">
        <f>'Monthly Data'!J76</f>
        <v>2990160.0906911851</v>
      </c>
      <c r="E76" s="33">
        <f t="shared" ca="1" si="10"/>
        <v>698.29604166666672</v>
      </c>
      <c r="F76" s="33">
        <f t="shared" ca="1" si="10"/>
        <v>0</v>
      </c>
      <c r="G76" s="33">
        <f>'Monthly Data'!AQ76</f>
        <v>704.6583333333333</v>
      </c>
      <c r="H76" s="33">
        <f>'Monthly Data'!AZ76</f>
        <v>0</v>
      </c>
      <c r="I76" s="18">
        <f>'Monthly Data'!AD76</f>
        <v>850461.9</v>
      </c>
      <c r="J76" s="8">
        <f>'Monthly Data'!BU76</f>
        <v>31</v>
      </c>
      <c r="K76" s="30">
        <f>'Monthly Data'!BX76</f>
        <v>0.25</v>
      </c>
      <c r="M76" s="18"/>
      <c r="N76" s="18">
        <f ca="1">(E76-G76)*'GS&lt;50 Predicted Monthly'!$V$9</f>
        <v>-11998.446213314359</v>
      </c>
      <c r="O76" s="18">
        <f ca="1">(F76-H76)*'GS&lt;50 Predicted Monthly'!$V$10</f>
        <v>0</v>
      </c>
      <c r="P76" s="18"/>
      <c r="Q76" s="18"/>
      <c r="R76" s="18"/>
      <c r="S76" s="20">
        <f t="shared" ca="1" si="7"/>
        <v>2978161.6444778708</v>
      </c>
    </row>
    <row r="77" spans="1:19">
      <c r="A77" s="541">
        <f>'Monthly Data'!A77</f>
        <v>44652</v>
      </c>
      <c r="B77">
        <f t="shared" si="8"/>
        <v>2022</v>
      </c>
      <c r="C77">
        <f t="shared" si="9"/>
        <v>4</v>
      </c>
      <c r="D77" s="30">
        <f>'Monthly Data'!J77</f>
        <v>2398890.4012711388</v>
      </c>
      <c r="E77" s="33">
        <f t="shared" ca="1" si="10"/>
        <v>468.60374999999993</v>
      </c>
      <c r="F77" s="33">
        <f t="shared" ca="1" si="10"/>
        <v>2.8104166666666677</v>
      </c>
      <c r="G77" s="33">
        <f>'Monthly Data'!AQ77</f>
        <v>461.22083333333347</v>
      </c>
      <c r="H77" s="33">
        <f>'Monthly Data'!AZ77</f>
        <v>0</v>
      </c>
      <c r="I77" s="18">
        <f>'Monthly Data'!AD77</f>
        <v>850461.9</v>
      </c>
      <c r="J77" s="8">
        <f>'Monthly Data'!BU77</f>
        <v>30</v>
      </c>
      <c r="K77" s="30">
        <f>'Monthly Data'!BX77</f>
        <v>0.25</v>
      </c>
      <c r="M77" s="18"/>
      <c r="N77" s="18">
        <f ca="1">(E77-G77)*'GS&lt;50 Predicted Monthly'!$V$9</f>
        <v>13923.210874862576</v>
      </c>
      <c r="O77" s="18">
        <f ca="1">(F77-H77)*'GS&lt;50 Predicted Monthly'!$V$10</f>
        <v>10434.724261170442</v>
      </c>
      <c r="P77" s="18"/>
      <c r="Q77" s="18"/>
      <c r="R77" s="18"/>
      <c r="S77" s="20">
        <f t="shared" ca="1" si="7"/>
        <v>2423248.3364071716</v>
      </c>
    </row>
    <row r="78" spans="1:19">
      <c r="A78" s="541">
        <f>'Monthly Data'!A78</f>
        <v>44682</v>
      </c>
      <c r="B78">
        <f t="shared" si="8"/>
        <v>2022</v>
      </c>
      <c r="C78">
        <f t="shared" si="9"/>
        <v>5</v>
      </c>
      <c r="D78" s="30">
        <f>'Monthly Data'!J78</f>
        <v>2192493.7118510921</v>
      </c>
      <c r="E78" s="33">
        <f t="shared" ca="1" si="10"/>
        <v>232.88687500000006</v>
      </c>
      <c r="F78" s="33">
        <f t="shared" ca="1" si="10"/>
        <v>74.673124999999999</v>
      </c>
      <c r="G78" s="33">
        <f>'Monthly Data'!AQ78</f>
        <v>173.55833333333337</v>
      </c>
      <c r="H78" s="33">
        <f>'Monthly Data'!AZ78</f>
        <v>105.25833333333331</v>
      </c>
      <c r="I78" s="18">
        <f>'Monthly Data'!AD78</f>
        <v>850461.9</v>
      </c>
      <c r="J78" s="8">
        <f>'Monthly Data'!BU78</f>
        <v>31</v>
      </c>
      <c r="K78" s="30">
        <f>'Monthly Data'!BX78</f>
        <v>0.25</v>
      </c>
      <c r="M78" s="18"/>
      <c r="N78" s="18">
        <f ca="1">(E78-G78)*'GS&lt;50 Predicted Monthly'!$V$9</f>
        <v>111885.83507282726</v>
      </c>
      <c r="O78" s="18">
        <f ca="1">(F78-H78)*'GS&lt;50 Predicted Monthly'!$V$10</f>
        <v>-113559.03884789991</v>
      </c>
      <c r="P78" s="18"/>
      <c r="Q78" s="18"/>
      <c r="R78" s="18"/>
      <c r="S78" s="20">
        <f t="shared" ca="1" si="7"/>
        <v>2190820.5080760191</v>
      </c>
    </row>
    <row r="79" spans="1:19">
      <c r="A79" s="541">
        <f>'Monthly Data'!A79</f>
        <v>44713</v>
      </c>
      <c r="B79">
        <f t="shared" si="8"/>
        <v>2022</v>
      </c>
      <c r="C79">
        <f t="shared" si="9"/>
        <v>6</v>
      </c>
      <c r="D79" s="30">
        <f>'Monthly Data'!J79</f>
        <v>2254321.0224310458</v>
      </c>
      <c r="E79" s="33">
        <f t="shared" ca="1" si="10"/>
        <v>92.751249999999999</v>
      </c>
      <c r="F79" s="33">
        <f t="shared" ca="1" si="10"/>
        <v>169.78833333333333</v>
      </c>
      <c r="G79" s="33">
        <f>'Monthly Data'!AQ79</f>
        <v>101.1375</v>
      </c>
      <c r="H79" s="33">
        <f>'Monthly Data'!AZ79</f>
        <v>152.1875</v>
      </c>
      <c r="I79" s="18">
        <f>'Monthly Data'!AD79</f>
        <v>850461.9</v>
      </c>
      <c r="J79" s="8">
        <f>'Monthly Data'!BU79</f>
        <v>30</v>
      </c>
      <c r="K79" s="30">
        <f>'Monthly Data'!BX79</f>
        <v>0.25</v>
      </c>
      <c r="M79" s="18"/>
      <c r="N79" s="18">
        <f ca="1">(E79-G79)*'GS&lt;50 Predicted Monthly'!$V$9</f>
        <v>-15815.365724835885</v>
      </c>
      <c r="O79" s="18">
        <f ca="1">(F79-H79)*'GS&lt;50 Predicted Monthly'!$V$10</f>
        <v>65349.684542677758</v>
      </c>
      <c r="P79" s="18"/>
      <c r="Q79" s="18"/>
      <c r="R79" s="18"/>
      <c r="S79" s="20">
        <f t="shared" ca="1" si="7"/>
        <v>2303855.3412488876</v>
      </c>
    </row>
    <row r="80" spans="1:19">
      <c r="A80" s="541">
        <f>'Monthly Data'!A80</f>
        <v>44743</v>
      </c>
      <c r="B80">
        <f t="shared" si="8"/>
        <v>2022</v>
      </c>
      <c r="C80">
        <f t="shared" si="9"/>
        <v>7</v>
      </c>
      <c r="D80" s="30">
        <f>'Monthly Data'!J80</f>
        <v>2434782.333010999</v>
      </c>
      <c r="E80" s="33">
        <f t="shared" ca="1" si="10"/>
        <v>25.464999999999996</v>
      </c>
      <c r="F80" s="33">
        <f t="shared" ca="1" si="10"/>
        <v>265.99625000000003</v>
      </c>
      <c r="G80" s="33">
        <f>'Monthly Data'!AQ80</f>
        <v>24.766666666666666</v>
      </c>
      <c r="H80" s="33">
        <f>'Monthly Data'!AZ80</f>
        <v>248.86874999999998</v>
      </c>
      <c r="I80" s="18">
        <f>'Monthly Data'!AD80</f>
        <v>850461.9</v>
      </c>
      <c r="J80" s="8">
        <f>'Monthly Data'!BU80</f>
        <v>31</v>
      </c>
      <c r="K80" s="30">
        <f>'Monthly Data'!BX80</f>
        <v>0.25</v>
      </c>
      <c r="M80" s="18"/>
      <c r="N80" s="18">
        <f ca="1">(E80-G80)*'GS&lt;50 Predicted Monthly'!$V$9</f>
        <v>1316.9649204960911</v>
      </c>
      <c r="O80" s="18">
        <f ca="1">(F80-H80)*'GS&lt;50 Predicted Monthly'!$V$10</f>
        <v>63592.257298691387</v>
      </c>
      <c r="P80" s="18"/>
      <c r="Q80" s="18"/>
      <c r="R80" s="18"/>
      <c r="S80" s="20">
        <f t="shared" ca="1" si="7"/>
        <v>2499691.5552301863</v>
      </c>
    </row>
    <row r="81" spans="1:19">
      <c r="A81" s="541">
        <f>'Monthly Data'!A81</f>
        <v>44774</v>
      </c>
      <c r="B81">
        <f t="shared" si="8"/>
        <v>2022</v>
      </c>
      <c r="C81">
        <f t="shared" si="9"/>
        <v>8</v>
      </c>
      <c r="D81" s="30">
        <f>'Monthly Data'!J81</f>
        <v>2456843.6435909523</v>
      </c>
      <c r="E81" s="33">
        <f t="shared" ca="1" si="10"/>
        <v>54.974791666666668</v>
      </c>
      <c r="F81" s="33">
        <f t="shared" ca="1" si="10"/>
        <v>218.46562499999996</v>
      </c>
      <c r="G81" s="33">
        <f>'Monthly Data'!AQ81</f>
        <v>43.374999999999986</v>
      </c>
      <c r="H81" s="33">
        <f>'Monthly Data'!AZ81</f>
        <v>223.74166666666665</v>
      </c>
      <c r="I81" s="18">
        <f>'Monthly Data'!AD81</f>
        <v>850461.9</v>
      </c>
      <c r="J81" s="8">
        <f>'Monthly Data'!BU81</f>
        <v>31</v>
      </c>
      <c r="K81" s="30">
        <f>'Monthly Data'!BX81</f>
        <v>0.25</v>
      </c>
      <c r="M81" s="18"/>
      <c r="N81" s="18">
        <f ca="1">(E81-G81)*'GS&lt;50 Predicted Monthly'!$V$9</f>
        <v>21875.683117035274</v>
      </c>
      <c r="O81" s="18">
        <f ca="1">(F81-H81)*'GS&lt;50 Predicted Monthly'!$V$10</f>
        <v>-19589.280349454581</v>
      </c>
      <c r="P81" s="18"/>
      <c r="Q81" s="18"/>
      <c r="R81" s="18"/>
      <c r="S81" s="20">
        <f t="shared" ca="1" si="7"/>
        <v>2459130.0463585332</v>
      </c>
    </row>
    <row r="82" spans="1:19">
      <c r="A82" s="541">
        <f>'Monthly Data'!A82</f>
        <v>44805</v>
      </c>
      <c r="B82">
        <f t="shared" si="8"/>
        <v>2022</v>
      </c>
      <c r="C82">
        <f t="shared" si="9"/>
        <v>9</v>
      </c>
      <c r="D82" s="30">
        <f>'Monthly Data'!J82</f>
        <v>2148681.954170906</v>
      </c>
      <c r="E82" s="33">
        <f t="shared" ca="1" si="10"/>
        <v>166.50624999999999</v>
      </c>
      <c r="F82" s="33">
        <f t="shared" ca="1" si="10"/>
        <v>95.131249999999994</v>
      </c>
      <c r="G82" s="33">
        <f>'Monthly Data'!AQ82</f>
        <v>186.05</v>
      </c>
      <c r="H82" s="33">
        <f>'Monthly Data'!AZ82</f>
        <v>74.350000000000023</v>
      </c>
      <c r="I82" s="18">
        <f>'Monthly Data'!AD82</f>
        <v>850461.9</v>
      </c>
      <c r="J82" s="8">
        <f>'Monthly Data'!BU82</f>
        <v>30</v>
      </c>
      <c r="K82" s="30">
        <f>'Monthly Data'!BX82</f>
        <v>0.25</v>
      </c>
      <c r="M82" s="18"/>
      <c r="N82" s="18">
        <f ca="1">(E82-G82)*'GS&lt;50 Predicted Monthly'!$V$9</f>
        <v>-36856.944866270554</v>
      </c>
      <c r="O82" s="18">
        <f ca="1">(F82-H82)*'GS&lt;50 Predicted Monthly'!$V$10</f>
        <v>77158.172353724964</v>
      </c>
      <c r="P82" s="18"/>
      <c r="Q82" s="18"/>
      <c r="R82" s="18"/>
      <c r="S82" s="20">
        <f t="shared" ca="1" si="7"/>
        <v>2188983.1816583602</v>
      </c>
    </row>
    <row r="83" spans="1:19">
      <c r="A83" s="541">
        <f>'Monthly Data'!A83</f>
        <v>44835</v>
      </c>
      <c r="B83">
        <f t="shared" si="8"/>
        <v>2022</v>
      </c>
      <c r="C83">
        <f t="shared" si="9"/>
        <v>10</v>
      </c>
      <c r="D83" s="30">
        <f>'Monthly Data'!J83</f>
        <v>2255916.2647508592</v>
      </c>
      <c r="E83" s="33">
        <f t="shared" ca="1" si="10"/>
        <v>363.47645833333326</v>
      </c>
      <c r="F83" s="33">
        <f t="shared" ca="1" si="10"/>
        <v>21.813750000000006</v>
      </c>
      <c r="G83" s="33">
        <f>'Monthly Data'!AQ83</f>
        <v>386.60833333333323</v>
      </c>
      <c r="H83" s="33">
        <f>'Monthly Data'!AZ83</f>
        <v>7.2291666666666661</v>
      </c>
      <c r="I83" s="18">
        <f>'Monthly Data'!AD83</f>
        <v>850461.9</v>
      </c>
      <c r="J83" s="8">
        <f>'Monthly Data'!BU83</f>
        <v>31</v>
      </c>
      <c r="K83" s="30">
        <f>'Monthly Data'!BX83</f>
        <v>0.25</v>
      </c>
      <c r="M83" s="18"/>
      <c r="N83" s="18">
        <f ca="1">(E83-G83)*'GS&lt;50 Predicted Monthly'!$V$9</f>
        <v>-43623.677212840972</v>
      </c>
      <c r="O83" s="18">
        <f ca="1">(F83-H83)*'GS&lt;50 Predicted Monthly'!$V$10</f>
        <v>54150.726955337137</v>
      </c>
      <c r="P83" s="18"/>
      <c r="Q83" s="18"/>
      <c r="R83" s="18"/>
      <c r="S83" s="20">
        <f t="shared" ca="1" si="7"/>
        <v>2266443.3144933553</v>
      </c>
    </row>
    <row r="84" spans="1:19">
      <c r="A84" s="541">
        <f>'Monthly Data'!A84</f>
        <v>44866</v>
      </c>
      <c r="B84">
        <f t="shared" si="8"/>
        <v>2022</v>
      </c>
      <c r="C84">
        <f t="shared" si="9"/>
        <v>11</v>
      </c>
      <c r="D84" s="30">
        <f>'Monthly Data'!J84</f>
        <v>2549219.5753308129</v>
      </c>
      <c r="E84" s="33">
        <f t="shared" ca="1" si="10"/>
        <v>586.00395833333334</v>
      </c>
      <c r="F84" s="33">
        <f t="shared" ca="1" si="10"/>
        <v>2.2795833333333335</v>
      </c>
      <c r="G84" s="33">
        <f>'Monthly Data'!AQ84</f>
        <v>510.11250000000007</v>
      </c>
      <c r="H84" s="33">
        <f>'Monthly Data'!AZ84</f>
        <v>15.083333333333337</v>
      </c>
      <c r="I84" s="18">
        <f>'Monthly Data'!AD84</f>
        <v>850461.9</v>
      </c>
      <c r="J84" s="8">
        <f>'Monthly Data'!BU84</f>
        <v>30</v>
      </c>
      <c r="K84" s="30">
        <f>'Monthly Data'!BX84</f>
        <v>0.25</v>
      </c>
      <c r="M84" s="18"/>
      <c r="N84" s="18">
        <f ca="1">(E84-G84)*'GS&lt;50 Predicted Monthly'!$V$9</f>
        <v>143121.3198906316</v>
      </c>
      <c r="O84" s="18">
        <f ca="1">(F84-H84)*'GS&lt;50 Predicted Monthly'!$V$10</f>
        <v>-47538.716356042474</v>
      </c>
      <c r="P84" s="18"/>
      <c r="Q84" s="18"/>
      <c r="R84" s="18"/>
      <c r="S84" s="20">
        <f t="shared" ca="1" si="7"/>
        <v>2644802.1788654025</v>
      </c>
    </row>
    <row r="85" spans="1:19">
      <c r="A85" s="541">
        <f>'Monthly Data'!A85</f>
        <v>44896</v>
      </c>
      <c r="B85">
        <f t="shared" si="8"/>
        <v>2022</v>
      </c>
      <c r="C85">
        <f t="shared" si="9"/>
        <v>12</v>
      </c>
      <c r="D85" s="30">
        <f>'Monthly Data'!J85</f>
        <v>2940389.8859107662</v>
      </c>
      <c r="E85" s="33">
        <f t="shared" ca="1" si="10"/>
        <v>812.36333333333334</v>
      </c>
      <c r="F85" s="33">
        <f t="shared" ca="1" si="10"/>
        <v>0</v>
      </c>
      <c r="G85" s="33">
        <f>'Monthly Data'!AQ85</f>
        <v>723.45416666666654</v>
      </c>
      <c r="H85" s="33">
        <f>'Monthly Data'!AZ85</f>
        <v>0</v>
      </c>
      <c r="I85" s="18">
        <f>'Monthly Data'!AD85</f>
        <v>850461.9</v>
      </c>
      <c r="J85" s="8">
        <f>'Monthly Data'!BU85</f>
        <v>31</v>
      </c>
      <c r="K85" s="30">
        <f>'Monthly Data'!BX85</f>
        <v>0.25</v>
      </c>
      <c r="M85" s="18"/>
      <c r="N85" s="18">
        <f ca="1">(E85-G85)*'GS&lt;50 Predicted Monthly'!$V$9</f>
        <v>167671.00755686066</v>
      </c>
      <c r="O85" s="18">
        <f ca="1">(F85-H85)*'GS&lt;50 Predicted Monthly'!$V$10</f>
        <v>0</v>
      </c>
      <c r="P85" s="18"/>
      <c r="Q85" s="18"/>
      <c r="R85" s="18"/>
      <c r="S85" s="20">
        <f t="shared" ca="1" si="7"/>
        <v>3108060.893467627</v>
      </c>
    </row>
    <row r="86" spans="1:19">
      <c r="A86" s="541">
        <f>'Monthly Data'!A86</f>
        <v>44927</v>
      </c>
      <c r="B86">
        <f t="shared" si="8"/>
        <v>2023</v>
      </c>
      <c r="C86">
        <f t="shared" si="9"/>
        <v>1</v>
      </c>
      <c r="D86" s="30">
        <f>'Monthly Data'!J86</f>
        <v>3128498.5438320525</v>
      </c>
      <c r="E86" s="33">
        <f t="shared" ca="1" si="10"/>
        <v>914.55166666666662</v>
      </c>
      <c r="F86" s="33">
        <f t="shared" ca="1" si="10"/>
        <v>0</v>
      </c>
      <c r="G86" s="33">
        <f>'Monthly Data'!AQ86</f>
        <v>821.78333333333342</v>
      </c>
      <c r="H86" s="33">
        <f>'Monthly Data'!AZ86</f>
        <v>0</v>
      </c>
      <c r="I86" s="18">
        <f>'Monthly Data'!AD86</f>
        <v>865859.6</v>
      </c>
      <c r="J86" s="8">
        <f>'Monthly Data'!BU86</f>
        <v>31</v>
      </c>
      <c r="K86" s="30">
        <f>'Monthly Data'!BX86</f>
        <v>0</v>
      </c>
      <c r="M86" s="18"/>
      <c r="N86" s="18">
        <f ca="1">(E86-G86)*'GS&lt;50 Predicted Monthly'!$V$9</f>
        <v>174948.88887764467</v>
      </c>
      <c r="O86" s="18">
        <f ca="1">(F86-H86)*'GS&lt;50 Predicted Monthly'!$V$10</f>
        <v>0</v>
      </c>
      <c r="P86" s="18"/>
      <c r="Q86" s="18"/>
      <c r="R86" s="18"/>
      <c r="S86" s="20">
        <f t="shared" ca="1" si="7"/>
        <v>3303447.4327096972</v>
      </c>
    </row>
    <row r="87" spans="1:19">
      <c r="A87" s="541">
        <f>'Monthly Data'!A87</f>
        <v>44958</v>
      </c>
      <c r="B87">
        <f t="shared" si="8"/>
        <v>2023</v>
      </c>
      <c r="C87">
        <f t="shared" si="9"/>
        <v>2</v>
      </c>
      <c r="D87" s="30">
        <f>'Monthly Data'!J87</f>
        <v>2958044.9926468567</v>
      </c>
      <c r="E87" s="33">
        <f t="shared" ca="1" si="10"/>
        <v>803.82854166666664</v>
      </c>
      <c r="F87" s="33">
        <f t="shared" ca="1" si="10"/>
        <v>0</v>
      </c>
      <c r="G87" s="33">
        <f>'Monthly Data'!AQ87</f>
        <v>793.05833333333328</v>
      </c>
      <c r="H87" s="33">
        <f>'Monthly Data'!AZ87</f>
        <v>0</v>
      </c>
      <c r="I87" s="18">
        <f>'Monthly Data'!AD87</f>
        <v>865859.6</v>
      </c>
      <c r="J87" s="8">
        <f>'Monthly Data'!BU87</f>
        <v>28</v>
      </c>
      <c r="K87" s="30">
        <f>'Monthly Data'!BX87</f>
        <v>0</v>
      </c>
      <c r="M87" s="18"/>
      <c r="N87" s="18">
        <f ca="1">(E87-G87)*'GS&lt;50 Predicted Monthly'!$V$9</f>
        <v>20311.197940002043</v>
      </c>
      <c r="O87" s="18">
        <f ca="1">(F87-H87)*'GS&lt;50 Predicted Monthly'!$V$10</f>
        <v>0</v>
      </c>
      <c r="P87" s="18"/>
      <c r="Q87" s="18"/>
      <c r="R87" s="18"/>
      <c r="S87" s="20">
        <f t="shared" ca="1" si="7"/>
        <v>2978356.1905868589</v>
      </c>
    </row>
    <row r="88" spans="1:19">
      <c r="A88" s="541">
        <f>'Monthly Data'!A88</f>
        <v>44986</v>
      </c>
      <c r="B88">
        <f t="shared" si="8"/>
        <v>2023</v>
      </c>
      <c r="C88">
        <f t="shared" si="9"/>
        <v>3</v>
      </c>
      <c r="D88" s="30">
        <f>'Monthly Data'!J88</f>
        <v>2961710.4414616609</v>
      </c>
      <c r="E88" s="33">
        <f t="shared" ca="1" si="10"/>
        <v>698.29604166666672</v>
      </c>
      <c r="F88" s="33">
        <f t="shared" ca="1" si="10"/>
        <v>0</v>
      </c>
      <c r="G88" s="33">
        <f>'Monthly Data'!AQ88</f>
        <v>690.10000000000025</v>
      </c>
      <c r="H88" s="33">
        <f>'Monthly Data'!AZ88</f>
        <v>0</v>
      </c>
      <c r="I88" s="18">
        <f>'Monthly Data'!AD88</f>
        <v>865859.6</v>
      </c>
      <c r="J88" s="8">
        <f>'Monthly Data'!BU88</f>
        <v>31</v>
      </c>
      <c r="K88" s="30">
        <f>'Monthly Data'!BX88</f>
        <v>0</v>
      </c>
      <c r="M88" s="18"/>
      <c r="N88" s="18">
        <f ca="1">(E88-G88)*'GS&lt;50 Predicted Monthly'!$V$9</f>
        <v>15456.657797504686</v>
      </c>
      <c r="O88" s="18">
        <f ca="1">(F88-H88)*'GS&lt;50 Predicted Monthly'!$V$10</f>
        <v>0</v>
      </c>
      <c r="P88" s="18"/>
      <c r="Q88" s="18"/>
      <c r="R88" s="18"/>
      <c r="S88" s="20">
        <f t="shared" ca="1" si="7"/>
        <v>2977167.0992591656</v>
      </c>
    </row>
    <row r="89" spans="1:19">
      <c r="A89" s="541">
        <f>'Monthly Data'!A89</f>
        <v>45017</v>
      </c>
      <c r="B89">
        <f t="shared" si="8"/>
        <v>2023</v>
      </c>
      <c r="C89">
        <f t="shared" si="9"/>
        <v>4</v>
      </c>
      <c r="D89" s="30">
        <f>'Monthly Data'!J89</f>
        <v>2410896.8902764646</v>
      </c>
      <c r="E89" s="33">
        <f t="shared" ca="1" si="10"/>
        <v>468.60374999999993</v>
      </c>
      <c r="F89" s="33">
        <f t="shared" ca="1" si="10"/>
        <v>2.8104166666666677</v>
      </c>
      <c r="G89" s="33">
        <f>'Monthly Data'!AQ89</f>
        <v>420.70833333333337</v>
      </c>
      <c r="H89" s="33">
        <f>'Monthly Data'!AZ89</f>
        <v>7.1333333333333417</v>
      </c>
      <c r="I89" s="18">
        <f>'Monthly Data'!AD89</f>
        <v>865859.6</v>
      </c>
      <c r="J89" s="8">
        <f>'Monthly Data'!BU89</f>
        <v>30</v>
      </c>
      <c r="K89" s="30">
        <f>'Monthly Data'!BX89</f>
        <v>0</v>
      </c>
      <c r="M89" s="18"/>
      <c r="N89" s="18">
        <f ca="1">(E89-G89)*'GS&lt;50 Predicted Monthly'!$V$9</f>
        <v>90324.463392664344</v>
      </c>
      <c r="O89" s="18">
        <f ca="1">(F89-H89)*'GS&lt;50 Predicted Monthly'!$V$10</f>
        <v>-16050.446880599478</v>
      </c>
      <c r="P89" s="18"/>
      <c r="Q89" s="18"/>
      <c r="R89" s="18"/>
      <c r="S89" s="20">
        <f t="shared" ca="1" si="7"/>
        <v>2485170.9067885294</v>
      </c>
    </row>
    <row r="90" spans="1:19">
      <c r="A90" s="541">
        <f>'Monthly Data'!A90</f>
        <v>45047</v>
      </c>
      <c r="B90">
        <f t="shared" si="8"/>
        <v>2023</v>
      </c>
      <c r="C90">
        <f t="shared" si="9"/>
        <v>5</v>
      </c>
      <c r="D90" s="30">
        <f>'Monthly Data'!J90</f>
        <v>2314837.3390912688</v>
      </c>
      <c r="E90" s="33">
        <f t="shared" ca="1" si="10"/>
        <v>232.88687500000006</v>
      </c>
      <c r="F90" s="33">
        <f t="shared" ca="1" si="10"/>
        <v>74.673124999999999</v>
      </c>
      <c r="G90" s="33">
        <f>'Monthly Data'!AQ90</f>
        <v>234.95208333333341</v>
      </c>
      <c r="H90" s="33">
        <f>'Monthly Data'!AZ90</f>
        <v>64.672916666666652</v>
      </c>
      <c r="I90" s="18">
        <f>'Monthly Data'!AD90</f>
        <v>865859.6</v>
      </c>
      <c r="J90" s="8">
        <f>'Monthly Data'!BU90</f>
        <v>31</v>
      </c>
      <c r="K90" s="30">
        <f>'Monthly Data'!BX90</f>
        <v>0</v>
      </c>
      <c r="M90" s="18"/>
      <c r="N90" s="18">
        <f ca="1">(E90-G90)*'GS&lt;50 Predicted Monthly'!$V$9</f>
        <v>-3894.7115921473378</v>
      </c>
      <c r="O90" s="18">
        <f ca="1">(F90-H90)*'GS&lt;50 Predicted Monthly'!$V$10</f>
        <v>37129.518106778567</v>
      </c>
      <c r="P90" s="18"/>
      <c r="Q90" s="18"/>
      <c r="R90" s="18"/>
      <c r="S90" s="20">
        <f t="shared" ca="1" si="7"/>
        <v>2348072.1456059003</v>
      </c>
    </row>
    <row r="91" spans="1:19">
      <c r="A91" s="541">
        <f>'Monthly Data'!A91</f>
        <v>45078</v>
      </c>
      <c r="B91">
        <f t="shared" si="8"/>
        <v>2023</v>
      </c>
      <c r="C91">
        <f t="shared" si="9"/>
        <v>6</v>
      </c>
      <c r="D91" s="30">
        <f>'Monthly Data'!J91</f>
        <v>2409548.787906073</v>
      </c>
      <c r="E91" s="33">
        <f t="shared" ca="1" si="10"/>
        <v>92.751249999999999</v>
      </c>
      <c r="F91" s="33">
        <f t="shared" ca="1" si="10"/>
        <v>169.78833333333333</v>
      </c>
      <c r="G91" s="33">
        <f>'Monthly Data'!AQ91</f>
        <v>79.324999999999989</v>
      </c>
      <c r="H91" s="33">
        <f>'Monthly Data'!AZ91</f>
        <v>176.22499999999999</v>
      </c>
      <c r="I91" s="18">
        <f>'Monthly Data'!AD91</f>
        <v>865859.6</v>
      </c>
      <c r="J91" s="8">
        <f>'Monthly Data'!BU91</f>
        <v>30</v>
      </c>
      <c r="K91" s="30">
        <f>'Monthly Data'!BX91</f>
        <v>0</v>
      </c>
      <c r="M91" s="18"/>
      <c r="N91" s="18">
        <f ca="1">(E91-G91)*'GS&lt;50 Predicted Monthly'!$V$9</f>
        <v>25320.143575862614</v>
      </c>
      <c r="O91" s="18">
        <f ca="1">(F91-H91)*'GS&lt;50 Predicted Monthly'!$V$10</f>
        <v>-23898.535268578347</v>
      </c>
      <c r="P91" s="18"/>
      <c r="Q91" s="18"/>
      <c r="R91" s="18"/>
      <c r="S91" s="20">
        <f t="shared" ca="1" si="7"/>
        <v>2410970.3962133573</v>
      </c>
    </row>
    <row r="92" spans="1:19">
      <c r="A92" s="541">
        <f>'Monthly Data'!A92</f>
        <v>45108</v>
      </c>
      <c r="B92">
        <f t="shared" si="8"/>
        <v>2023</v>
      </c>
      <c r="C92">
        <f t="shared" si="9"/>
        <v>7</v>
      </c>
      <c r="D92" s="30">
        <f>'Monthly Data'!J92</f>
        <v>2678974.2367208768</v>
      </c>
      <c r="E92" s="33">
        <f t="shared" ca="1" si="10"/>
        <v>25.464999999999996</v>
      </c>
      <c r="F92" s="33">
        <f t="shared" ca="1" si="10"/>
        <v>265.99625000000003</v>
      </c>
      <c r="G92" s="33">
        <f>'Monthly Data'!AQ92</f>
        <v>27.016666666666673</v>
      </c>
      <c r="H92" s="33">
        <f>'Monthly Data'!AZ92</f>
        <v>255.62083333333328</v>
      </c>
      <c r="I92" s="18">
        <f>'Monthly Data'!AD92</f>
        <v>865859.6</v>
      </c>
      <c r="J92" s="8">
        <f>'Monthly Data'!BU92</f>
        <v>31</v>
      </c>
      <c r="K92" s="30">
        <f>'Monthly Data'!BX92</f>
        <v>0</v>
      </c>
      <c r="M92" s="18"/>
      <c r="N92" s="18">
        <f ca="1">(E92-G92)*'GS&lt;50 Predicted Monthly'!$V$9</f>
        <v>-2926.2394772837074</v>
      </c>
      <c r="O92" s="18">
        <f ca="1">(F92-H92)*'GS&lt;50 Predicted Monthly'!$V$10</f>
        <v>38522.619544463632</v>
      </c>
      <c r="P92" s="18"/>
      <c r="Q92" s="18"/>
      <c r="R92" s="18"/>
      <c r="S92" s="20">
        <f t="shared" ca="1" si="7"/>
        <v>2714570.6167880567</v>
      </c>
    </row>
    <row r="93" spans="1:19">
      <c r="A93" s="541">
        <f>'Monthly Data'!A93</f>
        <v>45139</v>
      </c>
      <c r="B93">
        <f t="shared" si="8"/>
        <v>2023</v>
      </c>
      <c r="C93">
        <f t="shared" si="9"/>
        <v>8</v>
      </c>
      <c r="D93" s="30">
        <f>'Monthly Data'!J93</f>
        <v>2408674.685535681</v>
      </c>
      <c r="E93" s="33">
        <f t="shared" ca="1" si="10"/>
        <v>54.974791666666668</v>
      </c>
      <c r="F93" s="33">
        <f t="shared" ca="1" si="10"/>
        <v>218.46562499999996</v>
      </c>
      <c r="G93" s="33">
        <f>'Monthly Data'!AQ93</f>
        <v>78.083333333333329</v>
      </c>
      <c r="H93" s="33">
        <f>'Monthly Data'!AZ93</f>
        <v>170.83333333333337</v>
      </c>
      <c r="I93" s="18">
        <f>'Monthly Data'!AD93</f>
        <v>865859.6</v>
      </c>
      <c r="J93" s="8">
        <f>'Monthly Data'!BU93</f>
        <v>31</v>
      </c>
      <c r="K93" s="30">
        <f>'Monthly Data'!BX93</f>
        <v>0</v>
      </c>
      <c r="M93" s="18"/>
      <c r="N93" s="18">
        <f ca="1">(E93-G93)*'GS&lt;50 Predicted Monthly'!$V$9</f>
        <v>-43579.673611678838</v>
      </c>
      <c r="O93" s="18">
        <f ca="1">(F93-H93)*'GS&lt;50 Predicted Monthly'!$V$10</f>
        <v>176852.71915883612</v>
      </c>
      <c r="P93" s="18"/>
      <c r="Q93" s="18"/>
      <c r="R93" s="18"/>
      <c r="S93" s="20">
        <f t="shared" ca="1" si="7"/>
        <v>2541947.7310828385</v>
      </c>
    </row>
    <row r="94" spans="1:19">
      <c r="A94" s="541">
        <f>'Monthly Data'!A94</f>
        <v>45170</v>
      </c>
      <c r="B94">
        <f t="shared" si="8"/>
        <v>2023</v>
      </c>
      <c r="C94">
        <f t="shared" si="9"/>
        <v>9</v>
      </c>
      <c r="D94" s="30">
        <f>'Monthly Data'!J94</f>
        <v>2316057.1343504852</v>
      </c>
      <c r="E94" s="33">
        <f t="shared" ref="E94:F113" ca="1" si="11">E82</f>
        <v>166.50624999999999</v>
      </c>
      <c r="F94" s="33">
        <f t="shared" ca="1" si="11"/>
        <v>95.131249999999994</v>
      </c>
      <c r="G94" s="33">
        <f>'Monthly Data'!AQ94</f>
        <v>162.20833333333331</v>
      </c>
      <c r="H94" s="33">
        <f>'Monthly Data'!AZ94</f>
        <v>103.32083333333338</v>
      </c>
      <c r="I94" s="18">
        <f>'Monthly Data'!AD94</f>
        <v>865859.6</v>
      </c>
      <c r="J94" s="8">
        <f>'Monthly Data'!BU94</f>
        <v>30</v>
      </c>
      <c r="K94" s="30">
        <f>'Monthly Data'!BX94</f>
        <v>0</v>
      </c>
      <c r="M94" s="18"/>
      <c r="N94" s="18">
        <f ca="1">(E94-G94)*'GS&lt;50 Predicted Monthly'!$V$9</f>
        <v>8105.3061783515959</v>
      </c>
      <c r="O94" s="18">
        <f ca="1">(F94-H94)*'GS&lt;50 Predicted Monthly'!$V$10</f>
        <v>-30406.894789222584</v>
      </c>
      <c r="P94" s="18"/>
      <c r="Q94" s="18"/>
      <c r="R94" s="18"/>
      <c r="S94" s="20">
        <f t="shared" ca="1" si="7"/>
        <v>2293755.5457396139</v>
      </c>
    </row>
    <row r="95" spans="1:19">
      <c r="A95" s="541">
        <f>'Monthly Data'!A95</f>
        <v>45200</v>
      </c>
      <c r="B95">
        <f t="shared" si="8"/>
        <v>2023</v>
      </c>
      <c r="C95">
        <f t="shared" si="9"/>
        <v>10</v>
      </c>
      <c r="D95" s="30">
        <f>'Monthly Data'!J95</f>
        <v>2359883.5831652894</v>
      </c>
      <c r="E95" s="33">
        <f t="shared" ca="1" si="11"/>
        <v>363.47645833333326</v>
      </c>
      <c r="F95" s="33">
        <f t="shared" ca="1" si="11"/>
        <v>21.813750000000006</v>
      </c>
      <c r="G95" s="33">
        <f>'Monthly Data'!AQ95</f>
        <v>308.94999999999993</v>
      </c>
      <c r="H95" s="33">
        <f>'Monthly Data'!AZ95</f>
        <v>46.733333333333334</v>
      </c>
      <c r="I95" s="18">
        <f>'Monthly Data'!AD95</f>
        <v>865859.6</v>
      </c>
      <c r="J95" s="8">
        <f>'Monthly Data'!BU95</f>
        <v>31</v>
      </c>
      <c r="K95" s="30">
        <f>'Monthly Data'!BX95</f>
        <v>0</v>
      </c>
      <c r="M95" s="18"/>
      <c r="N95" s="18">
        <f ca="1">(E95-G95)*'GS&lt;50 Predicted Monthly'!$V$9</f>
        <v>102829.73679793607</v>
      </c>
      <c r="O95" s="18">
        <f ca="1">(F95-H95)*'GS&lt;50 Predicted Monthly'!$V$10</f>
        <v>-92523.284490410719</v>
      </c>
      <c r="P95" s="18"/>
      <c r="Q95" s="18"/>
      <c r="R95" s="18"/>
      <c r="S95" s="20">
        <f t="shared" ca="1" si="7"/>
        <v>2370190.0354728149</v>
      </c>
    </row>
    <row r="96" spans="1:19">
      <c r="A96" s="541">
        <f>'Monthly Data'!A96</f>
        <v>45231</v>
      </c>
      <c r="B96">
        <f t="shared" si="8"/>
        <v>2023</v>
      </c>
      <c r="C96">
        <f t="shared" si="9"/>
        <v>11</v>
      </c>
      <c r="D96" s="30">
        <f>'Monthly Data'!J96</f>
        <v>2726100.0319800931</v>
      </c>
      <c r="E96" s="33">
        <f t="shared" ca="1" si="11"/>
        <v>586.00395833333334</v>
      </c>
      <c r="F96" s="33">
        <f t="shared" ca="1" si="11"/>
        <v>2.2795833333333335</v>
      </c>
      <c r="G96" s="33">
        <f>'Monthly Data'!AQ96</f>
        <v>616.27291666666667</v>
      </c>
      <c r="H96" s="33">
        <f>'Monthly Data'!AZ96</f>
        <v>0</v>
      </c>
      <c r="I96" s="18">
        <f>'Monthly Data'!AD96</f>
        <v>865859.6</v>
      </c>
      <c r="J96" s="8">
        <f>'Monthly Data'!BU96</f>
        <v>30</v>
      </c>
      <c r="K96" s="30">
        <f>'Monthly Data'!BX96</f>
        <v>0</v>
      </c>
      <c r="M96" s="18"/>
      <c r="N96" s="18">
        <f ca="1">(E96-G96)*'GS&lt;50 Predicted Monthly'!$V$9</f>
        <v>-57083.27871831692</v>
      </c>
      <c r="O96" s="18">
        <f ca="1">(F96-H96)*'GS&lt;50 Predicted Monthly'!$V$10</f>
        <v>8463.8067357840573</v>
      </c>
      <c r="P96" s="18"/>
      <c r="Q96" s="18"/>
      <c r="R96" s="18"/>
      <c r="S96" s="20">
        <f t="shared" ca="1" si="7"/>
        <v>2677480.5599975605</v>
      </c>
    </row>
    <row r="97" spans="1:23">
      <c r="A97" s="541">
        <f>'Monthly Data'!A97</f>
        <v>45261</v>
      </c>
      <c r="B97">
        <f t="shared" si="8"/>
        <v>2023</v>
      </c>
      <c r="C97">
        <f t="shared" si="9"/>
        <v>12</v>
      </c>
      <c r="D97" s="30">
        <f>'Monthly Data'!J97</f>
        <v>3054970.4807948973</v>
      </c>
      <c r="E97" s="33">
        <f t="shared" ca="1" si="11"/>
        <v>812.36333333333334</v>
      </c>
      <c r="F97" s="33">
        <f t="shared" ca="1" si="11"/>
        <v>0</v>
      </c>
      <c r="G97" s="33">
        <f>'Monthly Data'!AQ97</f>
        <v>713.16250000000014</v>
      </c>
      <c r="H97" s="33">
        <f>'Monthly Data'!AZ97</f>
        <v>0</v>
      </c>
      <c r="I97" s="18">
        <f>'Monthly Data'!AD97</f>
        <v>865859.6</v>
      </c>
      <c r="J97" s="8">
        <f>'Monthly Data'!BU97</f>
        <v>31</v>
      </c>
      <c r="K97" s="30">
        <f>'Monthly Data'!BX97</f>
        <v>0</v>
      </c>
      <c r="M97" s="18"/>
      <c r="N97" s="18">
        <f ca="1">(E97-G97)*'GS&lt;50 Predicted Monthly'!$V$9</f>
        <v>187079.73878374178</v>
      </c>
      <c r="O97" s="18">
        <f ca="1">(F97-H97)*'GS&lt;50 Predicted Monthly'!$V$10</f>
        <v>0</v>
      </c>
      <c r="P97" s="18"/>
      <c r="Q97" s="18"/>
      <c r="R97" s="18"/>
      <c r="S97" s="20">
        <f t="shared" ca="1" si="7"/>
        <v>3242050.2195786391</v>
      </c>
    </row>
    <row r="98" spans="1:23">
      <c r="A98" s="541">
        <f>'Monthly Data'!A98</f>
        <v>45292</v>
      </c>
      <c r="B98">
        <f t="shared" si="8"/>
        <v>2024</v>
      </c>
      <c r="C98">
        <f t="shared" si="9"/>
        <v>1</v>
      </c>
      <c r="D98" s="30">
        <f>'Monthly Data'!J98</f>
        <v>3455439.2672890546</v>
      </c>
      <c r="E98" s="33">
        <f t="shared" ca="1" si="11"/>
        <v>914.55166666666662</v>
      </c>
      <c r="F98" s="33">
        <f t="shared" ca="1" si="11"/>
        <v>0</v>
      </c>
      <c r="G98" s="33">
        <f>'Monthly Data'!AQ98</f>
        <v>829.07916666666677</v>
      </c>
      <c r="H98" s="33">
        <f>'Monthly Data'!AZ98</f>
        <v>0</v>
      </c>
      <c r="I98" s="18">
        <f>'Monthly Data'!AD98</f>
        <v>876619.7</v>
      </c>
      <c r="J98" s="8">
        <f>'Monthly Data'!BU98</f>
        <v>31</v>
      </c>
      <c r="K98" s="30">
        <f>'Monthly Data'!BX98</f>
        <v>0</v>
      </c>
      <c r="M98" s="18"/>
      <c r="N98" s="18">
        <f ca="1">(E98-G98)*'GS&lt;50 Predicted Monthly'!$V$9</f>
        <v>161189.90572854757</v>
      </c>
      <c r="O98" s="18">
        <f ca="1">(F98-H98)*'GS&lt;50 Predicted Monthly'!$V$10</f>
        <v>0</v>
      </c>
      <c r="P98" s="18"/>
      <c r="Q98" s="18"/>
      <c r="R98" s="18"/>
      <c r="S98" s="20">
        <f t="shared" ref="S98:S121" ca="1" si="12">D98+N98+O98</f>
        <v>3616629.1730176019</v>
      </c>
    </row>
    <row r="99" spans="1:23">
      <c r="A99" s="541">
        <f>'Monthly Data'!A99</f>
        <v>45323</v>
      </c>
      <c r="B99">
        <f t="shared" si="8"/>
        <v>2024</v>
      </c>
      <c r="C99">
        <f t="shared" si="9"/>
        <v>2</v>
      </c>
      <c r="D99" s="30">
        <f>'Monthly Data'!J99</f>
        <v>2840878.0346191321</v>
      </c>
      <c r="E99" s="33">
        <f t="shared" ca="1" si="11"/>
        <v>803.82854166666664</v>
      </c>
      <c r="F99" s="33">
        <f t="shared" ca="1" si="11"/>
        <v>0</v>
      </c>
      <c r="G99" s="33">
        <f>'Monthly Data'!AQ99</f>
        <v>711.87916666666661</v>
      </c>
      <c r="H99" s="33">
        <f>'Monthly Data'!AZ99</f>
        <v>0</v>
      </c>
      <c r="I99" s="18">
        <f>'Monthly Data'!AD99</f>
        <v>876619.7</v>
      </c>
      <c r="J99" s="8">
        <f>'Monthly Data'!BU99</f>
        <v>28</v>
      </c>
      <c r="K99" s="30">
        <f>'Monthly Data'!BX99</f>
        <v>0</v>
      </c>
      <c r="M99" s="18"/>
      <c r="N99" s="18">
        <f ca="1">(E99-G99)*'GS&lt;50 Predicted Monthly'!$V$9</f>
        <v>173404.44105471234</v>
      </c>
      <c r="O99" s="18">
        <f ca="1">(F99-H99)*'GS&lt;50 Predicted Monthly'!$V$10</f>
        <v>0</v>
      </c>
      <c r="P99" s="18"/>
      <c r="Q99" s="18"/>
      <c r="R99" s="18"/>
      <c r="S99" s="20">
        <f t="shared" ca="1" si="12"/>
        <v>3014282.4756738446</v>
      </c>
    </row>
    <row r="100" spans="1:23">
      <c r="A100" s="541">
        <f>'Monthly Data'!A100</f>
        <v>45352</v>
      </c>
      <c r="B100">
        <f t="shared" si="8"/>
        <v>2024</v>
      </c>
      <c r="C100">
        <f t="shared" si="9"/>
        <v>3</v>
      </c>
      <c r="D100" s="30">
        <f>'Monthly Data'!J100</f>
        <v>2906094.8019492091</v>
      </c>
      <c r="E100" s="33">
        <f t="shared" ca="1" si="11"/>
        <v>698.29604166666672</v>
      </c>
      <c r="F100" s="33">
        <f t="shared" ca="1" si="11"/>
        <v>0</v>
      </c>
      <c r="G100" s="33">
        <f>'Monthly Data'!AQ100</f>
        <v>596.57916666666665</v>
      </c>
      <c r="H100" s="33">
        <f>'Monthly Data'!AZ100</f>
        <v>0</v>
      </c>
      <c r="I100" s="18">
        <f>'Monthly Data'!AD100</f>
        <v>876619.7</v>
      </c>
      <c r="J100" s="8">
        <f>'Monthly Data'!BU100</f>
        <v>31</v>
      </c>
      <c r="K100" s="30">
        <f>'Monthly Data'!BX100</f>
        <v>0</v>
      </c>
      <c r="M100" s="18"/>
      <c r="N100" s="18">
        <f ca="1">(E100-G100)*'GS&lt;50 Predicted Monthly'!$V$9</f>
        <v>191824.66281262977</v>
      </c>
      <c r="O100" s="18">
        <f ca="1">(F100-H100)*'GS&lt;50 Predicted Monthly'!$V$10</f>
        <v>0</v>
      </c>
      <c r="P100" s="18"/>
      <c r="Q100" s="18"/>
      <c r="R100" s="18"/>
      <c r="S100" s="20">
        <f t="shared" ca="1" si="12"/>
        <v>3097919.4647618388</v>
      </c>
    </row>
    <row r="101" spans="1:23">
      <c r="A101" s="541">
        <f>'Monthly Data'!A101</f>
        <v>45383</v>
      </c>
      <c r="B101">
        <f t="shared" si="8"/>
        <v>2024</v>
      </c>
      <c r="C101">
        <f t="shared" si="9"/>
        <v>4</v>
      </c>
      <c r="D101" s="30">
        <f>'Monthly Data'!J101</f>
        <v>2316820.5692792865</v>
      </c>
      <c r="E101" s="33">
        <f t="shared" ca="1" si="11"/>
        <v>468.60374999999993</v>
      </c>
      <c r="F101" s="33">
        <f t="shared" ca="1" si="11"/>
        <v>2.8104166666666677</v>
      </c>
      <c r="G101" s="33">
        <f>'Monthly Data'!AQ101</f>
        <v>417.11249999999995</v>
      </c>
      <c r="H101" s="33">
        <f>'Monthly Data'!AZ101</f>
        <v>0.7333333333333325</v>
      </c>
      <c r="I101" s="18">
        <f>'Monthly Data'!AD101</f>
        <v>876619.7</v>
      </c>
      <c r="J101" s="8">
        <f>'Monthly Data'!BU101</f>
        <v>30</v>
      </c>
      <c r="K101" s="30">
        <f>'Monthly Data'!BX101</f>
        <v>0</v>
      </c>
      <c r="M101" s="18"/>
      <c r="N101" s="18">
        <f ca="1">(E101-G101)*'GS&lt;50 Predicted Monthly'!$V$9</f>
        <v>97105.732643190349</v>
      </c>
      <c r="O101" s="18">
        <f ca="1">(F101-H101)*'GS&lt;50 Predicted Monthly'!$V$10</f>
        <v>7711.9496578109238</v>
      </c>
      <c r="P101" s="18"/>
      <c r="Q101" s="18"/>
      <c r="R101" s="18"/>
      <c r="S101" s="20">
        <f t="shared" ca="1" si="12"/>
        <v>2421638.2515802877</v>
      </c>
    </row>
    <row r="102" spans="1:23">
      <c r="A102" s="541">
        <f>'Monthly Data'!A102</f>
        <v>45413</v>
      </c>
      <c r="B102">
        <f t="shared" si="8"/>
        <v>2024</v>
      </c>
      <c r="C102">
        <f t="shared" si="9"/>
        <v>5</v>
      </c>
      <c r="D102" s="30">
        <f>'Monthly Data'!J102</f>
        <v>2431046.3366093636</v>
      </c>
      <c r="E102" s="33">
        <f t="shared" ca="1" si="11"/>
        <v>232.88687500000006</v>
      </c>
      <c r="F102" s="33">
        <f t="shared" ca="1" si="11"/>
        <v>74.673124999999999</v>
      </c>
      <c r="G102" s="33">
        <f>'Monthly Data'!AQ102</f>
        <v>162.30416666666667</v>
      </c>
      <c r="H102" s="33">
        <f>'Monthly Data'!AZ102</f>
        <v>96.229166666666686</v>
      </c>
      <c r="I102" s="18">
        <f>'Monthly Data'!AD102</f>
        <v>876619.7</v>
      </c>
      <c r="J102" s="8">
        <f>'Monthly Data'!BU102</f>
        <v>31</v>
      </c>
      <c r="K102" s="30">
        <f>'Monthly Data'!BX102</f>
        <v>0</v>
      </c>
      <c r="M102" s="18"/>
      <c r="N102" s="18">
        <f ca="1">(E102-G102)*'GS&lt;50 Predicted Monthly'!$V$9</f>
        <v>133109.71484764805</v>
      </c>
      <c r="O102" s="18">
        <f ca="1">(F102-H102)*'GS&lt;50 Predicted Monthly'!$V$10</f>
        <v>-80034.876544035957</v>
      </c>
      <c r="P102" s="18"/>
      <c r="Q102" s="18"/>
      <c r="R102" s="18"/>
      <c r="S102" s="20">
        <f t="shared" ca="1" si="12"/>
        <v>2484121.1749129756</v>
      </c>
    </row>
    <row r="103" spans="1:23">
      <c r="A103" s="541">
        <f>'Monthly Data'!A103</f>
        <v>45444</v>
      </c>
      <c r="B103">
        <f t="shared" si="8"/>
        <v>2024</v>
      </c>
      <c r="C103">
        <f t="shared" si="9"/>
        <v>6</v>
      </c>
      <c r="D103" s="30">
        <f>'Monthly Data'!J103</f>
        <v>2461796.103939441</v>
      </c>
      <c r="E103" s="33">
        <f t="shared" ca="1" si="11"/>
        <v>92.751249999999999</v>
      </c>
      <c r="F103" s="33">
        <f t="shared" ca="1" si="11"/>
        <v>169.78833333333333</v>
      </c>
      <c r="G103" s="33">
        <f>'Monthly Data'!AQ103</f>
        <v>82.241666666666674</v>
      </c>
      <c r="H103" s="33">
        <f>'Monthly Data'!AZ103</f>
        <v>187.28333333333333</v>
      </c>
      <c r="I103" s="18">
        <f>'Monthly Data'!AD103</f>
        <v>876619.7</v>
      </c>
      <c r="J103" s="8">
        <f>'Monthly Data'!BU103</f>
        <v>30</v>
      </c>
      <c r="K103" s="30">
        <f>'Monthly Data'!BX103</f>
        <v>0</v>
      </c>
      <c r="M103" s="18"/>
      <c r="N103" s="18">
        <f ca="1">(E103-G103)*'GS&lt;50 Predicted Monthly'!$V$9</f>
        <v>19819.693430592488</v>
      </c>
      <c r="O103" s="18">
        <f ca="1">(F103-H103)*'GS&lt;50 Predicted Monthly'!$V$10</f>
        <v>-64956.738662420234</v>
      </c>
      <c r="P103" s="18"/>
      <c r="Q103" s="18"/>
      <c r="R103" s="18"/>
      <c r="S103" s="20">
        <f t="shared" ca="1" si="12"/>
        <v>2416659.058707613</v>
      </c>
    </row>
    <row r="104" spans="1:23">
      <c r="A104" s="541">
        <f>'Monthly Data'!A104</f>
        <v>45474</v>
      </c>
      <c r="B104">
        <f t="shared" si="8"/>
        <v>2024</v>
      </c>
      <c r="C104">
        <f t="shared" si="9"/>
        <v>7</v>
      </c>
      <c r="D104" s="30">
        <f>'Monthly Data'!J104</f>
        <v>2743681.8712695185</v>
      </c>
      <c r="E104" s="33">
        <f t="shared" ca="1" si="11"/>
        <v>25.464999999999996</v>
      </c>
      <c r="F104" s="33">
        <f t="shared" ca="1" si="11"/>
        <v>265.99625000000003</v>
      </c>
      <c r="G104" s="33">
        <f>'Monthly Data'!AQ104</f>
        <v>17.166666666666668</v>
      </c>
      <c r="H104" s="33">
        <f>'Monthly Data'!AZ104</f>
        <v>274.14166666666665</v>
      </c>
      <c r="I104" s="18">
        <f>'Monthly Data'!AD104</f>
        <v>876619.7</v>
      </c>
      <c r="J104" s="8">
        <f>'Monthly Data'!BU104</f>
        <v>31</v>
      </c>
      <c r="K104" s="30">
        <f>'Monthly Data'!BX104</f>
        <v>0</v>
      </c>
      <c r="M104" s="18"/>
      <c r="N104" s="18">
        <f ca="1">(E104-G104)*'GS&lt;50 Predicted Monthly'!$V$9</f>
        <v>15649.566441885583</v>
      </c>
      <c r="O104" s="18">
        <f ca="1">(F104-H104)*'GS&lt;50 Predicted Monthly'!$V$10</f>
        <v>-30242.909500610782</v>
      </c>
      <c r="P104" s="18"/>
      <c r="Q104" s="18"/>
      <c r="R104" s="18"/>
      <c r="S104" s="20">
        <f t="shared" ca="1" si="12"/>
        <v>2729088.5282107936</v>
      </c>
    </row>
    <row r="105" spans="1:23">
      <c r="A105" s="541">
        <f>'Monthly Data'!A105</f>
        <v>45505</v>
      </c>
      <c r="B105">
        <f t="shared" si="8"/>
        <v>2024</v>
      </c>
      <c r="C105">
        <f t="shared" si="9"/>
        <v>8</v>
      </c>
      <c r="D105" s="30">
        <f>'Monthly Data'!J105</f>
        <v>2609738.6385995955</v>
      </c>
      <c r="E105" s="33">
        <f t="shared" ca="1" si="11"/>
        <v>54.974791666666668</v>
      </c>
      <c r="F105" s="33">
        <f t="shared" ca="1" si="11"/>
        <v>218.46562499999996</v>
      </c>
      <c r="G105" s="33">
        <f>'Monthly Data'!AQ105</f>
        <v>63.7</v>
      </c>
      <c r="H105" s="33">
        <f>'Monthly Data'!AZ105</f>
        <v>212.65</v>
      </c>
      <c r="I105" s="18">
        <f>'Monthly Data'!AD105</f>
        <v>876619.7</v>
      </c>
      <c r="J105" s="8">
        <f>'Monthly Data'!BU105</f>
        <v>31</v>
      </c>
      <c r="K105" s="30">
        <f>'Monthly Data'!BX105</f>
        <v>0</v>
      </c>
      <c r="M105" s="18"/>
      <c r="N105" s="18">
        <f ca="1">(E105-G105)*'GS&lt;50 Predicted Monthly'!$V$9</f>
        <v>-16454.596609575481</v>
      </c>
      <c r="O105" s="18">
        <f ca="1">(F105-H105)*'GS&lt;50 Predicted Monthly'!$V$10</f>
        <v>21592.68552635808</v>
      </c>
      <c r="P105" s="18"/>
      <c r="Q105" s="18"/>
      <c r="R105" s="18"/>
      <c r="S105" s="20">
        <f t="shared" ca="1" si="12"/>
        <v>2614876.7275163778</v>
      </c>
    </row>
    <row r="106" spans="1:23">
      <c r="A106" s="541">
        <f>'Monthly Data'!A106</f>
        <v>45536</v>
      </c>
      <c r="B106">
        <f t="shared" si="8"/>
        <v>2024</v>
      </c>
      <c r="C106">
        <f t="shared" si="9"/>
        <v>9</v>
      </c>
      <c r="D106" s="30">
        <f>'Monthly Data'!J106</f>
        <v>2334104.405929673</v>
      </c>
      <c r="E106" s="33">
        <f t="shared" ca="1" si="11"/>
        <v>166.50624999999999</v>
      </c>
      <c r="F106" s="33">
        <f t="shared" ca="1" si="11"/>
        <v>95.131249999999994</v>
      </c>
      <c r="G106" s="33">
        <f>'Monthly Data'!AQ106</f>
        <v>120.98333333333333</v>
      </c>
      <c r="H106" s="33">
        <f>'Monthly Data'!AZ106</f>
        <v>127.19583333333331</v>
      </c>
      <c r="I106" s="18">
        <f>'Monthly Data'!AD106</f>
        <v>876619.7</v>
      </c>
      <c r="J106" s="8">
        <f>'Monthly Data'!BU106</f>
        <v>30</v>
      </c>
      <c r="K106" s="30">
        <f>'Monthly Data'!BX106</f>
        <v>0</v>
      </c>
      <c r="M106" s="18"/>
      <c r="N106" s="18">
        <f ca="1">(E106-G106)*'GS&lt;50 Predicted Monthly'!$V$9</f>
        <v>85850.240088783394</v>
      </c>
      <c r="O106" s="18">
        <f ca="1">(F106-H106)*'GS&lt;50 Predicted Monthly'!$V$10</f>
        <v>-119051.77250087037</v>
      </c>
      <c r="P106" s="18"/>
      <c r="Q106" s="18"/>
      <c r="R106" s="18"/>
      <c r="S106" s="20">
        <f t="shared" ca="1" si="12"/>
        <v>2300902.8735175859</v>
      </c>
    </row>
    <row r="107" spans="1:23">
      <c r="A107" s="541">
        <f>'Monthly Data'!A107</f>
        <v>45566</v>
      </c>
      <c r="B107">
        <f t="shared" si="8"/>
        <v>2024</v>
      </c>
      <c r="C107">
        <f t="shared" si="9"/>
        <v>10</v>
      </c>
      <c r="D107" s="30">
        <f>'Monthly Data'!J107</f>
        <v>2395002.17325975</v>
      </c>
      <c r="E107" s="33">
        <f t="shared" ca="1" si="11"/>
        <v>363.47645833333326</v>
      </c>
      <c r="F107" s="33">
        <f t="shared" ca="1" si="11"/>
        <v>21.813750000000006</v>
      </c>
      <c r="G107" s="33">
        <f>'Monthly Data'!AQ107</f>
        <v>360.05833333333328</v>
      </c>
      <c r="H107" s="33">
        <f>'Monthly Data'!AZ107</f>
        <v>20.145833333333339</v>
      </c>
      <c r="I107" s="18">
        <f>'Monthly Data'!AD107</f>
        <v>876619.7</v>
      </c>
      <c r="J107" s="8">
        <f>'Monthly Data'!BU107</f>
        <v>31</v>
      </c>
      <c r="K107" s="30">
        <f>'Monthly Data'!BX107</f>
        <v>0</v>
      </c>
      <c r="M107" s="18"/>
      <c r="N107" s="18">
        <f ca="1">(E107-G107)*'GS&lt;50 Predicted Monthly'!$V$9</f>
        <v>6446.1346809604102</v>
      </c>
      <c r="O107" s="18">
        <f ca="1">(F107-H107)*'GS&lt;50 Predicted Monthly'!$V$10</f>
        <v>6192.7651916182749</v>
      </c>
      <c r="P107" s="18"/>
      <c r="Q107" s="18"/>
      <c r="R107" s="18"/>
      <c r="S107" s="20">
        <f t="shared" ca="1" si="12"/>
        <v>2407641.0731323287</v>
      </c>
    </row>
    <row r="108" spans="1:23">
      <c r="A108" s="541">
        <f>'Monthly Data'!A108</f>
        <v>45597</v>
      </c>
      <c r="B108">
        <f t="shared" si="8"/>
        <v>2024</v>
      </c>
      <c r="C108">
        <f t="shared" si="9"/>
        <v>11</v>
      </c>
      <c r="D108" s="30">
        <f>'Monthly Data'!J108</f>
        <v>2598939.9405898275</v>
      </c>
      <c r="E108" s="33">
        <f t="shared" ca="1" si="11"/>
        <v>586.00395833333334</v>
      </c>
      <c r="F108" s="33">
        <f t="shared" ca="1" si="11"/>
        <v>2.2795833333333335</v>
      </c>
      <c r="G108" s="33">
        <f>'Monthly Data'!AQ108</f>
        <v>506.44583333333338</v>
      </c>
      <c r="H108" s="33">
        <f>'Monthly Data'!AZ108</f>
        <v>2.6374999999999975</v>
      </c>
      <c r="I108" s="18">
        <f>'Monthly Data'!AD108</f>
        <v>876619.7</v>
      </c>
      <c r="J108" s="8">
        <f>'Monthly Data'!BU108</f>
        <v>30</v>
      </c>
      <c r="K108" s="30">
        <f>'Monthly Data'!BX108</f>
        <v>0</v>
      </c>
      <c r="M108" s="18"/>
      <c r="N108" s="18">
        <f ca="1">(E108-G108)*'GS&lt;50 Predicted Monthly'!$V$9</f>
        <v>150036.1715018283</v>
      </c>
      <c r="O108" s="18">
        <f ca="1">(F108-H108)*'GS&lt;50 Predicted Monthly'!$V$10</f>
        <v>-1328.8996501623928</v>
      </c>
      <c r="P108" s="18"/>
      <c r="Q108" s="18"/>
      <c r="R108" s="18"/>
      <c r="S108" s="20">
        <f t="shared" ca="1" si="12"/>
        <v>2747647.2124414933</v>
      </c>
    </row>
    <row r="109" spans="1:23">
      <c r="A109" s="541">
        <f>'Monthly Data'!A109</f>
        <v>45627</v>
      </c>
      <c r="B109">
        <f t="shared" si="8"/>
        <v>2024</v>
      </c>
      <c r="C109">
        <f t="shared" si="9"/>
        <v>12</v>
      </c>
      <c r="D109" s="30">
        <f>'Monthly Data'!J109</f>
        <v>3229266.7079199045</v>
      </c>
      <c r="E109" s="33">
        <f t="shared" ca="1" si="11"/>
        <v>812.36333333333334</v>
      </c>
      <c r="F109" s="33">
        <f t="shared" ca="1" si="11"/>
        <v>0</v>
      </c>
      <c r="G109" s="33">
        <f>'Monthly Data'!AQ109</f>
        <v>796.64791666666656</v>
      </c>
      <c r="H109" s="33">
        <f>'Monthly Data'!AZ109</f>
        <v>0</v>
      </c>
      <c r="I109" s="18">
        <f>'Monthly Data'!AD109</f>
        <v>876619.7</v>
      </c>
      <c r="J109" s="8">
        <f>'Monthly Data'!BU109</f>
        <v>31</v>
      </c>
      <c r="K109" s="30">
        <f>'Monthly Data'!BX109</f>
        <v>0</v>
      </c>
      <c r="M109" s="18"/>
      <c r="N109" s="18">
        <f ca="1">(E109-G109)*'GS&lt;50 Predicted Monthly'!$V$9</f>
        <v>29637.211161307656</v>
      </c>
      <c r="O109" s="18">
        <f ca="1">(F109-H109)*'GS&lt;50 Predicted Monthly'!$V$10</f>
        <v>0</v>
      </c>
      <c r="P109" s="18"/>
      <c r="Q109" s="18"/>
      <c r="R109" s="18"/>
      <c r="S109" s="20">
        <f t="shared" ca="1" si="12"/>
        <v>3258903.919081212</v>
      </c>
    </row>
    <row r="110" spans="1:23">
      <c r="A110" s="541">
        <f>'Monthly Data'!A110</f>
        <v>45658</v>
      </c>
      <c r="B110">
        <f t="shared" si="8"/>
        <v>2025</v>
      </c>
      <c r="C110">
        <f t="shared" si="9"/>
        <v>1</v>
      </c>
      <c r="D110" s="30">
        <f>'Monthly Data'!J110</f>
        <v>3521304.201942143</v>
      </c>
      <c r="E110" s="33">
        <f t="shared" ca="1" si="11"/>
        <v>914.55166666666662</v>
      </c>
      <c r="F110" s="33">
        <f t="shared" ca="1" si="11"/>
        <v>0</v>
      </c>
      <c r="G110" s="33">
        <f>'Monthly Data'!AQ110</f>
        <v>930.57291666666663</v>
      </c>
      <c r="H110" s="33">
        <f>'Monthly Data'!AZ110</f>
        <v>0</v>
      </c>
      <c r="I110" s="18">
        <f>'Monthly Data'!AD110</f>
        <v>887796.60117499996</v>
      </c>
      <c r="J110" s="8">
        <f>'Monthly Data'!BU110</f>
        <v>31</v>
      </c>
      <c r="K110" s="30">
        <f>'Monthly Data'!BX110</f>
        <v>0</v>
      </c>
      <c r="M110" s="18"/>
      <c r="N110" s="18">
        <f ca="1">(E110-G110)*'GS&lt;50 Predicted Monthly'!$V$9</f>
        <v>-30213.972647968632</v>
      </c>
      <c r="O110" s="18">
        <f ca="1">(F110-H110)*'GS&lt;50 Predicted Monthly'!$V$10</f>
        <v>0</v>
      </c>
      <c r="P110" s="18"/>
      <c r="Q110" s="18"/>
      <c r="R110" s="18"/>
      <c r="S110" s="20">
        <f t="shared" ca="1" si="12"/>
        <v>3491090.2292941744</v>
      </c>
    </row>
    <row r="111" spans="1:23">
      <c r="A111" s="541">
        <f>'Monthly Data'!A111</f>
        <v>45689</v>
      </c>
      <c r="B111">
        <f t="shared" si="8"/>
        <v>2025</v>
      </c>
      <c r="C111">
        <f t="shared" si="9"/>
        <v>2</v>
      </c>
      <c r="D111" s="30">
        <f>'Monthly Data'!J111</f>
        <v>3248937.8305204986</v>
      </c>
      <c r="E111" s="33">
        <f t="shared" ca="1" si="11"/>
        <v>803.82854166666664</v>
      </c>
      <c r="F111" s="33">
        <f t="shared" ca="1" si="11"/>
        <v>0</v>
      </c>
      <c r="G111" s="33">
        <f>'Monthly Data'!AQ111</f>
        <v>851.05000000000007</v>
      </c>
      <c r="H111" s="33">
        <f>'Monthly Data'!AZ111</f>
        <v>0</v>
      </c>
      <c r="I111" s="18">
        <f>'Monthly Data'!AD111</f>
        <v>887796.60117499996</v>
      </c>
      <c r="J111" s="8">
        <f>'Monthly Data'!BU111</f>
        <v>28</v>
      </c>
      <c r="K111" s="30">
        <f>'Monthly Data'!BX111</f>
        <v>0</v>
      </c>
      <c r="M111" s="18"/>
      <c r="N111" s="18">
        <f ca="1">(E111-G111)*'GS&lt;50 Predicted Monthly'!$V$9</f>
        <v>-89053.466519811249</v>
      </c>
      <c r="O111" s="18">
        <f ca="1">(F111-H111)*'GS&lt;50 Predicted Monthly'!$V$10</f>
        <v>0</v>
      </c>
      <c r="P111" s="18"/>
      <c r="Q111" s="18"/>
      <c r="R111" s="18"/>
      <c r="S111" s="20">
        <f t="shared" ca="1" si="12"/>
        <v>3159884.3640006874</v>
      </c>
    </row>
    <row r="112" spans="1:23">
      <c r="A112" s="541">
        <f>'Monthly Data'!A112</f>
        <v>45717</v>
      </c>
      <c r="B112">
        <f t="shared" si="8"/>
        <v>2025</v>
      </c>
      <c r="C112">
        <f t="shared" si="9"/>
        <v>3</v>
      </c>
      <c r="D112" s="30">
        <f>'Monthly Data'!J112</f>
        <v>3122756.4590988536</v>
      </c>
      <c r="E112" s="33">
        <f t="shared" ca="1" si="11"/>
        <v>698.29604166666672</v>
      </c>
      <c r="F112" s="33">
        <f t="shared" ca="1" si="11"/>
        <v>0</v>
      </c>
      <c r="G112" s="33">
        <f>'Monthly Data'!AQ112</f>
        <v>682.18333333333362</v>
      </c>
      <c r="H112" s="33">
        <f>'Monthly Data'!AZ112</f>
        <v>0</v>
      </c>
      <c r="I112" s="18">
        <f>'Monthly Data'!AD112</f>
        <v>887796.60117499996</v>
      </c>
      <c r="J112" s="8">
        <f>'Monthly Data'!BU112</f>
        <v>31</v>
      </c>
      <c r="K112" s="30">
        <f>'Monthly Data'!BX112</f>
        <v>0</v>
      </c>
      <c r="M112" s="18"/>
      <c r="N112" s="18">
        <f ca="1">(E112-G112)*'GS&lt;50 Predicted Monthly'!$V$9</f>
        <v>30386.451048952007</v>
      </c>
      <c r="O112" s="18">
        <f ca="1">(F112-H112)*'GS&lt;50 Predicted Monthly'!$V$10</f>
        <v>0</v>
      </c>
      <c r="P112" s="18"/>
      <c r="Q112" s="18"/>
      <c r="R112" s="18"/>
      <c r="S112" s="20">
        <f t="shared" ca="1" si="12"/>
        <v>3153142.9101478057</v>
      </c>
      <c r="V112" s="18"/>
      <c r="W112" s="34"/>
    </row>
    <row r="113" spans="1:23">
      <c r="A113" s="541">
        <f>'Monthly Data'!A113</f>
        <v>45748</v>
      </c>
      <c r="B113">
        <f t="shared" si="8"/>
        <v>2025</v>
      </c>
      <c r="C113">
        <f t="shared" si="9"/>
        <v>4</v>
      </c>
      <c r="D113" s="30">
        <f>'Monthly Data'!J113</f>
        <v>2652049.0876772087</v>
      </c>
      <c r="E113" s="33">
        <f t="shared" ca="1" si="11"/>
        <v>468.60374999999993</v>
      </c>
      <c r="F113" s="33">
        <f t="shared" ca="1" si="11"/>
        <v>2.8104166666666677</v>
      </c>
      <c r="G113" s="33">
        <f>'Monthly Data'!AQ113</f>
        <v>479.43541666666664</v>
      </c>
      <c r="H113" s="33">
        <f>'Monthly Data'!AZ113</f>
        <v>4.6874999999999982</v>
      </c>
      <c r="I113" s="18">
        <f>'Monthly Data'!AD113</f>
        <v>887796.60117499996</v>
      </c>
      <c r="J113" s="8">
        <f>'Monthly Data'!BU113</f>
        <v>30</v>
      </c>
      <c r="K113" s="30">
        <f>'Monthly Data'!BX113</f>
        <v>0</v>
      </c>
      <c r="M113" s="18"/>
      <c r="N113" s="18">
        <f ca="1">(E113-G113)*'GS&lt;50 Predicted Monthly'!$V$9</f>
        <v>-20427.100282348834</v>
      </c>
      <c r="O113" s="18">
        <f ca="1">(F113-H113)*'GS&lt;50 Predicted Monthly'!$V$10</f>
        <v>-6969.3747659855826</v>
      </c>
      <c r="P113" s="18"/>
      <c r="Q113" s="18"/>
      <c r="R113" s="18"/>
      <c r="S113" s="20">
        <f t="shared" ca="1" si="12"/>
        <v>2624652.6126288744</v>
      </c>
      <c r="V113" s="18"/>
      <c r="W113" s="34"/>
    </row>
    <row r="114" spans="1:23">
      <c r="A114" s="541">
        <f>'Monthly Data'!A114</f>
        <v>45778</v>
      </c>
      <c r="B114">
        <f t="shared" si="8"/>
        <v>2025</v>
      </c>
      <c r="C114">
        <f t="shared" si="9"/>
        <v>5</v>
      </c>
      <c r="D114" s="30">
        <f>'Monthly Data'!J114</f>
        <v>2377775.7162555638</v>
      </c>
      <c r="E114" s="33">
        <f t="shared" ref="E114:F133" ca="1" si="13">E102</f>
        <v>232.88687500000006</v>
      </c>
      <c r="F114" s="33">
        <f t="shared" ca="1" si="13"/>
        <v>74.673124999999999</v>
      </c>
      <c r="G114" s="33">
        <f>'Monthly Data'!AQ114</f>
        <v>237.32916666666665</v>
      </c>
      <c r="H114" s="33">
        <f>'Monthly Data'!AZ114</f>
        <v>62.020833333333329</v>
      </c>
      <c r="I114" s="18">
        <f>'Monthly Data'!AD114</f>
        <v>887796.60117499996</v>
      </c>
      <c r="J114" s="8">
        <f>'Monthly Data'!BU114</f>
        <v>31</v>
      </c>
      <c r="K114" s="30">
        <f>'Monthly Data'!BX114</f>
        <v>0</v>
      </c>
      <c r="M114" s="18"/>
      <c r="N114" s="18">
        <f ca="1">(E114-G114)*'GS&lt;50 Predicted Monthly'!$V$9</f>
        <v>-8377.5784605422978</v>
      </c>
      <c r="O114" s="18">
        <f ca="1">(F114-H114)*'GS&lt;50 Predicted Monthly'!$V$10</f>
        <v>46976.370578587252</v>
      </c>
      <c r="P114" s="18"/>
      <c r="Q114" s="18"/>
      <c r="R114" s="18"/>
      <c r="S114" s="20">
        <f t="shared" ca="1" si="12"/>
        <v>2416374.5083736083</v>
      </c>
      <c r="V114" s="18"/>
      <c r="W114" s="34"/>
    </row>
    <row r="115" spans="1:23">
      <c r="A115" s="541">
        <f>'Monthly Data'!A115</f>
        <v>45809</v>
      </c>
      <c r="B115">
        <f t="shared" si="8"/>
        <v>2025</v>
      </c>
      <c r="C115">
        <f t="shared" si="9"/>
        <v>6</v>
      </c>
      <c r="D115" s="30">
        <f>'Monthly Data'!J115</f>
        <v>2523449.3448339188</v>
      </c>
      <c r="E115" s="33">
        <f t="shared" ca="1" si="13"/>
        <v>92.751249999999999</v>
      </c>
      <c r="F115" s="33">
        <f t="shared" ca="1" si="13"/>
        <v>169.78833333333333</v>
      </c>
      <c r="G115" s="33">
        <f>'Monthly Data'!AQ115</f>
        <v>85.787499999999994</v>
      </c>
      <c r="H115" s="33">
        <f>'Monthly Data'!AZ115</f>
        <v>191.33749999999998</v>
      </c>
      <c r="I115" s="18">
        <f>'Monthly Data'!AD115</f>
        <v>887796.60117499996</v>
      </c>
      <c r="J115" s="8">
        <f>'Monthly Data'!BU115</f>
        <v>30</v>
      </c>
      <c r="K115" s="30">
        <f>'Monthly Data'!BX115</f>
        <v>0</v>
      </c>
      <c r="M115" s="18"/>
      <c r="N115" s="18">
        <f ca="1">(E115-G115)*'GS&lt;50 Predicted Monthly'!$V$9</f>
        <v>13132.717611128444</v>
      </c>
      <c r="O115" s="18">
        <f ca="1">(F115-H115)*'GS&lt;50 Predicted Monthly'!$V$10</f>
        <v>-80009.350532129334</v>
      </c>
      <c r="P115" s="18"/>
      <c r="Q115" s="18"/>
      <c r="R115" s="18"/>
      <c r="S115" s="20">
        <f t="shared" ca="1" si="12"/>
        <v>2456572.7119129179</v>
      </c>
      <c r="V115" s="18"/>
      <c r="W115" s="34"/>
    </row>
    <row r="116" spans="1:23">
      <c r="A116" s="541">
        <f>'Monthly Data'!A116</f>
        <v>45839</v>
      </c>
      <c r="B116">
        <f t="shared" si="8"/>
        <v>2025</v>
      </c>
      <c r="C116">
        <f t="shared" si="9"/>
        <v>7</v>
      </c>
      <c r="D116" s="30">
        <f>'Monthly Data'!J116</f>
        <v>2937793.9734122739</v>
      </c>
      <c r="E116" s="33">
        <f t="shared" ca="1" si="13"/>
        <v>25.464999999999996</v>
      </c>
      <c r="F116" s="33">
        <f t="shared" ca="1" si="13"/>
        <v>265.99625000000003</v>
      </c>
      <c r="G116" s="33">
        <f>'Monthly Data'!AQ116</f>
        <v>23.716666666666676</v>
      </c>
      <c r="H116" s="33">
        <f>'Monthly Data'!AZ116</f>
        <v>285.84375000000006</v>
      </c>
      <c r="I116" s="18">
        <f>'Monthly Data'!AD116</f>
        <v>887796.60117499996</v>
      </c>
      <c r="J116" s="8">
        <f>'Monthly Data'!BU116</f>
        <v>31</v>
      </c>
      <c r="K116" s="30">
        <f>'Monthly Data'!BX116</f>
        <v>0</v>
      </c>
      <c r="M116" s="18"/>
      <c r="N116" s="18">
        <f ca="1">(E116-G116)*'GS&lt;50 Predicted Monthly'!$V$9</f>
        <v>3297.1269727933054</v>
      </c>
      <c r="O116" s="18">
        <f ca="1">(F116-H116)*'GS&lt;50 Predicted Monthly'!$V$10</f>
        <v>-73691.275827515681</v>
      </c>
      <c r="P116" s="18"/>
      <c r="Q116" s="18"/>
      <c r="R116" s="18"/>
      <c r="S116" s="20">
        <f t="shared" ca="1" si="12"/>
        <v>2867399.8245575512</v>
      </c>
      <c r="V116" s="18"/>
      <c r="W116" s="34"/>
    </row>
    <row r="117" spans="1:23">
      <c r="A117" s="541">
        <f>'Monthly Data'!A117</f>
        <v>45870</v>
      </c>
      <c r="B117">
        <f t="shared" si="8"/>
        <v>2025</v>
      </c>
      <c r="C117">
        <f t="shared" si="9"/>
        <v>8</v>
      </c>
      <c r="D117" s="30">
        <f>'Monthly Data'!J117</f>
        <v>2631549.601990629</v>
      </c>
      <c r="E117" s="33">
        <f t="shared" ca="1" si="13"/>
        <v>54.974791666666668</v>
      </c>
      <c r="F117" s="33">
        <f t="shared" ca="1" si="13"/>
        <v>218.46562499999996</v>
      </c>
      <c r="G117" s="33">
        <f>'Monthly Data'!AQ117</f>
        <v>67.597916666666677</v>
      </c>
      <c r="H117" s="33">
        <f>'Monthly Data'!AZ117</f>
        <v>218.76041666666663</v>
      </c>
      <c r="I117" s="18">
        <f>'Monthly Data'!AD117</f>
        <v>887796.60117499996</v>
      </c>
      <c r="J117" s="8">
        <f>'Monthly Data'!BU117</f>
        <v>31</v>
      </c>
      <c r="K117" s="30">
        <f>'Monthly Data'!BX117</f>
        <v>0</v>
      </c>
      <c r="M117" s="18"/>
      <c r="N117" s="18">
        <f ca="1">(E117-G117)*'GS&lt;50 Predicted Monthly'!$V$9</f>
        <v>-23805.555339432882</v>
      </c>
      <c r="O117" s="18">
        <f ca="1">(F117-H117)*'GS&lt;50 Predicted Monthly'!$V$10</f>
        <v>-1094.5244499300418</v>
      </c>
      <c r="P117" s="18"/>
      <c r="Q117" s="18"/>
      <c r="R117" s="18"/>
      <c r="S117" s="20">
        <f t="shared" ca="1" si="12"/>
        <v>2606649.5222012661</v>
      </c>
      <c r="V117" s="18"/>
      <c r="W117" s="34"/>
    </row>
    <row r="118" spans="1:23">
      <c r="A118" s="541">
        <f>'Monthly Data'!A118</f>
        <v>45901</v>
      </c>
      <c r="B118">
        <f t="shared" si="8"/>
        <v>2025</v>
      </c>
      <c r="C118">
        <f t="shared" si="9"/>
        <v>9</v>
      </c>
      <c r="D118" s="30">
        <f>'Monthly Data'!J118</f>
        <v>2310858.2305689845</v>
      </c>
      <c r="E118" s="33">
        <f t="shared" ca="1" si="13"/>
        <v>166.50624999999999</v>
      </c>
      <c r="F118" s="33">
        <f t="shared" ca="1" si="13"/>
        <v>95.131249999999994</v>
      </c>
      <c r="G118" s="33">
        <f>'Monthly Data'!AQ118</f>
        <v>178.70416666666671</v>
      </c>
      <c r="H118" s="33">
        <f>'Monthly Data'!AZ118</f>
        <v>73.020833333333343</v>
      </c>
      <c r="I118" s="18">
        <f>'Monthly Data'!AD118</f>
        <v>887796.60117499996</v>
      </c>
      <c r="J118" s="8">
        <f>'Monthly Data'!BU118</f>
        <v>30</v>
      </c>
      <c r="K118" s="30">
        <f>'Monthly Data'!BX118</f>
        <v>0</v>
      </c>
      <c r="M118" s="18"/>
      <c r="N118" s="18">
        <f ca="1">(E118-G118)*'GS&lt;50 Predicted Monthly'!$V$9</f>
        <v>-23003.668286111795</v>
      </c>
      <c r="O118" s="18">
        <f ca="1">(F118-H118)*'GS&lt;50 Predicted Monthly'!$V$10</f>
        <v>82093.20132231414</v>
      </c>
      <c r="P118" s="18"/>
      <c r="Q118" s="18"/>
      <c r="R118" s="18"/>
      <c r="S118" s="20">
        <f t="shared" ca="1" si="12"/>
        <v>2369947.7636051872</v>
      </c>
      <c r="V118" s="18"/>
      <c r="W118" s="34"/>
    </row>
    <row r="119" spans="1:23">
      <c r="A119" s="541">
        <f>'Monthly Data'!A119</f>
        <v>45931</v>
      </c>
      <c r="B119">
        <f t="shared" si="8"/>
        <v>2025</v>
      </c>
      <c r="C119">
        <f t="shared" si="9"/>
        <v>10</v>
      </c>
      <c r="D119" s="30">
        <f>'Monthly Data'!J119</f>
        <v>2422413.8591473396</v>
      </c>
      <c r="E119" s="33">
        <f t="shared" ca="1" si="13"/>
        <v>363.47645833333326</v>
      </c>
      <c r="F119" s="33">
        <f t="shared" ca="1" si="13"/>
        <v>21.813750000000006</v>
      </c>
      <c r="G119" s="33">
        <f>'Monthly Data'!AQ119</f>
        <v>347.06666666666666</v>
      </c>
      <c r="H119" s="33">
        <f>'Monthly Data'!AZ119</f>
        <v>37.666666666666671</v>
      </c>
      <c r="I119" s="18">
        <f>'Monthly Data'!AD119</f>
        <v>887796.60117499996</v>
      </c>
      <c r="J119" s="8">
        <f>'Monthly Data'!BU119</f>
        <v>31</v>
      </c>
      <c r="K119" s="30">
        <f>'Monthly Data'!BX119</f>
        <v>0</v>
      </c>
      <c r="M119" s="18"/>
      <c r="N119" s="18">
        <f ca="1">(E119-G119)*'GS&lt;50 Predicted Monthly'!$V$9</f>
        <v>30946.711185177668</v>
      </c>
      <c r="O119" s="18">
        <f ca="1">(F119-H119)*'GS&lt;50 Predicted Monthly'!$V$10</f>
        <v>-58859.889394329373</v>
      </c>
      <c r="P119" s="18"/>
      <c r="Q119" s="18"/>
      <c r="R119" s="18"/>
      <c r="S119" s="20">
        <f t="shared" ca="1" si="12"/>
        <v>2394500.680938188</v>
      </c>
      <c r="V119" s="18"/>
      <c r="W119" s="34"/>
    </row>
    <row r="120" spans="1:23">
      <c r="A120" s="541">
        <f>'Monthly Data'!A120</f>
        <v>45962</v>
      </c>
      <c r="B120">
        <f t="shared" si="8"/>
        <v>2025</v>
      </c>
      <c r="C120">
        <f t="shared" si="9"/>
        <v>11</v>
      </c>
      <c r="D120" s="30">
        <f>'Monthly Data'!J120</f>
        <v>2843005.4877256947</v>
      </c>
      <c r="E120" s="33">
        <f t="shared" ca="1" si="13"/>
        <v>586.00395833333334</v>
      </c>
      <c r="F120" s="33">
        <f t="shared" ca="1" si="13"/>
        <v>2.2795833333333335</v>
      </c>
      <c r="G120" s="33">
        <f>'Monthly Data'!AQ120</f>
        <v>607.22916666666652</v>
      </c>
      <c r="H120" s="33">
        <f>'Monthly Data'!AZ120</f>
        <v>0</v>
      </c>
      <c r="I120" s="18">
        <f>'Monthly Data'!AD120</f>
        <v>887796.60117499996</v>
      </c>
      <c r="J120" s="8">
        <f>'Monthly Data'!BU120</f>
        <v>30</v>
      </c>
      <c r="K120" s="30">
        <f>'Monthly Data'!BX120</f>
        <v>0</v>
      </c>
      <c r="M120" s="18"/>
      <c r="N120" s="18">
        <f ca="1">(E120-G120)*'GS&lt;50 Predicted Monthly'!$V$9</f>
        <v>-40027.954375018424</v>
      </c>
      <c r="O120" s="18">
        <f ca="1">(F120-H120)*'GS&lt;50 Predicted Monthly'!$V$10</f>
        <v>8463.8067357840573</v>
      </c>
      <c r="P120" s="18"/>
      <c r="Q120" s="18"/>
      <c r="R120" s="18"/>
      <c r="S120" s="20">
        <f t="shared" ca="1" si="12"/>
        <v>2811441.3400864606</v>
      </c>
      <c r="V120" s="18"/>
      <c r="W120" s="34"/>
    </row>
    <row r="121" spans="1:23">
      <c r="A121" s="541">
        <f>'Monthly Data'!A121</f>
        <v>45992</v>
      </c>
      <c r="B121">
        <f t="shared" si="8"/>
        <v>2025</v>
      </c>
      <c r="C121">
        <f t="shared" si="9"/>
        <v>12</v>
      </c>
      <c r="D121" s="30">
        <f>'Monthly Data'!J121</f>
        <v>3449857.1163040497</v>
      </c>
      <c r="E121" s="33">
        <f t="shared" ca="1" si="13"/>
        <v>812.36333333333334</v>
      </c>
      <c r="F121" s="33">
        <f t="shared" ca="1" si="13"/>
        <v>0</v>
      </c>
      <c r="G121" s="33">
        <f>'Monthly Data'!AQ121</f>
        <v>915.94583333333321</v>
      </c>
      <c r="H121" s="33">
        <f>'Monthly Data'!AZ121</f>
        <v>0</v>
      </c>
      <c r="I121" s="18">
        <f>'Monthly Data'!AD121</f>
        <v>887796.60117499996</v>
      </c>
      <c r="J121" s="8">
        <f>'Monthly Data'!BU121</f>
        <v>31</v>
      </c>
      <c r="K121" s="30">
        <f>'Monthly Data'!BX121</f>
        <v>0</v>
      </c>
      <c r="M121" s="18"/>
      <c r="N121" s="18">
        <f ca="1">(E121-G121)*'GS&lt;50 Predicted Monthly'!$V$9</f>
        <v>-195342.98645912181</v>
      </c>
      <c r="O121" s="18">
        <f ca="1">(F121-H121)*'GS&lt;50 Predicted Monthly'!$V$10</f>
        <v>0</v>
      </c>
      <c r="P121" s="18"/>
      <c r="Q121" s="18"/>
      <c r="R121" s="18"/>
      <c r="S121" s="20">
        <f t="shared" ca="1" si="12"/>
        <v>3254514.1298449282</v>
      </c>
      <c r="V121" s="18"/>
      <c r="W121" s="34"/>
    </row>
    <row r="122" spans="1:23">
      <c r="A122" s="541">
        <f>EOMONTH(A121,0)+1</f>
        <v>46023</v>
      </c>
      <c r="B122">
        <f t="shared" si="8"/>
        <v>2026</v>
      </c>
      <c r="C122">
        <f t="shared" si="9"/>
        <v>1</v>
      </c>
      <c r="E122" s="264">
        <f t="shared" ca="1" si="13"/>
        <v>914.55166666666662</v>
      </c>
      <c r="F122" s="264">
        <f t="shared" ca="1" si="13"/>
        <v>0</v>
      </c>
      <c r="G122" s="33"/>
      <c r="H122" s="33"/>
      <c r="I122" s="279">
        <f>Economic!H124</f>
        <v>895342.87228498736</v>
      </c>
      <c r="J122" s="263">
        <f>J74</f>
        <v>31</v>
      </c>
      <c r="K122" s="265">
        <f t="shared" ref="K122:K140" si="14">K110</f>
        <v>0</v>
      </c>
      <c r="M122" s="18">
        <f>'GS&lt;50 Predicted Monthly'!$V$8</f>
        <v>-2135516.9462582301</v>
      </c>
      <c r="N122" s="18">
        <f ca="1">E122*'GS&lt;50 Predicted Monthly'!$V$9</f>
        <v>1724724.2906652587</v>
      </c>
      <c r="O122" s="18">
        <f ca="1">F122*'GS&lt;50 Predicted Monthly'!$V$10</f>
        <v>0</v>
      </c>
      <c r="P122" s="18">
        <f>I122*'GS&lt;50 Predicted Monthly'!$V$11</f>
        <v>2157341.9743418242</v>
      </c>
      <c r="Q122" s="18">
        <f>J122*'GS&lt;50 Predicted Monthly'!$V$12</f>
        <v>1722828.0010148797</v>
      </c>
      <c r="R122" s="18">
        <f>K122*'GS&lt;50 Predicted Monthly'!$V$13</f>
        <v>0</v>
      </c>
      <c r="S122" s="20">
        <f t="shared" ref="S122:S145" ca="1" si="15">SUM(M122:R122)</f>
        <v>3469377.3197637321</v>
      </c>
      <c r="U122" s="30"/>
      <c r="V122" s="18"/>
      <c r="W122" s="34"/>
    </row>
    <row r="123" spans="1:23">
      <c r="A123" s="541">
        <f t="shared" ref="A123:A145" si="16">EOMONTH(A122,0)+1</f>
        <v>46054</v>
      </c>
      <c r="B123">
        <f t="shared" si="8"/>
        <v>2026</v>
      </c>
      <c r="C123">
        <f t="shared" si="9"/>
        <v>2</v>
      </c>
      <c r="E123" s="264">
        <f t="shared" ca="1" si="13"/>
        <v>803.82854166666664</v>
      </c>
      <c r="F123" s="264">
        <f t="shared" ca="1" si="13"/>
        <v>0</v>
      </c>
      <c r="G123" s="33"/>
      <c r="H123" s="33"/>
      <c r="I123" s="279">
        <f>Economic!H125</f>
        <v>895342.87228498736</v>
      </c>
      <c r="J123" s="263">
        <f t="shared" ref="J123:J145" si="17">J75</f>
        <v>29</v>
      </c>
      <c r="K123" s="265">
        <f t="shared" si="14"/>
        <v>0</v>
      </c>
      <c r="M123" s="18">
        <f>'GS&lt;50 Predicted Monthly'!$V$8</f>
        <v>-2135516.9462582301</v>
      </c>
      <c r="N123" s="18">
        <f ca="1">E123*'GS&lt;50 Predicted Monthly'!$V$9</f>
        <v>1515915.0235826271</v>
      </c>
      <c r="O123" s="18">
        <f ca="1">F123*'GS&lt;50 Predicted Monthly'!$V$10</f>
        <v>0</v>
      </c>
      <c r="P123" s="18">
        <f>I123*'GS&lt;50 Predicted Monthly'!$V$11</f>
        <v>2157341.9743418242</v>
      </c>
      <c r="Q123" s="18">
        <f>J123*'GS&lt;50 Predicted Monthly'!$V$12</f>
        <v>1611677.8074010164</v>
      </c>
      <c r="R123" s="18">
        <f>K123*'GS&lt;50 Predicted Monthly'!$V$13</f>
        <v>0</v>
      </c>
      <c r="S123" s="20">
        <f t="shared" ca="1" si="15"/>
        <v>3149417.8590672375</v>
      </c>
      <c r="U123" s="30"/>
      <c r="V123" s="18"/>
      <c r="W123" s="34"/>
    </row>
    <row r="124" spans="1:23">
      <c r="A124" s="541">
        <f t="shared" si="16"/>
        <v>46082</v>
      </c>
      <c r="B124">
        <f t="shared" si="8"/>
        <v>2026</v>
      </c>
      <c r="C124">
        <f t="shared" si="9"/>
        <v>3</v>
      </c>
      <c r="E124" s="264">
        <f t="shared" ca="1" si="13"/>
        <v>698.29604166666672</v>
      </c>
      <c r="F124" s="264">
        <f t="shared" ca="1" si="13"/>
        <v>0</v>
      </c>
      <c r="G124" s="33"/>
      <c r="H124" s="33"/>
      <c r="I124" s="279">
        <f>Economic!H126</f>
        <v>895342.87228498736</v>
      </c>
      <c r="J124" s="263">
        <f t="shared" si="17"/>
        <v>31</v>
      </c>
      <c r="K124" s="265">
        <f t="shared" si="14"/>
        <v>0</v>
      </c>
      <c r="M124" s="18">
        <f>'GS&lt;50 Predicted Monthly'!$V$8</f>
        <v>-2135516.9462582301</v>
      </c>
      <c r="N124" s="18">
        <f ca="1">E124*'GS&lt;50 Predicted Monthly'!$V$9</f>
        <v>1316894.5933120961</v>
      </c>
      <c r="O124" s="18">
        <f ca="1">F124*'GS&lt;50 Predicted Monthly'!$V$10</f>
        <v>0</v>
      </c>
      <c r="P124" s="18">
        <f>I124*'GS&lt;50 Predicted Monthly'!$V$11</f>
        <v>2157341.9743418242</v>
      </c>
      <c r="Q124" s="18">
        <f>J124*'GS&lt;50 Predicted Monthly'!$V$12</f>
        <v>1722828.0010148797</v>
      </c>
      <c r="R124" s="18">
        <f>K124*'GS&lt;50 Predicted Monthly'!$V$13</f>
        <v>0</v>
      </c>
      <c r="S124" s="20">
        <f t="shared" ca="1" si="15"/>
        <v>3061547.6224105698</v>
      </c>
      <c r="U124" s="30"/>
    </row>
    <row r="125" spans="1:23">
      <c r="A125" s="541">
        <f t="shared" si="16"/>
        <v>46113</v>
      </c>
      <c r="B125">
        <f t="shared" si="8"/>
        <v>2026</v>
      </c>
      <c r="C125">
        <f t="shared" si="9"/>
        <v>4</v>
      </c>
      <c r="E125" s="264">
        <f t="shared" ca="1" si="13"/>
        <v>468.60374999999993</v>
      </c>
      <c r="F125" s="264">
        <f t="shared" ca="1" si="13"/>
        <v>2.8104166666666677</v>
      </c>
      <c r="G125" s="33"/>
      <c r="H125" s="33"/>
      <c r="I125" s="279">
        <f>Economic!H127</f>
        <v>895342.87228498736</v>
      </c>
      <c r="J125" s="263">
        <f t="shared" si="17"/>
        <v>30</v>
      </c>
      <c r="K125" s="265">
        <f t="shared" si="14"/>
        <v>0</v>
      </c>
      <c r="M125" s="18">
        <f>'GS&lt;50 Predicted Monthly'!$V$8</f>
        <v>-2135516.9462582301</v>
      </c>
      <c r="N125" s="18">
        <f ca="1">E125*'GS&lt;50 Predicted Monthly'!$V$9</f>
        <v>883725.10791826609</v>
      </c>
      <c r="O125" s="18">
        <f ca="1">F125*'GS&lt;50 Predicted Monthly'!$V$10</f>
        <v>10434.724261170442</v>
      </c>
      <c r="P125" s="18">
        <f>I125*'GS&lt;50 Predicted Monthly'!$V$11</f>
        <v>2157341.9743418242</v>
      </c>
      <c r="Q125" s="18">
        <f>J125*'GS&lt;50 Predicted Monthly'!$V$12</f>
        <v>1667252.9042079481</v>
      </c>
      <c r="R125" s="18">
        <f>K125*'GS&lt;50 Predicted Monthly'!$V$13</f>
        <v>0</v>
      </c>
      <c r="S125" s="20">
        <f t="shared" ca="1" si="15"/>
        <v>2583237.7644709786</v>
      </c>
      <c r="U125" s="30"/>
      <c r="V125" s="18"/>
    </row>
    <row r="126" spans="1:23">
      <c r="A126" s="541">
        <f t="shared" si="16"/>
        <v>46143</v>
      </c>
      <c r="B126">
        <f t="shared" si="8"/>
        <v>2026</v>
      </c>
      <c r="C126">
        <f t="shared" si="9"/>
        <v>5</v>
      </c>
      <c r="E126" s="264">
        <f t="shared" ca="1" si="13"/>
        <v>232.88687500000006</v>
      </c>
      <c r="F126" s="264">
        <f t="shared" ca="1" si="13"/>
        <v>74.673124999999999</v>
      </c>
      <c r="G126" s="33"/>
      <c r="H126" s="33"/>
      <c r="I126" s="279">
        <f>Economic!H128</f>
        <v>895342.87228498736</v>
      </c>
      <c r="J126" s="263">
        <f t="shared" si="17"/>
        <v>31</v>
      </c>
      <c r="K126" s="265">
        <f t="shared" si="14"/>
        <v>0</v>
      </c>
      <c r="M126" s="18">
        <f>'GS&lt;50 Predicted Monthly'!$V$8</f>
        <v>-2135516.9462582301</v>
      </c>
      <c r="N126" s="18">
        <f ca="1">E126*'GS&lt;50 Predicted Monthly'!$V$9</f>
        <v>439194.04986008507</v>
      </c>
      <c r="O126" s="18">
        <f ca="1">F126*'GS&lt;50 Predicted Monthly'!$V$10</f>
        <v>277251.93859566946</v>
      </c>
      <c r="P126" s="18">
        <f>I126*'GS&lt;50 Predicted Monthly'!$V$11</f>
        <v>2157341.9743418242</v>
      </c>
      <c r="Q126" s="18">
        <f>J126*'GS&lt;50 Predicted Monthly'!$V$12</f>
        <v>1722828.0010148797</v>
      </c>
      <c r="R126" s="18">
        <f>K126*'GS&lt;50 Predicted Monthly'!$V$13</f>
        <v>0</v>
      </c>
      <c r="S126" s="20">
        <f t="shared" ca="1" si="15"/>
        <v>2461099.0175542282</v>
      </c>
      <c r="U126" s="30"/>
      <c r="V126" s="18"/>
    </row>
    <row r="127" spans="1:23">
      <c r="A127" s="541">
        <f t="shared" si="16"/>
        <v>46174</v>
      </c>
      <c r="B127">
        <f t="shared" si="8"/>
        <v>2026</v>
      </c>
      <c r="C127">
        <f t="shared" si="9"/>
        <v>6</v>
      </c>
      <c r="E127" s="264">
        <f t="shared" ca="1" si="13"/>
        <v>92.751249999999999</v>
      </c>
      <c r="F127" s="264">
        <f t="shared" ca="1" si="13"/>
        <v>169.78833333333333</v>
      </c>
      <c r="G127" s="33"/>
      <c r="H127" s="33"/>
      <c r="I127" s="279">
        <f>Economic!H129</f>
        <v>895342.87228498736</v>
      </c>
      <c r="J127" s="263">
        <f t="shared" si="17"/>
        <v>30</v>
      </c>
      <c r="K127" s="265">
        <f t="shared" si="14"/>
        <v>0</v>
      </c>
      <c r="M127" s="18">
        <f>'GS&lt;50 Predicted Monthly'!$V$8</f>
        <v>-2135516.9462582301</v>
      </c>
      <c r="N127" s="18">
        <f ca="1">E127*'GS&lt;50 Predicted Monthly'!$V$9</f>
        <v>174916.67195536545</v>
      </c>
      <c r="O127" s="18">
        <f ca="1">F127*'GS&lt;50 Predicted Monthly'!$V$10</f>
        <v>630402.76629101019</v>
      </c>
      <c r="P127" s="18">
        <f>I127*'GS&lt;50 Predicted Monthly'!$V$11</f>
        <v>2157341.9743418242</v>
      </c>
      <c r="Q127" s="18">
        <f>J127*'GS&lt;50 Predicted Monthly'!$V$12</f>
        <v>1667252.9042079481</v>
      </c>
      <c r="R127" s="18">
        <f>K127*'GS&lt;50 Predicted Monthly'!$V$13</f>
        <v>0</v>
      </c>
      <c r="S127" s="20">
        <f t="shared" ca="1" si="15"/>
        <v>2494397.3705379181</v>
      </c>
      <c r="U127" s="30"/>
      <c r="V127" s="18"/>
    </row>
    <row r="128" spans="1:23">
      <c r="A128" s="541">
        <f t="shared" si="16"/>
        <v>46204</v>
      </c>
      <c r="B128">
        <f t="shared" ref="B128:B145" si="18">YEAR(A128)</f>
        <v>2026</v>
      </c>
      <c r="C128">
        <f t="shared" ref="C128:C145" si="19">MONTH(A128)</f>
        <v>7</v>
      </c>
      <c r="E128" s="264">
        <f t="shared" ca="1" si="13"/>
        <v>25.464999999999996</v>
      </c>
      <c r="F128" s="264">
        <f t="shared" ca="1" si="13"/>
        <v>265.99625000000003</v>
      </c>
      <c r="G128" s="33"/>
      <c r="H128" s="33"/>
      <c r="I128" s="279">
        <f>Economic!H130</f>
        <v>895342.87228498736</v>
      </c>
      <c r="J128" s="263">
        <f t="shared" si="17"/>
        <v>31</v>
      </c>
      <c r="K128" s="265">
        <f t="shared" si="14"/>
        <v>0</v>
      </c>
      <c r="M128" s="18">
        <f>'GS&lt;50 Predicted Monthly'!$V$8</f>
        <v>-2135516.9462582301</v>
      </c>
      <c r="N128" s="18">
        <f ca="1">E128*'GS&lt;50 Predicted Monthly'!$V$9</f>
        <v>48023.644439760981</v>
      </c>
      <c r="O128" s="18">
        <f ca="1">F128*'GS&lt;50 Predicted Monthly'!$V$10</f>
        <v>987610.68284845934</v>
      </c>
      <c r="P128" s="18">
        <f>I128*'GS&lt;50 Predicted Monthly'!$V$11</f>
        <v>2157341.9743418242</v>
      </c>
      <c r="Q128" s="18">
        <f>J128*'GS&lt;50 Predicted Monthly'!$V$12</f>
        <v>1722828.0010148797</v>
      </c>
      <c r="R128" s="18">
        <f>K128*'GS&lt;50 Predicted Monthly'!$V$13</f>
        <v>0</v>
      </c>
      <c r="S128" s="20">
        <f t="shared" ca="1" si="15"/>
        <v>2780287.3563866941</v>
      </c>
      <c r="V128" s="18"/>
    </row>
    <row r="129" spans="1:22">
      <c r="A129" s="541">
        <f t="shared" si="16"/>
        <v>46235</v>
      </c>
      <c r="B129">
        <f t="shared" si="18"/>
        <v>2026</v>
      </c>
      <c r="C129">
        <f t="shared" si="19"/>
        <v>8</v>
      </c>
      <c r="E129" s="264">
        <f t="shared" ca="1" si="13"/>
        <v>54.974791666666668</v>
      </c>
      <c r="F129" s="264">
        <f t="shared" ca="1" si="13"/>
        <v>218.46562499999996</v>
      </c>
      <c r="G129" s="33"/>
      <c r="H129" s="33"/>
      <c r="I129" s="279">
        <f>Economic!H131</f>
        <v>895342.87228498736</v>
      </c>
      <c r="J129" s="263">
        <f t="shared" si="17"/>
        <v>31</v>
      </c>
      <c r="K129" s="265">
        <f t="shared" si="14"/>
        <v>0</v>
      </c>
      <c r="M129" s="18">
        <f>'GS&lt;50 Predicted Monthly'!$V$8</f>
        <v>-2135516.9462582301</v>
      </c>
      <c r="N129" s="18">
        <f ca="1">E129*'GS&lt;50 Predicted Monthly'!$V$9</f>
        <v>103675.23456312333</v>
      </c>
      <c r="O129" s="18">
        <f ca="1">F129*'GS&lt;50 Predicted Monthly'!$V$10</f>
        <v>811135.43925963389</v>
      </c>
      <c r="P129" s="18">
        <f>I129*'GS&lt;50 Predicted Monthly'!$V$11</f>
        <v>2157341.9743418242</v>
      </c>
      <c r="Q129" s="18">
        <f>J129*'GS&lt;50 Predicted Monthly'!$V$12</f>
        <v>1722828.0010148797</v>
      </c>
      <c r="R129" s="18">
        <f>K129*'GS&lt;50 Predicted Monthly'!$V$13</f>
        <v>0</v>
      </c>
      <c r="S129" s="20">
        <f t="shared" ca="1" si="15"/>
        <v>2659463.7029212313</v>
      </c>
      <c r="V129" s="18"/>
    </row>
    <row r="130" spans="1:22">
      <c r="A130" s="541">
        <f t="shared" si="16"/>
        <v>46266</v>
      </c>
      <c r="B130">
        <f t="shared" si="18"/>
        <v>2026</v>
      </c>
      <c r="C130">
        <f t="shared" si="19"/>
        <v>9</v>
      </c>
      <c r="E130" s="264">
        <f t="shared" ca="1" si="13"/>
        <v>166.50624999999999</v>
      </c>
      <c r="F130" s="264">
        <f t="shared" ca="1" si="13"/>
        <v>95.131249999999994</v>
      </c>
      <c r="G130" s="33"/>
      <c r="H130" s="33"/>
      <c r="I130" s="279">
        <f>Economic!H132</f>
        <v>895342.87228498736</v>
      </c>
      <c r="J130" s="263">
        <f t="shared" si="17"/>
        <v>30</v>
      </c>
      <c r="K130" s="265">
        <f t="shared" si="14"/>
        <v>0</v>
      </c>
      <c r="M130" s="18">
        <f>'GS&lt;50 Predicted Monthly'!$V$8</f>
        <v>-2135516.9462582301</v>
      </c>
      <c r="N130" s="18">
        <f ca="1">E130*'GS&lt;50 Predicted Monthly'!$V$9</f>
        <v>314008.9121145868</v>
      </c>
      <c r="O130" s="18">
        <f ca="1">F130*'GS&lt;50 Predicted Monthly'!$V$10</f>
        <v>353210.38838978927</v>
      </c>
      <c r="P130" s="18">
        <f>I130*'GS&lt;50 Predicted Monthly'!$V$11</f>
        <v>2157341.9743418242</v>
      </c>
      <c r="Q130" s="18">
        <f>J130*'GS&lt;50 Predicted Monthly'!$V$12</f>
        <v>1667252.9042079481</v>
      </c>
      <c r="R130" s="18">
        <f>K130*'GS&lt;50 Predicted Monthly'!$V$13</f>
        <v>0</v>
      </c>
      <c r="S130" s="20">
        <f t="shared" ca="1" si="15"/>
        <v>2356297.2327959184</v>
      </c>
      <c r="V130" s="18"/>
    </row>
    <row r="131" spans="1:22">
      <c r="A131" s="541">
        <f t="shared" si="16"/>
        <v>46296</v>
      </c>
      <c r="B131">
        <f t="shared" si="18"/>
        <v>2026</v>
      </c>
      <c r="C131">
        <f t="shared" si="19"/>
        <v>10</v>
      </c>
      <c r="E131" s="264">
        <f t="shared" ca="1" si="13"/>
        <v>363.47645833333326</v>
      </c>
      <c r="F131" s="264">
        <f t="shared" ca="1" si="13"/>
        <v>21.813750000000006</v>
      </c>
      <c r="G131" s="33"/>
      <c r="H131" s="33"/>
      <c r="I131" s="279">
        <f>Economic!H133</f>
        <v>895342.87228498736</v>
      </c>
      <c r="J131" s="263">
        <f t="shared" si="17"/>
        <v>31</v>
      </c>
      <c r="K131" s="265">
        <f t="shared" si="14"/>
        <v>0</v>
      </c>
      <c r="M131" s="18">
        <f>'GS&lt;50 Predicted Monthly'!$V$8</f>
        <v>-2135516.9462582301</v>
      </c>
      <c r="N131" s="18">
        <f ca="1">E131*'GS&lt;50 Predicted Monthly'!$V$9</f>
        <v>685468.84732863132</v>
      </c>
      <c r="O131" s="18">
        <f ca="1">F131*'GS&lt;50 Predicted Monthly'!$V$10</f>
        <v>80991.715232773335</v>
      </c>
      <c r="P131" s="18">
        <f>I131*'GS&lt;50 Predicted Monthly'!$V$11</f>
        <v>2157341.9743418242</v>
      </c>
      <c r="Q131" s="18">
        <f>J131*'GS&lt;50 Predicted Monthly'!$V$12</f>
        <v>1722828.0010148797</v>
      </c>
      <c r="R131" s="18">
        <f>K131*'GS&lt;50 Predicted Monthly'!$V$13</f>
        <v>0</v>
      </c>
      <c r="S131" s="20">
        <f t="shared" ca="1" si="15"/>
        <v>2511113.5916598784</v>
      </c>
      <c r="V131" s="18"/>
    </row>
    <row r="132" spans="1:22">
      <c r="A132" s="541">
        <f t="shared" si="16"/>
        <v>46327</v>
      </c>
      <c r="B132">
        <f t="shared" si="18"/>
        <v>2026</v>
      </c>
      <c r="C132">
        <f t="shared" si="19"/>
        <v>11</v>
      </c>
      <c r="E132" s="264">
        <f t="shared" ca="1" si="13"/>
        <v>586.00395833333334</v>
      </c>
      <c r="F132" s="264">
        <f t="shared" ca="1" si="13"/>
        <v>2.2795833333333335</v>
      </c>
      <c r="G132" s="33"/>
      <c r="H132" s="33"/>
      <c r="I132" s="279">
        <f>Economic!H134</f>
        <v>895342.87228498736</v>
      </c>
      <c r="J132" s="263">
        <f t="shared" si="17"/>
        <v>30</v>
      </c>
      <c r="K132" s="265">
        <f t="shared" si="14"/>
        <v>0</v>
      </c>
      <c r="M132" s="18">
        <f>'GS&lt;50 Predicted Monthly'!$V$8</f>
        <v>-2135516.9462582301</v>
      </c>
      <c r="N132" s="18">
        <f ca="1">E132*'GS&lt;50 Predicted Monthly'!$V$9</f>
        <v>1105126.4769406053</v>
      </c>
      <c r="O132" s="18">
        <f ca="1">F132*'GS&lt;50 Predicted Monthly'!$V$10</f>
        <v>8463.8067357840573</v>
      </c>
      <c r="P132" s="18">
        <f>I132*'GS&lt;50 Predicted Monthly'!$V$11</f>
        <v>2157341.9743418242</v>
      </c>
      <c r="Q132" s="18">
        <f>J132*'GS&lt;50 Predicted Monthly'!$V$12</f>
        <v>1667252.9042079481</v>
      </c>
      <c r="R132" s="18">
        <f>K132*'GS&lt;50 Predicted Monthly'!$V$13</f>
        <v>0</v>
      </c>
      <c r="S132" s="20">
        <f t="shared" ca="1" si="15"/>
        <v>2802668.2159679318</v>
      </c>
      <c r="V132" s="18"/>
    </row>
    <row r="133" spans="1:22">
      <c r="A133" s="541">
        <f t="shared" si="16"/>
        <v>46357</v>
      </c>
      <c r="B133">
        <f t="shared" si="18"/>
        <v>2026</v>
      </c>
      <c r="C133">
        <f t="shared" si="19"/>
        <v>12</v>
      </c>
      <c r="E133" s="264">
        <f t="shared" ca="1" si="13"/>
        <v>812.36333333333334</v>
      </c>
      <c r="F133" s="264">
        <f t="shared" ca="1" si="13"/>
        <v>0</v>
      </c>
      <c r="G133" s="33"/>
      <c r="H133" s="33"/>
      <c r="I133" s="279">
        <f>Economic!H135</f>
        <v>895342.87228498736</v>
      </c>
      <c r="J133" s="263">
        <f t="shared" si="17"/>
        <v>31</v>
      </c>
      <c r="K133" s="265">
        <f t="shared" si="14"/>
        <v>0</v>
      </c>
      <c r="M133" s="18">
        <f>'GS&lt;50 Predicted Monthly'!$V$8</f>
        <v>-2135516.9462582301</v>
      </c>
      <c r="N133" s="18">
        <f ca="1">E133*'GS&lt;50 Predicted Monthly'!$V$9</f>
        <v>1532010.5193755757</v>
      </c>
      <c r="O133" s="18">
        <f ca="1">F133*'GS&lt;50 Predicted Monthly'!$V$10</f>
        <v>0</v>
      </c>
      <c r="P133" s="18">
        <f>I133*'GS&lt;50 Predicted Monthly'!$V$11</f>
        <v>2157341.9743418242</v>
      </c>
      <c r="Q133" s="18">
        <f>J133*'GS&lt;50 Predicted Monthly'!$V$12</f>
        <v>1722828.0010148797</v>
      </c>
      <c r="R133" s="18">
        <f>K133*'GS&lt;50 Predicted Monthly'!$V$13</f>
        <v>0</v>
      </c>
      <c r="S133" s="20">
        <f t="shared" ca="1" si="15"/>
        <v>3276663.5484740492</v>
      </c>
      <c r="V133" s="18"/>
    </row>
    <row r="134" spans="1:22">
      <c r="A134" s="541">
        <f t="shared" si="16"/>
        <v>46388</v>
      </c>
      <c r="B134">
        <f t="shared" si="18"/>
        <v>2027</v>
      </c>
      <c r="C134">
        <f t="shared" si="19"/>
        <v>1</v>
      </c>
      <c r="E134" s="264">
        <f t="shared" ref="E134:F153" ca="1" si="20">E122</f>
        <v>914.55166666666662</v>
      </c>
      <c r="F134" s="264">
        <f t="shared" ca="1" si="20"/>
        <v>0</v>
      </c>
      <c r="G134" s="33"/>
      <c r="H134" s="33"/>
      <c r="I134" s="279">
        <f>Economic!H136</f>
        <v>911011.37254997471</v>
      </c>
      <c r="J134" s="263">
        <f t="shared" si="17"/>
        <v>31</v>
      </c>
      <c r="K134" s="265">
        <f t="shared" si="14"/>
        <v>0</v>
      </c>
      <c r="M134" s="18">
        <f>'GS&lt;50 Predicted Monthly'!$V$8</f>
        <v>-2135516.9462582301</v>
      </c>
      <c r="N134" s="18">
        <f ca="1">E134*'GS&lt;50 Predicted Monthly'!$V$9</f>
        <v>1724724.2906652587</v>
      </c>
      <c r="O134" s="18">
        <f ca="1">F134*'GS&lt;50 Predicted Monthly'!$V$10</f>
        <v>0</v>
      </c>
      <c r="P134" s="18">
        <f>I134*'GS&lt;50 Predicted Monthly'!$V$11</f>
        <v>2195095.4588928064</v>
      </c>
      <c r="Q134" s="18">
        <f>J134*'GS&lt;50 Predicted Monthly'!$V$12</f>
        <v>1722828.0010148797</v>
      </c>
      <c r="R134" s="18">
        <f>K134*'GS&lt;50 Predicted Monthly'!$V$13</f>
        <v>0</v>
      </c>
      <c r="S134" s="20">
        <f t="shared" ca="1" si="15"/>
        <v>3507130.8043147149</v>
      </c>
      <c r="V134" s="18"/>
    </row>
    <row r="135" spans="1:22">
      <c r="A135" s="541">
        <f t="shared" si="16"/>
        <v>46419</v>
      </c>
      <c r="B135">
        <f t="shared" si="18"/>
        <v>2027</v>
      </c>
      <c r="C135">
        <f t="shared" si="19"/>
        <v>2</v>
      </c>
      <c r="E135" s="264">
        <f t="shared" ca="1" si="20"/>
        <v>803.82854166666664</v>
      </c>
      <c r="F135" s="264">
        <f t="shared" ca="1" si="20"/>
        <v>0</v>
      </c>
      <c r="G135" s="33"/>
      <c r="H135" s="33"/>
      <c r="I135" s="279">
        <f>Economic!H137</f>
        <v>911011.37254997471</v>
      </c>
      <c r="J135" s="263">
        <f t="shared" si="17"/>
        <v>28</v>
      </c>
      <c r="K135" s="265">
        <f t="shared" si="14"/>
        <v>0</v>
      </c>
      <c r="M135" s="18">
        <f>'GS&lt;50 Predicted Monthly'!$V$8</f>
        <v>-2135516.9462582301</v>
      </c>
      <c r="N135" s="18">
        <f ca="1">E135*'GS&lt;50 Predicted Monthly'!$V$9</f>
        <v>1515915.0235826271</v>
      </c>
      <c r="O135" s="18">
        <f ca="1">F135*'GS&lt;50 Predicted Monthly'!$V$10</f>
        <v>0</v>
      </c>
      <c r="P135" s="18">
        <f>I135*'GS&lt;50 Predicted Monthly'!$V$11</f>
        <v>2195095.4588928064</v>
      </c>
      <c r="Q135" s="18">
        <f>J135*'GS&lt;50 Predicted Monthly'!$V$12</f>
        <v>1556102.7105940848</v>
      </c>
      <c r="R135" s="18">
        <f>K135*'GS&lt;50 Predicted Monthly'!$V$13</f>
        <v>0</v>
      </c>
      <c r="S135" s="20">
        <f t="shared" ca="1" si="15"/>
        <v>3131596.2468112884</v>
      </c>
      <c r="V135" s="18"/>
    </row>
    <row r="136" spans="1:22">
      <c r="A136" s="541">
        <f t="shared" si="16"/>
        <v>46447</v>
      </c>
      <c r="B136">
        <f t="shared" si="18"/>
        <v>2027</v>
      </c>
      <c r="C136">
        <f t="shared" si="19"/>
        <v>3</v>
      </c>
      <c r="E136" s="264">
        <f t="shared" ca="1" si="20"/>
        <v>698.29604166666672</v>
      </c>
      <c r="F136" s="264">
        <f t="shared" ca="1" si="20"/>
        <v>0</v>
      </c>
      <c r="G136" s="33"/>
      <c r="H136" s="33"/>
      <c r="I136" s="279">
        <f>Economic!H138</f>
        <v>911011.37254997471</v>
      </c>
      <c r="J136" s="263">
        <f t="shared" si="17"/>
        <v>31</v>
      </c>
      <c r="K136" s="265">
        <f t="shared" si="14"/>
        <v>0</v>
      </c>
      <c r="M136" s="18">
        <f>'GS&lt;50 Predicted Monthly'!$V$8</f>
        <v>-2135516.9462582301</v>
      </c>
      <c r="N136" s="18">
        <f ca="1">E136*'GS&lt;50 Predicted Monthly'!$V$9</f>
        <v>1316894.5933120961</v>
      </c>
      <c r="O136" s="18">
        <f ca="1">F136*'GS&lt;50 Predicted Monthly'!$V$10</f>
        <v>0</v>
      </c>
      <c r="P136" s="18">
        <f>I136*'GS&lt;50 Predicted Monthly'!$V$11</f>
        <v>2195095.4588928064</v>
      </c>
      <c r="Q136" s="18">
        <f>J136*'GS&lt;50 Predicted Monthly'!$V$12</f>
        <v>1722828.0010148797</v>
      </c>
      <c r="R136" s="18">
        <f>K136*'GS&lt;50 Predicted Monthly'!$V$13</f>
        <v>0</v>
      </c>
      <c r="S136" s="20">
        <f t="shared" ca="1" si="15"/>
        <v>3099301.1069615521</v>
      </c>
      <c r="V136" s="18"/>
    </row>
    <row r="137" spans="1:22">
      <c r="A137" s="541">
        <f t="shared" si="16"/>
        <v>46478</v>
      </c>
      <c r="B137">
        <f t="shared" si="18"/>
        <v>2027</v>
      </c>
      <c r="C137">
        <f t="shared" si="19"/>
        <v>4</v>
      </c>
      <c r="E137" s="264">
        <f t="shared" ca="1" si="20"/>
        <v>468.60374999999993</v>
      </c>
      <c r="F137" s="264">
        <f t="shared" ca="1" si="20"/>
        <v>2.8104166666666677</v>
      </c>
      <c r="G137" s="33"/>
      <c r="H137" s="33"/>
      <c r="I137" s="279">
        <f>Economic!H139</f>
        <v>911011.37254997471</v>
      </c>
      <c r="J137" s="263">
        <f t="shared" si="17"/>
        <v>30</v>
      </c>
      <c r="K137" s="265">
        <f t="shared" si="14"/>
        <v>0</v>
      </c>
      <c r="M137" s="18">
        <f>'GS&lt;50 Predicted Monthly'!$V$8</f>
        <v>-2135516.9462582301</v>
      </c>
      <c r="N137" s="18">
        <f ca="1">E137*'GS&lt;50 Predicted Monthly'!$V$9</f>
        <v>883725.10791826609</v>
      </c>
      <c r="O137" s="18">
        <f ca="1">F137*'GS&lt;50 Predicted Monthly'!$V$10</f>
        <v>10434.724261170442</v>
      </c>
      <c r="P137" s="18">
        <f>I137*'GS&lt;50 Predicted Monthly'!$V$11</f>
        <v>2195095.4588928064</v>
      </c>
      <c r="Q137" s="18">
        <f>J137*'GS&lt;50 Predicted Monthly'!$V$12</f>
        <v>1667252.9042079481</v>
      </c>
      <c r="R137" s="18">
        <f>K137*'GS&lt;50 Predicted Monthly'!$V$13</f>
        <v>0</v>
      </c>
      <c r="S137" s="20">
        <f t="shared" ca="1" si="15"/>
        <v>2620991.2490219614</v>
      </c>
    </row>
    <row r="138" spans="1:22">
      <c r="A138" s="541">
        <f t="shared" si="16"/>
        <v>46508</v>
      </c>
      <c r="B138">
        <f t="shared" si="18"/>
        <v>2027</v>
      </c>
      <c r="C138">
        <f t="shared" si="19"/>
        <v>5</v>
      </c>
      <c r="E138" s="264">
        <f t="shared" ca="1" si="20"/>
        <v>232.88687500000006</v>
      </c>
      <c r="F138" s="264">
        <f t="shared" ca="1" si="20"/>
        <v>74.673124999999999</v>
      </c>
      <c r="G138" s="33"/>
      <c r="H138" s="33"/>
      <c r="I138" s="279">
        <f>Economic!H140</f>
        <v>911011.37254997471</v>
      </c>
      <c r="J138" s="263">
        <f t="shared" si="17"/>
        <v>31</v>
      </c>
      <c r="K138" s="265">
        <f t="shared" si="14"/>
        <v>0</v>
      </c>
      <c r="M138" s="18">
        <f>'GS&lt;50 Predicted Monthly'!$V$8</f>
        <v>-2135516.9462582301</v>
      </c>
      <c r="N138" s="18">
        <f ca="1">E138*'GS&lt;50 Predicted Monthly'!$V$9</f>
        <v>439194.04986008507</v>
      </c>
      <c r="O138" s="18">
        <f ca="1">F138*'GS&lt;50 Predicted Monthly'!$V$10</f>
        <v>277251.93859566946</v>
      </c>
      <c r="P138" s="18">
        <f>I138*'GS&lt;50 Predicted Monthly'!$V$11</f>
        <v>2195095.4588928064</v>
      </c>
      <c r="Q138" s="18">
        <f>J138*'GS&lt;50 Predicted Monthly'!$V$12</f>
        <v>1722828.0010148797</v>
      </c>
      <c r="R138" s="18">
        <f>K138*'GS&lt;50 Predicted Monthly'!$V$13</f>
        <v>0</v>
      </c>
      <c r="S138" s="20">
        <f t="shared" ca="1" si="15"/>
        <v>2498852.5021052109</v>
      </c>
    </row>
    <row r="139" spans="1:22">
      <c r="A139" s="541">
        <f t="shared" si="16"/>
        <v>46539</v>
      </c>
      <c r="B139">
        <f t="shared" si="18"/>
        <v>2027</v>
      </c>
      <c r="C139">
        <f t="shared" si="19"/>
        <v>6</v>
      </c>
      <c r="E139" s="264">
        <f t="shared" ca="1" si="20"/>
        <v>92.751249999999999</v>
      </c>
      <c r="F139" s="264">
        <f t="shared" ca="1" si="20"/>
        <v>169.78833333333333</v>
      </c>
      <c r="G139" s="33"/>
      <c r="H139" s="33"/>
      <c r="I139" s="279">
        <f>Economic!H141</f>
        <v>911011.37254997471</v>
      </c>
      <c r="J139" s="263">
        <f t="shared" si="17"/>
        <v>30</v>
      </c>
      <c r="K139" s="265">
        <f t="shared" si="14"/>
        <v>0</v>
      </c>
      <c r="M139" s="18">
        <f>'GS&lt;50 Predicted Monthly'!$V$8</f>
        <v>-2135516.9462582301</v>
      </c>
      <c r="N139" s="18">
        <f ca="1">E139*'GS&lt;50 Predicted Monthly'!$V$9</f>
        <v>174916.67195536545</v>
      </c>
      <c r="O139" s="18">
        <f ca="1">F139*'GS&lt;50 Predicted Monthly'!$V$10</f>
        <v>630402.76629101019</v>
      </c>
      <c r="P139" s="18">
        <f>I139*'GS&lt;50 Predicted Monthly'!$V$11</f>
        <v>2195095.4588928064</v>
      </c>
      <c r="Q139" s="18">
        <f>J139*'GS&lt;50 Predicted Monthly'!$V$12</f>
        <v>1667252.9042079481</v>
      </c>
      <c r="R139" s="18">
        <f>K139*'GS&lt;50 Predicted Monthly'!$V$13</f>
        <v>0</v>
      </c>
      <c r="S139" s="20">
        <f t="shared" ca="1" si="15"/>
        <v>2532150.8550888998</v>
      </c>
    </row>
    <row r="140" spans="1:22">
      <c r="A140" s="541">
        <f t="shared" si="16"/>
        <v>46569</v>
      </c>
      <c r="B140">
        <f t="shared" si="18"/>
        <v>2027</v>
      </c>
      <c r="C140">
        <f t="shared" si="19"/>
        <v>7</v>
      </c>
      <c r="E140" s="264">
        <f t="shared" ca="1" si="20"/>
        <v>25.464999999999996</v>
      </c>
      <c r="F140" s="264">
        <f t="shared" ca="1" si="20"/>
        <v>265.99625000000003</v>
      </c>
      <c r="G140" s="33"/>
      <c r="H140" s="33"/>
      <c r="I140" s="279">
        <f>Economic!H142</f>
        <v>911011.37254997471</v>
      </c>
      <c r="J140" s="263">
        <f t="shared" si="17"/>
        <v>31</v>
      </c>
      <c r="K140" s="265">
        <f t="shared" si="14"/>
        <v>0</v>
      </c>
      <c r="M140" s="18">
        <f>'GS&lt;50 Predicted Monthly'!$V$8</f>
        <v>-2135516.9462582301</v>
      </c>
      <c r="N140" s="18">
        <f ca="1">E140*'GS&lt;50 Predicted Monthly'!$V$9</f>
        <v>48023.644439760981</v>
      </c>
      <c r="O140" s="18">
        <f ca="1">F140*'GS&lt;50 Predicted Monthly'!$V$10</f>
        <v>987610.68284845934</v>
      </c>
      <c r="P140" s="18">
        <f>I140*'GS&lt;50 Predicted Monthly'!$V$11</f>
        <v>2195095.4588928064</v>
      </c>
      <c r="Q140" s="18">
        <f>J140*'GS&lt;50 Predicted Monthly'!$V$12</f>
        <v>1722828.0010148797</v>
      </c>
      <c r="R140" s="18">
        <f>K140*'GS&lt;50 Predicted Monthly'!$V$13</f>
        <v>0</v>
      </c>
      <c r="S140" s="20">
        <f t="shared" ca="1" si="15"/>
        <v>2818040.8409376764</v>
      </c>
    </row>
    <row r="141" spans="1:22">
      <c r="A141" s="541">
        <f t="shared" si="16"/>
        <v>46600</v>
      </c>
      <c r="B141">
        <f t="shared" si="18"/>
        <v>2027</v>
      </c>
      <c r="C141">
        <f t="shared" si="19"/>
        <v>8</v>
      </c>
      <c r="E141" s="264">
        <f t="shared" ca="1" si="20"/>
        <v>54.974791666666668</v>
      </c>
      <c r="F141" s="264">
        <f t="shared" ca="1" si="20"/>
        <v>218.46562499999996</v>
      </c>
      <c r="G141" s="33"/>
      <c r="H141" s="33"/>
      <c r="I141" s="279">
        <f>Economic!H143</f>
        <v>911011.37254997471</v>
      </c>
      <c r="J141" s="263">
        <f t="shared" si="17"/>
        <v>31</v>
      </c>
      <c r="K141" s="265">
        <f>K129</f>
        <v>0</v>
      </c>
      <c r="M141" s="18">
        <f>'GS&lt;50 Predicted Monthly'!$V$8</f>
        <v>-2135516.9462582301</v>
      </c>
      <c r="N141" s="18">
        <f ca="1">E141*'GS&lt;50 Predicted Monthly'!$V$9</f>
        <v>103675.23456312333</v>
      </c>
      <c r="O141" s="18">
        <f ca="1">F141*'GS&lt;50 Predicted Monthly'!$V$10</f>
        <v>811135.43925963389</v>
      </c>
      <c r="P141" s="18">
        <f>I141*'GS&lt;50 Predicted Monthly'!$V$11</f>
        <v>2195095.4588928064</v>
      </c>
      <c r="Q141" s="18">
        <f>J141*'GS&lt;50 Predicted Monthly'!$V$12</f>
        <v>1722828.0010148797</v>
      </c>
      <c r="R141" s="18">
        <f>K141*'GS&lt;50 Predicted Monthly'!$V$13</f>
        <v>0</v>
      </c>
      <c r="S141" s="20">
        <f t="shared" ca="1" si="15"/>
        <v>2697217.1874722131</v>
      </c>
    </row>
    <row r="142" spans="1:22">
      <c r="A142" s="541">
        <f t="shared" si="16"/>
        <v>46631</v>
      </c>
      <c r="B142">
        <f t="shared" si="18"/>
        <v>2027</v>
      </c>
      <c r="C142">
        <f t="shared" si="19"/>
        <v>9</v>
      </c>
      <c r="E142" s="264">
        <f t="shared" ca="1" si="20"/>
        <v>166.50624999999999</v>
      </c>
      <c r="F142" s="264">
        <f t="shared" ca="1" si="20"/>
        <v>95.131249999999994</v>
      </c>
      <c r="G142" s="33"/>
      <c r="H142" s="33"/>
      <c r="I142" s="279">
        <f>Economic!H144</f>
        <v>911011.37254997471</v>
      </c>
      <c r="J142" s="263">
        <f t="shared" si="17"/>
        <v>30</v>
      </c>
      <c r="K142" s="265">
        <f>K130</f>
        <v>0</v>
      </c>
      <c r="M142" s="18">
        <f>'GS&lt;50 Predicted Monthly'!$V$8</f>
        <v>-2135516.9462582301</v>
      </c>
      <c r="N142" s="18">
        <f ca="1">E142*'GS&lt;50 Predicted Monthly'!$V$9</f>
        <v>314008.9121145868</v>
      </c>
      <c r="O142" s="18">
        <f ca="1">F142*'GS&lt;50 Predicted Monthly'!$V$10</f>
        <v>353210.38838978927</v>
      </c>
      <c r="P142" s="18">
        <f>I142*'GS&lt;50 Predicted Monthly'!$V$11</f>
        <v>2195095.4588928064</v>
      </c>
      <c r="Q142" s="18">
        <f>J142*'GS&lt;50 Predicted Monthly'!$V$12</f>
        <v>1667252.9042079481</v>
      </c>
      <c r="R142" s="18">
        <f>K142*'GS&lt;50 Predicted Monthly'!$V$13</f>
        <v>0</v>
      </c>
      <c r="S142" s="20">
        <f t="shared" ca="1" si="15"/>
        <v>2394050.7173469001</v>
      </c>
    </row>
    <row r="143" spans="1:22">
      <c r="A143" s="541">
        <f t="shared" si="16"/>
        <v>46661</v>
      </c>
      <c r="B143">
        <f t="shared" si="18"/>
        <v>2027</v>
      </c>
      <c r="C143">
        <f t="shared" si="19"/>
        <v>10</v>
      </c>
      <c r="E143" s="264">
        <f t="shared" ca="1" si="20"/>
        <v>363.47645833333326</v>
      </c>
      <c r="F143" s="264">
        <f t="shared" ca="1" si="20"/>
        <v>21.813750000000006</v>
      </c>
      <c r="G143" s="33"/>
      <c r="H143" s="33"/>
      <c r="I143" s="279">
        <f>Economic!H145</f>
        <v>911011.37254997471</v>
      </c>
      <c r="J143" s="263">
        <f t="shared" si="17"/>
        <v>31</v>
      </c>
      <c r="K143" s="265">
        <f>K131</f>
        <v>0</v>
      </c>
      <c r="M143" s="18">
        <f>'GS&lt;50 Predicted Monthly'!$V$8</f>
        <v>-2135516.9462582301</v>
      </c>
      <c r="N143" s="18">
        <f ca="1">E143*'GS&lt;50 Predicted Monthly'!$V$9</f>
        <v>685468.84732863132</v>
      </c>
      <c r="O143" s="18">
        <f ca="1">F143*'GS&lt;50 Predicted Monthly'!$V$10</f>
        <v>80991.715232773335</v>
      </c>
      <c r="P143" s="18">
        <f>I143*'GS&lt;50 Predicted Monthly'!$V$11</f>
        <v>2195095.4588928064</v>
      </c>
      <c r="Q143" s="18">
        <f>J143*'GS&lt;50 Predicted Monthly'!$V$12</f>
        <v>1722828.0010148797</v>
      </c>
      <c r="R143" s="18">
        <f>K143*'GS&lt;50 Predicted Monthly'!$V$13</f>
        <v>0</v>
      </c>
      <c r="S143" s="20">
        <f t="shared" ca="1" si="15"/>
        <v>2548867.0762108602</v>
      </c>
    </row>
    <row r="144" spans="1:22">
      <c r="A144" s="541">
        <f t="shared" si="16"/>
        <v>46692</v>
      </c>
      <c r="B144">
        <f t="shared" si="18"/>
        <v>2027</v>
      </c>
      <c r="C144">
        <f t="shared" si="19"/>
        <v>11</v>
      </c>
      <c r="E144" s="264">
        <f t="shared" ca="1" si="20"/>
        <v>586.00395833333334</v>
      </c>
      <c r="F144" s="264">
        <f t="shared" ca="1" si="20"/>
        <v>2.2795833333333335</v>
      </c>
      <c r="G144" s="33"/>
      <c r="H144" s="33"/>
      <c r="I144" s="279">
        <f>Economic!H146</f>
        <v>911011.37254997471</v>
      </c>
      <c r="J144" s="263">
        <f t="shared" si="17"/>
        <v>30</v>
      </c>
      <c r="K144" s="265">
        <f>K132</f>
        <v>0</v>
      </c>
      <c r="M144" s="18">
        <f>'GS&lt;50 Predicted Monthly'!$V$8</f>
        <v>-2135516.9462582301</v>
      </c>
      <c r="N144" s="18">
        <f ca="1">E144*'GS&lt;50 Predicted Monthly'!$V$9</f>
        <v>1105126.4769406053</v>
      </c>
      <c r="O144" s="18">
        <f ca="1">F144*'GS&lt;50 Predicted Monthly'!$V$10</f>
        <v>8463.8067357840573</v>
      </c>
      <c r="P144" s="18">
        <f>I144*'GS&lt;50 Predicted Monthly'!$V$11</f>
        <v>2195095.4588928064</v>
      </c>
      <c r="Q144" s="18">
        <f>J144*'GS&lt;50 Predicted Monthly'!$V$12</f>
        <v>1667252.9042079481</v>
      </c>
      <c r="R144" s="18">
        <f>K144*'GS&lt;50 Predicted Monthly'!$V$13</f>
        <v>0</v>
      </c>
      <c r="S144" s="20">
        <f t="shared" ca="1" si="15"/>
        <v>2840421.7005189136</v>
      </c>
    </row>
    <row r="145" spans="1:22">
      <c r="A145" s="541">
        <f t="shared" si="16"/>
        <v>46722</v>
      </c>
      <c r="B145">
        <f t="shared" si="18"/>
        <v>2027</v>
      </c>
      <c r="C145">
        <f t="shared" si="19"/>
        <v>12</v>
      </c>
      <c r="E145" s="264">
        <f t="shared" ca="1" si="20"/>
        <v>812.36333333333334</v>
      </c>
      <c r="F145" s="264">
        <f t="shared" ca="1" si="20"/>
        <v>0</v>
      </c>
      <c r="G145" s="33"/>
      <c r="H145" s="33"/>
      <c r="I145" s="279">
        <f>Economic!H147</f>
        <v>911011.37254997471</v>
      </c>
      <c r="J145" s="263">
        <f t="shared" si="17"/>
        <v>31</v>
      </c>
      <c r="K145" s="265">
        <f>K133</f>
        <v>0</v>
      </c>
      <c r="M145" s="18">
        <f>'GS&lt;50 Predicted Monthly'!$V$8</f>
        <v>-2135516.9462582301</v>
      </c>
      <c r="N145" s="18">
        <f ca="1">E145*'GS&lt;50 Predicted Monthly'!$V$9</f>
        <v>1532010.5193755757</v>
      </c>
      <c r="O145" s="18">
        <f ca="1">F145*'GS&lt;50 Predicted Monthly'!$V$10</f>
        <v>0</v>
      </c>
      <c r="P145" s="18">
        <f>I145*'GS&lt;50 Predicted Monthly'!$V$11</f>
        <v>2195095.4588928064</v>
      </c>
      <c r="Q145" s="18">
        <f>J145*'GS&lt;50 Predicted Monthly'!$V$12</f>
        <v>1722828.0010148797</v>
      </c>
      <c r="R145" s="18">
        <f>K145*'GS&lt;50 Predicted Monthly'!$V$13</f>
        <v>0</v>
      </c>
      <c r="S145" s="20">
        <f t="shared" ca="1" si="15"/>
        <v>3314417.0330250319</v>
      </c>
    </row>
    <row r="146" spans="1:22">
      <c r="J146" s="8"/>
    </row>
    <row r="147" spans="1:22">
      <c r="J147" s="8"/>
      <c r="M147" s="31">
        <f>M145-'GS&lt;50 Normalized Monthly'!L145</f>
        <v>0</v>
      </c>
      <c r="N147" s="31">
        <f ca="1">N145-'GS&lt;50 Normalized Monthly'!M145</f>
        <v>0</v>
      </c>
      <c r="O147" s="31">
        <f ca="1">O145-'GS&lt;50 Normalized Monthly'!N145</f>
        <v>0</v>
      </c>
      <c r="P147" s="31">
        <f>P145-'GS&lt;50 Normalized Monthly'!O145</f>
        <v>0</v>
      </c>
      <c r="Q147" s="31">
        <f>Q145-'GS&lt;50 Normalized Monthly'!P145</f>
        <v>0</v>
      </c>
      <c r="R147" s="31">
        <f>R145-'GS&lt;50 Normalized Monthly'!Q145</f>
        <v>0</v>
      </c>
      <c r="S147" s="31">
        <f ca="1">S145-'GS&lt;50 Normalized Monthly'!S145</f>
        <v>0</v>
      </c>
    </row>
    <row r="148" spans="1:22">
      <c r="J148" s="8"/>
      <c r="U148" s="8"/>
      <c r="V148" s="18"/>
    </row>
    <row r="149" spans="1:22">
      <c r="J149" s="8"/>
      <c r="U149" s="8"/>
      <c r="V149" s="18"/>
    </row>
    <row r="150" spans="1:22">
      <c r="J150" s="8"/>
    </row>
    <row r="151" spans="1:22">
      <c r="J151" s="8"/>
    </row>
    <row r="152" spans="1:22">
      <c r="J152" s="8"/>
    </row>
    <row r="153" spans="1:22">
      <c r="J153" s="8"/>
    </row>
    <row r="154" spans="1:22">
      <c r="J154" s="8"/>
    </row>
    <row r="155" spans="1:22">
      <c r="J155" s="8"/>
    </row>
    <row r="156" spans="1:22">
      <c r="J156" s="8"/>
    </row>
    <row r="157" spans="1:22">
      <c r="J157" s="8"/>
    </row>
    <row r="158" spans="1:22">
      <c r="J158" s="8"/>
    </row>
    <row r="159" spans="1:22">
      <c r="J159" s="8"/>
    </row>
    <row r="160" spans="1:22">
      <c r="J160" s="8"/>
    </row>
    <row r="161" spans="10:10">
      <c r="J161" s="8"/>
    </row>
    <row r="162" spans="10:10">
      <c r="J162" s="8"/>
    </row>
    <row r="163" spans="10:10">
      <c r="J163" s="8"/>
    </row>
    <row r="164" spans="10:10">
      <c r="J164" s="8"/>
    </row>
    <row r="165" spans="10:10">
      <c r="J165" s="8"/>
    </row>
    <row r="166" spans="10:10">
      <c r="J166" s="8"/>
    </row>
    <row r="167" spans="10:10">
      <c r="J167" s="8"/>
    </row>
    <row r="168" spans="10:10">
      <c r="J168" s="8"/>
    </row>
    <row r="195" spans="9:19">
      <c r="J195" s="18"/>
      <c r="L195" s="18"/>
      <c r="N195" s="18"/>
      <c r="O195" s="18"/>
      <c r="P195" s="18"/>
      <c r="Q195" s="18"/>
      <c r="R195" s="18"/>
      <c r="S195" s="18"/>
    </row>
    <row r="196" spans="9:19">
      <c r="J196" s="18"/>
      <c r="L196" s="18"/>
      <c r="N196" s="18"/>
      <c r="O196" s="18"/>
      <c r="P196" s="18"/>
      <c r="Q196" s="18"/>
      <c r="R196" s="18"/>
      <c r="S196" s="18"/>
    </row>
    <row r="197" spans="9:19">
      <c r="J197" s="18"/>
      <c r="L197" s="18"/>
      <c r="N197" s="18"/>
      <c r="O197" s="18"/>
      <c r="P197" s="18"/>
      <c r="Q197" s="18"/>
      <c r="R197" s="18"/>
      <c r="S197" s="18"/>
    </row>
    <row r="198" spans="9:19">
      <c r="J198" s="18"/>
      <c r="L198" s="18"/>
      <c r="N198" s="18"/>
      <c r="O198" s="18"/>
      <c r="P198" s="18"/>
      <c r="Q198" s="18"/>
      <c r="R198" s="18"/>
      <c r="S198" s="18"/>
    </row>
    <row r="199" spans="9:19">
      <c r="J199" s="18"/>
      <c r="L199" s="18"/>
      <c r="N199" s="18"/>
      <c r="O199" s="18"/>
      <c r="P199" s="18"/>
      <c r="Q199" s="18"/>
      <c r="R199" s="18"/>
      <c r="S199" s="18"/>
    </row>
    <row r="200" spans="9:19">
      <c r="J200" s="18"/>
      <c r="L200" s="18"/>
      <c r="N200" s="18"/>
      <c r="O200" s="18"/>
      <c r="P200" s="18"/>
      <c r="Q200" s="18"/>
      <c r="R200" s="18"/>
      <c r="S200" s="18"/>
    </row>
    <row r="201" spans="9:19">
      <c r="J201" s="18"/>
      <c r="L201" s="18"/>
      <c r="N201" s="18"/>
      <c r="O201" s="18"/>
      <c r="P201" s="18"/>
      <c r="Q201" s="18"/>
      <c r="R201" s="18"/>
      <c r="S201" s="18"/>
    </row>
    <row r="202" spans="9:19">
      <c r="J202" s="18"/>
      <c r="L202" s="18"/>
      <c r="N202" s="18"/>
      <c r="O202" s="18"/>
      <c r="P202" s="18"/>
      <c r="Q202" s="18"/>
      <c r="R202" s="18"/>
      <c r="S202" s="18"/>
    </row>
    <row r="203" spans="9:19">
      <c r="I203"/>
    </row>
    <row r="204" spans="9:19">
      <c r="I204"/>
      <c r="L204" s="31"/>
      <c r="M204" s="31"/>
      <c r="N204" s="31"/>
      <c r="O204" s="31"/>
      <c r="P204" s="31"/>
      <c r="Q204" s="31"/>
      <c r="R204" s="31"/>
      <c r="S204" s="31"/>
    </row>
  </sheetData>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8C642-C12A-408A-86A4-A0105DE2A07D}">
  <sheetPr codeName="Sheet10">
    <tabColor theme="6" tint="0.59999389629810485"/>
  </sheetPr>
  <dimension ref="A1:AH204"/>
  <sheetViews>
    <sheetView topLeftCell="L1" workbookViewId="0">
      <selection activeCell="K12" sqref="K12"/>
    </sheetView>
  </sheetViews>
  <sheetFormatPr defaultColWidth="9.33203125" defaultRowHeight="13.15"/>
  <cols>
    <col min="4" max="4" width="17.5" customWidth="1"/>
    <col min="5" max="5" width="5.83203125" customWidth="1"/>
    <col min="6" max="6" width="17.5" customWidth="1"/>
    <col min="12" max="12" width="13.1640625" bestFit="1" customWidth="1"/>
    <col min="13" max="13" width="11.83203125" bestFit="1" customWidth="1"/>
    <col min="14" max="15" width="11.6640625" customWidth="1"/>
    <col min="17" max="17" width="14.6640625" hidden="1" customWidth="1"/>
    <col min="18" max="18" width="12.83203125" hidden="1" customWidth="1"/>
    <col min="19" max="19" width="13.83203125" hidden="1" customWidth="1"/>
    <col min="20" max="20" width="9.6640625" hidden="1" customWidth="1"/>
    <col min="21" max="23" width="6.5" hidden="1" customWidth="1"/>
    <col min="24" max="24" width="9.33203125" hidden="1" customWidth="1"/>
    <col min="25" max="26" width="6.5" hidden="1" customWidth="1"/>
    <col min="27" max="27" width="13" hidden="1" customWidth="1"/>
    <col min="28" max="28" width="6.5" hidden="1" customWidth="1"/>
    <col min="29" max="29" width="8.83203125" hidden="1" customWidth="1"/>
    <col min="30" max="30" width="9.83203125" customWidth="1"/>
    <col min="31" max="31" width="19.6640625" customWidth="1"/>
    <col min="32" max="32" width="13.83203125" bestFit="1" customWidth="1"/>
    <col min="33" max="33" width="12.5" bestFit="1" customWidth="1"/>
  </cols>
  <sheetData>
    <row r="1" spans="1:31" ht="13.9">
      <c r="A1" s="266" t="str">
        <f>'Monthly Data'!A1</f>
        <v>Date</v>
      </c>
      <c r="B1" s="258" t="s">
        <v>27</v>
      </c>
      <c r="C1" s="258" t="s">
        <v>28</v>
      </c>
      <c r="D1" s="267" t="str">
        <f>'Monthly Data'!N1</f>
        <v>GS_gt_50_NoCDM</v>
      </c>
      <c r="E1" s="30"/>
      <c r="F1" s="267" t="str">
        <f>'Monthly Data'!AB1</f>
        <v>GSgtxLCkWh_NoCDM</v>
      </c>
      <c r="G1" s="268" t="str">
        <f>I1&amp;"Norm"</f>
        <v>HDD20Norm</v>
      </c>
      <c r="H1" s="268" t="str">
        <f>J1&amp;"Norm"</f>
        <v>CDD10Norm</v>
      </c>
      <c r="I1" s="268" t="str">
        <f>'Monthly Data'!AQ1</f>
        <v>HDD20</v>
      </c>
      <c r="J1" s="268" t="str">
        <f>'Monthly Data'!BB1</f>
        <v>CDD10</v>
      </c>
      <c r="L1" s="268" t="s">
        <v>187</v>
      </c>
      <c r="M1" s="268" t="str">
        <f>G1</f>
        <v>HDD20Norm</v>
      </c>
      <c r="N1" s="268" t="str">
        <f>H1</f>
        <v>CDD10Norm</v>
      </c>
      <c r="O1" s="268"/>
      <c r="Q1" s="268" t="str">
        <f>'Monthly Data'!Y1</f>
        <v>LargekWh</v>
      </c>
      <c r="R1" s="268" t="str">
        <f>'Monthly Data'!DN1</f>
        <v>FlagNov25</v>
      </c>
      <c r="S1" s="268" t="str">
        <f>'Monthly Data'!DO1</f>
        <v>FlagDec25</v>
      </c>
      <c r="T1" s="520" t="str">
        <f>G1</f>
        <v>HDD20Norm</v>
      </c>
      <c r="U1" s="268" t="str">
        <f>I1</f>
        <v>HDD20</v>
      </c>
      <c r="V1" s="268" t="str">
        <f>'Monthly Data'!BR1</f>
        <v>Fall</v>
      </c>
      <c r="W1" s="18"/>
      <c r="X1" s="258" t="s">
        <v>187</v>
      </c>
      <c r="Y1" s="268" t="str">
        <f>R1</f>
        <v>FlagNov25</v>
      </c>
      <c r="Z1" s="268" t="str">
        <f>S1</f>
        <v>FlagDec25</v>
      </c>
      <c r="AA1" s="268" t="str">
        <f>T1</f>
        <v>HDD20Norm</v>
      </c>
      <c r="AB1" s="268" t="str">
        <f>V1</f>
        <v>Fall</v>
      </c>
      <c r="AC1" s="268"/>
      <c r="AD1" s="18"/>
      <c r="AE1" s="258" t="s">
        <v>385</v>
      </c>
    </row>
    <row r="2" spans="1:31">
      <c r="A2" s="541">
        <f>'Monthly Data'!A2</f>
        <v>42370</v>
      </c>
      <c r="B2">
        <f>YEAR(A2)</f>
        <v>2016</v>
      </c>
      <c r="C2">
        <f>MONTH(A2)</f>
        <v>1</v>
      </c>
      <c r="D2" s="30">
        <f>'Monthly Data'!N2</f>
        <v>15958.100961538461</v>
      </c>
      <c r="E2" s="30"/>
      <c r="F2" s="30">
        <f>'Monthly Data'!AB2</f>
        <v>14710.100961538461</v>
      </c>
      <c r="G2" s="516">
        <f ca="1">Weather!AA39</f>
        <v>914.55166666666662</v>
      </c>
      <c r="H2" s="516">
        <f ca="1">Weather!CT39</f>
        <v>0</v>
      </c>
      <c r="I2" s="33">
        <f>'Monthly Data'!AQ2</f>
        <v>887.26875000000007</v>
      </c>
      <c r="J2" s="33">
        <f>'Monthly Data'!BB2</f>
        <v>0</v>
      </c>
      <c r="L2" s="521"/>
      <c r="M2" s="18">
        <f ca="1">(G2-I2)*'GS&gt;50 Predicted Monthly (no LC)'!$P$10</f>
        <v>63173.477228261916</v>
      </c>
      <c r="N2" s="18">
        <f ca="1">(H2-J2)*'GS&gt;50 Predicted Monthly (no LC)'!$P$11</f>
        <v>0</v>
      </c>
      <c r="O2" s="18">
        <f ca="1">F2+M2+N2</f>
        <v>77883.578189800377</v>
      </c>
      <c r="Q2" s="18">
        <f>'Monthly Data'!Y2</f>
        <v>30480</v>
      </c>
      <c r="R2" s="18">
        <f>'Monthly Data'!DN2</f>
        <v>0</v>
      </c>
      <c r="S2" s="18">
        <f>'Monthly Data'!DO2</f>
        <v>0</v>
      </c>
      <c r="T2" s="277">
        <f ca="1">G2</f>
        <v>914.55166666666662</v>
      </c>
      <c r="U2" s="18">
        <f>I2</f>
        <v>887.26875000000007</v>
      </c>
      <c r="V2" s="18">
        <f>'Monthly Data'!BR2</f>
        <v>0</v>
      </c>
      <c r="W2" s="18"/>
      <c r="X2" s="18"/>
      <c r="Y2" s="18"/>
      <c r="Z2" s="18"/>
      <c r="AA2" s="18">
        <f ca="1">(T2-U2)*'LC Predicted Monthly'!$T$12</f>
        <v>5585.7221246109575</v>
      </c>
      <c r="AB2" s="18"/>
      <c r="AC2" s="18">
        <f ca="1">Q2+AA2</f>
        <v>36065.722124610955</v>
      </c>
      <c r="AD2" s="18"/>
      <c r="AE2" s="18">
        <f ca="1">D2+M2+N2+AA2</f>
        <v>84717.300314411332</v>
      </c>
    </row>
    <row r="3" spans="1:31">
      <c r="A3" s="541">
        <f>'Monthly Data'!A3</f>
        <v>42401</v>
      </c>
      <c r="B3">
        <f>YEAR(A3)</f>
        <v>2016</v>
      </c>
      <c r="C3">
        <f>MONTH(A3)</f>
        <v>2</v>
      </c>
      <c r="D3" s="30">
        <f>'Monthly Data'!N3</f>
        <v>18085.847756410258</v>
      </c>
      <c r="E3" s="30"/>
      <c r="F3" s="30">
        <f>'Monthly Data'!AB3</f>
        <v>14221.847756410258</v>
      </c>
      <c r="G3" s="516">
        <f ca="1">Weather!AA40</f>
        <v>803.82854166666664</v>
      </c>
      <c r="H3" s="516">
        <f ca="1">Weather!CT40</f>
        <v>0</v>
      </c>
      <c r="I3" s="33">
        <f>'Monthly Data'!AQ3</f>
        <v>864.28750000000002</v>
      </c>
      <c r="J3" s="33">
        <f>'Monthly Data'!BB3</f>
        <v>0</v>
      </c>
      <c r="L3" s="521"/>
      <c r="M3" s="18">
        <f ca="1">(G3-I3)*'GS&gt;50 Predicted Monthly (no LC)'!$P$10</f>
        <v>-139992.46027026518</v>
      </c>
      <c r="N3" s="18">
        <f ca="1">(H3-J3)*'GS&gt;50 Predicted Monthly (no LC)'!$P$11</f>
        <v>0</v>
      </c>
      <c r="O3" s="18">
        <f t="shared" ref="O3:O66" ca="1" si="0">F3+M3+N3</f>
        <v>-125770.61251385493</v>
      </c>
      <c r="Q3" s="18">
        <f>'Monthly Data'!Y3</f>
        <v>118530</v>
      </c>
      <c r="R3" s="18">
        <f>'Monthly Data'!DN3</f>
        <v>0</v>
      </c>
      <c r="S3" s="18">
        <f>'Monthly Data'!DO3</f>
        <v>0</v>
      </c>
      <c r="T3" s="277">
        <f t="shared" ref="T3:T11" ca="1" si="1">G3</f>
        <v>803.82854166666664</v>
      </c>
      <c r="U3" s="18">
        <f t="shared" ref="U3:U11" si="2">I3</f>
        <v>864.28750000000002</v>
      </c>
      <c r="V3" s="18">
        <f>'Monthly Data'!BR3</f>
        <v>0</v>
      </c>
      <c r="W3" s="18"/>
      <c r="X3" s="18"/>
      <c r="Y3" s="18"/>
      <c r="Z3" s="18"/>
      <c r="AA3" s="18">
        <f ca="1">(T3-U3)*'LC Predicted Monthly'!$T$12</f>
        <v>-12377.963299137755</v>
      </c>
      <c r="AB3" s="18"/>
      <c r="AC3" s="18">
        <f t="shared" ref="AC3:AC66" ca="1" si="3">Q3+AA3</f>
        <v>106152.03670086224</v>
      </c>
      <c r="AD3" s="18"/>
      <c r="AE3" s="18">
        <f t="shared" ref="AE3:AE66" ca="1" si="4">D3+M3+N3+AA3</f>
        <v>-134284.57581299267</v>
      </c>
    </row>
    <row r="4" spans="1:31">
      <c r="A4" s="541">
        <f>'Monthly Data'!A4</f>
        <v>42430</v>
      </c>
      <c r="B4">
        <f>YEAR(A4)</f>
        <v>2016</v>
      </c>
      <c r="C4">
        <f>MONTH(A4)</f>
        <v>3</v>
      </c>
      <c r="D4" s="30">
        <f>'Monthly Data'!N4</f>
        <v>20213.594551282051</v>
      </c>
      <c r="E4" s="30"/>
      <c r="F4" s="30">
        <f>'Monthly Data'!AB4</f>
        <v>19655.594551282051</v>
      </c>
      <c r="G4" s="516">
        <f ca="1">Weather!AA41</f>
        <v>698.29604166666672</v>
      </c>
      <c r="H4" s="516">
        <f ca="1">Weather!CT41</f>
        <v>0.11000000000000032</v>
      </c>
      <c r="I4" s="33">
        <f>'Monthly Data'!AQ4</f>
        <v>694.14374999999995</v>
      </c>
      <c r="J4" s="33">
        <f>'Monthly Data'!BB4</f>
        <v>0</v>
      </c>
      <c r="L4" s="521"/>
      <c r="M4" s="18">
        <f ca="1">(G4-I4)*'GS&gt;50 Predicted Monthly (no LC)'!$P$10</f>
        <v>9614.6136519840329</v>
      </c>
      <c r="N4" s="18">
        <f ca="1">(H4-J4)*'GS&gt;50 Predicted Monthly (no LC)'!$P$11</f>
        <v>594.2444084467578</v>
      </c>
      <c r="O4" s="18">
        <f t="shared" ca="1" si="0"/>
        <v>29864.452611712841</v>
      </c>
      <c r="Q4" s="18">
        <f>'Monthly Data'!Y4</f>
        <v>558</v>
      </c>
      <c r="R4" s="18">
        <f>'Monthly Data'!DN4</f>
        <v>0</v>
      </c>
      <c r="S4" s="18">
        <f>'Monthly Data'!DO4</f>
        <v>0</v>
      </c>
      <c r="T4" s="277">
        <f t="shared" ca="1" si="1"/>
        <v>698.29604166666672</v>
      </c>
      <c r="U4" s="18">
        <f t="shared" si="2"/>
        <v>694.14374999999995</v>
      </c>
      <c r="V4" s="18">
        <f>'Monthly Data'!BR4</f>
        <v>0</v>
      </c>
      <c r="W4" s="18"/>
      <c r="X4" s="18"/>
      <c r="Y4" s="18"/>
      <c r="Z4" s="18"/>
      <c r="AA4" s="18">
        <f ca="1">(T4-U4)*'LC Predicted Monthly'!$T$12</f>
        <v>850.11246098462277</v>
      </c>
      <c r="AB4" s="18"/>
      <c r="AC4" s="18">
        <f t="shared" ca="1" si="3"/>
        <v>1408.1124609846229</v>
      </c>
      <c r="AD4" s="18"/>
      <c r="AE4" s="18">
        <f t="shared" ca="1" si="4"/>
        <v>31272.565072697464</v>
      </c>
    </row>
    <row r="5" spans="1:31">
      <c r="A5" s="541">
        <f>'Monthly Data'!A5</f>
        <v>42461</v>
      </c>
      <c r="B5">
        <f>YEAR(A5)</f>
        <v>2016</v>
      </c>
      <c r="C5">
        <f>MONTH(A5)</f>
        <v>4</v>
      </c>
      <c r="D5" s="30">
        <f>'Monthly Data'!N5</f>
        <v>22341.341346153844</v>
      </c>
      <c r="E5" s="30"/>
      <c r="F5" s="30">
        <f>'Monthly Data'!AB5</f>
        <v>22335.341346153844</v>
      </c>
      <c r="G5" s="516">
        <f ca="1">Weather!AA42</f>
        <v>468.60374999999993</v>
      </c>
      <c r="H5" s="516">
        <f ca="1">Weather!CT42</f>
        <v>7.7354166666666684</v>
      </c>
      <c r="I5" s="33">
        <f>'Monthly Data'!AQ5</f>
        <v>544.44166666666672</v>
      </c>
      <c r="J5" s="33">
        <f>'Monthly Data'!BB5</f>
        <v>0</v>
      </c>
      <c r="L5" s="521"/>
      <c r="M5" s="18">
        <f ca="1">(G5-I5)*'GS&gt;50 Predicted Monthly (no LC)'!$P$10</f>
        <v>-175602.37272703074</v>
      </c>
      <c r="N5" s="18">
        <f ca="1">(H5-J5)*'GS&gt;50 Predicted Monthly (no LC)'!$P$11</f>
        <v>41788.437283386476</v>
      </c>
      <c r="O5" s="18">
        <f t="shared" ca="1" si="0"/>
        <v>-111478.59409749042</v>
      </c>
      <c r="Q5" s="18">
        <f>'Monthly Data'!Y5</f>
        <v>6</v>
      </c>
      <c r="R5" s="18">
        <f>'Monthly Data'!DN5</f>
        <v>0</v>
      </c>
      <c r="S5" s="18">
        <f>'Monthly Data'!DO5</f>
        <v>0</v>
      </c>
      <c r="T5" s="277">
        <f t="shared" ca="1" si="1"/>
        <v>468.60374999999993</v>
      </c>
      <c r="U5" s="18">
        <f t="shared" si="2"/>
        <v>544.44166666666672</v>
      </c>
      <c r="V5" s="18">
        <f>'Monthly Data'!BR5</f>
        <v>0</v>
      </c>
      <c r="W5" s="18"/>
      <c r="X5" s="18"/>
      <c r="Y5" s="18"/>
      <c r="Z5" s="18"/>
      <c r="AA5" s="18">
        <f ca="1">(T5-U5)*'LC Predicted Monthly'!$T$12</f>
        <v>-15526.548505972463</v>
      </c>
      <c r="AB5" s="18"/>
      <c r="AC5" s="18">
        <f t="shared" ca="1" si="3"/>
        <v>-15520.548505972463</v>
      </c>
      <c r="AD5" s="18"/>
      <c r="AE5" s="18">
        <f t="shared" ca="1" si="4"/>
        <v>-126999.14260346288</v>
      </c>
    </row>
    <row r="6" spans="1:31">
      <c r="A6" s="541">
        <f>'Monthly Data'!A6</f>
        <v>42491</v>
      </c>
      <c r="B6">
        <f t="shared" ref="B6:B69" si="5">YEAR(A6)</f>
        <v>2016</v>
      </c>
      <c r="C6">
        <f t="shared" ref="C6:C69" si="6">MONTH(A6)</f>
        <v>5</v>
      </c>
      <c r="D6" s="30">
        <f>'Monthly Data'!N6</f>
        <v>24469.088141025641</v>
      </c>
      <c r="E6" s="30"/>
      <c r="F6" s="30">
        <f>'Monthly Data'!AB6</f>
        <v>2227.0881410256407</v>
      </c>
      <c r="G6" s="516">
        <f ca="1">Weather!AA43</f>
        <v>232.88687500000006</v>
      </c>
      <c r="H6" s="516">
        <f ca="1">Weather!CT43</f>
        <v>111.43645833333332</v>
      </c>
      <c r="I6" s="33">
        <f>'Monthly Data'!AQ6</f>
        <v>215.85833333333335</v>
      </c>
      <c r="J6" s="33">
        <f>'Monthly Data'!BB6</f>
        <v>131.05416666666662</v>
      </c>
      <c r="L6" s="521"/>
      <c r="M6" s="18">
        <f ca="1">(G6-I6)*'GS&gt;50 Predicted Monthly (no LC)'!$P$10</f>
        <v>39429.515632542345</v>
      </c>
      <c r="N6" s="18">
        <f ca="1">(H6-J6)*'GS&gt;50 Predicted Monthly (no LC)'!$P$11</f>
        <v>-105979.21348747857</v>
      </c>
      <c r="O6" s="18">
        <f t="shared" ca="1" si="0"/>
        <v>-64322.609713910584</v>
      </c>
      <c r="Q6" s="18">
        <f>'Monthly Data'!Y6</f>
        <v>22242</v>
      </c>
      <c r="R6" s="18">
        <f>'Monthly Data'!DN6</f>
        <v>0</v>
      </c>
      <c r="S6" s="18">
        <f>'Monthly Data'!DO6</f>
        <v>0</v>
      </c>
      <c r="T6" s="277">
        <f t="shared" ca="1" si="1"/>
        <v>232.88687500000006</v>
      </c>
      <c r="U6" s="18">
        <f t="shared" si="2"/>
        <v>215.85833333333335</v>
      </c>
      <c r="V6" s="18">
        <f>'Monthly Data'!BR6</f>
        <v>0</v>
      </c>
      <c r="W6" s="18"/>
      <c r="X6" s="18"/>
      <c r="Y6" s="18"/>
      <c r="Z6" s="18"/>
      <c r="AA6" s="18">
        <f ca="1">(T6-U6)*'LC Predicted Monthly'!$T$12</f>
        <v>3486.3098802618319</v>
      </c>
      <c r="AB6" s="18"/>
      <c r="AC6" s="18">
        <f t="shared" ca="1" si="3"/>
        <v>25728.309880261833</v>
      </c>
      <c r="AD6" s="18"/>
      <c r="AE6" s="18">
        <f t="shared" ca="1" si="4"/>
        <v>-38594.299833648751</v>
      </c>
    </row>
    <row r="7" spans="1:31">
      <c r="A7" s="541">
        <f>'Monthly Data'!A7</f>
        <v>42522</v>
      </c>
      <c r="B7">
        <f t="shared" si="5"/>
        <v>2016</v>
      </c>
      <c r="C7">
        <f t="shared" si="6"/>
        <v>6</v>
      </c>
      <c r="D7" s="30">
        <f>'Monthly Data'!N7</f>
        <v>26596.834935897437</v>
      </c>
      <c r="E7" s="30"/>
      <c r="F7" s="30">
        <f>'Monthly Data'!AB7</f>
        <v>19858.834935897437</v>
      </c>
      <c r="G7" s="516">
        <f ca="1">Weather!AA44</f>
        <v>92.751249999999999</v>
      </c>
      <c r="H7" s="516">
        <f ca="1">Weather!CT44</f>
        <v>227.31958333333333</v>
      </c>
      <c r="I7" s="33">
        <f>'Monthly Data'!AQ7</f>
        <v>99.395833333333343</v>
      </c>
      <c r="J7" s="33">
        <f>'Monthly Data'!BB7</f>
        <v>220.87916666666666</v>
      </c>
      <c r="L7" s="521"/>
      <c r="M7" s="18">
        <f ca="1">(G7-I7)*'GS&gt;50 Predicted Monthly (no LC)'!$P$10</f>
        <v>-15385.504380932798</v>
      </c>
      <c r="N7" s="18">
        <f ca="1">(H7-J7)*'GS&gt;50 Predicted Monthly (no LC)'!$P$11</f>
        <v>34792.559929399642</v>
      </c>
      <c r="O7" s="18">
        <f t="shared" ca="1" si="0"/>
        <v>39265.890484364281</v>
      </c>
      <c r="Q7" s="18">
        <f>'Monthly Data'!Y7</f>
        <v>6738</v>
      </c>
      <c r="R7" s="18">
        <f>'Monthly Data'!DN7</f>
        <v>0</v>
      </c>
      <c r="S7" s="18">
        <f>'Monthly Data'!DO7</f>
        <v>0</v>
      </c>
      <c r="T7" s="277">
        <f t="shared" ca="1" si="1"/>
        <v>92.751249999999999</v>
      </c>
      <c r="U7" s="18">
        <f t="shared" si="2"/>
        <v>99.395833333333343</v>
      </c>
      <c r="V7" s="18">
        <f>'Monthly Data'!BR7</f>
        <v>0</v>
      </c>
      <c r="W7" s="18"/>
      <c r="X7" s="18"/>
      <c r="Y7" s="18"/>
      <c r="Z7" s="18"/>
      <c r="AA7" s="18">
        <f ca="1">(T7-U7)*'LC Predicted Monthly'!$T$12</f>
        <v>-1360.3676097859079</v>
      </c>
      <c r="AB7" s="18"/>
      <c r="AC7" s="18">
        <f t="shared" ca="1" si="3"/>
        <v>5377.6323902140921</v>
      </c>
      <c r="AD7" s="18"/>
      <c r="AE7" s="18">
        <f t="shared" ca="1" si="4"/>
        <v>44643.522874578375</v>
      </c>
    </row>
    <row r="8" spans="1:31">
      <c r="A8" s="541">
        <f>'Monthly Data'!A8</f>
        <v>42552</v>
      </c>
      <c r="B8">
        <f t="shared" si="5"/>
        <v>2016</v>
      </c>
      <c r="C8">
        <f t="shared" si="6"/>
        <v>7</v>
      </c>
      <c r="D8" s="30">
        <f>'Monthly Data'!N8</f>
        <v>28724.58173076923</v>
      </c>
      <c r="E8" s="30"/>
      <c r="F8" s="30">
        <f>'Monthly Data'!AB8</f>
        <v>7040.5817307692305</v>
      </c>
      <c r="G8" s="516">
        <f ca="1">Weather!AA45</f>
        <v>25.464999999999996</v>
      </c>
      <c r="H8" s="516">
        <f ca="1">Weather!CT45</f>
        <v>327.99625000000003</v>
      </c>
      <c r="I8" s="33">
        <f>'Monthly Data'!AQ8</f>
        <v>31.595833333333335</v>
      </c>
      <c r="J8" s="33">
        <f>'Monthly Data'!BB8</f>
        <v>320.39583333333326</v>
      </c>
      <c r="L8" s="521"/>
      <c r="M8" s="18">
        <f ca="1">(G8-I8)*'GS&gt;50 Predicted Monthly (no LC)'!$P$10</f>
        <v>-14195.918446168247</v>
      </c>
      <c r="N8" s="18">
        <f ca="1">(H8-J8)*'GS&gt;50 Predicted Monthly (no LC)'!$P$11</f>
        <v>41059.13732756603</v>
      </c>
      <c r="O8" s="18">
        <f t="shared" ca="1" si="0"/>
        <v>33903.800612167011</v>
      </c>
      <c r="Q8" s="18">
        <f>'Monthly Data'!Y8</f>
        <v>21684</v>
      </c>
      <c r="R8" s="18">
        <f>'Monthly Data'!DN8</f>
        <v>0</v>
      </c>
      <c r="S8" s="18">
        <f>'Monthly Data'!DO8</f>
        <v>0</v>
      </c>
      <c r="T8" s="277">
        <f t="shared" ca="1" si="1"/>
        <v>25.464999999999996</v>
      </c>
      <c r="U8" s="18">
        <f t="shared" si="2"/>
        <v>31.595833333333335</v>
      </c>
      <c r="V8" s="18">
        <f>'Monthly Data'!BR8</f>
        <v>0</v>
      </c>
      <c r="W8" s="18"/>
      <c r="X8" s="18"/>
      <c r="Y8" s="18"/>
      <c r="Z8" s="18"/>
      <c r="AA8" s="18">
        <f ca="1">(T8-U8)*'LC Predicted Monthly'!$T$12</f>
        <v>-1255.1858663315879</v>
      </c>
      <c r="AB8" s="18"/>
      <c r="AC8" s="18">
        <f t="shared" ca="1" si="3"/>
        <v>20428.814133668413</v>
      </c>
      <c r="AD8" s="18"/>
      <c r="AE8" s="18">
        <f t="shared" ca="1" si="4"/>
        <v>54332.614745835424</v>
      </c>
    </row>
    <row r="9" spans="1:31">
      <c r="A9" s="541">
        <f>'Monthly Data'!A9</f>
        <v>42583</v>
      </c>
      <c r="B9">
        <f t="shared" si="5"/>
        <v>2016</v>
      </c>
      <c r="C9">
        <f t="shared" si="6"/>
        <v>8</v>
      </c>
      <c r="D9" s="30">
        <f>'Monthly Data'!N9</f>
        <v>30852.328525641024</v>
      </c>
      <c r="E9" s="30"/>
      <c r="F9" s="30">
        <f>'Monthly Data'!AB9</f>
        <v>17142.328525641024</v>
      </c>
      <c r="G9" s="516">
        <f ca="1">Weather!AA46</f>
        <v>54.974791666666668</v>
      </c>
      <c r="H9" s="516">
        <f ca="1">Weather!CT46</f>
        <v>280.40312500000005</v>
      </c>
      <c r="I9" s="33">
        <f>'Monthly Data'!AQ9</f>
        <v>19.462499999999999</v>
      </c>
      <c r="J9" s="33">
        <f>'Monthly Data'!BB9</f>
        <v>336.35833333333329</v>
      </c>
      <c r="L9" s="521"/>
      <c r="M9" s="18">
        <f ca="1">(G9-I9)*'GS&gt;50 Predicted Monthly (no LC)'!$P$10</f>
        <v>82228.559957027028</v>
      </c>
      <c r="N9" s="18">
        <f ca="1">(H9-J9)*'GS&gt;50 Predicted Monthly (no LC)'!$P$11</f>
        <v>-302282.45159596921</v>
      </c>
      <c r="O9" s="18">
        <f t="shared" ca="1" si="0"/>
        <v>-202911.56311330115</v>
      </c>
      <c r="Q9" s="18">
        <f>'Monthly Data'!Y9</f>
        <v>13710</v>
      </c>
      <c r="R9" s="18">
        <f>'Monthly Data'!DN9</f>
        <v>0</v>
      </c>
      <c r="S9" s="18">
        <f>'Monthly Data'!DO9</f>
        <v>0</v>
      </c>
      <c r="T9" s="277">
        <f t="shared" ca="1" si="1"/>
        <v>54.974791666666668</v>
      </c>
      <c r="U9" s="18">
        <f t="shared" si="2"/>
        <v>19.462499999999999</v>
      </c>
      <c r="V9" s="18">
        <f>'Monthly Data'!BR9</f>
        <v>0</v>
      </c>
      <c r="W9" s="18"/>
      <c r="X9" s="18"/>
      <c r="Y9" s="18"/>
      <c r="Z9" s="18"/>
      <c r="AA9" s="18">
        <f ca="1">(T9-U9)*'LC Predicted Monthly'!$T$12</f>
        <v>7270.5493947606356</v>
      </c>
      <c r="AB9" s="18"/>
      <c r="AC9" s="18">
        <f t="shared" ca="1" si="3"/>
        <v>20980.549394760637</v>
      </c>
      <c r="AD9" s="18"/>
      <c r="AE9" s="18">
        <f t="shared" ca="1" si="4"/>
        <v>-181931.01371854052</v>
      </c>
    </row>
    <row r="10" spans="1:31">
      <c r="A10" s="541">
        <f>'Monthly Data'!A10</f>
        <v>42614</v>
      </c>
      <c r="B10">
        <f t="shared" si="5"/>
        <v>2016</v>
      </c>
      <c r="C10">
        <f t="shared" si="6"/>
        <v>9</v>
      </c>
      <c r="D10" s="30">
        <f>'Monthly Data'!N10</f>
        <v>32980.07532051282</v>
      </c>
      <c r="E10" s="30"/>
      <c r="F10" s="30">
        <f>'Monthly Data'!AB10</f>
        <v>32770.07532051282</v>
      </c>
      <c r="G10" s="516">
        <f ca="1">Weather!AA47</f>
        <v>166.50624999999999</v>
      </c>
      <c r="H10" s="516">
        <f ca="1">Weather!CT47</f>
        <v>144.00333333333333</v>
      </c>
      <c r="I10" s="33">
        <f>'Monthly Data'!AQ10</f>
        <v>150.00416666666666</v>
      </c>
      <c r="J10" s="33">
        <f>'Monthly Data'!BB10</f>
        <v>159.27499999999998</v>
      </c>
      <c r="L10" s="521"/>
      <c r="M10" s="18">
        <f ca="1">(G10-I10)*'GS&gt;50 Predicted Monthly (no LC)'!$P$10</f>
        <v>38210.503606122933</v>
      </c>
      <c r="N10" s="18">
        <f ca="1">(H10-J10)*'GS&gt;50 Predicted Monthly (no LC)'!$P$11</f>
        <v>-82500.932039357867</v>
      </c>
      <c r="O10" s="18">
        <f t="shared" ca="1" si="0"/>
        <v>-11520.353112722107</v>
      </c>
      <c r="Q10" s="18">
        <f>'Monthly Data'!Y10</f>
        <v>210</v>
      </c>
      <c r="R10" s="18">
        <f>'Monthly Data'!DN10</f>
        <v>0</v>
      </c>
      <c r="S10" s="18">
        <f>'Monthly Data'!DO10</f>
        <v>0</v>
      </c>
      <c r="T10" s="277">
        <f t="shared" ca="1" si="1"/>
        <v>166.50624999999999</v>
      </c>
      <c r="U10" s="18">
        <f t="shared" si="2"/>
        <v>150.00416666666666</v>
      </c>
      <c r="V10" s="18">
        <f>'Monthly Data'!BR10</f>
        <v>1</v>
      </c>
      <c r="W10" s="18"/>
      <c r="X10" s="18"/>
      <c r="Y10" s="18"/>
      <c r="Z10" s="18"/>
      <c r="AA10" s="18">
        <f ca="1">(T10-U10)*'LC Predicted Monthly'!$T$12</f>
        <v>3378.5263175249756</v>
      </c>
      <c r="AB10" s="18"/>
      <c r="AC10" s="18">
        <f t="shared" ca="1" si="3"/>
        <v>3588.5263175249756</v>
      </c>
      <c r="AD10" s="18"/>
      <c r="AE10" s="18">
        <f t="shared" ca="1" si="4"/>
        <v>-7931.8267951971311</v>
      </c>
    </row>
    <row r="11" spans="1:31">
      <c r="A11" s="541">
        <f>'Monthly Data'!A11</f>
        <v>42644</v>
      </c>
      <c r="B11">
        <f t="shared" si="5"/>
        <v>2016</v>
      </c>
      <c r="C11">
        <f t="shared" si="6"/>
        <v>10</v>
      </c>
      <c r="D11" s="30">
        <f>'Monthly Data'!N11</f>
        <v>35107.822115384617</v>
      </c>
      <c r="E11" s="30"/>
      <c r="F11" s="30">
        <f>'Monthly Data'!AB11</f>
        <v>-507574.17788461538</v>
      </c>
      <c r="G11" s="516">
        <f ca="1">Weather!AA48</f>
        <v>363.47645833333326</v>
      </c>
      <c r="H11" s="516">
        <f ca="1">Weather!CT48</f>
        <v>40.02791666666667</v>
      </c>
      <c r="I11" s="33">
        <f>'Monthly Data'!AQ11</f>
        <v>371.38749999999993</v>
      </c>
      <c r="J11" s="33">
        <f>'Monthly Data'!BB11</f>
        <v>41.08750000000002</v>
      </c>
      <c r="L11" s="521"/>
      <c r="M11" s="18">
        <f ca="1">(G11-I11)*'GS&gt;50 Predicted Monthly (no LC)'!$P$10</f>
        <v>-18317.983252560385</v>
      </c>
      <c r="N11" s="18">
        <f ca="1">(H11-J11)*'GS&gt;50 Predicted Monthly (no LC)'!$P$11</f>
        <v>-5724.1042828792606</v>
      </c>
      <c r="O11" s="18">
        <f t="shared" ca="1" si="0"/>
        <v>-531616.26542005502</v>
      </c>
      <c r="Q11" s="18">
        <f>'Monthly Data'!Y11</f>
        <v>542682</v>
      </c>
      <c r="R11" s="18">
        <f>'Monthly Data'!DN11</f>
        <v>0</v>
      </c>
      <c r="S11" s="18">
        <f>'Monthly Data'!DO11</f>
        <v>0</v>
      </c>
      <c r="T11" s="277">
        <f t="shared" ca="1" si="1"/>
        <v>363.47645833333326</v>
      </c>
      <c r="U11" s="18">
        <f t="shared" si="2"/>
        <v>371.38749999999993</v>
      </c>
      <c r="V11" s="18">
        <f>'Monthly Data'!BR11</f>
        <v>1</v>
      </c>
      <c r="W11" s="18"/>
      <c r="X11" s="18"/>
      <c r="Y11" s="18"/>
      <c r="Z11" s="18"/>
      <c r="AA11" s="18">
        <f ca="1">(T11-U11)*'LC Predicted Monthly'!$T$12</f>
        <v>-1619.6538297610919</v>
      </c>
      <c r="AB11" s="18"/>
      <c r="AC11" s="18">
        <f t="shared" ca="1" si="3"/>
        <v>541062.34617023892</v>
      </c>
      <c r="AD11" s="18"/>
      <c r="AE11" s="18">
        <f t="shared" ca="1" si="4"/>
        <v>9446.0807501838808</v>
      </c>
    </row>
    <row r="12" spans="1:31">
      <c r="A12" s="541">
        <f>'Monthly Data'!A12</f>
        <v>42675</v>
      </c>
      <c r="B12">
        <f t="shared" si="5"/>
        <v>2016</v>
      </c>
      <c r="C12">
        <f t="shared" si="6"/>
        <v>11</v>
      </c>
      <c r="D12" s="30">
        <f>'Monthly Data'!N12</f>
        <v>37235.568910256407</v>
      </c>
      <c r="E12" s="30"/>
      <c r="F12" s="30">
        <f>'Monthly Data'!AB12</f>
        <v>-1132788.7010897435</v>
      </c>
      <c r="G12" s="516">
        <f ca="1">Weather!AA49</f>
        <v>586.00395833333334</v>
      </c>
      <c r="H12" s="516">
        <f ca="1">Weather!CT49</f>
        <v>4.5920833333333331</v>
      </c>
      <c r="I12" s="33">
        <f>'Monthly Data'!AQ12</f>
        <v>532.77083333333348</v>
      </c>
      <c r="J12" s="33">
        <f>'Monthly Data'!BB12</f>
        <v>0</v>
      </c>
      <c r="L12" s="521"/>
      <c r="M12" s="18">
        <f ca="1">(G12-I12)*'GS&gt;50 Predicted Monthly (no LC)'!$P$10</f>
        <v>123261.07399233557</v>
      </c>
      <c r="N12" s="18">
        <f ca="1">(H12-J12)*'GS&gt;50 Predicted Monthly (no LC)'!$P$11</f>
        <v>24807.453126862496</v>
      </c>
      <c r="O12" s="18">
        <f t="shared" ca="1" si="0"/>
        <v>-984720.17397054541</v>
      </c>
      <c r="Q12" s="18">
        <f>'Monthly Data'!Y12</f>
        <v>1170024.27</v>
      </c>
      <c r="R12" s="18">
        <f>'Monthly Data'!DN12</f>
        <v>0</v>
      </c>
      <c r="S12" s="18">
        <f>'Monthly Data'!DO12</f>
        <v>0</v>
      </c>
      <c r="T12" s="277">
        <f ca="1">G12</f>
        <v>586.00395833333334</v>
      </c>
      <c r="U12" s="18">
        <f>I12</f>
        <v>532.77083333333348</v>
      </c>
      <c r="V12" s="18">
        <f>'Monthly Data'!BR12</f>
        <v>1</v>
      </c>
      <c r="W12" s="18"/>
      <c r="X12" s="18"/>
      <c r="Y12" s="18"/>
      <c r="Z12" s="18"/>
      <c r="AA12" s="18">
        <f ca="1">(T12-U12)*'LC Predicted Monthly'!$T$12</f>
        <v>10898.594446757506</v>
      </c>
      <c r="AB12" s="18"/>
      <c r="AC12" s="18">
        <f t="shared" ca="1" si="3"/>
        <v>1180922.8644467576</v>
      </c>
      <c r="AD12" s="18"/>
      <c r="AE12" s="18">
        <f t="shared" ca="1" si="4"/>
        <v>196202.69047621198</v>
      </c>
    </row>
    <row r="13" spans="1:31">
      <c r="A13" s="541">
        <f>'Monthly Data'!A13</f>
        <v>42705</v>
      </c>
      <c r="B13">
        <f t="shared" si="5"/>
        <v>2016</v>
      </c>
      <c r="C13">
        <f t="shared" si="6"/>
        <v>12</v>
      </c>
      <c r="D13" s="30">
        <f>'Monthly Data'!N13</f>
        <v>75087416.315705135</v>
      </c>
      <c r="E13" s="30"/>
      <c r="F13" s="30">
        <f>'Monthly Data'!AB13</f>
        <v>74677622.315705135</v>
      </c>
      <c r="G13" s="516">
        <f ca="1">Weather!AA50</f>
        <v>812.36333333333334</v>
      </c>
      <c r="H13" s="516">
        <f ca="1">Weather!CT50</f>
        <v>0</v>
      </c>
      <c r="I13" s="33">
        <f>'Monthly Data'!AQ13</f>
        <v>812.63333333333298</v>
      </c>
      <c r="J13" s="33">
        <f>'Monthly Data'!BB13</f>
        <v>0</v>
      </c>
      <c r="L13" s="521"/>
      <c r="M13" s="18">
        <f ca="1">(G13-I13)*'GS&gt;50 Predicted Monthly (no LC)'!$P$10</f>
        <v>-625.18384892651738</v>
      </c>
      <c r="N13" s="18">
        <f ca="1">(H13-J13)*'GS&gt;50 Predicted Monthly (no LC)'!$P$11</f>
        <v>0</v>
      </c>
      <c r="O13" s="18">
        <f t="shared" ca="1" si="0"/>
        <v>74676997.131856203</v>
      </c>
      <c r="Q13" s="18">
        <f>'Monthly Data'!Y13</f>
        <v>409794</v>
      </c>
      <c r="R13" s="18">
        <f>'Monthly Data'!DN13</f>
        <v>0</v>
      </c>
      <c r="S13" s="18">
        <f>'Monthly Data'!DO13</f>
        <v>0</v>
      </c>
      <c r="T13" s="277">
        <f ca="1">G13</f>
        <v>812.36333333333334</v>
      </c>
      <c r="U13" s="18">
        <f>I13</f>
        <v>812.63333333333298</v>
      </c>
      <c r="V13" s="18">
        <f>'Monthly Data'!BR13</f>
        <v>0</v>
      </c>
      <c r="W13" s="18"/>
      <c r="X13" s="18"/>
      <c r="Y13" s="18"/>
      <c r="Z13" s="18"/>
      <c r="AA13" s="18">
        <f ca="1">(T13-U13)*'LC Predicted Monthly'!$T$12</f>
        <v>-55.277996559860412</v>
      </c>
      <c r="AB13" s="18"/>
      <c r="AC13" s="18">
        <f t="shared" ca="1" si="3"/>
        <v>409738.72200344014</v>
      </c>
      <c r="AD13" s="18"/>
      <c r="AE13" s="18">
        <f ca="1">D13+M13+N13+AA13</f>
        <v>75086735.853859648</v>
      </c>
    </row>
    <row r="14" spans="1:31">
      <c r="A14" s="541">
        <f>'Monthly Data'!A14</f>
        <v>42736</v>
      </c>
      <c r="B14">
        <f t="shared" si="5"/>
        <v>2017</v>
      </c>
      <c r="C14">
        <f t="shared" si="6"/>
        <v>1</v>
      </c>
      <c r="D14" s="30">
        <f>'Monthly Data'!N14</f>
        <v>55821.970352564102</v>
      </c>
      <c r="E14" s="30"/>
      <c r="F14" s="30">
        <f>'Monthly Data'!AB14</f>
        <v>-53384.029647435898</v>
      </c>
      <c r="G14" s="33">
        <f t="shared" ref="G14:H29" ca="1" si="7">G2</f>
        <v>914.55166666666662</v>
      </c>
      <c r="H14" s="33">
        <f t="shared" ca="1" si="7"/>
        <v>0</v>
      </c>
      <c r="I14" s="33">
        <f>'Monthly Data'!AQ14</f>
        <v>835.17083333333335</v>
      </c>
      <c r="J14" s="33">
        <f>'Monthly Data'!BB14</f>
        <v>0</v>
      </c>
      <c r="L14" s="521"/>
      <c r="M14" s="18">
        <f ca="1">(G14-I14)*'GS&gt;50 Predicted Monthly (no LC)'!$P$10</f>
        <v>183805.98116442116</v>
      </c>
      <c r="N14" s="18">
        <f ca="1">(H14-J14)*'GS&gt;50 Predicted Monthly (no LC)'!$P$11</f>
        <v>0</v>
      </c>
      <c r="O14" s="18">
        <f t="shared" ca="1" si="0"/>
        <v>130421.95151698525</v>
      </c>
      <c r="Q14" s="18">
        <f>'Monthly Data'!Y14</f>
        <v>109206</v>
      </c>
      <c r="R14" s="18">
        <f>'Monthly Data'!DN14</f>
        <v>0</v>
      </c>
      <c r="S14" s="18">
        <f>'Monthly Data'!DO14</f>
        <v>0</v>
      </c>
      <c r="T14" s="277">
        <f t="shared" ref="T14:T77" ca="1" si="8">G14</f>
        <v>914.55166666666662</v>
      </c>
      <c r="U14" s="18">
        <f t="shared" ref="U14:U77" si="9">I14</f>
        <v>835.17083333333335</v>
      </c>
      <c r="V14" s="18">
        <f>'Monthly Data'!BR14</f>
        <v>0</v>
      </c>
      <c r="W14" s="18"/>
      <c r="X14" s="18"/>
      <c r="Y14" s="18"/>
      <c r="Z14" s="18"/>
      <c r="AA14" s="18">
        <f ca="1">(T14-U14)*'LC Predicted Monthly'!$T$12</f>
        <v>16251.901599721066</v>
      </c>
      <c r="AB14" s="18"/>
      <c r="AC14" s="18">
        <f t="shared" ca="1" si="3"/>
        <v>125457.90159972107</v>
      </c>
      <c r="AD14" s="18"/>
      <c r="AE14" s="18">
        <f t="shared" ca="1" si="4"/>
        <v>255879.8531167063</v>
      </c>
    </row>
    <row r="15" spans="1:31">
      <c r="A15" s="541">
        <f>'Monthly Data'!A15</f>
        <v>42767</v>
      </c>
      <c r="B15">
        <f t="shared" si="5"/>
        <v>2017</v>
      </c>
      <c r="C15">
        <f t="shared" si="6"/>
        <v>2</v>
      </c>
      <c r="D15" s="30">
        <f>'Monthly Data'!N15</f>
        <v>59576.805288461539</v>
      </c>
      <c r="E15" s="30"/>
      <c r="F15" s="30">
        <f>'Monthly Data'!AB15</f>
        <v>40604.805288461539</v>
      </c>
      <c r="G15" s="33">
        <f t="shared" ca="1" si="7"/>
        <v>803.82854166666664</v>
      </c>
      <c r="H15" s="33">
        <f t="shared" ca="1" si="7"/>
        <v>0</v>
      </c>
      <c r="I15" s="33">
        <f>'Monthly Data'!AQ15</f>
        <v>738.8125</v>
      </c>
      <c r="J15" s="33">
        <f>'Monthly Data'!BB15</f>
        <v>0</v>
      </c>
      <c r="L15" s="521"/>
      <c r="M15" s="18">
        <f ca="1">(G15-I15)*'GS&gt;50 Predicted Monthly (no LC)'!$P$10</f>
        <v>150544.36730069463</v>
      </c>
      <c r="N15" s="18">
        <f ca="1">(H15-J15)*'GS&gt;50 Predicted Monthly (no LC)'!$P$11</f>
        <v>0</v>
      </c>
      <c r="O15" s="18">
        <f t="shared" ca="1" si="0"/>
        <v>191149.17258915617</v>
      </c>
      <c r="Q15" s="18">
        <f>'Monthly Data'!Y15</f>
        <v>18972</v>
      </c>
      <c r="R15" s="18">
        <f>'Monthly Data'!DN15</f>
        <v>0</v>
      </c>
      <c r="S15" s="18">
        <f>'Monthly Data'!DO15</f>
        <v>0</v>
      </c>
      <c r="T15" s="277">
        <f t="shared" ca="1" si="8"/>
        <v>803.82854166666664</v>
      </c>
      <c r="U15" s="18">
        <f t="shared" si="9"/>
        <v>738.8125</v>
      </c>
      <c r="V15" s="18">
        <f>'Monthly Data'!BR15</f>
        <v>0</v>
      </c>
      <c r="W15" s="18"/>
      <c r="X15" s="18"/>
      <c r="Y15" s="18"/>
      <c r="Z15" s="18"/>
      <c r="AA15" s="18">
        <f ca="1">(T15-U15)*'LC Predicted Monthly'!$T$12</f>
        <v>13310.950102187116</v>
      </c>
      <c r="AB15" s="18"/>
      <c r="AC15" s="18">
        <f t="shared" ca="1" si="3"/>
        <v>32282.950102187118</v>
      </c>
      <c r="AD15" s="18"/>
      <c r="AE15" s="18">
        <f t="shared" ca="1" si="4"/>
        <v>223432.12269134328</v>
      </c>
    </row>
    <row r="16" spans="1:31">
      <c r="A16" s="541">
        <f>'Monthly Data'!A16</f>
        <v>42795</v>
      </c>
      <c r="B16">
        <f t="shared" si="5"/>
        <v>2017</v>
      </c>
      <c r="C16">
        <f t="shared" si="6"/>
        <v>3</v>
      </c>
      <c r="D16" s="30">
        <f>'Monthly Data'!N16</f>
        <v>63331.640224358969</v>
      </c>
      <c r="E16" s="30"/>
      <c r="F16" s="30">
        <f>'Monthly Data'!AB16</f>
        <v>63091.640224358969</v>
      </c>
      <c r="G16" s="33">
        <f t="shared" ca="1" si="7"/>
        <v>698.29604166666672</v>
      </c>
      <c r="H16" s="33">
        <f t="shared" ca="1" si="7"/>
        <v>0.11000000000000032</v>
      </c>
      <c r="I16" s="33">
        <f>'Monthly Data'!AQ16</f>
        <v>818.92500000000018</v>
      </c>
      <c r="J16" s="33">
        <f>'Monthly Data'!BB16</f>
        <v>0</v>
      </c>
      <c r="L16" s="521"/>
      <c r="M16" s="18">
        <f ca="1">(G16-I16)*'GS&gt;50 Predicted Monthly (no LC)'!$P$10</f>
        <v>-279315.83875159349</v>
      </c>
      <c r="N16" s="18">
        <f ca="1">(H16-J16)*'GS&gt;50 Predicted Monthly (no LC)'!$P$11</f>
        <v>594.2444084467578</v>
      </c>
      <c r="O16" s="18">
        <f t="shared" ca="1" si="0"/>
        <v>-215629.95411878775</v>
      </c>
      <c r="Q16" s="18">
        <f>'Monthly Data'!Y16</f>
        <v>240</v>
      </c>
      <c r="R16" s="18">
        <f>'Monthly Data'!DN16</f>
        <v>0</v>
      </c>
      <c r="S16" s="18">
        <f>'Monthly Data'!DO16</f>
        <v>0</v>
      </c>
      <c r="T16" s="277">
        <f t="shared" ca="1" si="8"/>
        <v>698.29604166666672</v>
      </c>
      <c r="U16" s="18">
        <f t="shared" si="9"/>
        <v>818.92500000000018</v>
      </c>
      <c r="V16" s="18">
        <f>'Monthly Data'!BR16</f>
        <v>0</v>
      </c>
      <c r="W16" s="18"/>
      <c r="X16" s="18"/>
      <c r="Y16" s="18"/>
      <c r="Z16" s="18"/>
      <c r="AA16" s="18">
        <f ca="1">(T16-U16)*'LC Predicted Monthly'!$T$12</f>
        <v>-24696.76719917935</v>
      </c>
      <c r="AB16" s="18"/>
      <c r="AC16" s="18">
        <f t="shared" ca="1" si="3"/>
        <v>-24456.76719917935</v>
      </c>
      <c r="AD16" s="18"/>
      <c r="AE16" s="18">
        <f t="shared" ca="1" si="4"/>
        <v>-240086.72131796711</v>
      </c>
    </row>
    <row r="17" spans="1:32">
      <c r="A17" s="541">
        <f>'Monthly Data'!A17</f>
        <v>42826</v>
      </c>
      <c r="B17">
        <f t="shared" si="5"/>
        <v>2017</v>
      </c>
      <c r="C17">
        <f t="shared" si="6"/>
        <v>4</v>
      </c>
      <c r="D17" s="30">
        <f>'Monthly Data'!N17</f>
        <v>67086.475160256407</v>
      </c>
      <c r="E17" s="30"/>
      <c r="F17" s="30">
        <f>'Monthly Data'!AB17</f>
        <v>65190.475160256407</v>
      </c>
      <c r="G17" s="33">
        <f t="shared" ca="1" si="7"/>
        <v>468.60374999999993</v>
      </c>
      <c r="H17" s="33">
        <f t="shared" ca="1" si="7"/>
        <v>7.7354166666666684</v>
      </c>
      <c r="I17" s="33">
        <f>'Monthly Data'!AQ17</f>
        <v>427.46041666666662</v>
      </c>
      <c r="J17" s="33">
        <f>'Monthly Data'!BB17</f>
        <v>13.695833333333335</v>
      </c>
      <c r="L17" s="521"/>
      <c r="M17" s="18">
        <f ca="1">(G17-I17)*'GS&gt;50 Predicted Monthly (no LC)'!$P$10</f>
        <v>95267.212929756395</v>
      </c>
      <c r="N17" s="18">
        <f ca="1">(H17-J17)*'GS&gt;50 Predicted Monthly (no LC)'!$P$11</f>
        <v>-32199.493419813811</v>
      </c>
      <c r="O17" s="18">
        <f t="shared" ca="1" si="0"/>
        <v>128258.19467019901</v>
      </c>
      <c r="Q17" s="18">
        <f>'Monthly Data'!Y17</f>
        <v>1896</v>
      </c>
      <c r="R17" s="18">
        <f>'Monthly Data'!DN17</f>
        <v>0</v>
      </c>
      <c r="S17" s="18">
        <f>'Monthly Data'!DO17</f>
        <v>0</v>
      </c>
      <c r="T17" s="277">
        <f t="shared" ca="1" si="8"/>
        <v>468.60374999999993</v>
      </c>
      <c r="U17" s="18">
        <f t="shared" si="9"/>
        <v>427.46041666666662</v>
      </c>
      <c r="V17" s="18">
        <f>'Monthly Data'!BR17</f>
        <v>0</v>
      </c>
      <c r="W17" s="18"/>
      <c r="X17" s="18"/>
      <c r="Y17" s="18"/>
      <c r="Z17" s="18"/>
      <c r="AA17" s="18">
        <f ca="1">(T17-U17)*'LC Predicted Monthly'!$T$12</f>
        <v>8423.4112535711683</v>
      </c>
      <c r="AB17" s="18"/>
      <c r="AC17" s="18">
        <f t="shared" ca="1" si="3"/>
        <v>10319.411253571168</v>
      </c>
      <c r="AD17" s="18"/>
      <c r="AE17" s="18">
        <f t="shared" ca="1" si="4"/>
        <v>138577.60592377017</v>
      </c>
    </row>
    <row r="18" spans="1:32">
      <c r="A18" s="541">
        <f>'Monthly Data'!A18</f>
        <v>42856</v>
      </c>
      <c r="B18">
        <f t="shared" si="5"/>
        <v>2017</v>
      </c>
      <c r="C18">
        <f t="shared" si="6"/>
        <v>5</v>
      </c>
      <c r="D18" s="30">
        <f>'Monthly Data'!N18</f>
        <v>70841.310096153844</v>
      </c>
      <c r="E18" s="30"/>
      <c r="F18" s="30">
        <f>'Monthly Data'!AB18</f>
        <v>68957.310096153844</v>
      </c>
      <c r="G18" s="33">
        <f t="shared" ca="1" si="7"/>
        <v>232.88687500000006</v>
      </c>
      <c r="H18" s="33">
        <f t="shared" ca="1" si="7"/>
        <v>111.43645833333332</v>
      </c>
      <c r="I18" s="33">
        <f>'Monthly Data'!AQ18</f>
        <v>278.46250000000009</v>
      </c>
      <c r="J18" s="33">
        <f>'Monthly Data'!BB18</f>
        <v>86.966666666666654</v>
      </c>
      <c r="L18" s="521"/>
      <c r="M18" s="18">
        <f ca="1">(G18-I18)*'GS&gt;50 Predicted Monthly (no LC)'!$P$10</f>
        <v>-105530.16538803533</v>
      </c>
      <c r="N18" s="18">
        <f ca="1">(H18-J18)*'GS&gt;50 Predicted Monthly (no LC)'!$P$11</f>
        <v>132191.2443070336</v>
      </c>
      <c r="O18" s="18">
        <f t="shared" ca="1" si="0"/>
        <v>95618.389015152119</v>
      </c>
      <c r="Q18" s="18">
        <f>'Monthly Data'!Y18</f>
        <v>1884</v>
      </c>
      <c r="R18" s="18">
        <f>'Monthly Data'!DN18</f>
        <v>0</v>
      </c>
      <c r="S18" s="18">
        <f>'Monthly Data'!DO18</f>
        <v>0</v>
      </c>
      <c r="T18" s="277">
        <f t="shared" ca="1" si="8"/>
        <v>232.88687500000006</v>
      </c>
      <c r="U18" s="18">
        <f t="shared" si="9"/>
        <v>278.46250000000009</v>
      </c>
      <c r="V18" s="18">
        <f>'Monthly Data'!BR18</f>
        <v>0</v>
      </c>
      <c r="W18" s="18"/>
      <c r="X18" s="18"/>
      <c r="Y18" s="18"/>
      <c r="Z18" s="18"/>
      <c r="AA18" s="18">
        <f ca="1">(T18-U18)*'LC Predicted Monthly'!$T$12</f>
        <v>-9330.8490443216378</v>
      </c>
      <c r="AB18" s="18"/>
      <c r="AC18" s="18">
        <f t="shared" ca="1" si="3"/>
        <v>-7446.8490443216378</v>
      </c>
      <c r="AD18" s="18"/>
      <c r="AE18" s="18">
        <f t="shared" ca="1" si="4"/>
        <v>88171.539970830476</v>
      </c>
    </row>
    <row r="19" spans="1:32">
      <c r="A19" s="541">
        <f>'Monthly Data'!A19</f>
        <v>42887</v>
      </c>
      <c r="B19">
        <f t="shared" si="5"/>
        <v>2017</v>
      </c>
      <c r="C19">
        <f t="shared" si="6"/>
        <v>6</v>
      </c>
      <c r="D19" s="30">
        <f>'Monthly Data'!N19</f>
        <v>74596.145032051281</v>
      </c>
      <c r="E19" s="30"/>
      <c r="F19" s="30">
        <f>'Monthly Data'!AB19</f>
        <v>74560.145032051281</v>
      </c>
      <c r="G19" s="33">
        <f t="shared" ca="1" si="7"/>
        <v>92.751249999999999</v>
      </c>
      <c r="H19" s="33">
        <f t="shared" ca="1" si="7"/>
        <v>227.31958333333333</v>
      </c>
      <c r="I19" s="33">
        <f>'Monthly Data'!AQ19</f>
        <v>107.97500000000002</v>
      </c>
      <c r="J19" s="33">
        <f>'Monthly Data'!BB19</f>
        <v>207.56666666666672</v>
      </c>
      <c r="L19" s="521"/>
      <c r="M19" s="18">
        <f ca="1">(G19-I19)*'GS&gt;50 Predicted Monthly (no LC)'!$P$10</f>
        <v>-35250.528222621288</v>
      </c>
      <c r="N19" s="18">
        <f ca="1">(H19-J19)*'GS&gt;50 Predicted Monthly (no LC)'!$P$11</f>
        <v>106709.63890619425</v>
      </c>
      <c r="O19" s="18">
        <f t="shared" ca="1" si="0"/>
        <v>146019.25571562425</v>
      </c>
      <c r="Q19" s="18">
        <f>'Monthly Data'!Y19</f>
        <v>36</v>
      </c>
      <c r="R19" s="18">
        <f>'Monthly Data'!DN19</f>
        <v>0</v>
      </c>
      <c r="S19" s="18">
        <f>'Monthly Data'!DO19</f>
        <v>0</v>
      </c>
      <c r="T19" s="277">
        <f t="shared" ca="1" si="8"/>
        <v>92.751249999999999</v>
      </c>
      <c r="U19" s="18">
        <f t="shared" si="9"/>
        <v>107.97500000000002</v>
      </c>
      <c r="V19" s="18">
        <f>'Monthly Data'!BR19</f>
        <v>0</v>
      </c>
      <c r="W19" s="18"/>
      <c r="X19" s="18"/>
      <c r="Y19" s="18"/>
      <c r="Z19" s="18"/>
      <c r="AA19" s="18">
        <f ca="1">(T19-U19)*'LC Predicted Monthly'!$T$12</f>
        <v>-3116.8088893677627</v>
      </c>
      <c r="AB19" s="18"/>
      <c r="AC19" s="18">
        <f t="shared" ca="1" si="3"/>
        <v>-3080.8088893677627</v>
      </c>
      <c r="AD19" s="18"/>
      <c r="AE19" s="18">
        <f t="shared" ca="1" si="4"/>
        <v>142938.44682625649</v>
      </c>
    </row>
    <row r="20" spans="1:32">
      <c r="A20" s="541">
        <f>'Monthly Data'!A20</f>
        <v>42917</v>
      </c>
      <c r="B20">
        <f t="shared" si="5"/>
        <v>2017</v>
      </c>
      <c r="C20">
        <f t="shared" si="6"/>
        <v>7</v>
      </c>
      <c r="D20" s="30">
        <f>'Monthly Data'!N20</f>
        <v>78350.979967948719</v>
      </c>
      <c r="E20" s="30"/>
      <c r="F20" s="30">
        <f>'Monthly Data'!AB20</f>
        <v>35024.979967948719</v>
      </c>
      <c r="G20" s="33">
        <f t="shared" ca="1" si="7"/>
        <v>25.464999999999996</v>
      </c>
      <c r="H20" s="33">
        <f t="shared" ca="1" si="7"/>
        <v>327.99625000000003</v>
      </c>
      <c r="I20" s="33">
        <f>'Monthly Data'!AQ20</f>
        <v>38.441666666666649</v>
      </c>
      <c r="J20" s="33">
        <f>'Monthly Data'!BB20</f>
        <v>286.87500000000006</v>
      </c>
      <c r="L20" s="521"/>
      <c r="M20" s="18">
        <f ca="1">(G20-I20)*'GS&gt;50 Predicted Monthly (no LC)'!$P$10</f>
        <v>-30047.416344125526</v>
      </c>
      <c r="N20" s="18">
        <f ca="1">(H20-J20)*'GS&gt;50 Predicted Monthly (no LC)'!$P$11</f>
        <v>222146.11709855596</v>
      </c>
      <c r="O20" s="18">
        <f t="shared" ca="1" si="0"/>
        <v>227123.68072237915</v>
      </c>
      <c r="Q20" s="18">
        <f>'Monthly Data'!Y20</f>
        <v>43326</v>
      </c>
      <c r="R20" s="18">
        <f>'Monthly Data'!DN20</f>
        <v>0</v>
      </c>
      <c r="S20" s="18">
        <f>'Monthly Data'!DO20</f>
        <v>0</v>
      </c>
      <c r="T20" s="277">
        <f t="shared" ca="1" si="8"/>
        <v>25.464999999999996</v>
      </c>
      <c r="U20" s="18">
        <f t="shared" si="9"/>
        <v>38.441666666666649</v>
      </c>
      <c r="V20" s="18">
        <f>'Monthly Data'!BR20</f>
        <v>0</v>
      </c>
      <c r="W20" s="18"/>
      <c r="X20" s="18"/>
      <c r="Y20" s="18"/>
      <c r="Z20" s="18"/>
      <c r="AA20" s="18">
        <f ca="1">(T20-U20)*'LC Predicted Monthly'!$T$12</f>
        <v>-2656.7560568866998</v>
      </c>
      <c r="AB20" s="18"/>
      <c r="AC20" s="18">
        <f t="shared" ca="1" si="3"/>
        <v>40669.243943113303</v>
      </c>
      <c r="AD20" s="18"/>
      <c r="AE20" s="18">
        <f t="shared" ca="1" si="4"/>
        <v>267792.92466549244</v>
      </c>
    </row>
    <row r="21" spans="1:32">
      <c r="A21" s="541">
        <f>'Monthly Data'!A21</f>
        <v>42948</v>
      </c>
      <c r="B21">
        <f t="shared" si="5"/>
        <v>2017</v>
      </c>
      <c r="C21">
        <f t="shared" si="6"/>
        <v>8</v>
      </c>
      <c r="D21" s="30">
        <f>'Monthly Data'!N21</f>
        <v>82105.814903846156</v>
      </c>
      <c r="E21" s="30"/>
      <c r="F21" s="30">
        <f>'Monthly Data'!AB21</f>
        <v>69967.814903846156</v>
      </c>
      <c r="G21" s="33">
        <f t="shared" ca="1" si="7"/>
        <v>54.974791666666668</v>
      </c>
      <c r="H21" s="33">
        <f t="shared" ca="1" si="7"/>
        <v>280.40312500000005</v>
      </c>
      <c r="I21" s="33">
        <f>'Monthly Data'!AQ21</f>
        <v>86.879166666666663</v>
      </c>
      <c r="J21" s="33">
        <f>'Monthly Data'!BB21</f>
        <v>226.02083333333337</v>
      </c>
      <c r="L21" s="521"/>
      <c r="M21" s="18">
        <f ca="1">(G21-I21)*'GS&gt;50 Predicted Monthly (no LC)'!$P$10</f>
        <v>-73874.444296746267</v>
      </c>
      <c r="N21" s="18">
        <f ca="1">(H21-J21)*'GS&gt;50 Predicted Monthly (no LC)'!$P$11</f>
        <v>293785.20674033905</v>
      </c>
      <c r="O21" s="18">
        <f t="shared" ca="1" si="0"/>
        <v>289878.57734743896</v>
      </c>
      <c r="Q21" s="18">
        <f>'Monthly Data'!Y21</f>
        <v>12138</v>
      </c>
      <c r="R21" s="18">
        <f>'Monthly Data'!DN21</f>
        <v>0</v>
      </c>
      <c r="S21" s="18">
        <f>'Monthly Data'!DO21</f>
        <v>0</v>
      </c>
      <c r="T21" s="277">
        <f t="shared" ca="1" si="8"/>
        <v>54.974791666666668</v>
      </c>
      <c r="U21" s="18">
        <f t="shared" si="9"/>
        <v>86.879166666666663</v>
      </c>
      <c r="V21" s="18">
        <f>'Monthly Data'!BR21</f>
        <v>0</v>
      </c>
      <c r="W21" s="18"/>
      <c r="X21" s="18"/>
      <c r="Y21" s="18"/>
      <c r="Z21" s="18"/>
      <c r="AA21" s="18">
        <f ca="1">(T21-U21)*'LC Predicted Monthly'!$T$12</f>
        <v>-6531.8886351734918</v>
      </c>
      <c r="AB21" s="18"/>
      <c r="AC21" s="18">
        <f t="shared" ca="1" si="3"/>
        <v>5606.1113648265082</v>
      </c>
      <c r="AD21" s="18"/>
      <c r="AE21" s="18">
        <f t="shared" ca="1" si="4"/>
        <v>295484.68871226546</v>
      </c>
    </row>
    <row r="22" spans="1:32">
      <c r="A22" s="541">
        <f>'Monthly Data'!A22</f>
        <v>42979</v>
      </c>
      <c r="B22">
        <f t="shared" si="5"/>
        <v>2017</v>
      </c>
      <c r="C22">
        <f t="shared" si="6"/>
        <v>9</v>
      </c>
      <c r="D22" s="30">
        <f>'Monthly Data'!N22</f>
        <v>85860.649839743593</v>
      </c>
      <c r="E22" s="30"/>
      <c r="F22" s="30">
        <f>'Monthly Data'!AB22</f>
        <v>-50759.350160256407</v>
      </c>
      <c r="G22" s="33">
        <f t="shared" ca="1" si="7"/>
        <v>166.50624999999999</v>
      </c>
      <c r="H22" s="33">
        <f t="shared" ca="1" si="7"/>
        <v>144.00333333333333</v>
      </c>
      <c r="I22" s="33">
        <f>'Monthly Data'!AQ22</f>
        <v>140.68333333333331</v>
      </c>
      <c r="J22" s="33">
        <f>'Monthly Data'!BB22</f>
        <v>174.6541666666667</v>
      </c>
      <c r="L22" s="521"/>
      <c r="M22" s="18">
        <f ca="1">(G22-I22)*'GS&gt;50 Predicted Monthly (no LC)'!$P$10</f>
        <v>59792.85345258101</v>
      </c>
      <c r="N22" s="18">
        <f ca="1">(H22-J22)*'GS&gt;50 Predicted Monthly (no LC)'!$P$11</f>
        <v>-165582.60293242545</v>
      </c>
      <c r="O22" s="18">
        <f t="shared" ca="1" si="0"/>
        <v>-156549.09964010085</v>
      </c>
      <c r="Q22" s="18">
        <f>'Monthly Data'!Y22</f>
        <v>136620</v>
      </c>
      <c r="R22" s="18">
        <f>'Monthly Data'!DN22</f>
        <v>0</v>
      </c>
      <c r="S22" s="18">
        <f>'Monthly Data'!DO22</f>
        <v>0</v>
      </c>
      <c r="T22" s="277">
        <f t="shared" ca="1" si="8"/>
        <v>166.50624999999999</v>
      </c>
      <c r="U22" s="18">
        <f t="shared" si="9"/>
        <v>140.68333333333331</v>
      </c>
      <c r="V22" s="18">
        <f>'Monthly Data'!BR22</f>
        <v>1</v>
      </c>
      <c r="W22" s="18"/>
      <c r="X22" s="18"/>
      <c r="Y22" s="18"/>
      <c r="Z22" s="18"/>
      <c r="AA22" s="18">
        <f ca="1">(T22-U22)*'LC Predicted Monthly'!$T$12</f>
        <v>5286.8114765461569</v>
      </c>
      <c r="AB22" s="18"/>
      <c r="AC22" s="18">
        <f t="shared" ca="1" si="3"/>
        <v>141906.81147654617</v>
      </c>
      <c r="AD22" s="18"/>
      <c r="AE22" s="18">
        <f t="shared" ca="1" si="4"/>
        <v>-14642.288163554687</v>
      </c>
    </row>
    <row r="23" spans="1:32">
      <c r="A23" s="541">
        <f>'Monthly Data'!A23</f>
        <v>43009</v>
      </c>
      <c r="B23">
        <f t="shared" si="5"/>
        <v>2017</v>
      </c>
      <c r="C23">
        <f t="shared" si="6"/>
        <v>10</v>
      </c>
      <c r="D23" s="30">
        <f>'Monthly Data'!N23</f>
        <v>89615.484775641031</v>
      </c>
      <c r="E23" s="30"/>
      <c r="F23" s="30">
        <f>'Monthly Data'!AB23</f>
        <v>66803.484775641031</v>
      </c>
      <c r="G23" s="33">
        <f t="shared" ca="1" si="7"/>
        <v>363.47645833333326</v>
      </c>
      <c r="H23" s="33">
        <f t="shared" ca="1" si="7"/>
        <v>40.02791666666667</v>
      </c>
      <c r="I23" s="33">
        <f>'Monthly Data'!AQ23</f>
        <v>297.41041666666666</v>
      </c>
      <c r="J23" s="33">
        <f>'Monthly Data'!BB23</f>
        <v>62.229166666666664</v>
      </c>
      <c r="L23" s="521"/>
      <c r="M23" s="18">
        <f ca="1">(G23-I23)*'GS&gt;50 Predicted Monthly (no LC)'!$P$10</f>
        <v>152975.63782430091</v>
      </c>
      <c r="N23" s="18">
        <f ca="1">(H23-J23)*'GS&gt;50 Predicted Monthly (no LC)'!$P$11</f>
        <v>-119936.07884571402</v>
      </c>
      <c r="O23" s="18">
        <f t="shared" ca="1" si="0"/>
        <v>99843.043754227925</v>
      </c>
      <c r="Q23" s="18">
        <f>'Monthly Data'!Y23</f>
        <v>22812</v>
      </c>
      <c r="R23" s="18">
        <f>'Monthly Data'!DN23</f>
        <v>0</v>
      </c>
      <c r="S23" s="18">
        <f>'Monthly Data'!DO23</f>
        <v>0</v>
      </c>
      <c r="T23" s="277">
        <f t="shared" ca="1" si="8"/>
        <v>363.47645833333326</v>
      </c>
      <c r="U23" s="18">
        <f t="shared" si="9"/>
        <v>297.41041666666666</v>
      </c>
      <c r="V23" s="18">
        <f>'Monthly Data'!BR23</f>
        <v>1</v>
      </c>
      <c r="W23" s="18"/>
      <c r="X23" s="18"/>
      <c r="Y23" s="18"/>
      <c r="Z23" s="18"/>
      <c r="AA23" s="18">
        <f ca="1">(T23-U23)*'LC Predicted Monthly'!$T$12</f>
        <v>13525.920088809073</v>
      </c>
      <c r="AB23" s="18"/>
      <c r="AC23" s="18">
        <f t="shared" ca="1" si="3"/>
        <v>36337.920088809071</v>
      </c>
      <c r="AD23" s="18"/>
      <c r="AE23" s="18">
        <f t="shared" ca="1" si="4"/>
        <v>136180.963843037</v>
      </c>
    </row>
    <row r="24" spans="1:32">
      <c r="A24" s="541">
        <f>'Monthly Data'!A24</f>
        <v>43040</v>
      </c>
      <c r="B24">
        <f t="shared" si="5"/>
        <v>2017</v>
      </c>
      <c r="C24">
        <f t="shared" si="6"/>
        <v>11</v>
      </c>
      <c r="D24" s="30">
        <f>'Monthly Data'!N24</f>
        <v>93370.319711538468</v>
      </c>
      <c r="E24" s="30"/>
      <c r="F24" s="30">
        <f>'Monthly Data'!AB24</f>
        <v>87058.319711538468</v>
      </c>
      <c r="G24" s="33">
        <f t="shared" ca="1" si="7"/>
        <v>586.00395833333334</v>
      </c>
      <c r="H24" s="33">
        <f t="shared" ca="1" si="7"/>
        <v>4.5920833333333331</v>
      </c>
      <c r="I24" s="33">
        <f>'Monthly Data'!AQ24</f>
        <v>625.73333333333346</v>
      </c>
      <c r="J24" s="33">
        <f>'Monthly Data'!BB24</f>
        <v>0</v>
      </c>
      <c r="L24" s="521"/>
      <c r="M24" s="18">
        <f ca="1">(G24-I24)*'GS&gt;50 Predicted Monthly (no LC)'!$P$10</f>
        <v>-91993.198436955834</v>
      </c>
      <c r="N24" s="18">
        <f ca="1">(H24-J24)*'GS&gt;50 Predicted Monthly (no LC)'!$P$11</f>
        <v>24807.453126862496</v>
      </c>
      <c r="O24" s="18">
        <f t="shared" ca="1" si="0"/>
        <v>19872.57440144513</v>
      </c>
      <c r="Q24" s="18">
        <f>'Monthly Data'!Y24</f>
        <v>6312</v>
      </c>
      <c r="R24" s="18">
        <f>'Monthly Data'!DN24</f>
        <v>0</v>
      </c>
      <c r="S24" s="18">
        <f>'Monthly Data'!DO24</f>
        <v>0</v>
      </c>
      <c r="T24" s="277">
        <f t="shared" ca="1" si="8"/>
        <v>586.00395833333334</v>
      </c>
      <c r="U24" s="18">
        <f t="shared" si="9"/>
        <v>625.73333333333346</v>
      </c>
      <c r="V24" s="18">
        <f>'Monthly Data'!BR24</f>
        <v>1</v>
      </c>
      <c r="W24" s="18"/>
      <c r="X24" s="18"/>
      <c r="Y24" s="18"/>
      <c r="Z24" s="18"/>
      <c r="AA24" s="18">
        <f ca="1">(T24-U24)*'LC Predicted Monthly'!$T$12</f>
        <v>-8133.9268688086404</v>
      </c>
      <c r="AB24" s="18"/>
      <c r="AC24" s="18">
        <f t="shared" ca="1" si="3"/>
        <v>-1821.9268688086404</v>
      </c>
      <c r="AD24" s="18"/>
      <c r="AE24" s="18">
        <f t="shared" ca="1" si="4"/>
        <v>18050.647532636489</v>
      </c>
    </row>
    <row r="25" spans="1:32">
      <c r="A25" s="541">
        <f>'Monthly Data'!A25</f>
        <v>43070</v>
      </c>
      <c r="B25">
        <f t="shared" si="5"/>
        <v>2017</v>
      </c>
      <c r="C25">
        <f t="shared" si="6"/>
        <v>12</v>
      </c>
      <c r="D25" s="30">
        <f>'Monthly Data'!N25</f>
        <v>70926474.15464744</v>
      </c>
      <c r="E25" s="30"/>
      <c r="F25" s="30">
        <f>'Monthly Data'!AB25</f>
        <v>70759590.15464744</v>
      </c>
      <c r="G25" s="33">
        <f t="shared" ca="1" si="7"/>
        <v>812.36333333333334</v>
      </c>
      <c r="H25" s="33">
        <f t="shared" ca="1" si="7"/>
        <v>0</v>
      </c>
      <c r="I25" s="33">
        <f>'Monthly Data'!AQ25</f>
        <v>954.57499999999993</v>
      </c>
      <c r="J25" s="33">
        <f>'Monthly Data'!BB25</f>
        <v>0</v>
      </c>
      <c r="L25" s="521"/>
      <c r="M25" s="18">
        <f ca="1">(G25-I25)*'GS&gt;50 Predicted Monthly (no LC)'!$P$10</f>
        <v>-329290.50788533268</v>
      </c>
      <c r="N25" s="18">
        <f ca="1">(H25-J25)*'GS&gt;50 Predicted Monthly (no LC)'!$P$11</f>
        <v>0</v>
      </c>
      <c r="O25" s="18">
        <f t="shared" ca="1" si="0"/>
        <v>70430299.646762103</v>
      </c>
      <c r="Q25" s="18">
        <f>'Monthly Data'!Y25</f>
        <v>166884</v>
      </c>
      <c r="R25" s="18">
        <f>'Monthly Data'!DN25</f>
        <v>0</v>
      </c>
      <c r="S25" s="18">
        <f>'Monthly Data'!DO25</f>
        <v>0</v>
      </c>
      <c r="T25" s="277">
        <f t="shared" ca="1" si="8"/>
        <v>812.36333333333334</v>
      </c>
      <c r="U25" s="18">
        <f t="shared" si="9"/>
        <v>954.57499999999993</v>
      </c>
      <c r="V25" s="18">
        <f>'Monthly Data'!BR25</f>
        <v>0</v>
      </c>
      <c r="W25" s="18"/>
      <c r="X25" s="18"/>
      <c r="Y25" s="18"/>
      <c r="Z25" s="18"/>
      <c r="AA25" s="18">
        <f ca="1">(T25-U25)*'LC Predicted Monthly'!$T$12</f>
        <v>-29115.466743638783</v>
      </c>
      <c r="AB25" s="18"/>
      <c r="AC25" s="18">
        <f t="shared" ca="1" si="3"/>
        <v>137768.5332563612</v>
      </c>
      <c r="AD25" s="18"/>
      <c r="AE25" s="18">
        <f t="shared" ca="1" si="4"/>
        <v>70568068.18001847</v>
      </c>
    </row>
    <row r="26" spans="1:32">
      <c r="A26" s="541">
        <f>'Monthly Data'!A26</f>
        <v>43101</v>
      </c>
      <c r="B26">
        <f t="shared" si="5"/>
        <v>2018</v>
      </c>
      <c r="C26">
        <f t="shared" si="6"/>
        <v>1</v>
      </c>
      <c r="D26" s="30">
        <f>'Monthly Data'!N26</f>
        <v>100126.09152892765</v>
      </c>
      <c r="E26" s="30"/>
      <c r="F26" s="30">
        <f>'Monthly Data'!AB26</f>
        <v>-190915.90847107235</v>
      </c>
      <c r="G26" s="33">
        <f t="shared" ca="1" si="7"/>
        <v>914.55166666666662</v>
      </c>
      <c r="H26" s="33">
        <f t="shared" ca="1" si="7"/>
        <v>0</v>
      </c>
      <c r="I26" s="33">
        <f>'Monthly Data'!AQ26</f>
        <v>963.85000000000014</v>
      </c>
      <c r="J26" s="33">
        <f>'Monthly Data'!BB26</f>
        <v>0</v>
      </c>
      <c r="L26" s="521"/>
      <c r="M26" s="18">
        <f ca="1">(G26-I26)*'GS&gt;50 Predicted Monthly (no LC)'!$P$10</f>
        <v>-114150.08066309956</v>
      </c>
      <c r="N26" s="18">
        <f ca="1">(H26-J26)*'GS&gt;50 Predicted Monthly (no LC)'!$P$11</f>
        <v>0</v>
      </c>
      <c r="O26" s="18">
        <f t="shared" ca="1" si="0"/>
        <v>-305065.98913417192</v>
      </c>
      <c r="Q26" s="18">
        <f>'Monthly Data'!Y26</f>
        <v>291042</v>
      </c>
      <c r="R26" s="18">
        <f>'Monthly Data'!DN26</f>
        <v>0</v>
      </c>
      <c r="S26" s="18">
        <f>'Monthly Data'!DO26</f>
        <v>0</v>
      </c>
      <c r="T26" s="277">
        <f t="shared" ca="1" si="8"/>
        <v>914.55166666666662</v>
      </c>
      <c r="U26" s="18">
        <f t="shared" si="9"/>
        <v>963.85000000000014</v>
      </c>
      <c r="V26" s="18">
        <f>'Monthly Data'!BR26</f>
        <v>0</v>
      </c>
      <c r="W26" s="18"/>
      <c r="X26" s="18"/>
      <c r="Y26" s="18"/>
      <c r="Z26" s="18"/>
      <c r="AA26" s="18">
        <f ca="1">(T26-U26)*'LC Predicted Monthly'!$T$12</f>
        <v>-10093.011483001806</v>
      </c>
      <c r="AB26" s="18"/>
      <c r="AC26" s="18">
        <f t="shared" ca="1" si="3"/>
        <v>280948.98851699819</v>
      </c>
      <c r="AD26" s="18"/>
      <c r="AE26" s="18">
        <f t="shared" ca="1" si="4"/>
        <v>-24117.000617173726</v>
      </c>
    </row>
    <row r="27" spans="1:32">
      <c r="A27" s="541">
        <f>'Monthly Data'!A27</f>
        <v>43132</v>
      </c>
      <c r="B27">
        <f t="shared" si="5"/>
        <v>2018</v>
      </c>
      <c r="C27">
        <f t="shared" si="6"/>
        <v>2</v>
      </c>
      <c r="D27" s="30">
        <f>'Monthly Data'!N27</f>
        <v>103279.762066118</v>
      </c>
      <c r="E27" s="30"/>
      <c r="F27" s="30">
        <f>'Monthly Data'!AB27</f>
        <v>96775.762066117997</v>
      </c>
      <c r="G27" s="33">
        <f t="shared" ca="1" si="7"/>
        <v>803.82854166666664</v>
      </c>
      <c r="H27" s="33">
        <f t="shared" ca="1" si="7"/>
        <v>0</v>
      </c>
      <c r="I27" s="33">
        <f>'Monthly Data'!AQ27</f>
        <v>754.27916666666658</v>
      </c>
      <c r="J27" s="33">
        <f>'Monthly Data'!BB27</f>
        <v>0</v>
      </c>
      <c r="L27" s="521"/>
      <c r="M27" s="18">
        <f ca="1">(G27-I27)*'GS&gt;50 Predicted Monthly (no LC)'!$P$10</f>
        <v>114731.36657201705</v>
      </c>
      <c r="N27" s="18">
        <f ca="1">(H27-J27)*'GS&gt;50 Predicted Monthly (no LC)'!$P$11</f>
        <v>0</v>
      </c>
      <c r="O27" s="18">
        <f t="shared" ca="1" si="0"/>
        <v>211507.12863813504</v>
      </c>
      <c r="Q27" s="18">
        <f>'Monthly Data'!Y27</f>
        <v>6504</v>
      </c>
      <c r="R27" s="18">
        <f>'Monthly Data'!DN27</f>
        <v>0</v>
      </c>
      <c r="S27" s="18">
        <f>'Monthly Data'!DO27</f>
        <v>0</v>
      </c>
      <c r="T27" s="277">
        <f t="shared" ca="1" si="8"/>
        <v>803.82854166666664</v>
      </c>
      <c r="U27" s="18">
        <f t="shared" si="9"/>
        <v>754.27916666666658</v>
      </c>
      <c r="V27" s="18">
        <f>'Monthly Data'!BR27</f>
        <v>0</v>
      </c>
      <c r="W27" s="18"/>
      <c r="X27" s="18"/>
      <c r="Y27" s="18"/>
      <c r="Z27" s="18"/>
      <c r="AA27" s="18">
        <f ca="1">(T27-U27)*'LC Predicted Monthly'!$T$12</f>
        <v>10144.408077025484</v>
      </c>
      <c r="AB27" s="18"/>
      <c r="AC27" s="18">
        <f t="shared" ca="1" si="3"/>
        <v>16648.408077025484</v>
      </c>
      <c r="AD27" s="18"/>
      <c r="AE27" s="18">
        <f t="shared" ca="1" si="4"/>
        <v>228155.53671516053</v>
      </c>
    </row>
    <row r="28" spans="1:32">
      <c r="A28" s="541">
        <f>'Monthly Data'!A28</f>
        <v>43160</v>
      </c>
      <c r="B28">
        <f t="shared" si="5"/>
        <v>2018</v>
      </c>
      <c r="C28">
        <f t="shared" si="6"/>
        <v>3</v>
      </c>
      <c r="D28" s="30">
        <f>'Monthly Data'!N28</f>
        <v>106433.43260330835</v>
      </c>
      <c r="E28" s="30"/>
      <c r="F28" s="30">
        <f>'Monthly Data'!AB28</f>
        <v>103067.43260330835</v>
      </c>
      <c r="G28" s="33">
        <f t="shared" ca="1" si="7"/>
        <v>698.29604166666672</v>
      </c>
      <c r="H28" s="33">
        <f t="shared" ca="1" si="7"/>
        <v>0.11000000000000032</v>
      </c>
      <c r="I28" s="33">
        <f>'Monthly Data'!AQ28</f>
        <v>711.45</v>
      </c>
      <c r="J28" s="33">
        <f>'Monthly Data'!BB28</f>
        <v>0</v>
      </c>
      <c r="L28" s="521"/>
      <c r="M28" s="18">
        <f ca="1">(G28-I28)*'GS&gt;50 Predicted Monthly (no LC)'!$P$10</f>
        <v>-30457.934442456684</v>
      </c>
      <c r="N28" s="18">
        <f ca="1">(H28-J28)*'GS&gt;50 Predicted Monthly (no LC)'!$P$11</f>
        <v>594.2444084467578</v>
      </c>
      <c r="O28" s="18">
        <f t="shared" ca="1" si="0"/>
        <v>73203.742569298425</v>
      </c>
      <c r="Q28" s="18">
        <f>'Monthly Data'!Y28</f>
        <v>3366</v>
      </c>
      <c r="R28" s="18">
        <f>'Monthly Data'!DN28</f>
        <v>0</v>
      </c>
      <c r="S28" s="18">
        <f>'Monthly Data'!DO28</f>
        <v>0</v>
      </c>
      <c r="T28" s="277">
        <f t="shared" ca="1" si="8"/>
        <v>698.29604166666672</v>
      </c>
      <c r="U28" s="18">
        <f t="shared" si="9"/>
        <v>711.45</v>
      </c>
      <c r="V28" s="18">
        <f>'Monthly Data'!BR28</f>
        <v>0</v>
      </c>
      <c r="W28" s="18"/>
      <c r="X28" s="18"/>
      <c r="Y28" s="18"/>
      <c r="Z28" s="18"/>
      <c r="AA28" s="18">
        <f ca="1">(T28-U28)*'LC Predicted Monthly'!$T$12</f>
        <v>-2693.0535685167183</v>
      </c>
      <c r="AB28" s="18"/>
      <c r="AC28" s="18">
        <f t="shared" ca="1" si="3"/>
        <v>672.94643148328169</v>
      </c>
      <c r="AD28" s="18"/>
      <c r="AE28" s="18">
        <f t="shared" ca="1" si="4"/>
        <v>73876.689000781713</v>
      </c>
    </row>
    <row r="29" spans="1:32">
      <c r="A29" s="541">
        <f>'Monthly Data'!A29</f>
        <v>43191</v>
      </c>
      <c r="B29">
        <f t="shared" si="5"/>
        <v>2018</v>
      </c>
      <c r="C29">
        <f t="shared" si="6"/>
        <v>4</v>
      </c>
      <c r="D29" s="30">
        <f>'Monthly Data'!N29</f>
        <v>109587.1031404987</v>
      </c>
      <c r="E29" s="30"/>
      <c r="F29" s="30">
        <f>'Monthly Data'!AB29</f>
        <v>107571.1031404987</v>
      </c>
      <c r="G29" s="33">
        <f t="shared" ca="1" si="7"/>
        <v>468.60374999999993</v>
      </c>
      <c r="H29" s="33">
        <f t="shared" ca="1" si="7"/>
        <v>7.7354166666666684</v>
      </c>
      <c r="I29" s="33">
        <f>'Monthly Data'!AQ29</f>
        <v>561.15416666666681</v>
      </c>
      <c r="J29" s="33">
        <f>'Monthly Data'!BB29</f>
        <v>0</v>
      </c>
      <c r="L29" s="521"/>
      <c r="M29" s="18">
        <f ca="1">(G29-I29)*'GS&gt;50 Predicted Monthly (no LC)'!$P$10</f>
        <v>-214300.0952277655</v>
      </c>
      <c r="N29" s="18">
        <f ca="1">(H29-J29)*'GS&gt;50 Predicted Monthly (no LC)'!$P$11</f>
        <v>41788.437283386476</v>
      </c>
      <c r="O29" s="18">
        <f t="shared" ca="1" si="0"/>
        <v>-64940.554803880324</v>
      </c>
      <c r="Q29" s="18">
        <f>'Monthly Data'!Y29</f>
        <v>2016</v>
      </c>
      <c r="R29" s="18">
        <f>'Monthly Data'!DN29</f>
        <v>0</v>
      </c>
      <c r="S29" s="18">
        <f>'Monthly Data'!DO29</f>
        <v>0</v>
      </c>
      <c r="T29" s="277">
        <f t="shared" ca="1" si="8"/>
        <v>468.60374999999993</v>
      </c>
      <c r="U29" s="18">
        <f t="shared" si="9"/>
        <v>561.15416666666681</v>
      </c>
      <c r="V29" s="18">
        <f>'Monthly Data'!BR29</f>
        <v>0</v>
      </c>
      <c r="W29" s="18"/>
      <c r="X29" s="18"/>
      <c r="Y29" s="18"/>
      <c r="Z29" s="18"/>
      <c r="AA29" s="18">
        <f ca="1">(T29-U29)*'LC Predicted Monthly'!$T$12</f>
        <v>-18948.154126372097</v>
      </c>
      <c r="AB29" s="18"/>
      <c r="AC29" s="18">
        <f t="shared" ca="1" si="3"/>
        <v>-16932.154126372097</v>
      </c>
      <c r="AD29" s="18"/>
      <c r="AE29" s="18">
        <f t="shared" ca="1" si="4"/>
        <v>-81872.708930252425</v>
      </c>
    </row>
    <row r="30" spans="1:32">
      <c r="A30" s="541">
        <f>'Monthly Data'!A30</f>
        <v>43221</v>
      </c>
      <c r="B30">
        <f t="shared" si="5"/>
        <v>2018</v>
      </c>
      <c r="C30">
        <f t="shared" si="6"/>
        <v>5</v>
      </c>
      <c r="D30" s="30">
        <f>'Monthly Data'!N30</f>
        <v>112740.77367768905</v>
      </c>
      <c r="E30" s="30"/>
      <c r="F30" s="30">
        <f>'Monthly Data'!AB30</f>
        <v>111540.77367768905</v>
      </c>
      <c r="G30" s="33">
        <f t="shared" ref="G30:H45" ca="1" si="10">G18</f>
        <v>232.88687500000006</v>
      </c>
      <c r="H30" s="33">
        <f t="shared" ca="1" si="10"/>
        <v>111.43645833333332</v>
      </c>
      <c r="I30" s="33">
        <f>'Monthly Data'!AQ30</f>
        <v>189.08749999999998</v>
      </c>
      <c r="J30" s="33">
        <f>'Monthly Data'!BB30</f>
        <v>138.58750000000001</v>
      </c>
      <c r="L30" s="521"/>
      <c r="M30" s="18">
        <f ca="1">(G30-I30)*'GS&gt;50 Predicted Monthly (no LC)'!$P$10</f>
        <v>101417.26608560135</v>
      </c>
      <c r="N30" s="18">
        <f ca="1">(H30-J30)*'GS&gt;50 Predicted Monthly (no LC)'!$P$11</f>
        <v>-146675.95176292339</v>
      </c>
      <c r="O30" s="18">
        <f t="shared" ca="1" si="0"/>
        <v>66282.088000367017</v>
      </c>
      <c r="Q30" s="18">
        <f>'Monthly Data'!Y30</f>
        <v>1200</v>
      </c>
      <c r="R30" s="18">
        <f>'Monthly Data'!DN30</f>
        <v>0</v>
      </c>
      <c r="S30" s="18">
        <f>'Monthly Data'!DO30</f>
        <v>0</v>
      </c>
      <c r="T30" s="277">
        <f t="shared" ca="1" si="8"/>
        <v>232.88687500000006</v>
      </c>
      <c r="U30" s="18">
        <f t="shared" si="9"/>
        <v>189.08749999999998</v>
      </c>
      <c r="V30" s="18">
        <f>'Monthly Data'!BR30</f>
        <v>0</v>
      </c>
      <c r="W30" s="18"/>
      <c r="X30" s="18"/>
      <c r="Y30" s="18"/>
      <c r="Z30" s="18"/>
      <c r="AA30" s="18">
        <f ca="1">(T30-U30)*'LC Predicted Monthly'!$T$12</f>
        <v>8967.1914836194901</v>
      </c>
      <c r="AB30" s="18"/>
      <c r="AC30" s="18">
        <f t="shared" ca="1" si="3"/>
        <v>10167.19148361949</v>
      </c>
      <c r="AD30" s="18"/>
      <c r="AE30" s="18">
        <f t="shared" ca="1" si="4"/>
        <v>76449.279483986509</v>
      </c>
    </row>
    <row r="31" spans="1:32">
      <c r="A31" s="541">
        <f>'Monthly Data'!A31</f>
        <v>43252</v>
      </c>
      <c r="B31">
        <f t="shared" si="5"/>
        <v>2018</v>
      </c>
      <c r="C31">
        <f t="shared" si="6"/>
        <v>6</v>
      </c>
      <c r="D31" s="30">
        <f>'Monthly Data'!N31</f>
        <v>115894.4442148794</v>
      </c>
      <c r="E31" s="30"/>
      <c r="F31" s="30">
        <f>'Monthly Data'!AB31</f>
        <v>113164.4442148794</v>
      </c>
      <c r="G31" s="33">
        <f t="shared" ca="1" si="10"/>
        <v>92.751249999999999</v>
      </c>
      <c r="H31" s="33">
        <f t="shared" ca="1" si="10"/>
        <v>227.31958333333333</v>
      </c>
      <c r="I31" s="33">
        <f>'Monthly Data'!AQ31</f>
        <v>109.22083333333332</v>
      </c>
      <c r="J31" s="33">
        <f>'Monthly Data'!BB31</f>
        <v>204.52916666666664</v>
      </c>
      <c r="L31" s="521"/>
      <c r="M31" s="18">
        <f ca="1">(G31-I31)*'GS&gt;50 Predicted Monthly (no LC)'!$P$10</f>
        <v>-38135.249994677943</v>
      </c>
      <c r="N31" s="18">
        <f ca="1">(H31-J31)*'GS&gt;50 Predicted Monthly (no LC)'!$P$11</f>
        <v>123118.88791216761</v>
      </c>
      <c r="O31" s="18">
        <f t="shared" ca="1" si="0"/>
        <v>198148.08213236908</v>
      </c>
      <c r="Q31" s="18">
        <f>'Monthly Data'!Y31</f>
        <v>2730</v>
      </c>
      <c r="R31" s="18">
        <f>'Monthly Data'!DN31</f>
        <v>0</v>
      </c>
      <c r="S31" s="18">
        <f>'Monthly Data'!DO31</f>
        <v>0</v>
      </c>
      <c r="T31" s="277">
        <f t="shared" ca="1" si="8"/>
        <v>92.751249999999999</v>
      </c>
      <c r="U31" s="18">
        <f t="shared" si="9"/>
        <v>109.22083333333332</v>
      </c>
      <c r="V31" s="18">
        <f>'Monthly Data'!BR31</f>
        <v>0</v>
      </c>
      <c r="W31" s="18"/>
      <c r="X31" s="18"/>
      <c r="Y31" s="18"/>
      <c r="Z31" s="18"/>
      <c r="AA31" s="18">
        <f ca="1">(T31-U31)*'LC Predicted Monthly'!$T$12</f>
        <v>-3371.8724846057216</v>
      </c>
      <c r="AB31" s="18"/>
      <c r="AC31" s="18">
        <f t="shared" ca="1" si="3"/>
        <v>-641.87248460572164</v>
      </c>
      <c r="AD31" s="18"/>
      <c r="AE31" s="18">
        <f t="shared" ca="1" si="4"/>
        <v>197506.20964776335</v>
      </c>
      <c r="AF31" s="83"/>
    </row>
    <row r="32" spans="1:32">
      <c r="A32" s="541">
        <f>'Monthly Data'!A32</f>
        <v>43282</v>
      </c>
      <c r="B32">
        <f t="shared" si="5"/>
        <v>2018</v>
      </c>
      <c r="C32">
        <f t="shared" si="6"/>
        <v>7</v>
      </c>
      <c r="D32" s="30">
        <f>'Monthly Data'!N32</f>
        <v>119048.11475206976</v>
      </c>
      <c r="E32" s="30"/>
      <c r="F32" s="30">
        <f>'Monthly Data'!AB32</f>
        <v>12410.114752069756</v>
      </c>
      <c r="G32" s="33">
        <f t="shared" ca="1" si="10"/>
        <v>25.464999999999996</v>
      </c>
      <c r="H32" s="33">
        <f t="shared" ca="1" si="10"/>
        <v>327.99625000000003</v>
      </c>
      <c r="I32" s="33">
        <f>'Monthly Data'!AQ32</f>
        <v>15.241666666666678</v>
      </c>
      <c r="J32" s="33">
        <f>'Monthly Data'!BB32</f>
        <v>356.87916666666678</v>
      </c>
      <c r="L32" s="521"/>
      <c r="M32" s="18">
        <f ca="1">(G32-I32)*'GS&gt;50 Predicted Monthly (no LC)'!$P$10</f>
        <v>23672.084748891077</v>
      </c>
      <c r="N32" s="18">
        <f ca="1">(H32-J32)*'GS&gt;50 Predicted Monthly (no LC)'!$P$11</f>
        <v>-156031.92480727576</v>
      </c>
      <c r="O32" s="18">
        <f t="shared" ca="1" si="0"/>
        <v>-119949.72530631493</v>
      </c>
      <c r="Q32" s="18">
        <f>'Monthly Data'!Y32</f>
        <v>106638</v>
      </c>
      <c r="R32" s="18">
        <f>'Monthly Data'!DN32</f>
        <v>0</v>
      </c>
      <c r="S32" s="18">
        <f>'Monthly Data'!DO32</f>
        <v>0</v>
      </c>
      <c r="T32" s="277">
        <f t="shared" ca="1" si="8"/>
        <v>25.464999999999996</v>
      </c>
      <c r="U32" s="18">
        <f t="shared" si="9"/>
        <v>15.241666666666678</v>
      </c>
      <c r="V32" s="18">
        <f>'Monthly Data'!BR32</f>
        <v>0</v>
      </c>
      <c r="W32" s="18"/>
      <c r="X32" s="18"/>
      <c r="Y32" s="18"/>
      <c r="Z32" s="18"/>
      <c r="AA32" s="18">
        <f ca="1">(T32-U32)*'LC Predicted Monthly'!$T$12</f>
        <v>2093.056980855768</v>
      </c>
      <c r="AB32" s="18"/>
      <c r="AC32" s="18">
        <f t="shared" ca="1" si="3"/>
        <v>108731.05698085576</v>
      </c>
      <c r="AD32" s="18"/>
      <c r="AE32" s="18">
        <f t="shared" ca="1" si="4"/>
        <v>-11218.668325459172</v>
      </c>
    </row>
    <row r="33" spans="1:31">
      <c r="A33" s="541">
        <f>'Monthly Data'!A33</f>
        <v>43313</v>
      </c>
      <c r="B33">
        <f t="shared" si="5"/>
        <v>2018</v>
      </c>
      <c r="C33">
        <f t="shared" si="6"/>
        <v>8</v>
      </c>
      <c r="D33" s="30">
        <f>'Monthly Data'!N33</f>
        <v>122201.78528926011</v>
      </c>
      <c r="E33" s="30"/>
      <c r="F33" s="30">
        <f>'Monthly Data'!AB33</f>
        <v>97775.785289260108</v>
      </c>
      <c r="G33" s="33">
        <f t="shared" ca="1" si="10"/>
        <v>54.974791666666668</v>
      </c>
      <c r="H33" s="33">
        <f t="shared" ca="1" si="10"/>
        <v>280.40312500000005</v>
      </c>
      <c r="I33" s="33">
        <f>'Monthly Data'!AQ33</f>
        <v>25.450000000000003</v>
      </c>
      <c r="J33" s="33">
        <f>'Monthly Data'!BB33</f>
        <v>319.05000000000013</v>
      </c>
      <c r="L33" s="521"/>
      <c r="M33" s="18">
        <f ca="1">(G33-I33)*'GS&gt;50 Predicted Monthly (no LC)'!$P$10</f>
        <v>68364.529233128851</v>
      </c>
      <c r="N33" s="18">
        <f ca="1">(H33-J33)*'GS&gt;50 Predicted Monthly (no LC)'!$P$11</f>
        <v>-208778.99429718888</v>
      </c>
      <c r="O33" s="18">
        <f t="shared" ca="1" si="0"/>
        <v>-42638.679774799908</v>
      </c>
      <c r="Q33" s="18">
        <f>'Monthly Data'!Y33</f>
        <v>24426</v>
      </c>
      <c r="R33" s="18">
        <f>'Monthly Data'!DN33</f>
        <v>0</v>
      </c>
      <c r="S33" s="18">
        <f>'Monthly Data'!DO33</f>
        <v>0</v>
      </c>
      <c r="T33" s="277">
        <f t="shared" ca="1" si="8"/>
        <v>54.974791666666668</v>
      </c>
      <c r="U33" s="18">
        <f t="shared" si="9"/>
        <v>25.450000000000003</v>
      </c>
      <c r="V33" s="18">
        <f>'Monthly Data'!BR33</f>
        <v>0</v>
      </c>
      <c r="W33" s="18"/>
      <c r="X33" s="18"/>
      <c r="Y33" s="18"/>
      <c r="Z33" s="18"/>
      <c r="AA33" s="18">
        <f ca="1">(T33-U33)*'LC Predicted Monthly'!$T$12</f>
        <v>6044.7086377139512</v>
      </c>
      <c r="AB33" s="18"/>
      <c r="AC33" s="18">
        <f t="shared" ca="1" si="3"/>
        <v>30470.708637713949</v>
      </c>
      <c r="AD33" s="18"/>
      <c r="AE33" s="18">
        <f t="shared" ca="1" si="4"/>
        <v>-12167.971137085957</v>
      </c>
    </row>
    <row r="34" spans="1:31">
      <c r="A34" s="541">
        <f>'Monthly Data'!A34</f>
        <v>43344</v>
      </c>
      <c r="B34">
        <f t="shared" si="5"/>
        <v>2018</v>
      </c>
      <c r="C34">
        <f t="shared" si="6"/>
        <v>9</v>
      </c>
      <c r="D34" s="30">
        <f>'Monthly Data'!N34</f>
        <v>125355.45582645046</v>
      </c>
      <c r="E34" s="30"/>
      <c r="F34" s="30">
        <f>'Monthly Data'!AB34</f>
        <v>122343.45582645046</v>
      </c>
      <c r="G34" s="33">
        <f t="shared" ca="1" si="10"/>
        <v>166.50624999999999</v>
      </c>
      <c r="H34" s="33">
        <f t="shared" ca="1" si="10"/>
        <v>144.00333333333333</v>
      </c>
      <c r="I34" s="33">
        <f>'Monthly Data'!AQ34</f>
        <v>165.60416666666669</v>
      </c>
      <c r="J34" s="33">
        <f>'Monthly Data'!BB34</f>
        <v>161.10416666666669</v>
      </c>
      <c r="L34" s="521"/>
      <c r="M34" s="18">
        <f ca="1">(G34-I34)*'GS&gt;50 Predicted Monthly (no LC)'!$P$10</f>
        <v>2088.770112542707</v>
      </c>
      <c r="N34" s="18">
        <f ca="1">(H34-J34)*'GS&gt;50 Predicted Monthly (no LC)'!$P$11</f>
        <v>-92382.496255574981</v>
      </c>
      <c r="O34" s="18">
        <f t="shared" ca="1" si="0"/>
        <v>32049.729683418191</v>
      </c>
      <c r="Q34" s="18">
        <f>'Monthly Data'!Y34</f>
        <v>3012</v>
      </c>
      <c r="R34" s="18">
        <f>'Monthly Data'!DN34</f>
        <v>0</v>
      </c>
      <c r="S34" s="18">
        <f>'Monthly Data'!DO34</f>
        <v>0</v>
      </c>
      <c r="T34" s="277">
        <f t="shared" ca="1" si="8"/>
        <v>166.50624999999999</v>
      </c>
      <c r="U34" s="18">
        <f t="shared" si="9"/>
        <v>165.60416666666669</v>
      </c>
      <c r="V34" s="18">
        <f>'Monthly Data'!BR34</f>
        <v>1</v>
      </c>
      <c r="W34" s="18"/>
      <c r="X34" s="18"/>
      <c r="Y34" s="18"/>
      <c r="Z34" s="18"/>
      <c r="AA34" s="18">
        <f ca="1">(T34-U34)*'LC Predicted Monthly'!$T$12</f>
        <v>184.68651628434222</v>
      </c>
      <c r="AB34" s="18"/>
      <c r="AC34" s="18">
        <f t="shared" ca="1" si="3"/>
        <v>3196.6865162843424</v>
      </c>
      <c r="AD34" s="18"/>
      <c r="AE34" s="18">
        <f t="shared" ca="1" si="4"/>
        <v>35246.416199702529</v>
      </c>
    </row>
    <row r="35" spans="1:31">
      <c r="A35" s="541">
        <f>'Monthly Data'!A35</f>
        <v>43374</v>
      </c>
      <c r="B35">
        <f t="shared" si="5"/>
        <v>2018</v>
      </c>
      <c r="C35">
        <f t="shared" si="6"/>
        <v>10</v>
      </c>
      <c r="D35" s="30">
        <f>'Monthly Data'!N35</f>
        <v>128509.12636364081</v>
      </c>
      <c r="E35" s="30"/>
      <c r="F35" s="30">
        <f>'Monthly Data'!AB35</f>
        <v>125362.72636364082</v>
      </c>
      <c r="G35" s="33">
        <f t="shared" ca="1" si="10"/>
        <v>363.47645833333326</v>
      </c>
      <c r="H35" s="33">
        <f t="shared" ca="1" si="10"/>
        <v>40.02791666666667</v>
      </c>
      <c r="I35" s="33">
        <f>'Monthly Data'!AQ35</f>
        <v>439.75416666666661</v>
      </c>
      <c r="J35" s="33">
        <f>'Monthly Data'!BB35</f>
        <v>22.083333333333336</v>
      </c>
      <c r="L35" s="521"/>
      <c r="M35" s="18">
        <f ca="1">(G35-I35)*'GS&gt;50 Predicted Monthly (no LC)'!$P$10</f>
        <v>-176620.70845626327</v>
      </c>
      <c r="N35" s="18">
        <f ca="1">(H35-J35)*'GS&gt;50 Predicted Monthly (no LC)'!$P$11</f>
        <v>96940.620979456246</v>
      </c>
      <c r="O35" s="18">
        <f t="shared" ca="1" si="0"/>
        <v>45682.638886833796</v>
      </c>
      <c r="Q35" s="18">
        <f>'Monthly Data'!Y35</f>
        <v>3146.4</v>
      </c>
      <c r="R35" s="18">
        <f>'Monthly Data'!DN35</f>
        <v>0</v>
      </c>
      <c r="S35" s="18">
        <f>'Monthly Data'!DO35</f>
        <v>0</v>
      </c>
      <c r="T35" s="277">
        <f t="shared" ca="1" si="8"/>
        <v>363.47645833333326</v>
      </c>
      <c r="U35" s="18">
        <f t="shared" si="9"/>
        <v>439.75416666666661</v>
      </c>
      <c r="V35" s="18">
        <f>'Monthly Data'!BR35</f>
        <v>1</v>
      </c>
      <c r="W35" s="18"/>
      <c r="X35" s="18"/>
      <c r="Y35" s="18"/>
      <c r="Z35" s="18"/>
      <c r="AA35" s="18">
        <f ca="1">(T35-U35)*'LC Predicted Monthly'!$T$12</f>
        <v>-15616.588514257952</v>
      </c>
      <c r="AB35" s="18"/>
      <c r="AC35" s="18">
        <f t="shared" ca="1" si="3"/>
        <v>-12470.188514257952</v>
      </c>
      <c r="AD35" s="18"/>
      <c r="AE35" s="18">
        <f t="shared" ca="1" si="4"/>
        <v>33212.45037257584</v>
      </c>
    </row>
    <row r="36" spans="1:31">
      <c r="A36" s="541">
        <f>'Monthly Data'!A36</f>
        <v>43405</v>
      </c>
      <c r="B36">
        <f t="shared" si="5"/>
        <v>2018</v>
      </c>
      <c r="C36">
        <f t="shared" si="6"/>
        <v>11</v>
      </c>
      <c r="D36" s="30">
        <f>'Monthly Data'!N36</f>
        <v>131662.79690083116</v>
      </c>
      <c r="E36" s="30"/>
      <c r="F36" s="30">
        <f>'Monthly Data'!AB36</f>
        <v>-37267.203099168837</v>
      </c>
      <c r="G36" s="33">
        <f t="shared" ca="1" si="10"/>
        <v>586.00395833333334</v>
      </c>
      <c r="H36" s="33">
        <f t="shared" ca="1" si="10"/>
        <v>4.5920833333333331</v>
      </c>
      <c r="I36" s="33">
        <f>'Monthly Data'!AQ36</f>
        <v>681.23333333333335</v>
      </c>
      <c r="J36" s="33">
        <f>'Monthly Data'!BB36</f>
        <v>0</v>
      </c>
      <c r="L36" s="521"/>
      <c r="M36" s="18">
        <f ca="1">(G36-I36)*'GS&gt;50 Predicted Monthly (no LC)'!$P$10</f>
        <v>-220503.21182757735</v>
      </c>
      <c r="N36" s="18">
        <f ca="1">(H36-J36)*'GS&gt;50 Predicted Monthly (no LC)'!$P$11</f>
        <v>24807.453126862496</v>
      </c>
      <c r="O36" s="18">
        <f t="shared" ca="1" si="0"/>
        <v>-232962.96179988369</v>
      </c>
      <c r="Q36" s="18">
        <f>'Monthly Data'!Y36</f>
        <v>168930</v>
      </c>
      <c r="R36" s="18">
        <f>'Monthly Data'!DN36</f>
        <v>0</v>
      </c>
      <c r="S36" s="18">
        <f>'Monthly Data'!DO36</f>
        <v>0</v>
      </c>
      <c r="T36" s="277">
        <f t="shared" ca="1" si="8"/>
        <v>586.00395833333334</v>
      </c>
      <c r="U36" s="18">
        <f t="shared" si="9"/>
        <v>681.23333333333335</v>
      </c>
      <c r="V36" s="18">
        <f>'Monthly Data'!BR36</f>
        <v>1</v>
      </c>
      <c r="W36" s="18"/>
      <c r="X36" s="18"/>
      <c r="Y36" s="18"/>
      <c r="Z36" s="18"/>
      <c r="AA36" s="18">
        <f ca="1">(T36-U36)*'LC Predicted Monthly'!$T$12</f>
        <v>-19496.626161683933</v>
      </c>
      <c r="AB36" s="18"/>
      <c r="AC36" s="18">
        <f t="shared" ca="1" si="3"/>
        <v>149433.37383831607</v>
      </c>
      <c r="AD36" s="18"/>
      <c r="AE36" s="18">
        <f t="shared" ca="1" si="4"/>
        <v>-83529.587961567624</v>
      </c>
    </row>
    <row r="37" spans="1:31">
      <c r="A37" s="541">
        <f>'Monthly Data'!A37</f>
        <v>43435</v>
      </c>
      <c r="B37">
        <f t="shared" si="5"/>
        <v>2018</v>
      </c>
      <c r="C37">
        <f t="shared" si="6"/>
        <v>12</v>
      </c>
      <c r="D37" s="30">
        <f>'Monthly Data'!N37</f>
        <v>71637155.467438027</v>
      </c>
      <c r="E37" s="30"/>
      <c r="F37" s="30">
        <f>'Monthly Data'!AB37</f>
        <v>71595238.267438024</v>
      </c>
      <c r="G37" s="33">
        <f t="shared" ca="1" si="10"/>
        <v>812.36333333333334</v>
      </c>
      <c r="H37" s="33">
        <f t="shared" ca="1" si="10"/>
        <v>0</v>
      </c>
      <c r="I37" s="33">
        <f>'Monthly Data'!AQ37</f>
        <v>855.4000000000002</v>
      </c>
      <c r="J37" s="33">
        <f>'Monthly Data'!BB37</f>
        <v>0</v>
      </c>
      <c r="L37" s="521"/>
      <c r="M37" s="18">
        <f ca="1">(G37-I37)*'GS&gt;50 Predicted Monthly (no LC)'!$P$10</f>
        <v>-99651.218191370877</v>
      </c>
      <c r="N37" s="18">
        <f ca="1">(H37-J37)*'GS&gt;50 Predicted Monthly (no LC)'!$P$11</f>
        <v>0</v>
      </c>
      <c r="O37" s="18">
        <f t="shared" ca="1" si="0"/>
        <v>71495587.049246654</v>
      </c>
      <c r="Q37" s="18">
        <f>'Monthly Data'!Y37</f>
        <v>41917.199999999997</v>
      </c>
      <c r="R37" s="18">
        <f>'Monthly Data'!DN37</f>
        <v>0</v>
      </c>
      <c r="S37" s="18">
        <f>'Monthly Data'!DO37</f>
        <v>0</v>
      </c>
      <c r="T37" s="277">
        <f t="shared" ca="1" si="8"/>
        <v>812.36333333333334</v>
      </c>
      <c r="U37" s="18">
        <f t="shared" si="9"/>
        <v>855.4000000000002</v>
      </c>
      <c r="V37" s="18">
        <f>'Monthly Data'!BR37</f>
        <v>0</v>
      </c>
      <c r="W37" s="18"/>
      <c r="X37" s="18"/>
      <c r="Y37" s="18"/>
      <c r="Z37" s="18"/>
      <c r="AA37" s="18">
        <f ca="1">(T37-U37)*'LC Predicted Monthly'!$T$12</f>
        <v>-8811.0396738927229</v>
      </c>
      <c r="AB37" s="18"/>
      <c r="AC37" s="18">
        <f t="shared" ca="1" si="3"/>
        <v>33106.160326107274</v>
      </c>
      <c r="AD37" s="18"/>
      <c r="AE37" s="18">
        <f t="shared" ca="1" si="4"/>
        <v>71528693.209572762</v>
      </c>
    </row>
    <row r="38" spans="1:31">
      <c r="A38" s="541">
        <f>'Monthly Data'!A38</f>
        <v>43466</v>
      </c>
      <c r="B38">
        <f t="shared" si="5"/>
        <v>2019</v>
      </c>
      <c r="C38">
        <f t="shared" si="6"/>
        <v>1</v>
      </c>
      <c r="D38" s="30">
        <f>'Monthly Data'!N38</f>
        <v>128861.79026130038</v>
      </c>
      <c r="E38" s="30"/>
      <c r="F38" s="30">
        <f>'Monthly Data'!AB38</f>
        <v>-89125.009738699606</v>
      </c>
      <c r="G38" s="33">
        <f t="shared" ca="1" si="10"/>
        <v>914.55166666666662</v>
      </c>
      <c r="H38" s="33">
        <f t="shared" ca="1" si="10"/>
        <v>0</v>
      </c>
      <c r="I38" s="33">
        <f>'Monthly Data'!AQ38</f>
        <v>1054.7000000000003</v>
      </c>
      <c r="J38" s="33">
        <f>'Monthly Data'!BB38</f>
        <v>0</v>
      </c>
      <c r="L38" s="521"/>
      <c r="M38" s="18">
        <f ca="1">(G38-I38)*'GS&gt;50 Predicted Monthly (no LC)'!$P$10</f>
        <v>-324512.86834846903</v>
      </c>
      <c r="N38" s="18">
        <f ca="1">(H38-J38)*'GS&gt;50 Predicted Monthly (no LC)'!$P$11</f>
        <v>0</v>
      </c>
      <c r="O38" s="18">
        <f t="shared" ca="1" si="0"/>
        <v>-413637.87808716862</v>
      </c>
      <c r="Q38" s="18">
        <f>'Monthly Data'!Y38</f>
        <v>217986.8</v>
      </c>
      <c r="R38" s="18">
        <f>'Monthly Data'!DN38</f>
        <v>0</v>
      </c>
      <c r="S38" s="18">
        <f>'Monthly Data'!DO38</f>
        <v>0</v>
      </c>
      <c r="T38" s="277">
        <f t="shared" ca="1" si="8"/>
        <v>914.55166666666662</v>
      </c>
      <c r="U38" s="18">
        <f t="shared" si="9"/>
        <v>1054.7000000000003</v>
      </c>
      <c r="V38" s="18">
        <f>'Monthly Data'!BR38</f>
        <v>0</v>
      </c>
      <c r="W38" s="18"/>
      <c r="X38" s="18"/>
      <c r="Y38" s="18"/>
      <c r="Z38" s="18"/>
      <c r="AA38" s="18">
        <f ca="1">(T38-U38)*'LC Predicted Monthly'!$T$12</f>
        <v>-28693.03365881665</v>
      </c>
      <c r="AB38" s="18"/>
      <c r="AC38" s="18">
        <f t="shared" ca="1" si="3"/>
        <v>189293.76634118333</v>
      </c>
      <c r="AD38" s="18"/>
      <c r="AE38" s="18">
        <f t="shared" ca="1" si="4"/>
        <v>-224344.11174598528</v>
      </c>
    </row>
    <row r="39" spans="1:31">
      <c r="A39" s="541">
        <f>'Monthly Data'!A39</f>
        <v>43497</v>
      </c>
      <c r="B39">
        <f t="shared" si="5"/>
        <v>2019</v>
      </c>
      <c r="C39">
        <f t="shared" si="6"/>
        <v>2</v>
      </c>
      <c r="D39" s="30">
        <f>'Monthly Data'!N39</f>
        <v>130380.52503167716</v>
      </c>
      <c r="E39" s="30"/>
      <c r="F39" s="30">
        <f>'Monthly Data'!AB39</f>
        <v>56815.725031677153</v>
      </c>
      <c r="G39" s="33">
        <f t="shared" ca="1" si="10"/>
        <v>803.82854166666664</v>
      </c>
      <c r="H39" s="33">
        <f t="shared" ca="1" si="10"/>
        <v>0</v>
      </c>
      <c r="I39" s="33">
        <f>'Monthly Data'!AQ39</f>
        <v>858.87708333333342</v>
      </c>
      <c r="J39" s="33">
        <f>'Monthly Data'!BB39</f>
        <v>0</v>
      </c>
      <c r="L39" s="521"/>
      <c r="M39" s="18">
        <f ca="1">(G39-I39)*'GS&gt;50 Predicted Monthly (no LC)'!$P$10</f>
        <v>-127464.66354446033</v>
      </c>
      <c r="N39" s="18">
        <f ca="1">(H39-J39)*'GS&gt;50 Predicted Monthly (no LC)'!$P$11</f>
        <v>0</v>
      </c>
      <c r="O39" s="18">
        <f t="shared" ca="1" si="0"/>
        <v>-70648.938512783177</v>
      </c>
      <c r="Q39" s="18">
        <f>'Monthly Data'!Y39</f>
        <v>73564.800000000003</v>
      </c>
      <c r="R39" s="18">
        <f>'Monthly Data'!DN39</f>
        <v>0</v>
      </c>
      <c r="S39" s="18">
        <f>'Monthly Data'!DO39</f>
        <v>0</v>
      </c>
      <c r="T39" s="277">
        <f t="shared" ca="1" si="8"/>
        <v>803.82854166666664</v>
      </c>
      <c r="U39" s="18">
        <f t="shared" si="9"/>
        <v>858.87708333333342</v>
      </c>
      <c r="V39" s="18">
        <f>'Monthly Data'!BR39</f>
        <v>0</v>
      </c>
      <c r="W39" s="18"/>
      <c r="X39" s="18"/>
      <c r="Y39" s="18"/>
      <c r="Z39" s="18"/>
      <c r="AA39" s="18">
        <f ca="1">(T39-U39)*'LC Predicted Monthly'!$T$12</f>
        <v>-11270.270729182917</v>
      </c>
      <c r="AB39" s="18"/>
      <c r="AC39" s="18">
        <f t="shared" ca="1" si="3"/>
        <v>62294.529270817089</v>
      </c>
      <c r="AD39" s="18"/>
      <c r="AE39" s="18">
        <f t="shared" ca="1" si="4"/>
        <v>-8354.4092419660919</v>
      </c>
    </row>
    <row r="40" spans="1:31">
      <c r="A40" s="541">
        <f>'Monthly Data'!A40</f>
        <v>43525</v>
      </c>
      <c r="B40">
        <f t="shared" si="5"/>
        <v>2019</v>
      </c>
      <c r="C40">
        <f t="shared" si="6"/>
        <v>3</v>
      </c>
      <c r="D40" s="30">
        <f>'Monthly Data'!N40</f>
        <v>131899.25980205394</v>
      </c>
      <c r="E40" s="30"/>
      <c r="F40" s="30">
        <f>'Monthly Data'!AB40</f>
        <v>126434.45980205394</v>
      </c>
      <c r="G40" s="33">
        <f t="shared" ca="1" si="10"/>
        <v>698.29604166666672</v>
      </c>
      <c r="H40" s="33">
        <f t="shared" ca="1" si="10"/>
        <v>0.11000000000000032</v>
      </c>
      <c r="I40" s="33">
        <f>'Monthly Data'!AQ40</f>
        <v>773.79166666666663</v>
      </c>
      <c r="J40" s="33">
        <f>'Monthly Data'!BB40</f>
        <v>0</v>
      </c>
      <c r="L40" s="521"/>
      <c r="M40" s="18">
        <f ca="1">(G40-I40)*'GS&gt;50 Predicted Monthly (no LC)'!$P$10</f>
        <v>-174809.7978321324</v>
      </c>
      <c r="N40" s="18">
        <f ca="1">(H40-J40)*'GS&gt;50 Predicted Monthly (no LC)'!$P$11</f>
        <v>594.2444084467578</v>
      </c>
      <c r="O40" s="18">
        <f t="shared" ca="1" si="0"/>
        <v>-47781.093621631706</v>
      </c>
      <c r="Q40" s="18">
        <f>'Monthly Data'!Y40</f>
        <v>5464.8</v>
      </c>
      <c r="R40" s="18">
        <f>'Monthly Data'!DN40</f>
        <v>0</v>
      </c>
      <c r="S40" s="18">
        <f>'Monthly Data'!DO40</f>
        <v>0</v>
      </c>
      <c r="T40" s="277">
        <f t="shared" ca="1" si="8"/>
        <v>698.29604166666672</v>
      </c>
      <c r="U40" s="18">
        <f t="shared" si="9"/>
        <v>773.79166666666663</v>
      </c>
      <c r="V40" s="18">
        <f>'Monthly Data'!BR40</f>
        <v>0</v>
      </c>
      <c r="W40" s="18"/>
      <c r="X40" s="18"/>
      <c r="Y40" s="18"/>
      <c r="Z40" s="18"/>
      <c r="AA40" s="18">
        <f ca="1">(T40-U40)*'LC Predicted Monthly'!$T$12</f>
        <v>-15456.469996444663</v>
      </c>
      <c r="AB40" s="18"/>
      <c r="AC40" s="18">
        <f t="shared" ca="1" si="3"/>
        <v>-9991.6699964446634</v>
      </c>
      <c r="AD40" s="18"/>
      <c r="AE40" s="18">
        <f t="shared" ca="1" si="4"/>
        <v>-57772.763618076366</v>
      </c>
    </row>
    <row r="41" spans="1:31">
      <c r="A41" s="541">
        <f>'Monthly Data'!A41</f>
        <v>43556</v>
      </c>
      <c r="B41">
        <f t="shared" si="5"/>
        <v>2019</v>
      </c>
      <c r="C41">
        <f t="shared" si="6"/>
        <v>4</v>
      </c>
      <c r="D41" s="30">
        <f>'Monthly Data'!N41</f>
        <v>133417.9945724307</v>
      </c>
      <c r="E41" s="30"/>
      <c r="F41" s="30">
        <f>'Monthly Data'!AB41</f>
        <v>59522.794572430706</v>
      </c>
      <c r="G41" s="33">
        <f t="shared" ca="1" si="10"/>
        <v>468.60374999999993</v>
      </c>
      <c r="H41" s="33">
        <f t="shared" ca="1" si="10"/>
        <v>7.7354166666666684</v>
      </c>
      <c r="I41" s="33">
        <f>'Monthly Data'!AQ41</f>
        <v>501.13749999999999</v>
      </c>
      <c r="J41" s="33">
        <f>'Monthly Data'!BB41</f>
        <v>0</v>
      </c>
      <c r="L41" s="521"/>
      <c r="M41" s="18">
        <f ca="1">(G41-I41)*'GS&gt;50 Predicted Monthly (no LC)'!$P$10</f>
        <v>-75331.759426074743</v>
      </c>
      <c r="N41" s="18">
        <f ca="1">(H41-J41)*'GS&gt;50 Predicted Monthly (no LC)'!$P$11</f>
        <v>41788.437283386476</v>
      </c>
      <c r="O41" s="18">
        <f t="shared" ca="1" si="0"/>
        <v>25979.47242974244</v>
      </c>
      <c r="Q41" s="18">
        <f>'Monthly Data'!Y41</f>
        <v>73895.199999999997</v>
      </c>
      <c r="R41" s="18">
        <f>'Monthly Data'!DN41</f>
        <v>0</v>
      </c>
      <c r="S41" s="18">
        <f>'Monthly Data'!DO41</f>
        <v>0</v>
      </c>
      <c r="T41" s="277">
        <f t="shared" ca="1" si="8"/>
        <v>468.60374999999993</v>
      </c>
      <c r="U41" s="18">
        <f t="shared" si="9"/>
        <v>501.13749999999999</v>
      </c>
      <c r="V41" s="18">
        <f>'Monthly Data'!BR41</f>
        <v>0</v>
      </c>
      <c r="W41" s="18"/>
      <c r="X41" s="18"/>
      <c r="Y41" s="18"/>
      <c r="Z41" s="18"/>
      <c r="AA41" s="18">
        <f ca="1">(T41-U41)*'LC Predicted Monthly'!$T$12</f>
        <v>-6660.7426688213136</v>
      </c>
      <c r="AB41" s="18"/>
      <c r="AC41" s="18">
        <f t="shared" ca="1" si="3"/>
        <v>67234.457331178681</v>
      </c>
      <c r="AD41" s="18"/>
      <c r="AE41" s="18">
        <f t="shared" ca="1" si="4"/>
        <v>93213.929760921121</v>
      </c>
    </row>
    <row r="42" spans="1:31">
      <c r="A42" s="541">
        <f>'Monthly Data'!A42</f>
        <v>43586</v>
      </c>
      <c r="B42">
        <f t="shared" si="5"/>
        <v>2019</v>
      </c>
      <c r="C42">
        <f t="shared" si="6"/>
        <v>5</v>
      </c>
      <c r="D42" s="30">
        <f>'Monthly Data'!N42</f>
        <v>134936.72934280749</v>
      </c>
      <c r="E42" s="30"/>
      <c r="F42" s="30">
        <f>'Monthly Data'!AB42</f>
        <v>40738.729342807492</v>
      </c>
      <c r="G42" s="33">
        <f t="shared" ca="1" si="10"/>
        <v>232.88687500000006</v>
      </c>
      <c r="H42" s="33">
        <f t="shared" ca="1" si="10"/>
        <v>111.43645833333332</v>
      </c>
      <c r="I42" s="33">
        <f>'Monthly Data'!AQ42</f>
        <v>307.42916666666667</v>
      </c>
      <c r="J42" s="33">
        <f>'Monthly Data'!BB42</f>
        <v>40.208333333333343</v>
      </c>
      <c r="L42" s="521"/>
      <c r="M42" s="18">
        <f ca="1">(G42-I42)*'GS&gt;50 Predicted Monthly (no LC)'!$P$10</f>
        <v>-172602.35856308037</v>
      </c>
      <c r="N42" s="18">
        <f ca="1">(H42-J42)*'GS&gt;50 Predicted Monthly (no LC)'!$P$11</f>
        <v>384790.13641269627</v>
      </c>
      <c r="O42" s="18">
        <f t="shared" ca="1" si="0"/>
        <v>252926.50719242339</v>
      </c>
      <c r="Q42" s="18">
        <f>'Monthly Data'!Y42</f>
        <v>94198</v>
      </c>
      <c r="R42" s="18">
        <f>'Monthly Data'!DN42</f>
        <v>0</v>
      </c>
      <c r="S42" s="18">
        <f>'Monthly Data'!DO42</f>
        <v>0</v>
      </c>
      <c r="T42" s="277">
        <f t="shared" ca="1" si="8"/>
        <v>232.88687500000006</v>
      </c>
      <c r="U42" s="18">
        <f t="shared" si="9"/>
        <v>307.42916666666667</v>
      </c>
      <c r="V42" s="18">
        <f>'Monthly Data'!BR42</f>
        <v>0</v>
      </c>
      <c r="W42" s="18"/>
      <c r="X42" s="18"/>
      <c r="Y42" s="18"/>
      <c r="Z42" s="18"/>
      <c r="AA42" s="18">
        <f ca="1">(T42-U42)*'LC Predicted Monthly'!$T$12</f>
        <v>-15261.290897479967</v>
      </c>
      <c r="AB42" s="18"/>
      <c r="AC42" s="18">
        <f t="shared" ca="1" si="3"/>
        <v>78936.709102520035</v>
      </c>
      <c r="AD42" s="18"/>
      <c r="AE42" s="18">
        <f t="shared" ca="1" si="4"/>
        <v>331863.21629494341</v>
      </c>
    </row>
    <row r="43" spans="1:31">
      <c r="A43" s="541">
        <f>'Monthly Data'!A43</f>
        <v>43617</v>
      </c>
      <c r="B43">
        <f t="shared" si="5"/>
        <v>2019</v>
      </c>
      <c r="C43">
        <f t="shared" si="6"/>
        <v>6</v>
      </c>
      <c r="D43" s="30">
        <f>'Monthly Data'!N43</f>
        <v>136455.46411318425</v>
      </c>
      <c r="E43" s="30"/>
      <c r="F43" s="30">
        <f>'Monthly Data'!AB43</f>
        <v>121493.06411318426</v>
      </c>
      <c r="G43" s="33">
        <f t="shared" ca="1" si="10"/>
        <v>92.751249999999999</v>
      </c>
      <c r="H43" s="33">
        <f t="shared" ca="1" si="10"/>
        <v>227.31958333333333</v>
      </c>
      <c r="I43" s="33">
        <f>'Monthly Data'!AQ43</f>
        <v>114.8875</v>
      </c>
      <c r="J43" s="33">
        <f>'Monthly Data'!BB43</f>
        <v>188.9291666666667</v>
      </c>
      <c r="L43" s="521"/>
      <c r="M43" s="18">
        <f ca="1">(G43-I43)*'GS&gt;50 Predicted Monthly (no LC)'!$P$10</f>
        <v>-51256.392503029761</v>
      </c>
      <c r="N43" s="18">
        <f ca="1">(H43-J43)*'GS&gt;50 Predicted Monthly (no LC)'!$P$11</f>
        <v>207393.54947370721</v>
      </c>
      <c r="O43" s="18">
        <f t="shared" ca="1" si="0"/>
        <v>277630.22108386172</v>
      </c>
      <c r="Q43" s="18">
        <f>'Monthly Data'!Y43</f>
        <v>14962.4</v>
      </c>
      <c r="R43" s="18">
        <f>'Monthly Data'!DN43</f>
        <v>0</v>
      </c>
      <c r="S43" s="18">
        <f>'Monthly Data'!DO43</f>
        <v>0</v>
      </c>
      <c r="T43" s="277">
        <f t="shared" ca="1" si="8"/>
        <v>92.751249999999999</v>
      </c>
      <c r="U43" s="18">
        <f t="shared" si="9"/>
        <v>114.8875</v>
      </c>
      <c r="V43" s="18">
        <f>'Monthly Data'!BR43</f>
        <v>0</v>
      </c>
      <c r="W43" s="18"/>
      <c r="X43" s="18"/>
      <c r="Y43" s="18"/>
      <c r="Z43" s="18"/>
      <c r="AA43" s="18">
        <f ca="1">(T43-U43)*'LC Predicted Monthly'!$T$12</f>
        <v>-4532.0279679623645</v>
      </c>
      <c r="AB43" s="18"/>
      <c r="AC43" s="18">
        <f t="shared" ca="1" si="3"/>
        <v>10430.372032037634</v>
      </c>
      <c r="AD43" s="18"/>
      <c r="AE43" s="18">
        <f t="shared" ca="1" si="4"/>
        <v>288060.5931158993</v>
      </c>
    </row>
    <row r="44" spans="1:31">
      <c r="A44" s="541">
        <f>'Monthly Data'!A44</f>
        <v>43647</v>
      </c>
      <c r="B44">
        <f t="shared" si="5"/>
        <v>2019</v>
      </c>
      <c r="C44">
        <f t="shared" si="6"/>
        <v>7</v>
      </c>
      <c r="D44" s="30">
        <f>'Monthly Data'!N44</f>
        <v>137974.19888356104</v>
      </c>
      <c r="E44" s="30"/>
      <c r="F44" s="30">
        <f>'Monthly Data'!AB44</f>
        <v>118370.59888356103</v>
      </c>
      <c r="G44" s="33">
        <f t="shared" ca="1" si="10"/>
        <v>25.464999999999996</v>
      </c>
      <c r="H44" s="33">
        <f t="shared" ca="1" si="10"/>
        <v>327.99625000000003</v>
      </c>
      <c r="I44" s="33">
        <f>'Monthly Data'!AQ44</f>
        <v>14.054166666666667</v>
      </c>
      <c r="J44" s="33">
        <f>'Monthly Data'!BB44</f>
        <v>352.4375</v>
      </c>
      <c r="L44" s="521"/>
      <c r="M44" s="18">
        <f ca="1">(G44-I44)*'GS&gt;50 Predicted Monthly (no LC)'!$P$10</f>
        <v>26421.735936303052</v>
      </c>
      <c r="N44" s="18">
        <f ca="1">(H44-J44)*'GS&gt;50 Predicted Monthly (no LC)'!$P$11</f>
        <v>-132037.05589044781</v>
      </c>
      <c r="O44" s="18">
        <f t="shared" ca="1" si="0"/>
        <v>12755.278929416265</v>
      </c>
      <c r="Q44" s="18">
        <f>'Monthly Data'!Y44</f>
        <v>19603.599999999999</v>
      </c>
      <c r="R44" s="18">
        <f>'Monthly Data'!DN44</f>
        <v>0</v>
      </c>
      <c r="S44" s="18">
        <f>'Monthly Data'!DO44</f>
        <v>0</v>
      </c>
      <c r="T44" s="277">
        <f t="shared" ca="1" si="8"/>
        <v>25.464999999999996</v>
      </c>
      <c r="U44" s="18">
        <f t="shared" si="9"/>
        <v>14.054166666666667</v>
      </c>
      <c r="V44" s="18">
        <f>'Monthly Data'!BR44</f>
        <v>0</v>
      </c>
      <c r="W44" s="18"/>
      <c r="X44" s="18"/>
      <c r="Y44" s="18"/>
      <c r="Z44" s="18"/>
      <c r="AA44" s="18">
        <f ca="1">(T44-U44)*'LC Predicted Monthly'!$T$12</f>
        <v>2336.1777990591836</v>
      </c>
      <c r="AB44" s="18"/>
      <c r="AC44" s="18">
        <f t="shared" ca="1" si="3"/>
        <v>21939.777799059182</v>
      </c>
      <c r="AD44" s="18"/>
      <c r="AE44" s="18">
        <f t="shared" ca="1" si="4"/>
        <v>34695.056728475451</v>
      </c>
    </row>
    <row r="45" spans="1:31">
      <c r="A45" s="541">
        <f>'Monthly Data'!A45</f>
        <v>43678</v>
      </c>
      <c r="B45">
        <f t="shared" si="5"/>
        <v>2019</v>
      </c>
      <c r="C45">
        <f t="shared" si="6"/>
        <v>8</v>
      </c>
      <c r="D45" s="30">
        <f>'Monthly Data'!N45</f>
        <v>139492.9336539378</v>
      </c>
      <c r="E45" s="30"/>
      <c r="F45" s="30">
        <f>'Monthly Data'!AB45</f>
        <v>124986.9336539378</v>
      </c>
      <c r="G45" s="33">
        <f t="shared" ca="1" si="10"/>
        <v>54.974791666666668</v>
      </c>
      <c r="H45" s="33">
        <f t="shared" ca="1" si="10"/>
        <v>280.40312500000005</v>
      </c>
      <c r="I45" s="33">
        <f>'Monthly Data'!AQ45</f>
        <v>58.420833333333356</v>
      </c>
      <c r="J45" s="33">
        <f>'Monthly Data'!BB45</f>
        <v>261.80416666666673</v>
      </c>
      <c r="L45" s="521"/>
      <c r="M45" s="18">
        <f ca="1">(G45-I45)*'GS&gt;50 Predicted Monthly (no LC)'!$P$10</f>
        <v>-7979.2947878914692</v>
      </c>
      <c r="N45" s="18">
        <f ca="1">(H45-J45)*'GS&gt;50 Predicted Monthly (no LC)'!$P$11</f>
        <v>100475.69993197746</v>
      </c>
      <c r="O45" s="18">
        <f t="shared" ca="1" si="0"/>
        <v>217483.33879802379</v>
      </c>
      <c r="Q45" s="18">
        <f>'Monthly Data'!Y45</f>
        <v>14506</v>
      </c>
      <c r="R45" s="18">
        <f>'Monthly Data'!DN45</f>
        <v>0</v>
      </c>
      <c r="S45" s="18">
        <f>'Monthly Data'!DO45</f>
        <v>0</v>
      </c>
      <c r="T45" s="277">
        <f t="shared" ca="1" si="8"/>
        <v>54.974791666666668</v>
      </c>
      <c r="U45" s="18">
        <f t="shared" si="9"/>
        <v>58.420833333333356</v>
      </c>
      <c r="V45" s="18">
        <f>'Monthly Data'!BR45</f>
        <v>0</v>
      </c>
      <c r="W45" s="18"/>
      <c r="X45" s="18"/>
      <c r="Y45" s="18"/>
      <c r="Z45" s="18"/>
      <c r="AA45" s="18">
        <f ca="1">(T45-U45)*'LC Predicted Monthly'!$T$12</f>
        <v>-705.51955331626016</v>
      </c>
      <c r="AB45" s="18"/>
      <c r="AC45" s="18">
        <f t="shared" ca="1" si="3"/>
        <v>13800.48044668374</v>
      </c>
      <c r="AD45" s="18"/>
      <c r="AE45" s="18">
        <f t="shared" ca="1" si="4"/>
        <v>231283.81924470753</v>
      </c>
    </row>
    <row r="46" spans="1:31">
      <c r="A46" s="541">
        <f>'Monthly Data'!A46</f>
        <v>43709</v>
      </c>
      <c r="B46">
        <f t="shared" si="5"/>
        <v>2019</v>
      </c>
      <c r="C46">
        <f t="shared" si="6"/>
        <v>9</v>
      </c>
      <c r="D46" s="30">
        <f>'Monthly Data'!N46</f>
        <v>141011.66842431459</v>
      </c>
      <c r="E46" s="30"/>
      <c r="F46" s="30">
        <f>'Monthly Data'!AB46</f>
        <v>133920.06842431458</v>
      </c>
      <c r="G46" s="33">
        <f t="shared" ref="G46:H61" ca="1" si="11">G34</f>
        <v>166.50624999999999</v>
      </c>
      <c r="H46" s="33">
        <f t="shared" ca="1" si="11"/>
        <v>144.00333333333333</v>
      </c>
      <c r="I46" s="33">
        <f>'Monthly Data'!AQ46</f>
        <v>189.70000000000007</v>
      </c>
      <c r="J46" s="33">
        <f>'Monthly Data'!BB46</f>
        <v>116.52916666666667</v>
      </c>
      <c r="L46" s="521"/>
      <c r="M46" s="18">
        <f ca="1">(G46-I46)*'GS&gt;50 Predicted Monthly (no LC)'!$P$10</f>
        <v>-53705.029244662051</v>
      </c>
      <c r="N46" s="18">
        <f ca="1">(H46-J46)*'GS&gt;50 Predicted Monthly (no LC)'!$P$11</f>
        <v>148421.5447127356</v>
      </c>
      <c r="O46" s="18">
        <f t="shared" ca="1" si="0"/>
        <v>228636.58389238812</v>
      </c>
      <c r="Q46" s="18">
        <f>'Monthly Data'!Y46</f>
        <v>7091.6</v>
      </c>
      <c r="R46" s="18">
        <f>'Monthly Data'!DN46</f>
        <v>0</v>
      </c>
      <c r="S46" s="18">
        <f>'Monthly Data'!DO46</f>
        <v>0</v>
      </c>
      <c r="T46" s="277">
        <f t="shared" ca="1" si="8"/>
        <v>166.50624999999999</v>
      </c>
      <c r="U46" s="18">
        <f t="shared" si="9"/>
        <v>189.70000000000007</v>
      </c>
      <c r="V46" s="18">
        <f>'Monthly Data'!BR46</f>
        <v>1</v>
      </c>
      <c r="W46" s="18"/>
      <c r="X46" s="18"/>
      <c r="Y46" s="18"/>
      <c r="Z46" s="18"/>
      <c r="AA46" s="18">
        <f ca="1">(T46-U46)*'LC Predicted Monthly'!$T$12</f>
        <v>-4748.5334544887883</v>
      </c>
      <c r="AB46" s="18"/>
      <c r="AC46" s="18">
        <f t="shared" ca="1" si="3"/>
        <v>2343.0665455112121</v>
      </c>
      <c r="AD46" s="18"/>
      <c r="AE46" s="18">
        <f t="shared" ca="1" si="4"/>
        <v>230979.65043789934</v>
      </c>
    </row>
    <row r="47" spans="1:31">
      <c r="A47" s="541">
        <f>'Monthly Data'!A47</f>
        <v>43739</v>
      </c>
      <c r="B47">
        <f t="shared" si="5"/>
        <v>2019</v>
      </c>
      <c r="C47">
        <f t="shared" si="6"/>
        <v>10</v>
      </c>
      <c r="D47" s="30">
        <f>'Monthly Data'!N47</f>
        <v>142530.40319469135</v>
      </c>
      <c r="E47" s="30"/>
      <c r="F47" s="30">
        <f>'Monthly Data'!AB47</f>
        <v>137378.00319469135</v>
      </c>
      <c r="G47" s="33">
        <f t="shared" ca="1" si="11"/>
        <v>363.47645833333326</v>
      </c>
      <c r="H47" s="33">
        <f t="shared" ca="1" si="11"/>
        <v>40.02791666666667</v>
      </c>
      <c r="I47" s="33">
        <f>'Monthly Data'!AQ47</f>
        <v>396.53333333333319</v>
      </c>
      <c r="J47" s="33">
        <f>'Monthly Data'!BB47</f>
        <v>6.7208333333333332</v>
      </c>
      <c r="L47" s="521"/>
      <c r="M47" s="18">
        <f ca="1">(G47-I47)*'GS&gt;50 Predicted Monthly (no LC)'!$P$10</f>
        <v>-76543.053133371199</v>
      </c>
      <c r="N47" s="18">
        <f ca="1">(H47-J47)*'GS&gt;50 Predicted Monthly (no LC)'!$P$11</f>
        <v>179932.25484094073</v>
      </c>
      <c r="O47" s="18">
        <f t="shared" ca="1" si="0"/>
        <v>240767.20490226088</v>
      </c>
      <c r="Q47" s="18">
        <f>'Monthly Data'!Y47</f>
        <v>5152.3999999999996</v>
      </c>
      <c r="R47" s="18">
        <f>'Monthly Data'!DN47</f>
        <v>0</v>
      </c>
      <c r="S47" s="18">
        <f>'Monthly Data'!DO47</f>
        <v>0</v>
      </c>
      <c r="T47" s="277">
        <f t="shared" ca="1" si="8"/>
        <v>363.47645833333326</v>
      </c>
      <c r="U47" s="18">
        <f t="shared" si="9"/>
        <v>396.53333333333319</v>
      </c>
      <c r="V47" s="18">
        <f>'Monthly Data'!BR47</f>
        <v>1</v>
      </c>
      <c r="W47" s="18"/>
      <c r="X47" s="18"/>
      <c r="Y47" s="18"/>
      <c r="Z47" s="18"/>
      <c r="AA47" s="18">
        <f ca="1">(T47-U47)*'LC Predicted Monthly'!$T$12</f>
        <v>-6767.8437871561609</v>
      </c>
      <c r="AB47" s="18"/>
      <c r="AC47" s="18">
        <f t="shared" ca="1" si="3"/>
        <v>-1615.4437871561613</v>
      </c>
      <c r="AD47" s="18"/>
      <c r="AE47" s="18">
        <f t="shared" ca="1" si="4"/>
        <v>239151.76111510472</v>
      </c>
    </row>
    <row r="48" spans="1:31">
      <c r="A48" s="541">
        <f>'Monthly Data'!A48</f>
        <v>43770</v>
      </c>
      <c r="B48">
        <f t="shared" si="5"/>
        <v>2019</v>
      </c>
      <c r="C48">
        <f t="shared" si="6"/>
        <v>11</v>
      </c>
      <c r="D48" s="30">
        <f>'Monthly Data'!N48</f>
        <v>144049.13796506813</v>
      </c>
      <c r="E48" s="30"/>
      <c r="F48" s="30">
        <f>'Monthly Data'!AB48</f>
        <v>10289.937965068122</v>
      </c>
      <c r="G48" s="33">
        <f t="shared" ca="1" si="11"/>
        <v>586.00395833333334</v>
      </c>
      <c r="H48" s="33">
        <f t="shared" ca="1" si="11"/>
        <v>4.5920833333333331</v>
      </c>
      <c r="I48" s="33">
        <f>'Monthly Data'!AQ48</f>
        <v>682.0916666666667</v>
      </c>
      <c r="J48" s="33">
        <f>'Monthly Data'!BB48</f>
        <v>0</v>
      </c>
      <c r="L48" s="521"/>
      <c r="M48" s="18">
        <f ca="1">(G48-I48)*'GS&gt;50 Predicted Monthly (no LC)'!$P$10</f>
        <v>-222490.67900163654</v>
      </c>
      <c r="N48" s="18">
        <f ca="1">(H48-J48)*'GS&gt;50 Predicted Monthly (no LC)'!$P$11</f>
        <v>24807.453126862496</v>
      </c>
      <c r="O48" s="18">
        <f t="shared" ca="1" si="0"/>
        <v>-187393.28790970592</v>
      </c>
      <c r="Q48" s="18">
        <f>'Monthly Data'!Y48</f>
        <v>133759.20000000001</v>
      </c>
      <c r="R48" s="18">
        <f>'Monthly Data'!DN48</f>
        <v>0</v>
      </c>
      <c r="S48" s="18">
        <f>'Monthly Data'!DO48</f>
        <v>0</v>
      </c>
      <c r="T48" s="277">
        <f t="shared" ca="1" si="8"/>
        <v>586.00395833333334</v>
      </c>
      <c r="U48" s="18">
        <f t="shared" si="9"/>
        <v>682.0916666666667</v>
      </c>
      <c r="V48" s="18">
        <f>'Monthly Data'!BR48</f>
        <v>1</v>
      </c>
      <c r="W48" s="18"/>
      <c r="X48" s="18"/>
      <c r="Y48" s="18"/>
      <c r="Z48" s="18"/>
      <c r="AA48" s="18">
        <f ca="1">(T48-U48)*'LC Predicted Monthly'!$T$12</f>
        <v>-19672.355595192366</v>
      </c>
      <c r="AB48" s="18"/>
      <c r="AC48" s="18">
        <f t="shared" ca="1" si="3"/>
        <v>114086.84440480765</v>
      </c>
      <c r="AD48" s="18"/>
      <c r="AE48" s="18">
        <f t="shared" ca="1" si="4"/>
        <v>-73306.44350489827</v>
      </c>
    </row>
    <row r="49" spans="1:31">
      <c r="A49" s="541">
        <f>'Monthly Data'!A49</f>
        <v>43800</v>
      </c>
      <c r="B49">
        <f t="shared" si="5"/>
        <v>2019</v>
      </c>
      <c r="C49">
        <f t="shared" si="6"/>
        <v>12</v>
      </c>
      <c r="D49" s="30">
        <f>'Monthly Data'!N49</f>
        <v>73677719.872735441</v>
      </c>
      <c r="E49" s="30"/>
      <c r="F49" s="30">
        <f>'Monthly Data'!AB49</f>
        <v>73625863.48273544</v>
      </c>
      <c r="G49" s="33">
        <f t="shared" ca="1" si="11"/>
        <v>812.36333333333334</v>
      </c>
      <c r="H49" s="33">
        <f t="shared" ca="1" si="11"/>
        <v>0</v>
      </c>
      <c r="I49" s="33">
        <f>'Monthly Data'!AQ49</f>
        <v>811.69166666666661</v>
      </c>
      <c r="J49" s="33">
        <f>'Monthly Data'!BB49</f>
        <v>0</v>
      </c>
      <c r="L49" s="521"/>
      <c r="M49" s="18">
        <f ca="1">(G49-I49)*'GS&gt;50 Predicted Monthly (no LC)'!$P$10</f>
        <v>1555.2413031959779</v>
      </c>
      <c r="N49" s="18">
        <f ca="1">(H49-J49)*'GS&gt;50 Predicted Monthly (no LC)'!$P$11</f>
        <v>0</v>
      </c>
      <c r="O49" s="18">
        <f t="shared" ca="1" si="0"/>
        <v>73627418.724038631</v>
      </c>
      <c r="Q49" s="18">
        <f>'Monthly Data'!Y49</f>
        <v>51856.39</v>
      </c>
      <c r="R49" s="18">
        <f>'Monthly Data'!DN49</f>
        <v>0</v>
      </c>
      <c r="S49" s="18">
        <f>'Monthly Data'!DO49</f>
        <v>0</v>
      </c>
      <c r="T49" s="277">
        <f t="shared" ca="1" si="8"/>
        <v>812.36333333333334</v>
      </c>
      <c r="U49" s="18">
        <f t="shared" si="9"/>
        <v>811.69166666666661</v>
      </c>
      <c r="V49" s="18">
        <f>'Monthly Data'!BR49</f>
        <v>0</v>
      </c>
      <c r="W49" s="18"/>
      <c r="X49" s="18"/>
      <c r="Y49" s="18"/>
      <c r="Z49" s="18"/>
      <c r="AA49" s="18">
        <f ca="1">(T49-U49)*'LC Predicted Monthly'!$T$12</f>
        <v>137.51254699787501</v>
      </c>
      <c r="AB49" s="18"/>
      <c r="AC49" s="18">
        <f t="shared" ca="1" si="3"/>
        <v>51993.902546997873</v>
      </c>
      <c r="AD49" s="18"/>
      <c r="AE49" s="18">
        <f t="shared" ca="1" si="4"/>
        <v>73679412.626585633</v>
      </c>
    </row>
    <row r="50" spans="1:31">
      <c r="A50" s="541">
        <f>'Monthly Data'!A50</f>
        <v>43831</v>
      </c>
      <c r="B50">
        <f t="shared" si="5"/>
        <v>2020</v>
      </c>
      <c r="C50">
        <f t="shared" si="6"/>
        <v>1</v>
      </c>
      <c r="D50" s="30">
        <f>'Monthly Data'!N50</f>
        <v>6576915.9627391547</v>
      </c>
      <c r="E50" s="30"/>
      <c r="F50" s="30">
        <f>'Monthly Data'!AB50</f>
        <v>6499104.5027391547</v>
      </c>
      <c r="G50" s="33">
        <f t="shared" ca="1" si="11"/>
        <v>914.55166666666662</v>
      </c>
      <c r="H50" s="33">
        <f t="shared" ca="1" si="11"/>
        <v>0</v>
      </c>
      <c r="I50" s="33">
        <f>'Monthly Data'!AQ50</f>
        <v>851.48333333333335</v>
      </c>
      <c r="J50" s="33">
        <f>'Monthly Data'!BB50</f>
        <v>0</v>
      </c>
      <c r="L50" s="521"/>
      <c r="M50" s="18">
        <f ca="1">(G50-I50)*'GS&gt;50 Predicted Monthly (no LC)'!$P$10</f>
        <v>146034.4569583938</v>
      </c>
      <c r="N50" s="18">
        <f ca="1">(H50-J50)*'GS&gt;50 Predicted Monthly (no LC)'!$P$11</f>
        <v>0</v>
      </c>
      <c r="O50" s="18">
        <f t="shared" ca="1" si="0"/>
        <v>6645138.9596975483</v>
      </c>
      <c r="Q50" s="18">
        <f>'Monthly Data'!Y50</f>
        <v>77811.460000000006</v>
      </c>
      <c r="R50" s="18">
        <f>'Monthly Data'!DN50</f>
        <v>0</v>
      </c>
      <c r="S50" s="18">
        <f>'Monthly Data'!DO50</f>
        <v>0</v>
      </c>
      <c r="T50" s="277">
        <f t="shared" ca="1" si="8"/>
        <v>914.55166666666662</v>
      </c>
      <c r="U50" s="18">
        <f t="shared" si="9"/>
        <v>851.48333333333335</v>
      </c>
      <c r="V50" s="18">
        <f>'Monthly Data'!BR50</f>
        <v>0</v>
      </c>
      <c r="W50" s="18"/>
      <c r="X50" s="18"/>
      <c r="Y50" s="18"/>
      <c r="Z50" s="18"/>
      <c r="AA50" s="18">
        <f ca="1">(T50-U50)*'LC Predicted Monthly'!$T$12</f>
        <v>12912.189307558388</v>
      </c>
      <c r="AB50" s="18"/>
      <c r="AC50" s="18">
        <f t="shared" ca="1" si="3"/>
        <v>90723.6493075584</v>
      </c>
      <c r="AD50" s="18"/>
      <c r="AE50" s="18">
        <f t="shared" ca="1" si="4"/>
        <v>6735862.6090051066</v>
      </c>
    </row>
    <row r="51" spans="1:31">
      <c r="A51" s="541">
        <f>'Monthly Data'!A51</f>
        <v>43862</v>
      </c>
      <c r="B51">
        <f t="shared" si="5"/>
        <v>2020</v>
      </c>
      <c r="C51">
        <f t="shared" si="6"/>
        <v>2</v>
      </c>
      <c r="D51" s="30">
        <f>'Monthly Data'!N51</f>
        <v>6044045.580237926</v>
      </c>
      <c r="E51" s="30"/>
      <c r="F51" s="30">
        <f>'Monthly Data'!AB51</f>
        <v>5826037.580237926</v>
      </c>
      <c r="G51" s="33">
        <f t="shared" ca="1" si="11"/>
        <v>803.82854166666664</v>
      </c>
      <c r="H51" s="33">
        <f t="shared" ca="1" si="11"/>
        <v>0</v>
      </c>
      <c r="I51" s="33">
        <f>'Monthly Data'!AQ51</f>
        <v>804.35833333333335</v>
      </c>
      <c r="J51" s="33">
        <f>'Monthly Data'!BB51</f>
        <v>0</v>
      </c>
      <c r="L51" s="521"/>
      <c r="M51" s="18">
        <f ca="1">(G51-I51)*'GS&gt;50 Predicted Monthly (no LC)'!$P$10</f>
        <v>-1226.7303455419606</v>
      </c>
      <c r="N51" s="18">
        <f ca="1">(H51-J51)*'GS&gt;50 Predicted Monthly (no LC)'!$P$11</f>
        <v>0</v>
      </c>
      <c r="O51" s="18">
        <f t="shared" ca="1" si="0"/>
        <v>5824810.8498923844</v>
      </c>
      <c r="Q51" s="18">
        <f>'Monthly Data'!Y51</f>
        <v>218008</v>
      </c>
      <c r="R51" s="18">
        <f>'Monthly Data'!DN51</f>
        <v>0</v>
      </c>
      <c r="S51" s="18">
        <f>'Monthly Data'!DO51</f>
        <v>0</v>
      </c>
      <c r="T51" s="277">
        <f t="shared" ca="1" si="8"/>
        <v>803.82854166666664</v>
      </c>
      <c r="U51" s="18">
        <f t="shared" si="9"/>
        <v>804.35833333333335</v>
      </c>
      <c r="V51" s="18">
        <f>'Monthly Data'!BR51</f>
        <v>0</v>
      </c>
      <c r="W51" s="18"/>
      <c r="X51" s="18"/>
      <c r="Y51" s="18"/>
      <c r="Z51" s="18"/>
      <c r="AA51" s="18">
        <f ca="1">(T51-U51)*'LC Predicted Monthly'!$T$12</f>
        <v>-108.46600713883004</v>
      </c>
      <c r="AB51" s="18"/>
      <c r="AC51" s="18">
        <f t="shared" ca="1" si="3"/>
        <v>217899.53399286116</v>
      </c>
      <c r="AD51" s="18"/>
      <c r="AE51" s="18">
        <f t="shared" ca="1" si="4"/>
        <v>6042710.3838852458</v>
      </c>
    </row>
    <row r="52" spans="1:31">
      <c r="A52" s="541">
        <f>'Monthly Data'!A52</f>
        <v>43891</v>
      </c>
      <c r="B52">
        <f t="shared" si="5"/>
        <v>2020</v>
      </c>
      <c r="C52">
        <f t="shared" si="6"/>
        <v>3</v>
      </c>
      <c r="D52" s="30">
        <f>'Monthly Data'!N52</f>
        <v>5746554.1977366973</v>
      </c>
      <c r="E52" s="30"/>
      <c r="F52" s="30">
        <f>'Monthly Data'!AB52</f>
        <v>5729872.4377366975</v>
      </c>
      <c r="G52" s="33">
        <f t="shared" ca="1" si="11"/>
        <v>698.29604166666672</v>
      </c>
      <c r="H52" s="33">
        <f t="shared" ca="1" si="11"/>
        <v>0.11000000000000032</v>
      </c>
      <c r="I52" s="33">
        <f>'Monthly Data'!AQ52</f>
        <v>659.47500000000002</v>
      </c>
      <c r="J52" s="33">
        <f>'Monthly Data'!BB52</f>
        <v>0</v>
      </c>
      <c r="L52" s="521"/>
      <c r="M52" s="18">
        <f ca="1">(G52-I52)*'GS&gt;50 Predicted Monthly (no LC)'!$P$10</f>
        <v>89889.956476058083</v>
      </c>
      <c r="N52" s="18">
        <f ca="1">(H52-J52)*'GS&gt;50 Predicted Monthly (no LC)'!$P$11</f>
        <v>594.2444084467578</v>
      </c>
      <c r="O52" s="18">
        <f t="shared" ca="1" si="0"/>
        <v>5820356.6386212017</v>
      </c>
      <c r="Q52" s="18">
        <f>'Monthly Data'!Y52</f>
        <v>16681.759999999998</v>
      </c>
      <c r="R52" s="18">
        <f>'Monthly Data'!DN52</f>
        <v>0</v>
      </c>
      <c r="S52" s="18">
        <f>'Monthly Data'!DO52</f>
        <v>0</v>
      </c>
      <c r="T52" s="277">
        <f t="shared" ca="1" si="8"/>
        <v>698.29604166666672</v>
      </c>
      <c r="U52" s="18">
        <f t="shared" si="9"/>
        <v>659.47500000000002</v>
      </c>
      <c r="V52" s="18">
        <f>'Monthly Data'!BR52</f>
        <v>0</v>
      </c>
      <c r="W52" s="18"/>
      <c r="X52" s="18"/>
      <c r="Y52" s="18"/>
      <c r="Z52" s="18"/>
      <c r="AA52" s="18">
        <f ca="1">(T52-U52)*'LC Predicted Monthly'!$T$12</f>
        <v>7947.960769270574</v>
      </c>
      <c r="AB52" s="18"/>
      <c r="AC52" s="18">
        <f t="shared" ca="1" si="3"/>
        <v>24629.720769270571</v>
      </c>
      <c r="AD52" s="18"/>
      <c r="AE52" s="18">
        <f t="shared" ca="1" si="4"/>
        <v>5844986.3593904721</v>
      </c>
    </row>
    <row r="53" spans="1:31">
      <c r="A53" s="541">
        <f>'Monthly Data'!A53</f>
        <v>43922</v>
      </c>
      <c r="B53">
        <f t="shared" si="5"/>
        <v>2020</v>
      </c>
      <c r="C53">
        <f t="shared" si="6"/>
        <v>4</v>
      </c>
      <c r="D53" s="30">
        <f>'Monthly Data'!N53</f>
        <v>5135085.8152354676</v>
      </c>
      <c r="E53" s="30"/>
      <c r="F53" s="30">
        <f>'Monthly Data'!AB53</f>
        <v>5131116.3752354672</v>
      </c>
      <c r="G53" s="33">
        <f t="shared" ca="1" si="11"/>
        <v>468.60374999999993</v>
      </c>
      <c r="H53" s="33">
        <f t="shared" ca="1" si="11"/>
        <v>7.7354166666666684</v>
      </c>
      <c r="I53" s="33">
        <f>'Monthly Data'!AQ53</f>
        <v>492.17083333333346</v>
      </c>
      <c r="J53" s="33">
        <f>'Monthly Data'!BB53</f>
        <v>0.77083333333333393</v>
      </c>
      <c r="L53" s="521"/>
      <c r="M53" s="18">
        <f ca="1">(G53-I53)*'GS&gt;50 Predicted Monthly (no LC)'!$P$10</f>
        <v>-54569.480986389026</v>
      </c>
      <c r="N53" s="18">
        <f ca="1">(H53-J53)*'GS&gt;50 Predicted Monthly (no LC)'!$P$11</f>
        <v>37624.224572680039</v>
      </c>
      <c r="O53" s="18">
        <f t="shared" ca="1" si="0"/>
        <v>5114171.1188217578</v>
      </c>
      <c r="Q53" s="18">
        <f>'Monthly Data'!Y53</f>
        <v>3969.44</v>
      </c>
      <c r="R53" s="18">
        <f>'Monthly Data'!DN53</f>
        <v>0</v>
      </c>
      <c r="S53" s="18">
        <f>'Monthly Data'!DO53</f>
        <v>0</v>
      </c>
      <c r="T53" s="277">
        <f t="shared" ca="1" si="8"/>
        <v>468.60374999999993</v>
      </c>
      <c r="U53" s="18">
        <f t="shared" si="9"/>
        <v>492.17083333333346</v>
      </c>
      <c r="V53" s="18">
        <f>'Monthly Data'!BR53</f>
        <v>0</v>
      </c>
      <c r="W53" s="18"/>
      <c r="X53" s="18"/>
      <c r="Y53" s="18"/>
      <c r="Z53" s="18"/>
      <c r="AA53" s="18">
        <f ca="1">(T53-U53)*'LC Predicted Monthly'!$T$12</f>
        <v>-4824.9672275099547</v>
      </c>
      <c r="AB53" s="18"/>
      <c r="AC53" s="18">
        <f t="shared" ca="1" si="3"/>
        <v>-855.52722750995463</v>
      </c>
      <c r="AD53" s="18"/>
      <c r="AE53" s="18">
        <f t="shared" ca="1" si="4"/>
        <v>5113315.5915942481</v>
      </c>
    </row>
    <row r="54" spans="1:31">
      <c r="A54" s="541">
        <f>'Monthly Data'!A54</f>
        <v>43952</v>
      </c>
      <c r="B54">
        <f t="shared" si="5"/>
        <v>2020</v>
      </c>
      <c r="C54">
        <f t="shared" si="6"/>
        <v>5</v>
      </c>
      <c r="D54" s="30">
        <f>'Monthly Data'!N54</f>
        <v>4880397.4327342389</v>
      </c>
      <c r="E54" s="30"/>
      <c r="F54" s="30">
        <f>'Monthly Data'!AB54</f>
        <v>4879869.4327342389</v>
      </c>
      <c r="G54" s="33">
        <f t="shared" ca="1" si="11"/>
        <v>232.88687500000006</v>
      </c>
      <c r="H54" s="33">
        <f t="shared" ca="1" si="11"/>
        <v>111.43645833333332</v>
      </c>
      <c r="I54" s="33">
        <f>'Monthly Data'!AQ54</f>
        <v>278.21250000000003</v>
      </c>
      <c r="J54" s="33">
        <f>'Monthly Data'!BB54</f>
        <v>114.84583333333335</v>
      </c>
      <c r="L54" s="521"/>
      <c r="M54" s="18">
        <f ca="1">(G54-I54)*'GS&gt;50 Predicted Monthly (no LC)'!$P$10</f>
        <v>-104951.29145384321</v>
      </c>
      <c r="N54" s="18">
        <f ca="1">(H54-J54)*'GS&gt;50 Predicted Monthly (no LC)'!$P$11</f>
        <v>-18418.200273165221</v>
      </c>
      <c r="O54" s="18">
        <f t="shared" ca="1" si="0"/>
        <v>4756499.9410072304</v>
      </c>
      <c r="Q54" s="18">
        <f>'Monthly Data'!Y54</f>
        <v>528</v>
      </c>
      <c r="R54" s="18">
        <f>'Monthly Data'!DN54</f>
        <v>0</v>
      </c>
      <c r="S54" s="18">
        <f>'Monthly Data'!DO54</f>
        <v>0</v>
      </c>
      <c r="T54" s="277">
        <f t="shared" ca="1" si="8"/>
        <v>232.88687500000006</v>
      </c>
      <c r="U54" s="18">
        <f t="shared" si="9"/>
        <v>278.21250000000003</v>
      </c>
      <c r="V54" s="18">
        <f>'Monthly Data'!BR54</f>
        <v>0</v>
      </c>
      <c r="W54" s="18"/>
      <c r="X54" s="18"/>
      <c r="Y54" s="18"/>
      <c r="Z54" s="18"/>
      <c r="AA54" s="18">
        <f ca="1">(T54-U54)*'LC Predicted Monthly'!$T$12</f>
        <v>-9279.6657141735377</v>
      </c>
      <c r="AB54" s="18"/>
      <c r="AC54" s="18">
        <f t="shared" ca="1" si="3"/>
        <v>-8751.6657141735377</v>
      </c>
      <c r="AD54" s="18"/>
      <c r="AE54" s="18">
        <f t="shared" ca="1" si="4"/>
        <v>4747748.2752930569</v>
      </c>
    </row>
    <row r="55" spans="1:31">
      <c r="A55" s="541">
        <f>'Monthly Data'!A55</f>
        <v>43983</v>
      </c>
      <c r="B55">
        <f t="shared" si="5"/>
        <v>2020</v>
      </c>
      <c r="C55">
        <f t="shared" si="6"/>
        <v>6</v>
      </c>
      <c r="D55" s="30">
        <f>'Monthly Data'!N55</f>
        <v>5172414.0502330102</v>
      </c>
      <c r="E55" s="30"/>
      <c r="F55" s="30">
        <f>'Monthly Data'!AB55</f>
        <v>5169273.0902330102</v>
      </c>
      <c r="G55" s="33">
        <f t="shared" ca="1" si="11"/>
        <v>92.751249999999999</v>
      </c>
      <c r="H55" s="33">
        <f t="shared" ca="1" si="11"/>
        <v>227.31958333333333</v>
      </c>
      <c r="I55" s="33">
        <f>'Monthly Data'!AQ55</f>
        <v>92.391666666666652</v>
      </c>
      <c r="J55" s="33">
        <f>'Monthly Data'!BB55</f>
        <v>233.53749999999999</v>
      </c>
      <c r="L55" s="521"/>
      <c r="M55" s="18">
        <f ca="1">(G55-I55)*'GS&gt;50 Predicted Monthly (no LC)'!$P$10</f>
        <v>832.61367534617807</v>
      </c>
      <c r="N55" s="18">
        <f ca="1">(H55-J55)*'GS&gt;50 Predicted Monthly (no LC)'!$P$11</f>
        <v>-33590.565557768721</v>
      </c>
      <c r="O55" s="18">
        <f t="shared" ca="1" si="0"/>
        <v>5136515.1383505883</v>
      </c>
      <c r="Q55" s="18">
        <f>'Monthly Data'!Y55</f>
        <v>3140.96</v>
      </c>
      <c r="R55" s="18">
        <f>'Monthly Data'!DN55</f>
        <v>0</v>
      </c>
      <c r="S55" s="18">
        <f>'Monthly Data'!DO55</f>
        <v>0</v>
      </c>
      <c r="T55" s="277">
        <f t="shared" ca="1" si="8"/>
        <v>92.751249999999999</v>
      </c>
      <c r="U55" s="18">
        <f t="shared" si="9"/>
        <v>92.391666666666652</v>
      </c>
      <c r="V55" s="18">
        <f>'Monthly Data'!BR55</f>
        <v>0</v>
      </c>
      <c r="W55" s="18"/>
      <c r="X55" s="18"/>
      <c r="Y55" s="18"/>
      <c r="Z55" s="18"/>
      <c r="AA55" s="18">
        <f ca="1">(T55-U55)*'LC Predicted Monthly'!$T$12</f>
        <v>73.618689863001336</v>
      </c>
      <c r="AB55" s="18"/>
      <c r="AC55" s="18">
        <f t="shared" ca="1" si="3"/>
        <v>3214.5786898630013</v>
      </c>
      <c r="AD55" s="18"/>
      <c r="AE55" s="18">
        <f t="shared" ca="1" si="4"/>
        <v>5139729.7170404512</v>
      </c>
    </row>
    <row r="56" spans="1:31">
      <c r="A56" s="541">
        <f>'Monthly Data'!A56</f>
        <v>44013</v>
      </c>
      <c r="B56">
        <f t="shared" si="5"/>
        <v>2020</v>
      </c>
      <c r="C56">
        <f t="shared" si="6"/>
        <v>7</v>
      </c>
      <c r="D56" s="30">
        <f>'Monthly Data'!N56</f>
        <v>5878605.6677317806</v>
      </c>
      <c r="E56" s="30"/>
      <c r="F56" s="30">
        <f>'Monthly Data'!AB56</f>
        <v>5834268.8677317807</v>
      </c>
      <c r="G56" s="33">
        <f t="shared" ca="1" si="11"/>
        <v>25.464999999999996</v>
      </c>
      <c r="H56" s="33">
        <f t="shared" ca="1" si="11"/>
        <v>327.99625000000003</v>
      </c>
      <c r="I56" s="33">
        <f>'Monthly Data'!AQ56</f>
        <v>3.850000000000005</v>
      </c>
      <c r="J56" s="33">
        <f>'Monthly Data'!BB56</f>
        <v>383.12500000000017</v>
      </c>
      <c r="L56" s="521"/>
      <c r="M56" s="18">
        <f ca="1">(G56-I56)*'GS&gt;50 Predicted Monthly (no LC)'!$P$10</f>
        <v>50049.440350239434</v>
      </c>
      <c r="N56" s="18">
        <f ca="1">(H56-J56)*'GS&gt;50 Predicted Monthly (no LC)'!$P$11</f>
        <v>-297817.74029235629</v>
      </c>
      <c r="O56" s="18">
        <f t="shared" ca="1" si="0"/>
        <v>5586500.5677896636</v>
      </c>
      <c r="Q56" s="18">
        <f>'Monthly Data'!Y56</f>
        <v>44336.800000000003</v>
      </c>
      <c r="R56" s="18">
        <f>'Monthly Data'!DN56</f>
        <v>0</v>
      </c>
      <c r="S56" s="18">
        <f>'Monthly Data'!DO56</f>
        <v>0</v>
      </c>
      <c r="T56" s="277">
        <f t="shared" ca="1" si="8"/>
        <v>25.464999999999996</v>
      </c>
      <c r="U56" s="18">
        <f t="shared" si="9"/>
        <v>3.850000000000005</v>
      </c>
      <c r="V56" s="18">
        <f>'Monthly Data'!BR56</f>
        <v>0</v>
      </c>
      <c r="W56" s="18"/>
      <c r="X56" s="18"/>
      <c r="Y56" s="18"/>
      <c r="Z56" s="18"/>
      <c r="AA56" s="18">
        <f ca="1">(T56-U56)*'LC Predicted Monthly'!$T$12</f>
        <v>4425.3107246036006</v>
      </c>
      <c r="AB56" s="18"/>
      <c r="AC56" s="18">
        <f t="shared" ca="1" si="3"/>
        <v>48762.110724603604</v>
      </c>
      <c r="AD56" s="18"/>
      <c r="AE56" s="18">
        <f t="shared" ca="1" si="4"/>
        <v>5635262.6785142673</v>
      </c>
    </row>
    <row r="57" spans="1:31">
      <c r="A57" s="541">
        <f>'Monthly Data'!A57</f>
        <v>44044</v>
      </c>
      <c r="B57">
        <f t="shared" si="5"/>
        <v>2020</v>
      </c>
      <c r="C57">
        <f t="shared" si="6"/>
        <v>8</v>
      </c>
      <c r="D57" s="30">
        <f>'Monthly Data'!N57</f>
        <v>5677799.2852305518</v>
      </c>
      <c r="E57" s="30"/>
      <c r="F57" s="30">
        <f>'Monthly Data'!AB57</f>
        <v>5670245.6852305522</v>
      </c>
      <c r="G57" s="33">
        <f t="shared" ca="1" si="11"/>
        <v>54.974791666666668</v>
      </c>
      <c r="H57" s="33">
        <f t="shared" ca="1" si="11"/>
        <v>280.40312500000005</v>
      </c>
      <c r="I57" s="33">
        <f>'Monthly Data'!AQ57</f>
        <v>79.675000000000011</v>
      </c>
      <c r="J57" s="33">
        <f>'Monthly Data'!BB57</f>
        <v>240.70833333333334</v>
      </c>
      <c r="L57" s="521"/>
      <c r="M57" s="18">
        <f ca="1">(G57-I57)*'GS&gt;50 Predicted Monthly (no LC)'!$P$10</f>
        <v>-57193.22709311379</v>
      </c>
      <c r="N57" s="18">
        <f ca="1">(H57-J57)*'GS&gt;50 Predicted Monthly (no LC)'!$P$11</f>
        <v>214440.0726579598</v>
      </c>
      <c r="O57" s="18">
        <f t="shared" ca="1" si="0"/>
        <v>5827492.5307953982</v>
      </c>
      <c r="Q57" s="18">
        <f>'Monthly Data'!Y57</f>
        <v>7553.6</v>
      </c>
      <c r="R57" s="18">
        <f>'Monthly Data'!DN57</f>
        <v>0</v>
      </c>
      <c r="S57" s="18">
        <f>'Monthly Data'!DO57</f>
        <v>0</v>
      </c>
      <c r="T57" s="277">
        <f t="shared" ca="1" si="8"/>
        <v>54.974791666666668</v>
      </c>
      <c r="U57" s="18">
        <f t="shared" si="9"/>
        <v>79.675000000000011</v>
      </c>
      <c r="V57" s="18">
        <f>'Monthly Data'!BR57</f>
        <v>0</v>
      </c>
      <c r="W57" s="18"/>
      <c r="X57" s="18"/>
      <c r="Y57" s="18"/>
      <c r="Z57" s="18"/>
      <c r="AA57" s="18">
        <f ca="1">(T57-U57)*'LC Predicted Monthly'!$T$12</f>
        <v>-5056.9556714061209</v>
      </c>
      <c r="AB57" s="18"/>
      <c r="AC57" s="18">
        <f t="shared" ca="1" si="3"/>
        <v>2496.6443285938794</v>
      </c>
      <c r="AD57" s="18"/>
      <c r="AE57" s="18">
        <f t="shared" ca="1" si="4"/>
        <v>5829989.1751239914</v>
      </c>
    </row>
    <row r="58" spans="1:31">
      <c r="A58" s="541">
        <f>'Monthly Data'!A58</f>
        <v>44075</v>
      </c>
      <c r="B58">
        <f t="shared" si="5"/>
        <v>2020</v>
      </c>
      <c r="C58">
        <f t="shared" si="6"/>
        <v>9</v>
      </c>
      <c r="D58" s="30">
        <f>'Monthly Data'!N58</f>
        <v>4853861.9027293231</v>
      </c>
      <c r="E58" s="30"/>
      <c r="F58" s="30">
        <f>'Monthly Data'!AB58</f>
        <v>4852010.7027293229</v>
      </c>
      <c r="G58" s="33">
        <f t="shared" ca="1" si="11"/>
        <v>166.50624999999999</v>
      </c>
      <c r="H58" s="33">
        <f t="shared" ca="1" si="11"/>
        <v>144.00333333333333</v>
      </c>
      <c r="I58" s="33">
        <f>'Monthly Data'!AQ58</f>
        <v>206.67499999999998</v>
      </c>
      <c r="J58" s="33">
        <f>'Monthly Data'!BB58</f>
        <v>109.925</v>
      </c>
      <c r="L58" s="521"/>
      <c r="M58" s="18">
        <f ca="1">(G58-I58)*'GS&gt;50 Predicted Monthly (no LC)'!$P$10</f>
        <v>-93010.569376297964</v>
      </c>
      <c r="N58" s="18">
        <f ca="1">(H58-J58)*'GS&gt;50 Predicted Monthly (no LC)'!$P$11</f>
        <v>184098.71847743669</v>
      </c>
      <c r="O58" s="18">
        <f t="shared" ca="1" si="0"/>
        <v>4943098.8518304611</v>
      </c>
      <c r="Q58" s="18">
        <f>'Monthly Data'!Y58</f>
        <v>1851.2</v>
      </c>
      <c r="R58" s="18">
        <f>'Monthly Data'!DN58</f>
        <v>0</v>
      </c>
      <c r="S58" s="18">
        <f>'Monthly Data'!DO58</f>
        <v>0</v>
      </c>
      <c r="T58" s="277">
        <f t="shared" ca="1" si="8"/>
        <v>166.50624999999999</v>
      </c>
      <c r="U58" s="18">
        <f t="shared" si="9"/>
        <v>206.67499999999998</v>
      </c>
      <c r="V58" s="18">
        <f>'Monthly Data'!BR58</f>
        <v>1</v>
      </c>
      <c r="W58" s="18"/>
      <c r="X58" s="18"/>
      <c r="Y58" s="18"/>
      <c r="Z58" s="18"/>
      <c r="AA58" s="18">
        <f ca="1">(T58-U58)*'LC Predicted Monthly'!$T$12</f>
        <v>-8223.8815715438759</v>
      </c>
      <c r="AB58" s="18"/>
      <c r="AC58" s="18">
        <f t="shared" ca="1" si="3"/>
        <v>-6372.6815715438761</v>
      </c>
      <c r="AD58" s="18"/>
      <c r="AE58" s="18">
        <f t="shared" ca="1" si="4"/>
        <v>4936726.1702589169</v>
      </c>
    </row>
    <row r="59" spans="1:31">
      <c r="A59" s="541">
        <f>'Monthly Data'!A59</f>
        <v>44105</v>
      </c>
      <c r="B59">
        <f t="shared" si="5"/>
        <v>2020</v>
      </c>
      <c r="C59">
        <f t="shared" si="6"/>
        <v>10</v>
      </c>
      <c r="D59" s="30">
        <f>'Monthly Data'!N59</f>
        <v>5147410.5202280935</v>
      </c>
      <c r="E59" s="30"/>
      <c r="F59" s="30">
        <f>'Monthly Data'!AB59</f>
        <v>5145419.3202280933</v>
      </c>
      <c r="G59" s="33">
        <f t="shared" ca="1" si="11"/>
        <v>363.47645833333326</v>
      </c>
      <c r="H59" s="33">
        <f t="shared" ca="1" si="11"/>
        <v>40.02791666666667</v>
      </c>
      <c r="I59" s="33">
        <f>'Monthly Data'!AQ59</f>
        <v>432.26666666666665</v>
      </c>
      <c r="J59" s="33">
        <f>'Monthly Data'!BB59</f>
        <v>10.033333333333337</v>
      </c>
      <c r="L59" s="521"/>
      <c r="M59" s="18">
        <f ca="1">(G59-I59)*'GS&gt;50 Predicted Monthly (no LC)'!$P$10</f>
        <v>-159283.43412721326</v>
      </c>
      <c r="N59" s="18">
        <f ca="1">(H59-J59)*'GS&gt;50 Predicted Monthly (no LC)'!$P$11</f>
        <v>162037.39481385087</v>
      </c>
      <c r="O59" s="18">
        <f t="shared" ca="1" si="0"/>
        <v>5148173.2809147304</v>
      </c>
      <c r="Q59" s="18">
        <f>'Monthly Data'!Y59</f>
        <v>1991.2</v>
      </c>
      <c r="R59" s="18">
        <f>'Monthly Data'!DN59</f>
        <v>0</v>
      </c>
      <c r="S59" s="18">
        <f>'Monthly Data'!DO59</f>
        <v>0</v>
      </c>
      <c r="T59" s="277">
        <f t="shared" ca="1" si="8"/>
        <v>363.47645833333326</v>
      </c>
      <c r="U59" s="18">
        <f t="shared" si="9"/>
        <v>432.26666666666665</v>
      </c>
      <c r="V59" s="18">
        <f>'Monthly Data'!BR59</f>
        <v>1</v>
      </c>
      <c r="W59" s="18"/>
      <c r="X59" s="18"/>
      <c r="Y59" s="18"/>
      <c r="Z59" s="18"/>
      <c r="AA59" s="18">
        <f ca="1">(T59-U59)*'LC Predicted Monthly'!$T$12</f>
        <v>-14083.647776322756</v>
      </c>
      <c r="AB59" s="18"/>
      <c r="AC59" s="18">
        <f t="shared" ca="1" si="3"/>
        <v>-12092.447776322755</v>
      </c>
      <c r="AD59" s="18"/>
      <c r="AE59" s="18">
        <f t="shared" ca="1" si="4"/>
        <v>5136080.8331384081</v>
      </c>
    </row>
    <row r="60" spans="1:31">
      <c r="A60" s="541">
        <f>'Monthly Data'!A60</f>
        <v>44136</v>
      </c>
      <c r="B60">
        <f t="shared" si="5"/>
        <v>2020</v>
      </c>
      <c r="C60">
        <f t="shared" si="6"/>
        <v>11</v>
      </c>
      <c r="D60" s="30">
        <f>'Monthly Data'!N60</f>
        <v>5346134.1377268648</v>
      </c>
      <c r="E60" s="30"/>
      <c r="F60" s="30">
        <f>'Monthly Data'!AB60</f>
        <v>5342094.1377268648</v>
      </c>
      <c r="G60" s="33">
        <f t="shared" ca="1" si="11"/>
        <v>586.00395833333334</v>
      </c>
      <c r="H60" s="33">
        <f t="shared" ca="1" si="11"/>
        <v>4.5920833333333331</v>
      </c>
      <c r="I60" s="33">
        <f>'Monthly Data'!AQ60</f>
        <v>513.82916666666665</v>
      </c>
      <c r="J60" s="33">
        <f>'Monthly Data'!BB60</f>
        <v>13.40833333333333</v>
      </c>
      <c r="L60" s="521"/>
      <c r="M60" s="18">
        <f ca="1">(G60-I60)*'GS&gt;50 Predicted Monthly (no LC)'!$P$10</f>
        <v>167120.42240628239</v>
      </c>
      <c r="N60" s="18">
        <f ca="1">(H60-J60)*'GS&gt;50 Predicted Monthly (no LC)'!$P$11</f>
        <v>-47627.338781533741</v>
      </c>
      <c r="O60" s="18">
        <f t="shared" ca="1" si="0"/>
        <v>5461587.2213516133</v>
      </c>
      <c r="Q60" s="18">
        <f>'Monthly Data'!Y60</f>
        <v>4040</v>
      </c>
      <c r="R60" s="18">
        <f>'Monthly Data'!DN60</f>
        <v>0</v>
      </c>
      <c r="S60" s="18">
        <f>'Monthly Data'!DO60</f>
        <v>0</v>
      </c>
      <c r="T60" s="277">
        <f t="shared" ca="1" si="8"/>
        <v>586.00395833333334</v>
      </c>
      <c r="U60" s="18">
        <f t="shared" si="9"/>
        <v>513.82916666666665</v>
      </c>
      <c r="V60" s="18">
        <f>'Monthly Data'!BR60</f>
        <v>1</v>
      </c>
      <c r="W60" s="18"/>
      <c r="X60" s="18"/>
      <c r="Y60" s="18"/>
      <c r="Z60" s="18"/>
      <c r="AA60" s="18">
        <f ca="1">(T60-U60)*'LC Predicted Monthly'!$T$12</f>
        <v>14776.584760977599</v>
      </c>
      <c r="AB60" s="18"/>
      <c r="AC60" s="18">
        <f t="shared" ca="1" si="3"/>
        <v>18816.584760977599</v>
      </c>
      <c r="AD60" s="18"/>
      <c r="AE60" s="18">
        <f t="shared" ca="1" si="4"/>
        <v>5480403.8061125912</v>
      </c>
    </row>
    <row r="61" spans="1:31">
      <c r="A61" s="541">
        <f>'Monthly Data'!A61</f>
        <v>44166</v>
      </c>
      <c r="B61">
        <f t="shared" si="5"/>
        <v>2020</v>
      </c>
      <c r="C61">
        <f t="shared" si="6"/>
        <v>12</v>
      </c>
      <c r="D61" s="30">
        <f>'Monthly Data'!N61</f>
        <v>6328103.7552256361</v>
      </c>
      <c r="E61" s="30"/>
      <c r="F61" s="30">
        <f>'Monthly Data'!AB61</f>
        <v>6319796.5552256359</v>
      </c>
      <c r="G61" s="33">
        <f t="shared" ca="1" si="11"/>
        <v>812.36333333333334</v>
      </c>
      <c r="H61" s="33">
        <f t="shared" ca="1" si="11"/>
        <v>0</v>
      </c>
      <c r="I61" s="33">
        <f>'Monthly Data'!AQ61</f>
        <v>775.91666666666674</v>
      </c>
      <c r="J61" s="33">
        <f>'Monthly Data'!BB61</f>
        <v>0</v>
      </c>
      <c r="L61" s="521"/>
      <c r="M61" s="18">
        <f ca="1">(G61-I61)*'GS&gt;50 Predicted Monthly (no LC)'!$P$10</f>
        <v>84392.101286069432</v>
      </c>
      <c r="N61" s="18">
        <f ca="1">(H61-J61)*'GS&gt;50 Predicted Monthly (no LC)'!$P$11</f>
        <v>0</v>
      </c>
      <c r="O61" s="18">
        <f t="shared" ca="1" si="0"/>
        <v>6404188.6565117054</v>
      </c>
      <c r="Q61" s="18">
        <f>'Monthly Data'!Y61</f>
        <v>8307.2000000000007</v>
      </c>
      <c r="R61" s="18">
        <f>'Monthly Data'!DN61</f>
        <v>0</v>
      </c>
      <c r="S61" s="18">
        <f>'Monthly Data'!DO61</f>
        <v>0</v>
      </c>
      <c r="T61" s="277">
        <f t="shared" ca="1" si="8"/>
        <v>812.36333333333334</v>
      </c>
      <c r="U61" s="18">
        <f t="shared" si="9"/>
        <v>775.91666666666674</v>
      </c>
      <c r="V61" s="18">
        <f>'Monthly Data'!BR61</f>
        <v>0</v>
      </c>
      <c r="W61" s="18"/>
      <c r="X61" s="18"/>
      <c r="Y61" s="18"/>
      <c r="Z61" s="18"/>
      <c r="AA61" s="18">
        <f ca="1">(T61-U61)*'LC Predicted Monthly'!$T$12</f>
        <v>7461.8470911890972</v>
      </c>
      <c r="AB61" s="18"/>
      <c r="AC61" s="18">
        <f t="shared" ca="1" si="3"/>
        <v>15769.047091189099</v>
      </c>
      <c r="AD61" s="18"/>
      <c r="AE61" s="18">
        <f t="shared" ca="1" si="4"/>
        <v>6419957.7036028942</v>
      </c>
    </row>
    <row r="62" spans="1:31">
      <c r="A62" s="541">
        <f>'Monthly Data'!A62</f>
        <v>44197</v>
      </c>
      <c r="B62">
        <f t="shared" si="5"/>
        <v>2021</v>
      </c>
      <c r="C62">
        <f t="shared" si="6"/>
        <v>1</v>
      </c>
      <c r="D62" s="30">
        <f>'Monthly Data'!N62</f>
        <v>5892807.3511189306</v>
      </c>
      <c r="E62" s="30"/>
      <c r="F62" s="30">
        <f>'Monthly Data'!AB62</f>
        <v>5884963.3511189306</v>
      </c>
      <c r="G62" s="33">
        <f t="shared" ref="G62:H77" ca="1" si="12">G50</f>
        <v>914.55166666666662</v>
      </c>
      <c r="H62" s="33">
        <f t="shared" ca="1" si="12"/>
        <v>0</v>
      </c>
      <c r="I62" s="33">
        <f>'Monthly Data'!AQ62</f>
        <v>852.97499999999991</v>
      </c>
      <c r="J62" s="33">
        <f>'Monthly Data'!BB62</f>
        <v>0</v>
      </c>
      <c r="L62" s="521"/>
      <c r="M62" s="18">
        <f ca="1">(G62-I62)*'GS&gt;50 Predicted Monthly (no LC)'!$P$10</f>
        <v>142580.50915104852</v>
      </c>
      <c r="N62" s="18">
        <f ca="1">(H62-J62)*'GS&gt;50 Predicted Monthly (no LC)'!$P$11</f>
        <v>0</v>
      </c>
      <c r="O62" s="18">
        <f t="shared" ca="1" si="0"/>
        <v>6027543.8602699796</v>
      </c>
      <c r="Q62" s="18">
        <f>'Monthly Data'!Y62</f>
        <v>7844</v>
      </c>
      <c r="R62" s="18">
        <f>'Monthly Data'!DN62</f>
        <v>0</v>
      </c>
      <c r="S62" s="18">
        <f>'Monthly Data'!DO62</f>
        <v>0</v>
      </c>
      <c r="T62" s="277">
        <f t="shared" ca="1" si="8"/>
        <v>914.55166666666662</v>
      </c>
      <c r="U62" s="18">
        <f t="shared" si="9"/>
        <v>852.97499999999991</v>
      </c>
      <c r="V62" s="18">
        <f>'Monthly Data'!BR62</f>
        <v>0</v>
      </c>
      <c r="W62" s="18"/>
      <c r="X62" s="18"/>
      <c r="Y62" s="18"/>
      <c r="Z62" s="18"/>
      <c r="AA62" s="18">
        <f ca="1">(T62-U62)*'LC Predicted Monthly'!$T$12</f>
        <v>12606.795437674826</v>
      </c>
      <c r="AB62" s="18"/>
      <c r="AC62" s="18">
        <f t="shared" ca="1" si="3"/>
        <v>20450.795437674824</v>
      </c>
      <c r="AD62" s="18"/>
      <c r="AE62" s="18">
        <f t="shared" ca="1" si="4"/>
        <v>6047994.6557076545</v>
      </c>
    </row>
    <row r="63" spans="1:31">
      <c r="A63" s="541">
        <f>'Monthly Data'!A63</f>
        <v>44228</v>
      </c>
      <c r="B63">
        <f t="shared" si="5"/>
        <v>2021</v>
      </c>
      <c r="C63">
        <f t="shared" si="6"/>
        <v>2</v>
      </c>
      <c r="D63" s="30">
        <f>'Monthly Data'!N63</f>
        <v>5662759.9500704687</v>
      </c>
      <c r="E63" s="30"/>
      <c r="F63" s="30">
        <f>'Monthly Data'!AB63</f>
        <v>5632137.5500704683</v>
      </c>
      <c r="G63" s="33">
        <f t="shared" ca="1" si="12"/>
        <v>803.82854166666664</v>
      </c>
      <c r="H63" s="33">
        <f t="shared" ca="1" si="12"/>
        <v>0</v>
      </c>
      <c r="I63" s="33">
        <f>'Monthly Data'!AQ63</f>
        <v>819.91666666666652</v>
      </c>
      <c r="J63" s="33">
        <f>'Monthly Data'!BB63</f>
        <v>0</v>
      </c>
      <c r="L63" s="521"/>
      <c r="M63" s="18">
        <f ca="1">(G63-I63)*'GS&gt;50 Predicted Monthly (no LC)'!$P$10</f>
        <v>-37251.98485008975</v>
      </c>
      <c r="N63" s="18">
        <f ca="1">(H63-J63)*'GS&gt;50 Predicted Monthly (no LC)'!$P$11</f>
        <v>0</v>
      </c>
      <c r="O63" s="18">
        <f t="shared" ca="1" si="0"/>
        <v>5594885.5652203783</v>
      </c>
      <c r="Q63" s="18">
        <f>'Monthly Data'!Y63</f>
        <v>30622.400000000001</v>
      </c>
      <c r="R63" s="18">
        <f>'Monthly Data'!DN63</f>
        <v>0</v>
      </c>
      <c r="S63" s="18">
        <f>'Monthly Data'!DO63</f>
        <v>0</v>
      </c>
      <c r="T63" s="277">
        <f t="shared" ca="1" si="8"/>
        <v>803.82854166666664</v>
      </c>
      <c r="U63" s="18">
        <f t="shared" si="9"/>
        <v>819.91666666666652</v>
      </c>
      <c r="V63" s="18">
        <f>'Monthly Data'!BR63</f>
        <v>0</v>
      </c>
      <c r="W63" s="18"/>
      <c r="X63" s="18"/>
      <c r="Y63" s="18"/>
      <c r="Z63" s="18"/>
      <c r="AA63" s="18">
        <f ca="1">(T63-U63)*'LC Predicted Monthly'!$T$12</f>
        <v>-3293.7752533547437</v>
      </c>
      <c r="AB63" s="18"/>
      <c r="AC63" s="18">
        <f t="shared" ca="1" si="3"/>
        <v>27328.624746645259</v>
      </c>
      <c r="AD63" s="18"/>
      <c r="AE63" s="18">
        <f t="shared" ca="1" si="4"/>
        <v>5622214.1899670241</v>
      </c>
    </row>
    <row r="64" spans="1:31">
      <c r="A64" s="541">
        <f>'Monthly Data'!A64</f>
        <v>44256</v>
      </c>
      <c r="B64">
        <f t="shared" si="5"/>
        <v>2021</v>
      </c>
      <c r="C64">
        <f t="shared" si="6"/>
        <v>3</v>
      </c>
      <c r="D64" s="30">
        <f>'Monthly Data'!N64</f>
        <v>5830922.5490220068</v>
      </c>
      <c r="E64" s="30"/>
      <c r="F64" s="30">
        <f>'Monthly Data'!AB64</f>
        <v>5796811.3490220066</v>
      </c>
      <c r="G64" s="33">
        <f t="shared" ca="1" si="12"/>
        <v>698.29604166666672</v>
      </c>
      <c r="H64" s="33">
        <f t="shared" ca="1" si="12"/>
        <v>0.11000000000000032</v>
      </c>
      <c r="I64" s="33">
        <f>'Monthly Data'!AQ64</f>
        <v>651.65416666666704</v>
      </c>
      <c r="J64" s="33">
        <f>'Monthly Data'!BB64</f>
        <v>1.1000000000000032</v>
      </c>
      <c r="L64" s="521"/>
      <c r="M64" s="18">
        <f ca="1">(G64-I64)*'GS&gt;50 Predicted Monthly (no LC)'!$P$10</f>
        <v>107999.06271736337</v>
      </c>
      <c r="N64" s="18">
        <f ca="1">(H64-J64)*'GS&gt;50 Predicted Monthly (no LC)'!$P$11</f>
        <v>-5348.1996760208203</v>
      </c>
      <c r="O64" s="18">
        <f t="shared" ca="1" si="0"/>
        <v>5899462.2120633489</v>
      </c>
      <c r="Q64" s="18">
        <f>'Monthly Data'!Y64</f>
        <v>34111.199999999997</v>
      </c>
      <c r="R64" s="18">
        <f>'Monthly Data'!DN64</f>
        <v>0</v>
      </c>
      <c r="S64" s="18">
        <f>'Monthly Data'!DO64</f>
        <v>0</v>
      </c>
      <c r="T64" s="277">
        <f t="shared" ca="1" si="8"/>
        <v>698.29604166666672</v>
      </c>
      <c r="U64" s="18">
        <f t="shared" si="9"/>
        <v>651.65416666666704</v>
      </c>
      <c r="V64" s="18">
        <f>'Monthly Data'!BR64</f>
        <v>0</v>
      </c>
      <c r="W64" s="18"/>
      <c r="X64" s="18"/>
      <c r="Y64" s="18"/>
      <c r="Z64" s="18"/>
      <c r="AA64" s="18">
        <f ca="1">(T64-U64)*'LC Predicted Monthly'!$T$12</f>
        <v>9549.1459474031581</v>
      </c>
      <c r="AB64" s="18"/>
      <c r="AC64" s="18">
        <f t="shared" ca="1" si="3"/>
        <v>43660.345947403155</v>
      </c>
      <c r="AD64" s="18"/>
      <c r="AE64" s="18">
        <f t="shared" ca="1" si="4"/>
        <v>5943122.5580107523</v>
      </c>
    </row>
    <row r="65" spans="1:31">
      <c r="A65" s="541">
        <f>'Monthly Data'!A65</f>
        <v>44287</v>
      </c>
      <c r="B65">
        <f t="shared" si="5"/>
        <v>2021</v>
      </c>
      <c r="C65">
        <f t="shared" si="6"/>
        <v>4</v>
      </c>
      <c r="D65" s="30">
        <f>'Monthly Data'!N65</f>
        <v>4671495.1705421582</v>
      </c>
      <c r="E65" s="30"/>
      <c r="F65" s="30">
        <f>'Monthly Data'!AB65</f>
        <v>4671495.1705421582</v>
      </c>
      <c r="G65" s="33">
        <f t="shared" ca="1" si="12"/>
        <v>468.60374999999993</v>
      </c>
      <c r="H65" s="33">
        <f t="shared" ca="1" si="12"/>
        <v>7.7354166666666684</v>
      </c>
      <c r="I65" s="33">
        <f>'Monthly Data'!AQ65</f>
        <v>381.19583333333338</v>
      </c>
      <c r="J65" s="33">
        <f>'Monthly Data'!BB65</f>
        <v>27.116666666666667</v>
      </c>
      <c r="L65" s="521"/>
      <c r="M65" s="18">
        <f ca="1">(G65-I65)*'GS&gt;50 Predicted Monthly (no LC)'!$P$10</f>
        <v>202392.6584014355</v>
      </c>
      <c r="N65" s="18">
        <f ca="1">(H65-J65)*'GS&gt;50 Predicted Monthly (no LC)'!$P$11</f>
        <v>-104701.81310189719</v>
      </c>
      <c r="O65" s="18">
        <f t="shared" ca="1" si="0"/>
        <v>4769186.0158416964</v>
      </c>
      <c r="Q65" s="18">
        <f>'Monthly Data'!Y65</f>
        <v>0</v>
      </c>
      <c r="R65" s="18">
        <f>'Monthly Data'!DN65</f>
        <v>0</v>
      </c>
      <c r="S65" s="18">
        <f>'Monthly Data'!DO65</f>
        <v>0</v>
      </c>
      <c r="T65" s="277">
        <f t="shared" ca="1" si="8"/>
        <v>468.60374999999993</v>
      </c>
      <c r="U65" s="18">
        <f t="shared" si="9"/>
        <v>381.19583333333338</v>
      </c>
      <c r="V65" s="18">
        <f>'Monthly Data'!BR65</f>
        <v>0</v>
      </c>
      <c r="W65" s="18"/>
      <c r="X65" s="18"/>
      <c r="Y65" s="18"/>
      <c r="Z65" s="18"/>
      <c r="AA65" s="18">
        <f ca="1">(T65-U65)*'LC Predicted Monthly'!$T$12</f>
        <v>17895.313025225882</v>
      </c>
      <c r="AB65" s="18"/>
      <c r="AC65" s="18">
        <f t="shared" ca="1" si="3"/>
        <v>17895.313025225882</v>
      </c>
      <c r="AD65" s="18"/>
      <c r="AE65" s="18">
        <f t="shared" ca="1" si="4"/>
        <v>4787081.3288669223</v>
      </c>
    </row>
    <row r="66" spans="1:31">
      <c r="A66" s="541">
        <f>'Monthly Data'!A66</f>
        <v>44317</v>
      </c>
      <c r="B66">
        <f t="shared" si="5"/>
        <v>2021</v>
      </c>
      <c r="C66">
        <f t="shared" si="6"/>
        <v>5</v>
      </c>
      <c r="D66" s="30">
        <f>'Monthly Data'!N66</f>
        <v>4967977.1562202908</v>
      </c>
      <c r="E66" s="30"/>
      <c r="F66" s="30">
        <f>'Monthly Data'!AB66</f>
        <v>4966693.1562202908</v>
      </c>
      <c r="G66" s="33">
        <f t="shared" ca="1" si="12"/>
        <v>232.88687500000006</v>
      </c>
      <c r="H66" s="33">
        <f t="shared" ca="1" si="12"/>
        <v>111.43645833333332</v>
      </c>
      <c r="I66" s="33">
        <f>'Monthly Data'!AQ66</f>
        <v>251.67499999999995</v>
      </c>
      <c r="J66" s="33">
        <f>'Monthly Data'!BB66</f>
        <v>110.03333333333333</v>
      </c>
      <c r="L66" s="521"/>
      <c r="M66" s="18">
        <f ca="1">(G66-I66)*'GS&gt;50 Predicted Monthly (no LC)'!$P$10</f>
        <v>-43503.823339363284</v>
      </c>
      <c r="N66" s="18">
        <f ca="1">(H66-J66)*'GS&gt;50 Predicted Monthly (no LC)'!$P$11</f>
        <v>7579.9925963804353</v>
      </c>
      <c r="O66" s="18">
        <f t="shared" ca="1" si="0"/>
        <v>4930769.3254773077</v>
      </c>
      <c r="Q66" s="18">
        <f>'Monthly Data'!Y66</f>
        <v>1284</v>
      </c>
      <c r="R66" s="18">
        <f>'Monthly Data'!DN66</f>
        <v>0</v>
      </c>
      <c r="S66" s="18">
        <f>'Monthly Data'!DO66</f>
        <v>0</v>
      </c>
      <c r="T66" s="277">
        <f t="shared" ca="1" si="8"/>
        <v>232.88687500000006</v>
      </c>
      <c r="U66" s="18">
        <f t="shared" si="9"/>
        <v>251.67499999999995</v>
      </c>
      <c r="V66" s="18">
        <f>'Monthly Data'!BR66</f>
        <v>0</v>
      </c>
      <c r="W66" s="18"/>
      <c r="X66" s="18"/>
      <c r="Y66" s="18"/>
      <c r="Z66" s="18"/>
      <c r="AA66" s="18">
        <f ca="1">(T66-U66)*'LC Predicted Monthly'!$T$12</f>
        <v>-3846.5552189540867</v>
      </c>
      <c r="AB66" s="18"/>
      <c r="AC66" s="18">
        <f t="shared" ca="1" si="3"/>
        <v>-2562.5552189540867</v>
      </c>
      <c r="AD66" s="18"/>
      <c r="AE66" s="18">
        <f t="shared" ca="1" si="4"/>
        <v>4928206.770258354</v>
      </c>
    </row>
    <row r="67" spans="1:31">
      <c r="A67" s="541">
        <f>'Monthly Data'!A67</f>
        <v>44348</v>
      </c>
      <c r="B67">
        <f t="shared" si="5"/>
        <v>2021</v>
      </c>
      <c r="C67">
        <f t="shared" si="6"/>
        <v>6</v>
      </c>
      <c r="D67" s="30">
        <f>'Monthly Data'!N67</f>
        <v>5386931.1568166604</v>
      </c>
      <c r="E67" s="30"/>
      <c r="F67" s="30">
        <f>'Monthly Data'!AB67</f>
        <v>5384669.5568166608</v>
      </c>
      <c r="G67" s="33">
        <f t="shared" ca="1" si="12"/>
        <v>92.751249999999999</v>
      </c>
      <c r="H67" s="33">
        <f t="shared" ca="1" si="12"/>
        <v>227.31958333333333</v>
      </c>
      <c r="I67" s="33">
        <f>'Monthly Data'!AQ67</f>
        <v>55.149999999999991</v>
      </c>
      <c r="J67" s="33">
        <f>'Monthly Data'!BB67</f>
        <v>275.60833333333329</v>
      </c>
      <c r="L67" s="521"/>
      <c r="M67" s="18">
        <f ca="1">(G67-I67)*'GS&gt;50 Predicted Monthly (no LC)'!$P$10</f>
        <v>87065.534072146271</v>
      </c>
      <c r="N67" s="18">
        <f ca="1">(H67-J67)*'GS&gt;50 Predicted Monthly (no LC)'!$P$11</f>
        <v>-260866.54253075703</v>
      </c>
      <c r="O67" s="18">
        <f t="shared" ref="O67:O121" ca="1" si="13">F67+M67+N67</f>
        <v>5210868.5483580492</v>
      </c>
      <c r="Q67" s="18">
        <f>'Monthly Data'!Y67</f>
        <v>2261.6</v>
      </c>
      <c r="R67" s="18">
        <f>'Monthly Data'!DN67</f>
        <v>0</v>
      </c>
      <c r="S67" s="18">
        <f>'Monthly Data'!DO67</f>
        <v>0</v>
      </c>
      <c r="T67" s="277">
        <f t="shared" ca="1" si="8"/>
        <v>92.751249999999999</v>
      </c>
      <c r="U67" s="18">
        <f t="shared" si="9"/>
        <v>55.149999999999991</v>
      </c>
      <c r="V67" s="18">
        <f>'Monthly Data'!BR67</f>
        <v>0</v>
      </c>
      <c r="W67" s="18"/>
      <c r="X67" s="18"/>
      <c r="Y67" s="18"/>
      <c r="Z67" s="18"/>
      <c r="AA67" s="18">
        <f ca="1">(T67-U67)*'LC Predicted Monthly'!$T$12</f>
        <v>7698.2287709230268</v>
      </c>
      <c r="AB67" s="18"/>
      <c r="AC67" s="18">
        <f t="shared" ref="AC67:AC121" ca="1" si="14">Q67+AA67</f>
        <v>9959.8287709230262</v>
      </c>
      <c r="AD67" s="18"/>
      <c r="AE67" s="18">
        <f t="shared" ref="AE67:AE121" ca="1" si="15">D67+M67+N67+AA67</f>
        <v>5220828.3771289717</v>
      </c>
    </row>
    <row r="68" spans="1:31">
      <c r="A68" s="541">
        <f>'Monthly Data'!A68</f>
        <v>44378</v>
      </c>
      <c r="B68">
        <f t="shared" si="5"/>
        <v>2021</v>
      </c>
      <c r="C68">
        <f t="shared" si="6"/>
        <v>7</v>
      </c>
      <c r="D68" s="30">
        <f>'Monthly Data'!N68</f>
        <v>5505749.9418636365</v>
      </c>
      <c r="E68" s="30"/>
      <c r="F68" s="30">
        <f>'Monthly Data'!AB68</f>
        <v>5489211.7018636363</v>
      </c>
      <c r="G68" s="33">
        <f t="shared" ca="1" si="12"/>
        <v>25.464999999999996</v>
      </c>
      <c r="H68" s="33">
        <f t="shared" ca="1" si="12"/>
        <v>327.99625000000003</v>
      </c>
      <c r="I68" s="33">
        <f>'Monthly Data'!AQ68</f>
        <v>58.799999999999976</v>
      </c>
      <c r="J68" s="33">
        <f>'Monthly Data'!BB68</f>
        <v>267.77500000000009</v>
      </c>
      <c r="L68" s="521"/>
      <c r="M68" s="18">
        <f ca="1">(G68-I68)*'GS&gt;50 Predicted Monthly (no LC)'!$P$10</f>
        <v>-77187.050385159891</v>
      </c>
      <c r="N68" s="18">
        <f ca="1">(H68-J68)*'GS&gt;50 Predicted Monthly (no LC)'!$P$11</f>
        <v>325328.5552924925</v>
      </c>
      <c r="O68" s="18">
        <f t="shared" ca="1" si="13"/>
        <v>5737353.2067709696</v>
      </c>
      <c r="Q68" s="18">
        <f>'Monthly Data'!Y68</f>
        <v>16538.240000000002</v>
      </c>
      <c r="R68" s="18">
        <f>'Monthly Data'!DN68</f>
        <v>0</v>
      </c>
      <c r="S68" s="18">
        <f>'Monthly Data'!DO68</f>
        <v>0</v>
      </c>
      <c r="T68" s="277">
        <f t="shared" ca="1" si="8"/>
        <v>25.464999999999996</v>
      </c>
      <c r="U68" s="18">
        <f t="shared" si="9"/>
        <v>58.799999999999976</v>
      </c>
      <c r="V68" s="18">
        <f>'Monthly Data'!BR68</f>
        <v>0</v>
      </c>
      <c r="W68" s="18"/>
      <c r="X68" s="18"/>
      <c r="Y68" s="18"/>
      <c r="Z68" s="18"/>
      <c r="AA68" s="18">
        <f ca="1">(T68-U68)*'LC Predicted Monthly'!$T$12</f>
        <v>-6824.7852419459168</v>
      </c>
      <c r="AB68" s="18"/>
      <c r="AC68" s="18">
        <f t="shared" ca="1" si="14"/>
        <v>9713.4547580540857</v>
      </c>
      <c r="AD68" s="18"/>
      <c r="AE68" s="18">
        <f t="shared" ca="1" si="15"/>
        <v>5747066.6615290241</v>
      </c>
    </row>
    <row r="69" spans="1:31">
      <c r="A69" s="541">
        <f>'Monthly Data'!A69</f>
        <v>44409</v>
      </c>
      <c r="B69">
        <f t="shared" si="5"/>
        <v>2021</v>
      </c>
      <c r="C69">
        <f t="shared" si="6"/>
        <v>8</v>
      </c>
      <c r="D69" s="30">
        <f>'Monthly Data'!N69</f>
        <v>7520564.8088652845</v>
      </c>
      <c r="E69" s="30"/>
      <c r="F69" s="30">
        <f>'Monthly Data'!AB69</f>
        <v>7520564.3288652841</v>
      </c>
      <c r="G69" s="33">
        <f t="shared" ca="1" si="12"/>
        <v>54.974791666666668</v>
      </c>
      <c r="H69" s="33">
        <f t="shared" ca="1" si="12"/>
        <v>280.40312500000005</v>
      </c>
      <c r="I69" s="33">
        <f>'Monthly Data'!AQ69</f>
        <v>27.104166666666682</v>
      </c>
      <c r="J69" s="33">
        <f>'Monthly Data'!BB69</f>
        <v>346.10416666666663</v>
      </c>
      <c r="L69" s="521"/>
      <c r="M69" s="18">
        <f ca="1">(G69-I69)*'GS&gt;50 Predicted Monthly (no LC)'!$P$10</f>
        <v>64534.313368558491</v>
      </c>
      <c r="N69" s="18">
        <f ca="1">(H69-J69)*'GS&gt;50 Predicted Monthly (no LC)'!$P$11</f>
        <v>-354931.60581403598</v>
      </c>
      <c r="O69" s="18">
        <f t="shared" ca="1" si="13"/>
        <v>7230167.036419807</v>
      </c>
      <c r="Q69" s="18">
        <f>'Monthly Data'!Y69</f>
        <v>0.48</v>
      </c>
      <c r="R69" s="18">
        <f>'Monthly Data'!DN69</f>
        <v>0</v>
      </c>
      <c r="S69" s="18">
        <f>'Monthly Data'!DO69</f>
        <v>0</v>
      </c>
      <c r="T69" s="277">
        <f t="shared" ca="1" si="8"/>
        <v>54.974791666666668</v>
      </c>
      <c r="U69" s="18">
        <f t="shared" si="9"/>
        <v>27.104166666666682</v>
      </c>
      <c r="V69" s="18">
        <f>'Monthly Data'!BR69</f>
        <v>0</v>
      </c>
      <c r="W69" s="18"/>
      <c r="X69" s="18"/>
      <c r="Y69" s="18"/>
      <c r="Z69" s="18"/>
      <c r="AA69" s="18">
        <f ca="1">(T69-U69)*'LC Predicted Monthly'!$T$12</f>
        <v>5706.0456032341062</v>
      </c>
      <c r="AB69" s="18"/>
      <c r="AC69" s="18">
        <f t="shared" ca="1" si="14"/>
        <v>5706.5256032341058</v>
      </c>
      <c r="AD69" s="18"/>
      <c r="AE69" s="18">
        <f t="shared" ca="1" si="15"/>
        <v>7235873.5620230418</v>
      </c>
    </row>
    <row r="70" spans="1:31">
      <c r="A70" s="541">
        <f>'Monthly Data'!A70</f>
        <v>44440</v>
      </c>
      <c r="B70">
        <f t="shared" ref="B70:B127" si="16">YEAR(A70)</f>
        <v>2021</v>
      </c>
      <c r="C70">
        <f t="shared" ref="C70:C127" si="17">MONTH(A70)</f>
        <v>9</v>
      </c>
      <c r="D70" s="30">
        <f>'Monthly Data'!N70</f>
        <v>7138503.3877345817</v>
      </c>
      <c r="E70" s="30"/>
      <c r="F70" s="30">
        <f>'Monthly Data'!AB70</f>
        <v>7128334.4277345818</v>
      </c>
      <c r="G70" s="33">
        <f t="shared" ca="1" si="12"/>
        <v>166.50624999999999</v>
      </c>
      <c r="H70" s="33">
        <f t="shared" ca="1" si="12"/>
        <v>144.00333333333333</v>
      </c>
      <c r="I70" s="33">
        <f>'Monthly Data'!AQ70</f>
        <v>164.45000000000005</v>
      </c>
      <c r="J70" s="33">
        <f>'Monthly Data'!BB70</f>
        <v>136.3458333333333</v>
      </c>
      <c r="L70" s="521"/>
      <c r="M70" s="18">
        <f ca="1">(G70-I70)*'GS&gt;50 Predicted Monthly (no LC)'!$P$10</f>
        <v>4761.2381087289987</v>
      </c>
      <c r="N70" s="18">
        <f ca="1">(H70-J70)*'GS&gt;50 Predicted Monthly (no LC)'!$P$11</f>
        <v>41367.514160736828</v>
      </c>
      <c r="O70" s="18">
        <f t="shared" ca="1" si="13"/>
        <v>7174463.1800040472</v>
      </c>
      <c r="Q70" s="18">
        <f>'Monthly Data'!Y70</f>
        <v>10168.959999999999</v>
      </c>
      <c r="R70" s="18">
        <f>'Monthly Data'!DN70</f>
        <v>0</v>
      </c>
      <c r="S70" s="18">
        <f>'Monthly Data'!DO70</f>
        <v>0</v>
      </c>
      <c r="T70" s="277">
        <f t="shared" ca="1" si="8"/>
        <v>166.50624999999999</v>
      </c>
      <c r="U70" s="18">
        <f t="shared" si="9"/>
        <v>164.45000000000005</v>
      </c>
      <c r="V70" s="18">
        <f>'Monthly Data'!BR70</f>
        <v>1</v>
      </c>
      <c r="W70" s="18"/>
      <c r="X70" s="18"/>
      <c r="Y70" s="18"/>
      <c r="Z70" s="18"/>
      <c r="AA70" s="18">
        <f ca="1">(T70-U70)*'LC Predicted Monthly'!$T$12</f>
        <v>420.98289046800511</v>
      </c>
      <c r="AB70" s="18"/>
      <c r="AC70" s="18">
        <f t="shared" ca="1" si="14"/>
        <v>10589.942890468004</v>
      </c>
      <c r="AD70" s="18"/>
      <c r="AE70" s="18">
        <f t="shared" ca="1" si="15"/>
        <v>7185053.1228945153</v>
      </c>
    </row>
    <row r="71" spans="1:31">
      <c r="A71" s="541">
        <f>'Monthly Data'!A71</f>
        <v>44470</v>
      </c>
      <c r="B71">
        <f t="shared" si="16"/>
        <v>2021</v>
      </c>
      <c r="C71">
        <f t="shared" si="17"/>
        <v>10</v>
      </c>
      <c r="D71" s="30">
        <f>'Monthly Data'!N71</f>
        <v>5536607.3747515306</v>
      </c>
      <c r="E71" s="30"/>
      <c r="F71" s="30">
        <f>'Monthly Data'!AB71</f>
        <v>5534871.3747515306</v>
      </c>
      <c r="G71" s="33">
        <f t="shared" ca="1" si="12"/>
        <v>363.47645833333326</v>
      </c>
      <c r="H71" s="33">
        <f t="shared" ca="1" si="12"/>
        <v>40.02791666666667</v>
      </c>
      <c r="I71" s="33">
        <f>'Monthly Data'!AQ71</f>
        <v>294.72916666666663</v>
      </c>
      <c r="J71" s="33">
        <f>'Monthly Data'!BB71</f>
        <v>70.17916666666666</v>
      </c>
      <c r="L71" s="521"/>
      <c r="M71" s="18">
        <f ca="1">(G71-I71)*'GS&gt;50 Predicted Monthly (no LC)'!$P$10</f>
        <v>159184.06076851007</v>
      </c>
      <c r="N71" s="18">
        <f ca="1">(H71-J71)*'GS&gt;50 Predicted Monthly (no LC)'!$P$11</f>
        <v>-162883.74291072955</v>
      </c>
      <c r="O71" s="18">
        <f t="shared" ca="1" si="13"/>
        <v>5531171.6926093111</v>
      </c>
      <c r="Q71" s="18">
        <f>'Monthly Data'!Y71</f>
        <v>1736</v>
      </c>
      <c r="R71" s="18">
        <f>'Monthly Data'!DN71</f>
        <v>0</v>
      </c>
      <c r="S71" s="18">
        <f>'Monthly Data'!DO71</f>
        <v>0</v>
      </c>
      <c r="T71" s="277">
        <f t="shared" ca="1" si="8"/>
        <v>363.47645833333326</v>
      </c>
      <c r="U71" s="18">
        <f t="shared" si="9"/>
        <v>294.72916666666663</v>
      </c>
      <c r="V71" s="18">
        <f>'Monthly Data'!BR71</f>
        <v>1</v>
      </c>
      <c r="W71" s="18"/>
      <c r="X71" s="18"/>
      <c r="Y71" s="18"/>
      <c r="Z71" s="18"/>
      <c r="AA71" s="18">
        <f ca="1">(T71-U71)*'LC Predicted Monthly'!$T$12</f>
        <v>14074.861304647313</v>
      </c>
      <c r="AB71" s="18"/>
      <c r="AC71" s="18">
        <f t="shared" ca="1" si="14"/>
        <v>15810.861304647313</v>
      </c>
      <c r="AD71" s="18"/>
      <c r="AE71" s="18">
        <f t="shared" ca="1" si="15"/>
        <v>5546982.5539139584</v>
      </c>
    </row>
    <row r="72" spans="1:31">
      <c r="A72" s="541">
        <f>'Monthly Data'!A72</f>
        <v>44501</v>
      </c>
      <c r="B72">
        <f t="shared" si="16"/>
        <v>2021</v>
      </c>
      <c r="C72">
        <f t="shared" si="17"/>
        <v>11</v>
      </c>
      <c r="D72" s="30">
        <f>'Monthly Data'!N72</f>
        <v>5589896.3406343106</v>
      </c>
      <c r="E72" s="30"/>
      <c r="F72" s="30">
        <f>'Monthly Data'!AB72</f>
        <v>5539307.5406343108</v>
      </c>
      <c r="G72" s="33">
        <f t="shared" ca="1" si="12"/>
        <v>586.00395833333334</v>
      </c>
      <c r="H72" s="33">
        <f t="shared" ca="1" si="12"/>
        <v>4.5920833333333331</v>
      </c>
      <c r="I72" s="33">
        <f>'Monthly Data'!AQ72</f>
        <v>584.32083333333333</v>
      </c>
      <c r="J72" s="33">
        <f>'Monthly Data'!BB72</f>
        <v>0</v>
      </c>
      <c r="L72" s="521"/>
      <c r="M72" s="18">
        <f ca="1">(G72-I72)*'GS&gt;50 Predicted Monthly (no LC)'!$P$10</f>
        <v>3897.2687619476146</v>
      </c>
      <c r="N72" s="18">
        <f ca="1">(H72-J72)*'GS&gt;50 Predicted Monthly (no LC)'!$P$11</f>
        <v>24807.453126862496</v>
      </c>
      <c r="O72" s="18">
        <f t="shared" ca="1" si="13"/>
        <v>5568012.2625231212</v>
      </c>
      <c r="Q72" s="18">
        <f>'Monthly Data'!Y72</f>
        <v>50588.800000000003</v>
      </c>
      <c r="R72" s="18">
        <f>'Monthly Data'!DN72</f>
        <v>0</v>
      </c>
      <c r="S72" s="18">
        <f>'Monthly Data'!DO72</f>
        <v>0</v>
      </c>
      <c r="T72" s="277">
        <f t="shared" ca="1" si="8"/>
        <v>586.00395833333334</v>
      </c>
      <c r="U72" s="18">
        <f t="shared" si="9"/>
        <v>584.32083333333333</v>
      </c>
      <c r="V72" s="18">
        <f>'Monthly Data'!BR72</f>
        <v>1</v>
      </c>
      <c r="W72" s="18"/>
      <c r="X72" s="18"/>
      <c r="Y72" s="18"/>
      <c r="Z72" s="18"/>
      <c r="AA72" s="18">
        <f ca="1">(T72-U72)*'LC Predicted Monthly'!$T$12</f>
        <v>344.59177022199947</v>
      </c>
      <c r="AB72" s="18"/>
      <c r="AC72" s="18">
        <f t="shared" ca="1" si="14"/>
        <v>50933.391770222006</v>
      </c>
      <c r="AD72" s="18"/>
      <c r="AE72" s="18">
        <f t="shared" ca="1" si="15"/>
        <v>5618945.6542933434</v>
      </c>
    </row>
    <row r="73" spans="1:31">
      <c r="A73" s="541">
        <f>'Monthly Data'!A73</f>
        <v>44531</v>
      </c>
      <c r="B73">
        <f t="shared" si="16"/>
        <v>2021</v>
      </c>
      <c r="C73">
        <f t="shared" si="17"/>
        <v>12</v>
      </c>
      <c r="D73" s="30">
        <f>'Monthly Data'!N73</f>
        <v>6040034.3795858482</v>
      </c>
      <c r="E73" s="30"/>
      <c r="F73" s="30">
        <f>'Monthly Data'!AB73</f>
        <v>6020987.6595858485</v>
      </c>
      <c r="G73" s="33">
        <f t="shared" ca="1" si="12"/>
        <v>812.36333333333334</v>
      </c>
      <c r="H73" s="33">
        <f t="shared" ca="1" si="12"/>
        <v>0</v>
      </c>
      <c r="I73" s="33">
        <f>'Monthly Data'!AQ73</f>
        <v>764.20624999999995</v>
      </c>
      <c r="J73" s="33">
        <f>'Monthly Data'!BB73</f>
        <v>0</v>
      </c>
      <c r="L73" s="521"/>
      <c r="M73" s="18">
        <f ca="1">(G73-I73)*'GS&gt;50 Predicted Monthly (no LC)'!$P$10</f>
        <v>111507.52115351283</v>
      </c>
      <c r="N73" s="18">
        <f ca="1">(H73-J73)*'GS&gt;50 Predicted Monthly (no LC)'!$P$11</f>
        <v>0</v>
      </c>
      <c r="O73" s="18">
        <f t="shared" ca="1" si="13"/>
        <v>6132495.1807393609</v>
      </c>
      <c r="Q73" s="18">
        <f>'Monthly Data'!Y73</f>
        <v>19046.72</v>
      </c>
      <c r="R73" s="18">
        <f>'Monthly Data'!DN73</f>
        <v>0</v>
      </c>
      <c r="S73" s="18">
        <f>'Monthly Data'!DO73</f>
        <v>0</v>
      </c>
      <c r="T73" s="277">
        <f t="shared" ca="1" si="8"/>
        <v>812.36333333333334</v>
      </c>
      <c r="U73" s="18">
        <f t="shared" si="9"/>
        <v>764.20624999999995</v>
      </c>
      <c r="V73" s="18">
        <f>'Monthly Data'!BR73</f>
        <v>0</v>
      </c>
      <c r="W73" s="18"/>
      <c r="X73" s="18"/>
      <c r="Y73" s="18"/>
      <c r="Z73" s="18"/>
      <c r="AA73" s="18">
        <f ca="1">(T73-U73)*'LC Predicted Monthly'!$T$12</f>
        <v>9859.3595808757636</v>
      </c>
      <c r="AB73" s="18"/>
      <c r="AC73" s="18">
        <f t="shared" ca="1" si="14"/>
        <v>28906.079580875765</v>
      </c>
      <c r="AD73" s="18"/>
      <c r="AE73" s="18">
        <f t="shared" ca="1" si="15"/>
        <v>6161401.260320236</v>
      </c>
    </row>
    <row r="74" spans="1:31">
      <c r="A74" s="541">
        <f>'Monthly Data'!A74</f>
        <v>44562</v>
      </c>
      <c r="B74">
        <f t="shared" si="16"/>
        <v>2022</v>
      </c>
      <c r="C74">
        <f t="shared" si="17"/>
        <v>1</v>
      </c>
      <c r="D74" s="30">
        <f>'Monthly Data'!N74</f>
        <v>7168571.6108332537</v>
      </c>
      <c r="E74" s="30"/>
      <c r="F74" s="30">
        <f>'Monthly Data'!AB74</f>
        <v>6617393.2108332533</v>
      </c>
      <c r="G74" s="33">
        <f t="shared" ca="1" si="12"/>
        <v>914.55166666666662</v>
      </c>
      <c r="H74" s="33">
        <f t="shared" ca="1" si="12"/>
        <v>0</v>
      </c>
      <c r="I74" s="33">
        <f>'Monthly Data'!AQ74</f>
        <v>1118.6333333333332</v>
      </c>
      <c r="J74" s="33">
        <f>'Monthly Data'!BB74</f>
        <v>0</v>
      </c>
      <c r="L74" s="521"/>
      <c r="M74" s="18">
        <f ca="1">(G74-I74)*'GS&gt;50 Predicted Monthly (no LC)'!$P$10</f>
        <v>-472550.22911916638</v>
      </c>
      <c r="N74" s="18">
        <f ca="1">(H74-J74)*'GS&gt;50 Predicted Monthly (no LC)'!$P$11</f>
        <v>0</v>
      </c>
      <c r="O74" s="18">
        <f t="shared" ca="1" si="13"/>
        <v>6144842.9817140866</v>
      </c>
      <c r="Q74" s="18">
        <f>'Monthly Data'!Y74</f>
        <v>551178.4</v>
      </c>
      <c r="R74" s="18">
        <f>'Monthly Data'!DN74</f>
        <v>0</v>
      </c>
      <c r="S74" s="18">
        <f>'Monthly Data'!DO74</f>
        <v>0</v>
      </c>
      <c r="T74" s="277">
        <f t="shared" ca="1" si="8"/>
        <v>914.55166666666662</v>
      </c>
      <c r="U74" s="18">
        <f t="shared" si="9"/>
        <v>1118.6333333333332</v>
      </c>
      <c r="V74" s="18">
        <f>'Monthly Data'!BR74</f>
        <v>0</v>
      </c>
      <c r="W74" s="18"/>
      <c r="X74" s="18"/>
      <c r="Y74" s="18"/>
      <c r="Z74" s="18"/>
      <c r="AA74" s="18">
        <f ca="1">(T74-U74)*'LC Predicted Monthly'!$T$12</f>
        <v>-41782.317288687351</v>
      </c>
      <c r="AB74" s="18"/>
      <c r="AC74" s="18">
        <f t="shared" ca="1" si="14"/>
        <v>509396.08271131269</v>
      </c>
      <c r="AD74" s="18"/>
      <c r="AE74" s="18">
        <f t="shared" ca="1" si="15"/>
        <v>6654239.0644253995</v>
      </c>
    </row>
    <row r="75" spans="1:31">
      <c r="A75" s="541">
        <f>'Monthly Data'!A75</f>
        <v>44593</v>
      </c>
      <c r="B75">
        <f t="shared" si="16"/>
        <v>2022</v>
      </c>
      <c r="C75">
        <f t="shared" si="17"/>
        <v>2</v>
      </c>
      <c r="D75" s="30">
        <f>'Monthly Data'!N75</f>
        <v>6519634.1395640364</v>
      </c>
      <c r="E75" s="30"/>
      <c r="F75" s="30">
        <f>'Monthly Data'!AB75</f>
        <v>5876978.9395640362</v>
      </c>
      <c r="G75" s="33">
        <f t="shared" ca="1" si="12"/>
        <v>803.82854166666664</v>
      </c>
      <c r="H75" s="33">
        <f t="shared" ca="1" si="12"/>
        <v>0</v>
      </c>
      <c r="I75" s="33">
        <f>'Monthly Data'!AQ75</f>
        <v>841.76666666666654</v>
      </c>
      <c r="J75" s="33">
        <f>'Monthly Data'!BB75</f>
        <v>0</v>
      </c>
      <c r="L75" s="521"/>
      <c r="M75" s="18">
        <f ca="1">(G75-I75)*'GS&gt;50 Predicted Monthly (no LC)'!$P$10</f>
        <v>-87845.566698469731</v>
      </c>
      <c r="N75" s="18">
        <f ca="1">(H75-J75)*'GS&gt;50 Predicted Monthly (no LC)'!$P$11</f>
        <v>0</v>
      </c>
      <c r="O75" s="18">
        <f t="shared" ca="1" si="13"/>
        <v>5789133.3728655661</v>
      </c>
      <c r="Q75" s="18">
        <f>'Monthly Data'!Y75</f>
        <v>642655.19999999995</v>
      </c>
      <c r="R75" s="18">
        <f>'Monthly Data'!DN75</f>
        <v>0</v>
      </c>
      <c r="S75" s="18">
        <f>'Monthly Data'!DO75</f>
        <v>0</v>
      </c>
      <c r="T75" s="277">
        <f t="shared" ca="1" si="8"/>
        <v>803.82854166666664</v>
      </c>
      <c r="U75" s="18">
        <f t="shared" si="9"/>
        <v>841.76666666666654</v>
      </c>
      <c r="V75" s="18">
        <f>'Monthly Data'!BR75</f>
        <v>0</v>
      </c>
      <c r="W75" s="18"/>
      <c r="X75" s="18"/>
      <c r="Y75" s="18"/>
      <c r="Z75" s="18"/>
      <c r="AA75" s="18">
        <f ca="1">(T75-U75)*'LC Predicted Monthly'!$T$12</f>
        <v>-7767.1983082975521</v>
      </c>
      <c r="AB75" s="18"/>
      <c r="AC75" s="18">
        <f t="shared" ca="1" si="14"/>
        <v>634888.0016917024</v>
      </c>
      <c r="AD75" s="18"/>
      <c r="AE75" s="18">
        <f t="shared" ca="1" si="15"/>
        <v>6424021.3745572688</v>
      </c>
    </row>
    <row r="76" spans="1:31">
      <c r="A76" s="541">
        <f>'Monthly Data'!A76</f>
        <v>44621</v>
      </c>
      <c r="B76">
        <f t="shared" si="16"/>
        <v>2022</v>
      </c>
      <c r="C76">
        <f t="shared" si="17"/>
        <v>3</v>
      </c>
      <c r="D76" s="30">
        <f>'Monthly Data'!N76</f>
        <v>6029488.6682948181</v>
      </c>
      <c r="E76" s="30"/>
      <c r="F76" s="30">
        <f>'Monthly Data'!AB76</f>
        <v>6015307.8682948183</v>
      </c>
      <c r="G76" s="33">
        <f t="shared" ca="1" si="12"/>
        <v>698.29604166666672</v>
      </c>
      <c r="H76" s="33">
        <f t="shared" ca="1" si="12"/>
        <v>0.11000000000000032</v>
      </c>
      <c r="I76" s="33">
        <f>'Monthly Data'!AQ76</f>
        <v>704.6583333333333</v>
      </c>
      <c r="J76" s="33">
        <f>'Monthly Data'!BB76</f>
        <v>0</v>
      </c>
      <c r="L76" s="521"/>
      <c r="M76" s="18">
        <f ca="1">(G76-I76)*'GS&gt;50 Predicted Monthly (no LC)'!$P$10</f>
        <v>-14731.859230240781</v>
      </c>
      <c r="N76" s="18">
        <f ca="1">(H76-J76)*'GS&gt;50 Predicted Monthly (no LC)'!$P$11</f>
        <v>594.2444084467578</v>
      </c>
      <c r="O76" s="18">
        <f t="shared" ca="1" si="13"/>
        <v>6001170.2534730239</v>
      </c>
      <c r="Q76" s="18">
        <f>'Monthly Data'!Y76</f>
        <v>14180.8</v>
      </c>
      <c r="R76" s="18">
        <f>'Monthly Data'!DN76</f>
        <v>0</v>
      </c>
      <c r="S76" s="18">
        <f>'Monthly Data'!DO76</f>
        <v>0</v>
      </c>
      <c r="T76" s="277">
        <f t="shared" ca="1" si="8"/>
        <v>698.29604166666672</v>
      </c>
      <c r="U76" s="18">
        <f t="shared" si="9"/>
        <v>704.6583333333333</v>
      </c>
      <c r="V76" s="18">
        <f>'Monthly Data'!BR76</f>
        <v>0</v>
      </c>
      <c r="W76" s="18"/>
      <c r="X76" s="18"/>
      <c r="Y76" s="18"/>
      <c r="Z76" s="18"/>
      <c r="AA76" s="18">
        <f ca="1">(T76-U76)*'LC Predicted Monthly'!$T$12</f>
        <v>-1302.5730994936728</v>
      </c>
      <c r="AB76" s="18"/>
      <c r="AC76" s="18">
        <f t="shared" ca="1" si="14"/>
        <v>12878.226900506326</v>
      </c>
      <c r="AD76" s="18"/>
      <c r="AE76" s="18">
        <f t="shared" ca="1" si="15"/>
        <v>6014048.4803735297</v>
      </c>
    </row>
    <row r="77" spans="1:31">
      <c r="A77" s="541">
        <f>'Monthly Data'!A77</f>
        <v>44652</v>
      </c>
      <c r="B77">
        <f t="shared" si="16"/>
        <v>2022</v>
      </c>
      <c r="C77">
        <f t="shared" si="17"/>
        <v>4</v>
      </c>
      <c r="D77" s="30">
        <f>'Monthly Data'!N77</f>
        <v>5243870.1970255999</v>
      </c>
      <c r="E77" s="30"/>
      <c r="F77" s="30">
        <f>'Monthly Data'!AB77</f>
        <v>5243000.5970256003</v>
      </c>
      <c r="G77" s="33">
        <f t="shared" ca="1" si="12"/>
        <v>468.60374999999993</v>
      </c>
      <c r="H77" s="33">
        <f t="shared" ca="1" si="12"/>
        <v>7.7354166666666684</v>
      </c>
      <c r="I77" s="33">
        <f>'Monthly Data'!AQ77</f>
        <v>461.22083333333347</v>
      </c>
      <c r="J77" s="33">
        <f>'Monthly Data'!BB77</f>
        <v>0.60416666666666607</v>
      </c>
      <c r="L77" s="521"/>
      <c r="M77" s="18">
        <f ca="1">(G77-I77)*'GS&gt;50 Predicted Monthly (no LC)'!$P$10</f>
        <v>17095.112066579306</v>
      </c>
      <c r="N77" s="18">
        <f ca="1">(H77-J77)*'GS&gt;50 Predicted Monthly (no LC)'!$P$11</f>
        <v>38524.594888508465</v>
      </c>
      <c r="O77" s="18">
        <f t="shared" ca="1" si="13"/>
        <v>5298620.3039806876</v>
      </c>
      <c r="Q77" s="18">
        <f>'Monthly Data'!Y77</f>
        <v>869.6</v>
      </c>
      <c r="R77" s="18">
        <f>'Monthly Data'!DN77</f>
        <v>0</v>
      </c>
      <c r="S77" s="18">
        <f>'Monthly Data'!DO77</f>
        <v>0</v>
      </c>
      <c r="T77" s="277">
        <f t="shared" ca="1" si="8"/>
        <v>468.60374999999993</v>
      </c>
      <c r="U77" s="18">
        <f t="shared" si="9"/>
        <v>461.22083333333347</v>
      </c>
      <c r="V77" s="18">
        <f>'Monthly Data'!BR77</f>
        <v>0</v>
      </c>
      <c r="W77" s="18"/>
      <c r="X77" s="18"/>
      <c r="Y77" s="18"/>
      <c r="Z77" s="18"/>
      <c r="AA77" s="18">
        <f ca="1">(T77-U77)*'LC Predicted Monthly'!$T$12</f>
        <v>1511.5290448232138</v>
      </c>
      <c r="AB77" s="18"/>
      <c r="AC77" s="18">
        <f t="shared" ca="1" si="14"/>
        <v>2381.1290448232139</v>
      </c>
      <c r="AD77" s="18"/>
      <c r="AE77" s="18">
        <f t="shared" ca="1" si="15"/>
        <v>5301001.4330255101</v>
      </c>
    </row>
    <row r="78" spans="1:31">
      <c r="A78" s="541">
        <f>'Monthly Data'!A78</f>
        <v>44682</v>
      </c>
      <c r="B78">
        <f t="shared" si="16"/>
        <v>2022</v>
      </c>
      <c r="C78">
        <f t="shared" si="17"/>
        <v>5</v>
      </c>
      <c r="D78" s="30">
        <f>'Monthly Data'!N78</f>
        <v>5283935.7257563816</v>
      </c>
      <c r="E78" s="30"/>
      <c r="F78" s="30">
        <f>'Monthly Data'!AB78</f>
        <v>5279093.3257563813</v>
      </c>
      <c r="G78" s="33">
        <f t="shared" ref="G78:H93" ca="1" si="18">G66</f>
        <v>232.88687500000006</v>
      </c>
      <c r="H78" s="33">
        <f t="shared" ca="1" si="18"/>
        <v>111.43645833333332</v>
      </c>
      <c r="I78" s="33">
        <f>'Monthly Data'!AQ78</f>
        <v>173.55833333333337</v>
      </c>
      <c r="J78" s="33">
        <f>'Monthly Data'!BB78</f>
        <v>147.53749999999999</v>
      </c>
      <c r="L78" s="521"/>
      <c r="M78" s="18">
        <f ca="1">(G78-I78)*'GS&gt;50 Predicted Monthly (no LC)'!$P$10</f>
        <v>137374.98529782699</v>
      </c>
      <c r="N78" s="18">
        <f ca="1">(H78-J78)*'GS&gt;50 Predicted Monthly (no LC)'!$P$11</f>
        <v>-195025.83772290937</v>
      </c>
      <c r="O78" s="18">
        <f t="shared" ca="1" si="13"/>
        <v>5221442.4733312987</v>
      </c>
      <c r="Q78" s="18">
        <f>'Monthly Data'!Y78</f>
        <v>4842.3999999999996</v>
      </c>
      <c r="R78" s="18">
        <f>'Monthly Data'!DN78</f>
        <v>0</v>
      </c>
      <c r="S78" s="18">
        <f>'Monthly Data'!DO78</f>
        <v>0</v>
      </c>
      <c r="T78" s="277">
        <f t="shared" ref="T78:T141" ca="1" si="19">G78</f>
        <v>232.88687500000006</v>
      </c>
      <c r="U78" s="18">
        <f t="shared" ref="U78:U121" si="20">I78</f>
        <v>173.55833333333337</v>
      </c>
      <c r="V78" s="18">
        <f>'Monthly Data'!BR78</f>
        <v>0</v>
      </c>
      <c r="W78" s="18"/>
      <c r="X78" s="18"/>
      <c r="Y78" s="18"/>
      <c r="Z78" s="18"/>
      <c r="AA78" s="18">
        <f ca="1">(T78-U78)*'LC Predicted Monthly'!$T$12</f>
        <v>12146.52934131815</v>
      </c>
      <c r="AB78" s="18"/>
      <c r="AC78" s="18">
        <f t="shared" ca="1" si="14"/>
        <v>16988.929341318151</v>
      </c>
      <c r="AD78" s="18"/>
      <c r="AE78" s="18">
        <f t="shared" ca="1" si="15"/>
        <v>5238431.4026726168</v>
      </c>
    </row>
    <row r="79" spans="1:31">
      <c r="A79" s="541">
        <f>'Monthly Data'!A79</f>
        <v>44713</v>
      </c>
      <c r="B79">
        <f t="shared" si="16"/>
        <v>2022</v>
      </c>
      <c r="C79">
        <f t="shared" si="17"/>
        <v>6</v>
      </c>
      <c r="D79" s="30">
        <f>'Monthly Data'!N79</f>
        <v>5270216.2544871643</v>
      </c>
      <c r="E79" s="30"/>
      <c r="F79" s="30">
        <f>'Monthly Data'!AB79</f>
        <v>5269658.6544871647</v>
      </c>
      <c r="G79" s="33">
        <f t="shared" ca="1" si="18"/>
        <v>92.751249999999999</v>
      </c>
      <c r="H79" s="33">
        <f t="shared" ca="1" si="18"/>
        <v>227.31958333333333</v>
      </c>
      <c r="I79" s="33">
        <f>'Monthly Data'!AQ79</f>
        <v>101.1375</v>
      </c>
      <c r="J79" s="33">
        <f>'Monthly Data'!BB79</f>
        <v>212.1875</v>
      </c>
      <c r="L79" s="521"/>
      <c r="M79" s="18">
        <f ca="1">(G79-I79)*'GS&gt;50 Predicted Monthly (no LC)'!$P$10</f>
        <v>-19418.326122470313</v>
      </c>
      <c r="N79" s="18">
        <f ca="1">(H79-J79)*'GS&gt;50 Predicted Monthly (no LC)'!$P$11</f>
        <v>81746.871899851642</v>
      </c>
      <c r="O79" s="18">
        <f t="shared" ca="1" si="13"/>
        <v>5331987.2002645461</v>
      </c>
      <c r="Q79" s="18">
        <f>'Monthly Data'!Y79</f>
        <v>557.6</v>
      </c>
      <c r="R79" s="18">
        <f>'Monthly Data'!DN79</f>
        <v>0</v>
      </c>
      <c r="S79" s="18">
        <f>'Monthly Data'!DO79</f>
        <v>0</v>
      </c>
      <c r="T79" s="277">
        <f t="shared" ca="1" si="19"/>
        <v>92.751249999999999</v>
      </c>
      <c r="U79" s="18">
        <f t="shared" si="20"/>
        <v>101.1375</v>
      </c>
      <c r="V79" s="18">
        <f>'Monthly Data'!BR79</f>
        <v>0</v>
      </c>
      <c r="W79" s="18"/>
      <c r="X79" s="18"/>
      <c r="Y79" s="18"/>
      <c r="Z79" s="18"/>
      <c r="AA79" s="18">
        <f ca="1">(T79-U79)*'LC Predicted Monthly'!$T$12</f>
        <v>-1716.9448098175792</v>
      </c>
      <c r="AB79" s="18"/>
      <c r="AC79" s="18">
        <f t="shared" ca="1" si="14"/>
        <v>-1159.3448098175791</v>
      </c>
      <c r="AD79" s="18"/>
      <c r="AE79" s="18">
        <f t="shared" ca="1" si="15"/>
        <v>5330827.855454728</v>
      </c>
    </row>
    <row r="80" spans="1:31">
      <c r="A80" s="541">
        <f>'Monthly Data'!A80</f>
        <v>44743</v>
      </c>
      <c r="B80">
        <f t="shared" si="16"/>
        <v>2022</v>
      </c>
      <c r="C80">
        <f t="shared" si="17"/>
        <v>7</v>
      </c>
      <c r="D80" s="30">
        <f>'Monthly Data'!N80</f>
        <v>5765089.7832179461</v>
      </c>
      <c r="E80" s="30"/>
      <c r="F80" s="30">
        <f>'Monthly Data'!AB80</f>
        <v>5762288.9832179463</v>
      </c>
      <c r="G80" s="33">
        <f t="shared" ca="1" si="18"/>
        <v>25.464999999999996</v>
      </c>
      <c r="H80" s="33">
        <f t="shared" ca="1" si="18"/>
        <v>327.99625000000003</v>
      </c>
      <c r="I80" s="33">
        <f>'Monthly Data'!AQ80</f>
        <v>24.766666666666666</v>
      </c>
      <c r="J80" s="33">
        <f>'Monthly Data'!BB80</f>
        <v>310.86875000000009</v>
      </c>
      <c r="L80" s="521"/>
      <c r="M80" s="18">
        <f ca="1">(G80-I80)*'GS&gt;50 Predicted Monthly (no LC)'!$P$10</f>
        <v>1616.9878561762857</v>
      </c>
      <c r="N80" s="18">
        <f ca="1">(H80-J80)*'GS&gt;50 Predicted Monthly (no LC)'!$P$11</f>
        <v>92526.555506107092</v>
      </c>
      <c r="O80" s="18">
        <f t="shared" ca="1" si="13"/>
        <v>5856432.5265802303</v>
      </c>
      <c r="Q80" s="18">
        <f>'Monthly Data'!Y80</f>
        <v>2800.8</v>
      </c>
      <c r="R80" s="18">
        <f>'Monthly Data'!DN80</f>
        <v>0</v>
      </c>
      <c r="S80" s="18">
        <f>'Monthly Data'!DO80</f>
        <v>0</v>
      </c>
      <c r="T80" s="277">
        <f t="shared" ca="1" si="19"/>
        <v>25.464999999999996</v>
      </c>
      <c r="U80" s="18">
        <f t="shared" si="20"/>
        <v>24.766666666666666</v>
      </c>
      <c r="V80" s="18">
        <f>'Monthly Data'!BR80</f>
        <v>0</v>
      </c>
      <c r="W80" s="18"/>
      <c r="X80" s="18"/>
      <c r="Y80" s="18"/>
      <c r="Z80" s="18"/>
      <c r="AA80" s="18">
        <f ca="1">(T80-U80)*'LC Predicted Monthly'!$T$12</f>
        <v>142.9721022136558</v>
      </c>
      <c r="AB80" s="18"/>
      <c r="AC80" s="18">
        <f t="shared" ca="1" si="14"/>
        <v>2943.7721022136561</v>
      </c>
      <c r="AD80" s="18"/>
      <c r="AE80" s="18">
        <f t="shared" ca="1" si="15"/>
        <v>5859376.2986824438</v>
      </c>
    </row>
    <row r="81" spans="1:31">
      <c r="A81" s="541">
        <f>'Monthly Data'!A81</f>
        <v>44774</v>
      </c>
      <c r="B81">
        <f t="shared" si="16"/>
        <v>2022</v>
      </c>
      <c r="C81">
        <f t="shared" si="17"/>
        <v>8</v>
      </c>
      <c r="D81" s="30">
        <f>'Monthly Data'!N81</f>
        <v>5800196.3119487278</v>
      </c>
      <c r="E81" s="30"/>
      <c r="F81" s="30">
        <f>'Monthly Data'!AB81</f>
        <v>5786992.3119487278</v>
      </c>
      <c r="G81" s="33">
        <f t="shared" ca="1" si="18"/>
        <v>54.974791666666668</v>
      </c>
      <c r="H81" s="33">
        <f t="shared" ca="1" si="18"/>
        <v>280.40312500000005</v>
      </c>
      <c r="I81" s="33">
        <f>'Monthly Data'!AQ81</f>
        <v>43.374999999999986</v>
      </c>
      <c r="J81" s="33">
        <f>'Monthly Data'!BB81</f>
        <v>285.74166666666667</v>
      </c>
      <c r="L81" s="521"/>
      <c r="M81" s="18">
        <f ca="1">(G81-I81)*'GS&gt;50 Predicted Monthly (no LC)'!$P$10</f>
        <v>26859.26815156321</v>
      </c>
      <c r="N81" s="18">
        <f ca="1">(H81-J81)*'GS&gt;50 Predicted Monthly (no LC)'!$P$11</f>
        <v>-28839.98667887882</v>
      </c>
      <c r="O81" s="18">
        <f t="shared" ca="1" si="13"/>
        <v>5785011.5934214126</v>
      </c>
      <c r="Q81" s="18">
        <f>'Monthly Data'!Y81</f>
        <v>13204</v>
      </c>
      <c r="R81" s="18">
        <f>'Monthly Data'!DN81</f>
        <v>0</v>
      </c>
      <c r="S81" s="18">
        <f>'Monthly Data'!DO81</f>
        <v>0</v>
      </c>
      <c r="T81" s="277">
        <f t="shared" ca="1" si="19"/>
        <v>54.974791666666668</v>
      </c>
      <c r="U81" s="18">
        <f t="shared" si="20"/>
        <v>43.374999999999986</v>
      </c>
      <c r="V81" s="18">
        <f>'Monthly Data'!BR81</f>
        <v>0</v>
      </c>
      <c r="W81" s="18"/>
      <c r="X81" s="18"/>
      <c r="Y81" s="18"/>
      <c r="Z81" s="18"/>
      <c r="AA81" s="18">
        <f ca="1">(T81-U81)*'LC Predicted Monthly'!$T$12</f>
        <v>2374.8638660961169</v>
      </c>
      <c r="AB81" s="18"/>
      <c r="AC81" s="18">
        <f t="shared" ca="1" si="14"/>
        <v>15578.863866096117</v>
      </c>
      <c r="AD81" s="18"/>
      <c r="AE81" s="18">
        <f t="shared" ca="1" si="15"/>
        <v>5800590.457287509</v>
      </c>
    </row>
    <row r="82" spans="1:31">
      <c r="A82" s="541">
        <f>'Monthly Data'!A82</f>
        <v>44805</v>
      </c>
      <c r="B82">
        <f t="shared" si="16"/>
        <v>2022</v>
      </c>
      <c r="C82">
        <f t="shared" si="17"/>
        <v>9</v>
      </c>
      <c r="D82" s="30">
        <f>'Monthly Data'!N82</f>
        <v>5197018.8406795096</v>
      </c>
      <c r="E82" s="30"/>
      <c r="F82" s="30">
        <f>'Monthly Data'!AB82</f>
        <v>5197002.8406795096</v>
      </c>
      <c r="G82" s="33">
        <f t="shared" ca="1" si="18"/>
        <v>166.50624999999999</v>
      </c>
      <c r="H82" s="33">
        <f t="shared" ca="1" si="18"/>
        <v>144.00333333333333</v>
      </c>
      <c r="I82" s="33">
        <f>'Monthly Data'!AQ82</f>
        <v>186.05</v>
      </c>
      <c r="J82" s="33">
        <f>'Monthly Data'!BB82</f>
        <v>121.11250000000001</v>
      </c>
      <c r="L82" s="521"/>
      <c r="M82" s="18">
        <f ca="1">(G82-I82)*'GS&gt;50 Predicted Monthly (no LC)'!$P$10</f>
        <v>-45253.469805458859</v>
      </c>
      <c r="N82" s="18">
        <f ca="1">(H82-J82)*'GS&gt;50 Predicted Monthly (no LC)'!$P$11</f>
        <v>123661.36102745404</v>
      </c>
      <c r="O82" s="18">
        <f t="shared" ca="1" si="13"/>
        <v>5275410.731901505</v>
      </c>
      <c r="Q82" s="18">
        <f>'Monthly Data'!Y82</f>
        <v>16</v>
      </c>
      <c r="R82" s="18">
        <f>'Monthly Data'!DN82</f>
        <v>0</v>
      </c>
      <c r="S82" s="18">
        <f>'Monthly Data'!DO82</f>
        <v>0</v>
      </c>
      <c r="T82" s="277">
        <f t="shared" ca="1" si="19"/>
        <v>166.50624999999999</v>
      </c>
      <c r="U82" s="18">
        <f t="shared" si="20"/>
        <v>186.05</v>
      </c>
      <c r="V82" s="18">
        <f>'Monthly Data'!BR82</f>
        <v>1</v>
      </c>
      <c r="W82" s="18"/>
      <c r="X82" s="18"/>
      <c r="Y82" s="18"/>
      <c r="Z82" s="18"/>
      <c r="AA82" s="18">
        <f ca="1">(T82-U82)*'LC Predicted Monthly'!$T$12</f>
        <v>-4001.2568343267048</v>
      </c>
      <c r="AB82" s="18"/>
      <c r="AC82" s="18">
        <f t="shared" ca="1" si="14"/>
        <v>-3985.2568343267048</v>
      </c>
      <c r="AD82" s="18"/>
      <c r="AE82" s="18">
        <f t="shared" ca="1" si="15"/>
        <v>5271425.4750671787</v>
      </c>
    </row>
    <row r="83" spans="1:31">
      <c r="A83" s="541">
        <f>'Monthly Data'!A83</f>
        <v>44835</v>
      </c>
      <c r="B83">
        <f t="shared" si="16"/>
        <v>2022</v>
      </c>
      <c r="C83">
        <f t="shared" si="17"/>
        <v>10</v>
      </c>
      <c r="D83" s="30">
        <f>'Monthly Data'!N83</f>
        <v>5276473.3694102913</v>
      </c>
      <c r="E83" s="30"/>
      <c r="F83" s="30">
        <f>'Monthly Data'!AB83</f>
        <v>5264967.7694102917</v>
      </c>
      <c r="G83" s="33">
        <f t="shared" ca="1" si="18"/>
        <v>363.47645833333326</v>
      </c>
      <c r="H83" s="33">
        <f t="shared" ca="1" si="18"/>
        <v>40.02791666666667</v>
      </c>
      <c r="I83" s="33">
        <f>'Monthly Data'!AQ83</f>
        <v>386.60833333333323</v>
      </c>
      <c r="J83" s="33">
        <f>'Monthly Data'!BB83</f>
        <v>21.991666666666667</v>
      </c>
      <c r="L83" s="521"/>
      <c r="M83" s="18">
        <f ca="1">(G83-I83)*'GS&gt;50 Predicted Monthly (no LC)'!$P$10</f>
        <v>-53561.757945949306</v>
      </c>
      <c r="N83" s="18">
        <f ca="1">(H83-J83)*'GS&gt;50 Predicted Monthly (no LC)'!$P$11</f>
        <v>97435.824653161879</v>
      </c>
      <c r="O83" s="18">
        <f t="shared" ca="1" si="13"/>
        <v>5308841.8361175042</v>
      </c>
      <c r="Q83" s="18">
        <f>'Monthly Data'!Y83</f>
        <v>11505.6</v>
      </c>
      <c r="R83" s="18">
        <f>'Monthly Data'!DN83</f>
        <v>0</v>
      </c>
      <c r="S83" s="18">
        <f>'Monthly Data'!DO83</f>
        <v>0</v>
      </c>
      <c r="T83" s="277">
        <f t="shared" ca="1" si="19"/>
        <v>363.47645833333326</v>
      </c>
      <c r="U83" s="18">
        <f t="shared" si="20"/>
        <v>386.60833333333323</v>
      </c>
      <c r="V83" s="18">
        <f>'Monthly Data'!BR83</f>
        <v>1</v>
      </c>
      <c r="W83" s="18"/>
      <c r="X83" s="18"/>
      <c r="Y83" s="18"/>
      <c r="Z83" s="18"/>
      <c r="AA83" s="18">
        <f ca="1">(T83-U83)*'LC Predicted Monthly'!$T$12</f>
        <v>-4735.8655802771154</v>
      </c>
      <c r="AB83" s="18"/>
      <c r="AC83" s="18">
        <f t="shared" ca="1" si="14"/>
        <v>6769.7344197228849</v>
      </c>
      <c r="AD83" s="18"/>
      <c r="AE83" s="18">
        <f t="shared" ca="1" si="15"/>
        <v>5315611.5705372263</v>
      </c>
    </row>
    <row r="84" spans="1:31">
      <c r="A84" s="541">
        <f>'Monthly Data'!A84</f>
        <v>44866</v>
      </c>
      <c r="B84">
        <f t="shared" si="16"/>
        <v>2022</v>
      </c>
      <c r="C84">
        <f t="shared" si="17"/>
        <v>11</v>
      </c>
      <c r="D84" s="30">
        <f>'Monthly Data'!N84</f>
        <v>6491309.6581410738</v>
      </c>
      <c r="E84" s="30"/>
      <c r="F84" s="30">
        <f>'Monthly Data'!AB84</f>
        <v>5411251.898141074</v>
      </c>
      <c r="G84" s="33">
        <f t="shared" ca="1" si="18"/>
        <v>586.00395833333334</v>
      </c>
      <c r="H84" s="33">
        <f t="shared" ca="1" si="18"/>
        <v>4.5920833333333331</v>
      </c>
      <c r="I84" s="33">
        <f>'Monthly Data'!AQ84</f>
        <v>510.11250000000007</v>
      </c>
      <c r="J84" s="33">
        <f>'Monthly Data'!BB84</f>
        <v>25.875</v>
      </c>
      <c r="L84" s="521"/>
      <c r="M84" s="18">
        <f ca="1">(G84-I84)*'GS&gt;50 Predicted Monthly (no LC)'!$P$10</f>
        <v>175726.34822793645</v>
      </c>
      <c r="N84" s="18">
        <f ca="1">(H84-J84)*'GS&gt;50 Predicted Monthly (no LC)'!$P$11</f>
        <v>-114975.03840549945</v>
      </c>
      <c r="O84" s="18">
        <f t="shared" ca="1" si="13"/>
        <v>5472003.2079635113</v>
      </c>
      <c r="Q84" s="18">
        <f>'Monthly Data'!Y84</f>
        <v>1080057.76</v>
      </c>
      <c r="R84" s="18">
        <f>'Monthly Data'!DN84</f>
        <v>0</v>
      </c>
      <c r="S84" s="18">
        <f>'Monthly Data'!DO84</f>
        <v>0</v>
      </c>
      <c r="T84" s="277">
        <f t="shared" ca="1" si="19"/>
        <v>586.00395833333334</v>
      </c>
      <c r="U84" s="18">
        <f t="shared" si="20"/>
        <v>510.11250000000007</v>
      </c>
      <c r="V84" s="18">
        <f>'Monthly Data'!BR84</f>
        <v>1</v>
      </c>
      <c r="W84" s="18"/>
      <c r="X84" s="18"/>
      <c r="Y84" s="18"/>
      <c r="Z84" s="18"/>
      <c r="AA84" s="18">
        <f ca="1">(T84-U84)*'LC Predicted Monthly'!$T$12</f>
        <v>15537.510269179142</v>
      </c>
      <c r="AB84" s="18"/>
      <c r="AC84" s="18">
        <f t="shared" ca="1" si="14"/>
        <v>1095595.2702691793</v>
      </c>
      <c r="AD84" s="18"/>
      <c r="AE84" s="18">
        <f t="shared" ca="1" si="15"/>
        <v>6567598.4782326901</v>
      </c>
    </row>
    <row r="85" spans="1:31">
      <c r="A85" s="541">
        <f>'Monthly Data'!A85</f>
        <v>44896</v>
      </c>
      <c r="B85">
        <f t="shared" si="16"/>
        <v>2022</v>
      </c>
      <c r="C85">
        <f t="shared" si="17"/>
        <v>12</v>
      </c>
      <c r="D85" s="30">
        <f>'Monthly Data'!N85</f>
        <v>6383842.9468718553</v>
      </c>
      <c r="E85" s="30"/>
      <c r="F85" s="30">
        <f>'Monthly Data'!AB85</f>
        <v>5865795.4268718548</v>
      </c>
      <c r="G85" s="33">
        <f t="shared" ca="1" si="18"/>
        <v>812.36333333333334</v>
      </c>
      <c r="H85" s="33">
        <f t="shared" ca="1" si="18"/>
        <v>0</v>
      </c>
      <c r="I85" s="33">
        <f>'Monthly Data'!AQ85</f>
        <v>723.45416666666654</v>
      </c>
      <c r="J85" s="33">
        <f>'Monthly Data'!BB85</f>
        <v>0</v>
      </c>
      <c r="L85" s="521"/>
      <c r="M85" s="18">
        <f ca="1">(G85-I85)*'GS&gt;50 Predicted Monthly (no LC)'!$P$10</f>
        <v>205868.79637625901</v>
      </c>
      <c r="N85" s="18">
        <f ca="1">(H85-J85)*'GS&gt;50 Predicted Monthly (no LC)'!$P$11</f>
        <v>0</v>
      </c>
      <c r="O85" s="18">
        <f t="shared" ca="1" si="13"/>
        <v>6071664.2232481139</v>
      </c>
      <c r="Q85" s="18">
        <f>'Monthly Data'!Y85</f>
        <v>518047.52</v>
      </c>
      <c r="R85" s="18">
        <f>'Monthly Data'!DN85</f>
        <v>0</v>
      </c>
      <c r="S85" s="18">
        <f>'Monthly Data'!DO85</f>
        <v>0</v>
      </c>
      <c r="T85" s="277">
        <f t="shared" ca="1" si="19"/>
        <v>812.36333333333334</v>
      </c>
      <c r="U85" s="18">
        <f t="shared" si="20"/>
        <v>723.45416666666654</v>
      </c>
      <c r="V85" s="18">
        <f>'Monthly Data'!BR85</f>
        <v>0</v>
      </c>
      <c r="W85" s="18"/>
      <c r="X85" s="18"/>
      <c r="Y85" s="18"/>
      <c r="Z85" s="18"/>
      <c r="AA85" s="18">
        <f ca="1">(T85-U85)*'LC Predicted Monthly'!$T$12</f>
        <v>18202.668922765195</v>
      </c>
      <c r="AB85" s="18"/>
      <c r="AC85" s="18">
        <f t="shared" ca="1" si="14"/>
        <v>536250.1889227652</v>
      </c>
      <c r="AD85" s="18"/>
      <c r="AE85" s="18">
        <f t="shared" ca="1" si="15"/>
        <v>6607914.4121708795</v>
      </c>
    </row>
    <row r="86" spans="1:31">
      <c r="A86" s="541">
        <f>'Monthly Data'!A86</f>
        <v>44927</v>
      </c>
      <c r="B86">
        <f t="shared" si="16"/>
        <v>2023</v>
      </c>
      <c r="C86">
        <f t="shared" si="17"/>
        <v>1</v>
      </c>
      <c r="D86" s="30">
        <f>'Monthly Data'!N86</f>
        <v>6116806.1173214633</v>
      </c>
      <c r="E86" s="30"/>
      <c r="F86" s="30">
        <f>'Monthly Data'!AB86</f>
        <v>6111484.5173214637</v>
      </c>
      <c r="G86" s="33">
        <f t="shared" ca="1" si="18"/>
        <v>914.55166666666662</v>
      </c>
      <c r="H86" s="33">
        <f t="shared" ca="1" si="18"/>
        <v>0</v>
      </c>
      <c r="I86" s="33">
        <f>'Monthly Data'!AQ86</f>
        <v>821.78333333333342</v>
      </c>
      <c r="J86" s="33">
        <f>'Monthly Data'!BB86</f>
        <v>0</v>
      </c>
      <c r="L86" s="521"/>
      <c r="M86" s="18">
        <f ca="1">(G86-I86)*'GS&gt;50 Predicted Monthly (no LC)'!$P$10</f>
        <v>214804.68034040206</v>
      </c>
      <c r="N86" s="18">
        <f ca="1">(H86-J86)*'GS&gt;50 Predicted Monthly (no LC)'!$P$11</f>
        <v>0</v>
      </c>
      <c r="O86" s="18">
        <f t="shared" ca="1" si="13"/>
        <v>6326289.1976618655</v>
      </c>
      <c r="Q86" s="18">
        <f>'Monthly Data'!Y86</f>
        <v>5321.6</v>
      </c>
      <c r="R86" s="18">
        <f>'Monthly Data'!DN86</f>
        <v>0</v>
      </c>
      <c r="S86" s="18">
        <f>'Monthly Data'!DO86</f>
        <v>0</v>
      </c>
      <c r="T86" s="277">
        <f t="shared" ca="1" si="19"/>
        <v>914.55166666666662</v>
      </c>
      <c r="U86" s="18">
        <f t="shared" si="20"/>
        <v>821.78333333333342</v>
      </c>
      <c r="V86" s="18">
        <f>'Monthly Data'!BR86</f>
        <v>0</v>
      </c>
      <c r="W86" s="18"/>
      <c r="X86" s="18"/>
      <c r="Y86" s="18"/>
      <c r="Z86" s="18"/>
      <c r="AA86" s="18">
        <f ca="1">(T86-U86)*'LC Predicted Monthly'!$T$12</f>
        <v>18992.768929151112</v>
      </c>
      <c r="AB86" s="18"/>
      <c r="AC86" s="18">
        <f t="shared" ca="1" si="14"/>
        <v>24314.368929151111</v>
      </c>
      <c r="AD86" s="18"/>
      <c r="AE86" s="18">
        <f t="shared" ca="1" si="15"/>
        <v>6350603.566591016</v>
      </c>
    </row>
    <row r="87" spans="1:31">
      <c r="A87" s="541">
        <f>'Monthly Data'!A87</f>
        <v>44958</v>
      </c>
      <c r="B87">
        <f t="shared" si="16"/>
        <v>2023</v>
      </c>
      <c r="C87">
        <f t="shared" si="17"/>
        <v>2</v>
      </c>
      <c r="D87" s="30">
        <f>'Monthly Data'!N87</f>
        <v>5696520.6104506506</v>
      </c>
      <c r="E87" s="30"/>
      <c r="F87" s="30">
        <f>'Monthly Data'!AB87</f>
        <v>5612165.2504506502</v>
      </c>
      <c r="G87" s="33">
        <f t="shared" ca="1" si="18"/>
        <v>803.82854166666664</v>
      </c>
      <c r="H87" s="33">
        <f t="shared" ca="1" si="18"/>
        <v>0</v>
      </c>
      <c r="I87" s="33">
        <f>'Monthly Data'!AQ87</f>
        <v>793.05833333333328</v>
      </c>
      <c r="J87" s="33">
        <f>'Monthly Data'!BB87</f>
        <v>0</v>
      </c>
      <c r="L87" s="521"/>
      <c r="M87" s="18">
        <f ca="1">(G87-I87)*'GS&gt;50 Predicted Monthly (no LC)'!$P$10</f>
        <v>24938.371479936144</v>
      </c>
      <c r="N87" s="18">
        <f ca="1">(H87-J87)*'GS&gt;50 Predicted Monthly (no LC)'!$P$11</f>
        <v>0</v>
      </c>
      <c r="O87" s="18">
        <f t="shared" ca="1" si="13"/>
        <v>5637103.6219305862</v>
      </c>
      <c r="Q87" s="18">
        <f>'Monthly Data'!Y87</f>
        <v>84355.36</v>
      </c>
      <c r="R87" s="18">
        <f>'Monthly Data'!DN87</f>
        <v>0</v>
      </c>
      <c r="S87" s="18">
        <f>'Monthly Data'!DO87</f>
        <v>0</v>
      </c>
      <c r="T87" s="277">
        <f t="shared" ca="1" si="19"/>
        <v>803.82854166666664</v>
      </c>
      <c r="U87" s="18">
        <f t="shared" si="20"/>
        <v>793.05833333333328</v>
      </c>
      <c r="V87" s="18">
        <f>'Monthly Data'!BR87</f>
        <v>0</v>
      </c>
      <c r="W87" s="18"/>
      <c r="X87" s="18"/>
      <c r="Y87" s="18"/>
      <c r="Z87" s="18"/>
      <c r="AA87" s="18">
        <f ca="1">(T87-U87)*'LC Predicted Monthly'!$T$12</f>
        <v>2205.0205155547164</v>
      </c>
      <c r="AB87" s="18"/>
      <c r="AC87" s="18">
        <f t="shared" ca="1" si="14"/>
        <v>86560.380515554716</v>
      </c>
      <c r="AD87" s="18"/>
      <c r="AE87" s="18">
        <f t="shared" ca="1" si="15"/>
        <v>5723664.0024461411</v>
      </c>
    </row>
    <row r="88" spans="1:31">
      <c r="A88" s="541">
        <f>'Monthly Data'!A88</f>
        <v>44986</v>
      </c>
      <c r="B88">
        <f t="shared" si="16"/>
        <v>2023</v>
      </c>
      <c r="C88">
        <f t="shared" si="17"/>
        <v>3</v>
      </c>
      <c r="D88" s="30">
        <f>'Monthly Data'!N88</f>
        <v>5718312.5835798392</v>
      </c>
      <c r="E88" s="30"/>
      <c r="F88" s="30">
        <f>'Monthly Data'!AB88</f>
        <v>5717034.9835798396</v>
      </c>
      <c r="G88" s="33">
        <f t="shared" ca="1" si="18"/>
        <v>698.29604166666672</v>
      </c>
      <c r="H88" s="33">
        <f t="shared" ca="1" si="18"/>
        <v>0.11000000000000032</v>
      </c>
      <c r="I88" s="33">
        <f>'Monthly Data'!AQ88</f>
        <v>690.10000000000025</v>
      </c>
      <c r="J88" s="33">
        <f>'Monthly Data'!BB88</f>
        <v>0</v>
      </c>
      <c r="L88" s="521"/>
      <c r="M88" s="18">
        <f ca="1">(G88-I88)*'GS&gt;50 Predicted Monthly (no LC)'!$P$10</f>
        <v>18977.899537538786</v>
      </c>
      <c r="N88" s="18">
        <f ca="1">(H88-J88)*'GS&gt;50 Predicted Monthly (no LC)'!$P$11</f>
        <v>594.2444084467578</v>
      </c>
      <c r="O88" s="18">
        <f t="shared" ca="1" si="13"/>
        <v>5736607.1275258251</v>
      </c>
      <c r="Q88" s="18">
        <f>'Monthly Data'!Y88</f>
        <v>1277.5999999999999</v>
      </c>
      <c r="R88" s="18">
        <f>'Monthly Data'!DN88</f>
        <v>0</v>
      </c>
      <c r="S88" s="18">
        <f>'Monthly Data'!DO88</f>
        <v>0</v>
      </c>
      <c r="T88" s="277">
        <f t="shared" ca="1" si="19"/>
        <v>698.29604166666672</v>
      </c>
      <c r="U88" s="18">
        <f t="shared" si="20"/>
        <v>690.10000000000025</v>
      </c>
      <c r="V88" s="18">
        <f>'Monthly Data'!BR88</f>
        <v>0</v>
      </c>
      <c r="W88" s="18"/>
      <c r="X88" s="18"/>
      <c r="Y88" s="18"/>
      <c r="Z88" s="18"/>
      <c r="AA88" s="18">
        <f ca="1">(T88-U88)*'LC Predicted Monthly'!$T$12</f>
        <v>1678.0028261298696</v>
      </c>
      <c r="AB88" s="18"/>
      <c r="AC88" s="18">
        <f t="shared" ca="1" si="14"/>
        <v>2955.6028261298698</v>
      </c>
      <c r="AD88" s="18"/>
      <c r="AE88" s="18">
        <f t="shared" ca="1" si="15"/>
        <v>5739562.7303519547</v>
      </c>
    </row>
    <row r="89" spans="1:31">
      <c r="A89" s="541">
        <f>'Monthly Data'!A89</f>
        <v>45017</v>
      </c>
      <c r="B89">
        <f t="shared" si="16"/>
        <v>2023</v>
      </c>
      <c r="C89">
        <f t="shared" si="17"/>
        <v>4</v>
      </c>
      <c r="D89" s="30">
        <f>'Monthly Data'!N89</f>
        <v>5301267.4367090268</v>
      </c>
      <c r="E89" s="30"/>
      <c r="F89" s="30">
        <f>'Monthly Data'!AB89</f>
        <v>5295320.7167090271</v>
      </c>
      <c r="G89" s="33">
        <f t="shared" ca="1" si="18"/>
        <v>468.60374999999993</v>
      </c>
      <c r="H89" s="33">
        <f t="shared" ca="1" si="18"/>
        <v>7.7354166666666684</v>
      </c>
      <c r="I89" s="33">
        <f>'Monthly Data'!AQ89</f>
        <v>420.70833333333337</v>
      </c>
      <c r="J89" s="33">
        <f>'Monthly Data'!BB89</f>
        <v>18.508333333333347</v>
      </c>
      <c r="L89" s="521"/>
      <c r="M89" s="18">
        <f ca="1">(G89-I89)*'GS&gt;50 Predicted Monthly (no LC)'!$P$10</f>
        <v>110901.63310239151</v>
      </c>
      <c r="N89" s="18">
        <f ca="1">(H89-J89)*'GS&gt;50 Predicted Monthly (no LC)'!$P$11</f>
        <v>-58197.686289359452</v>
      </c>
      <c r="O89" s="18">
        <f t="shared" ca="1" si="13"/>
        <v>5348024.6635220591</v>
      </c>
      <c r="Q89" s="18">
        <f>'Monthly Data'!Y89</f>
        <v>5946.72</v>
      </c>
      <c r="R89" s="18">
        <f>'Monthly Data'!DN89</f>
        <v>0</v>
      </c>
      <c r="S89" s="18">
        <f>'Monthly Data'!DO89</f>
        <v>0</v>
      </c>
      <c r="T89" s="277">
        <f t="shared" ca="1" si="19"/>
        <v>468.60374999999993</v>
      </c>
      <c r="U89" s="18">
        <f t="shared" si="20"/>
        <v>420.70833333333337</v>
      </c>
      <c r="V89" s="18">
        <f>'Monthly Data'!BR89</f>
        <v>0</v>
      </c>
      <c r="W89" s="18"/>
      <c r="X89" s="18"/>
      <c r="Y89" s="18"/>
      <c r="Z89" s="18"/>
      <c r="AA89" s="18">
        <f ca="1">(T89-U89)*'LC Predicted Monthly'!$T$12</f>
        <v>9805.7876953207342</v>
      </c>
      <c r="AB89" s="18"/>
      <c r="AC89" s="18">
        <f t="shared" ca="1" si="14"/>
        <v>15752.507695320735</v>
      </c>
      <c r="AD89" s="18"/>
      <c r="AE89" s="18">
        <f t="shared" ca="1" si="15"/>
        <v>5363777.1712173792</v>
      </c>
    </row>
    <row r="90" spans="1:31">
      <c r="A90" s="541">
        <f>'Monthly Data'!A90</f>
        <v>45047</v>
      </c>
      <c r="B90">
        <f t="shared" si="16"/>
        <v>2023</v>
      </c>
      <c r="C90">
        <f t="shared" si="17"/>
        <v>5</v>
      </c>
      <c r="D90" s="30">
        <f>'Monthly Data'!N90</f>
        <v>5199018.4498382146</v>
      </c>
      <c r="E90" s="30"/>
      <c r="F90" s="30">
        <f>'Monthly Data'!AB90</f>
        <v>5193932.0498382142</v>
      </c>
      <c r="G90" s="33">
        <f t="shared" ca="1" si="18"/>
        <v>232.88687500000006</v>
      </c>
      <c r="H90" s="33">
        <f t="shared" ca="1" si="18"/>
        <v>111.43645833333332</v>
      </c>
      <c r="I90" s="33">
        <f>'Monthly Data'!AQ90</f>
        <v>234.95208333333341</v>
      </c>
      <c r="J90" s="33">
        <f>'Monthly Data'!BB90</f>
        <v>102.08124999999998</v>
      </c>
      <c r="L90" s="521"/>
      <c r="M90" s="18">
        <f ca="1">(G90-I90)*'GS&gt;50 Predicted Monthly (no LC)'!$P$10</f>
        <v>-4781.9810913710244</v>
      </c>
      <c r="N90" s="18">
        <f ca="1">(H90-J90)*'GS&gt;50 Predicted Monthly (no LC)'!$P$11</f>
        <v>50538.911290343931</v>
      </c>
      <c r="O90" s="18">
        <f t="shared" ca="1" si="13"/>
        <v>5239688.9800371872</v>
      </c>
      <c r="Q90" s="18">
        <f>'Monthly Data'!Y90</f>
        <v>5086.3999999999996</v>
      </c>
      <c r="R90" s="18">
        <f>'Monthly Data'!DN90</f>
        <v>0</v>
      </c>
      <c r="S90" s="18">
        <f>'Monthly Data'!DO90</f>
        <v>0</v>
      </c>
      <c r="T90" s="277">
        <f t="shared" ca="1" si="19"/>
        <v>232.88687500000006</v>
      </c>
      <c r="U90" s="18">
        <f t="shared" si="20"/>
        <v>234.95208333333341</v>
      </c>
      <c r="V90" s="18">
        <f>'Monthly Data'!BR90</f>
        <v>0</v>
      </c>
      <c r="W90" s="18"/>
      <c r="X90" s="18"/>
      <c r="Y90" s="18"/>
      <c r="Z90" s="18"/>
      <c r="AA90" s="18">
        <f ca="1">(T90-U90)*'LC Predicted Monthly'!$T$12</f>
        <v>-422.81695979832443</v>
      </c>
      <c r="AB90" s="18"/>
      <c r="AC90" s="18">
        <f t="shared" ca="1" si="14"/>
        <v>4663.5830402016754</v>
      </c>
      <c r="AD90" s="18"/>
      <c r="AE90" s="18">
        <f t="shared" ca="1" si="15"/>
        <v>5244352.5630773893</v>
      </c>
    </row>
    <row r="91" spans="1:31">
      <c r="A91" s="541">
        <f>'Monthly Data'!A91</f>
        <v>45078</v>
      </c>
      <c r="B91">
        <f t="shared" si="16"/>
        <v>2023</v>
      </c>
      <c r="C91">
        <f t="shared" si="17"/>
        <v>6</v>
      </c>
      <c r="D91" s="30">
        <f>'Monthly Data'!N91</f>
        <v>5434895.9029674027</v>
      </c>
      <c r="E91" s="30"/>
      <c r="F91" s="30">
        <f>'Monthly Data'!AB91</f>
        <v>5415159.1029674029</v>
      </c>
      <c r="G91" s="33">
        <f t="shared" ca="1" si="18"/>
        <v>92.751249999999999</v>
      </c>
      <c r="H91" s="33">
        <f t="shared" ca="1" si="18"/>
        <v>227.31958333333333</v>
      </c>
      <c r="I91" s="33">
        <f>'Monthly Data'!AQ91</f>
        <v>79.324999999999989</v>
      </c>
      <c r="J91" s="33">
        <f>'Monthly Data'!BB91</f>
        <v>236.22500000000002</v>
      </c>
      <c r="L91" s="521"/>
      <c r="M91" s="18">
        <f ca="1">(G91-I91)*'GS&gt;50 Predicted Monthly (no LC)'!$P$10</f>
        <v>31088.424635780844</v>
      </c>
      <c r="N91" s="18">
        <f ca="1">(H91-J91)*'GS&gt;50 Predicted Monthly (no LC)'!$P$11</f>
        <v>-48109.03690050212</v>
      </c>
      <c r="O91" s="18">
        <f t="shared" ca="1" si="13"/>
        <v>5398138.4907026822</v>
      </c>
      <c r="Q91" s="18">
        <f>'Monthly Data'!Y91</f>
        <v>19736.8</v>
      </c>
      <c r="R91" s="18">
        <f>'Monthly Data'!DN91</f>
        <v>0</v>
      </c>
      <c r="S91" s="18">
        <f>'Monthly Data'!DO91</f>
        <v>0</v>
      </c>
      <c r="T91" s="277">
        <f t="shared" ca="1" si="19"/>
        <v>92.751249999999999</v>
      </c>
      <c r="U91" s="18">
        <f t="shared" si="20"/>
        <v>79.324999999999989</v>
      </c>
      <c r="V91" s="18">
        <f>'Monthly Data'!BR91</f>
        <v>0</v>
      </c>
      <c r="W91" s="18"/>
      <c r="X91" s="18"/>
      <c r="Y91" s="18"/>
      <c r="Z91" s="18"/>
      <c r="AA91" s="18">
        <f ca="1">(T91-U91)*'LC Predicted Monthly'!$T$12</f>
        <v>2748.8007456030145</v>
      </c>
      <c r="AB91" s="18"/>
      <c r="AC91" s="18">
        <f t="shared" ca="1" si="14"/>
        <v>22485.600745603013</v>
      </c>
      <c r="AD91" s="18"/>
      <c r="AE91" s="18">
        <f t="shared" ca="1" si="15"/>
        <v>5420624.0914482847</v>
      </c>
    </row>
    <row r="92" spans="1:31">
      <c r="A92" s="541">
        <f>'Monthly Data'!A92</f>
        <v>45108</v>
      </c>
      <c r="B92">
        <f t="shared" si="16"/>
        <v>2023</v>
      </c>
      <c r="C92">
        <f t="shared" si="17"/>
        <v>7</v>
      </c>
      <c r="D92" s="30">
        <f>'Monthly Data'!N92</f>
        <v>5911244.9160965905</v>
      </c>
      <c r="E92" s="30"/>
      <c r="F92" s="30">
        <f>'Monthly Data'!AB92</f>
        <v>5909359.3160965908</v>
      </c>
      <c r="G92" s="33">
        <f t="shared" ca="1" si="18"/>
        <v>25.464999999999996</v>
      </c>
      <c r="H92" s="33">
        <f t="shared" ca="1" si="18"/>
        <v>327.99625000000003</v>
      </c>
      <c r="I92" s="33">
        <f>'Monthly Data'!AQ92</f>
        <v>27.016666666666673</v>
      </c>
      <c r="J92" s="33">
        <f>'Monthly Data'!BB92</f>
        <v>317.62083333333328</v>
      </c>
      <c r="L92" s="521"/>
      <c r="M92" s="18">
        <f ca="1">(G92-I92)*'GS&gt;50 Predicted Monthly (no LC)'!$P$10</f>
        <v>-3592.8775515516404</v>
      </c>
      <c r="N92" s="18">
        <f ca="1">(H92-J92)*'GS&gt;50 Predicted Monthly (no LC)'!$P$11</f>
        <v>56050.303086109074</v>
      </c>
      <c r="O92" s="18">
        <f t="shared" ca="1" si="13"/>
        <v>5961816.7416311484</v>
      </c>
      <c r="Q92" s="18">
        <f>'Monthly Data'!Y92</f>
        <v>1885.6</v>
      </c>
      <c r="R92" s="18">
        <f>'Monthly Data'!DN92</f>
        <v>0</v>
      </c>
      <c r="S92" s="18">
        <f>'Monthly Data'!DO92</f>
        <v>0</v>
      </c>
      <c r="T92" s="277">
        <f t="shared" ca="1" si="19"/>
        <v>25.464999999999996</v>
      </c>
      <c r="U92" s="18">
        <f t="shared" si="20"/>
        <v>27.016666666666673</v>
      </c>
      <c r="V92" s="18">
        <f>'Monthly Data'!BR92</f>
        <v>0</v>
      </c>
      <c r="W92" s="18"/>
      <c r="X92" s="18"/>
      <c r="Y92" s="18"/>
      <c r="Z92" s="18"/>
      <c r="AA92" s="18">
        <f ca="1">(T92-U92)*'LC Predicted Monthly'!$T$12</f>
        <v>-317.67786911912867</v>
      </c>
      <c r="AB92" s="18"/>
      <c r="AC92" s="18">
        <f t="shared" ca="1" si="14"/>
        <v>1567.9221308808712</v>
      </c>
      <c r="AD92" s="18"/>
      <c r="AE92" s="18">
        <f t="shared" ca="1" si="15"/>
        <v>5963384.6637620293</v>
      </c>
    </row>
    <row r="93" spans="1:31">
      <c r="A93" s="541">
        <f>'Monthly Data'!A93</f>
        <v>45139</v>
      </c>
      <c r="B93">
        <f t="shared" si="16"/>
        <v>2023</v>
      </c>
      <c r="C93">
        <f t="shared" si="17"/>
        <v>8</v>
      </c>
      <c r="D93" s="30">
        <f>'Monthly Data'!N93</f>
        <v>5504128.6492257779</v>
      </c>
      <c r="E93" s="30"/>
      <c r="F93" s="30">
        <f>'Monthly Data'!AB93</f>
        <v>5453866.5692257779</v>
      </c>
      <c r="G93" s="33">
        <f t="shared" ca="1" si="18"/>
        <v>54.974791666666668</v>
      </c>
      <c r="H93" s="33">
        <f t="shared" ca="1" si="18"/>
        <v>280.40312500000005</v>
      </c>
      <c r="I93" s="33">
        <f>'Monthly Data'!AQ93</f>
        <v>78.083333333333329</v>
      </c>
      <c r="J93" s="33">
        <f>'Monthly Data'!BB93</f>
        <v>232.83333333333337</v>
      </c>
      <c r="L93" s="521"/>
      <c r="M93" s="18">
        <f ca="1">(G93-I93)*'GS&gt;50 Predicted Monthly (no LC)'!$P$10</f>
        <v>-53507.729712091415</v>
      </c>
      <c r="N93" s="18">
        <f ca="1">(H93-J93)*'GS&gt;50 Predicted Monthly (no LC)'!$P$11</f>
        <v>256982.57008085243</v>
      </c>
      <c r="O93" s="18">
        <f t="shared" ca="1" si="13"/>
        <v>5657341.4095945386</v>
      </c>
      <c r="Q93" s="18">
        <f>'Monthly Data'!Y93</f>
        <v>50262.080000000002</v>
      </c>
      <c r="R93" s="18">
        <f>'Monthly Data'!DN93</f>
        <v>0</v>
      </c>
      <c r="S93" s="18">
        <f>'Monthly Data'!DO93</f>
        <v>0</v>
      </c>
      <c r="T93" s="277">
        <f t="shared" ca="1" si="19"/>
        <v>54.974791666666668</v>
      </c>
      <c r="U93" s="18">
        <f t="shared" si="20"/>
        <v>78.083333333333329</v>
      </c>
      <c r="V93" s="18">
        <f>'Monthly Data'!BR93</f>
        <v>0</v>
      </c>
      <c r="W93" s="18"/>
      <c r="X93" s="18"/>
      <c r="Y93" s="18"/>
      <c r="Z93" s="18"/>
      <c r="AA93" s="18">
        <f ca="1">(T93-U93)*'LC Predicted Monthly'!$T$12</f>
        <v>-4731.0884694632978</v>
      </c>
      <c r="AB93" s="18"/>
      <c r="AC93" s="18">
        <f t="shared" ca="1" si="14"/>
        <v>45530.991530536703</v>
      </c>
      <c r="AD93" s="18"/>
      <c r="AE93" s="18">
        <f t="shared" ca="1" si="15"/>
        <v>5702872.4011250753</v>
      </c>
    </row>
    <row r="94" spans="1:31">
      <c r="A94" s="541">
        <f>'Monthly Data'!A94</f>
        <v>45170</v>
      </c>
      <c r="B94">
        <f t="shared" si="16"/>
        <v>2023</v>
      </c>
      <c r="C94">
        <f t="shared" si="17"/>
        <v>9</v>
      </c>
      <c r="D94" s="30">
        <f>'Monthly Data'!N94</f>
        <v>5342063.3823549664</v>
      </c>
      <c r="E94" s="30"/>
      <c r="F94" s="30">
        <f>'Monthly Data'!AB94</f>
        <v>5341587.0623549661</v>
      </c>
      <c r="G94" s="33">
        <f t="shared" ref="G94:H109" ca="1" si="21">G82</f>
        <v>166.50624999999999</v>
      </c>
      <c r="H94" s="33">
        <f t="shared" ca="1" si="21"/>
        <v>144.00333333333333</v>
      </c>
      <c r="I94" s="33">
        <f>'Monthly Data'!AQ94</f>
        <v>162.20833333333331</v>
      </c>
      <c r="J94" s="33">
        <f>'Monthly Data'!BB94</f>
        <v>154.46666666666673</v>
      </c>
      <c r="L94" s="521"/>
      <c r="M94" s="18">
        <f ca="1">(G94-I94)*'GS&gt;50 Predicted Monthly (no LC)'!$P$10</f>
        <v>9951.807718650658</v>
      </c>
      <c r="N94" s="18">
        <f ca="1">(H94-J94)*'GS&gt;50 Predicted Monthly (no LC)'!$P$11</f>
        <v>-56525.248427708437</v>
      </c>
      <c r="O94" s="18">
        <f t="shared" ca="1" si="13"/>
        <v>5295013.6216459079</v>
      </c>
      <c r="Q94" s="18">
        <f>'Monthly Data'!Y94</f>
        <v>476.32</v>
      </c>
      <c r="R94" s="18">
        <f>'Monthly Data'!DN94</f>
        <v>0</v>
      </c>
      <c r="S94" s="18">
        <f>'Monthly Data'!DO94</f>
        <v>0</v>
      </c>
      <c r="T94" s="277">
        <f t="shared" ca="1" si="19"/>
        <v>166.50624999999999</v>
      </c>
      <c r="U94" s="18">
        <f t="shared" si="20"/>
        <v>162.20833333333331</v>
      </c>
      <c r="V94" s="18">
        <f>'Monthly Data'!BR94</f>
        <v>1</v>
      </c>
      <c r="W94" s="18"/>
      <c r="X94" s="18"/>
      <c r="Y94" s="18"/>
      <c r="Z94" s="18"/>
      <c r="AA94" s="18">
        <f ca="1">(T94-U94)*'LC Predicted Monthly'!$T$12</f>
        <v>879.92675079586513</v>
      </c>
      <c r="AB94" s="18"/>
      <c r="AC94" s="18">
        <f t="shared" ca="1" si="14"/>
        <v>1356.2467507958652</v>
      </c>
      <c r="AD94" s="18"/>
      <c r="AE94" s="18">
        <f t="shared" ca="1" si="15"/>
        <v>5296369.8683967041</v>
      </c>
    </row>
    <row r="95" spans="1:31">
      <c r="A95" s="541">
        <f>'Monthly Data'!A95</f>
        <v>45200</v>
      </c>
      <c r="B95">
        <f t="shared" si="16"/>
        <v>2023</v>
      </c>
      <c r="C95">
        <f t="shared" si="17"/>
        <v>10</v>
      </c>
      <c r="D95" s="30">
        <f>'Monthly Data'!N95</f>
        <v>5340766.1154841539</v>
      </c>
      <c r="E95" s="30"/>
      <c r="F95" s="30">
        <f>'Monthly Data'!AB95</f>
        <v>5332068.0354841538</v>
      </c>
      <c r="G95" s="33">
        <f t="shared" ca="1" si="21"/>
        <v>363.47645833333326</v>
      </c>
      <c r="H95" s="33">
        <f t="shared" ca="1" si="21"/>
        <v>40.02791666666667</v>
      </c>
      <c r="I95" s="33">
        <f>'Monthly Data'!AQ95</f>
        <v>308.94999999999993</v>
      </c>
      <c r="J95" s="33">
        <f>'Monthly Data'!BB95</f>
        <v>69.26666666666668</v>
      </c>
      <c r="L95" s="521"/>
      <c r="M95" s="18">
        <f ca="1">(G95-I95)*'GS&gt;50 Predicted Monthly (no LC)'!$P$10</f>
        <v>126255.78181188912</v>
      </c>
      <c r="N95" s="18">
        <f ca="1">(H95-J95)*'GS&gt;50 Predicted Monthly (no LC)'!$P$11</f>
        <v>-157954.21543156906</v>
      </c>
      <c r="O95" s="18">
        <f t="shared" ca="1" si="13"/>
        <v>5300369.6018644739</v>
      </c>
      <c r="Q95" s="18">
        <f>'Monthly Data'!Y95</f>
        <v>8698.08</v>
      </c>
      <c r="R95" s="18">
        <f>'Monthly Data'!DN95</f>
        <v>0</v>
      </c>
      <c r="S95" s="18">
        <f>'Monthly Data'!DO95</f>
        <v>0</v>
      </c>
      <c r="T95" s="277">
        <f t="shared" ca="1" si="19"/>
        <v>363.47645833333326</v>
      </c>
      <c r="U95" s="18">
        <f t="shared" si="20"/>
        <v>308.94999999999993</v>
      </c>
      <c r="V95" s="18">
        <f>'Monthly Data'!BR95</f>
        <v>1</v>
      </c>
      <c r="W95" s="18"/>
      <c r="X95" s="18"/>
      <c r="Y95" s="18"/>
      <c r="Z95" s="18"/>
      <c r="AA95" s="18">
        <f ca="1">(T95-U95)*'LC Predicted Monthly'!$T$12</f>
        <v>11163.382874723637</v>
      </c>
      <c r="AB95" s="18"/>
      <c r="AC95" s="18">
        <f t="shared" ca="1" si="14"/>
        <v>19861.462874723635</v>
      </c>
      <c r="AD95" s="18"/>
      <c r="AE95" s="18">
        <f t="shared" ca="1" si="15"/>
        <v>5320231.0647391975</v>
      </c>
    </row>
    <row r="96" spans="1:31">
      <c r="A96" s="541">
        <f>'Monthly Data'!A96</f>
        <v>45231</v>
      </c>
      <c r="B96">
        <f t="shared" si="16"/>
        <v>2023</v>
      </c>
      <c r="C96">
        <f t="shared" si="17"/>
        <v>11</v>
      </c>
      <c r="D96" s="30">
        <f>'Monthly Data'!N96</f>
        <v>5612278.8486133423</v>
      </c>
      <c r="E96" s="30"/>
      <c r="F96" s="30">
        <f>'Monthly Data'!AB96</f>
        <v>5500255.8086133422</v>
      </c>
      <c r="G96" s="33">
        <f t="shared" ca="1" si="21"/>
        <v>586.00395833333334</v>
      </c>
      <c r="H96" s="33">
        <f t="shared" ca="1" si="21"/>
        <v>4.5920833333333331</v>
      </c>
      <c r="I96" s="33">
        <f>'Monthly Data'!AQ96</f>
        <v>616.27291666666667</v>
      </c>
      <c r="J96" s="33">
        <f>'Monthly Data'!BB96</f>
        <v>0</v>
      </c>
      <c r="L96" s="521"/>
      <c r="M96" s="18">
        <f ca="1">(G96-I96)*'GS&gt;50 Predicted Monthly (no LC)'!$P$10</f>
        <v>-70087.643977240339</v>
      </c>
      <c r="N96" s="18">
        <f ca="1">(H96-J96)*'GS&gt;50 Predicted Monthly (no LC)'!$P$11</f>
        <v>24807.453126862496</v>
      </c>
      <c r="O96" s="18">
        <f t="shared" ca="1" si="13"/>
        <v>5454975.6177629642</v>
      </c>
      <c r="Q96" s="18">
        <f>'Monthly Data'!Y96</f>
        <v>112023.03999999999</v>
      </c>
      <c r="R96" s="18">
        <f>'Monthly Data'!DN96</f>
        <v>0</v>
      </c>
      <c r="S96" s="18">
        <f>'Monthly Data'!DO96</f>
        <v>0</v>
      </c>
      <c r="T96" s="277">
        <f t="shared" ca="1" si="19"/>
        <v>586.00395833333334</v>
      </c>
      <c r="U96" s="18">
        <f t="shared" si="20"/>
        <v>616.27291666666667</v>
      </c>
      <c r="V96" s="18">
        <f>'Monthly Data'!BR96</f>
        <v>1</v>
      </c>
      <c r="W96" s="18"/>
      <c r="X96" s="18"/>
      <c r="Y96" s="18"/>
      <c r="Z96" s="18"/>
      <c r="AA96" s="18">
        <f ca="1">(T96-U96)*'LC Predicted Monthly'!$T$12</f>
        <v>-6197.064350454757</v>
      </c>
      <c r="AB96" s="18"/>
      <c r="AC96" s="18">
        <f t="shared" ca="1" si="14"/>
        <v>105825.97564954523</v>
      </c>
      <c r="AD96" s="18"/>
      <c r="AE96" s="18">
        <f t="shared" ca="1" si="15"/>
        <v>5560801.5934125092</v>
      </c>
    </row>
    <row r="97" spans="1:34">
      <c r="A97" s="541">
        <f>'Monthly Data'!A97</f>
        <v>45261</v>
      </c>
      <c r="B97">
        <f t="shared" si="16"/>
        <v>2023</v>
      </c>
      <c r="C97">
        <f t="shared" si="17"/>
        <v>12</v>
      </c>
      <c r="D97" s="30">
        <f>'Monthly Data'!N97</f>
        <v>6027285.5817425298</v>
      </c>
      <c r="E97" s="30"/>
      <c r="F97" s="30">
        <f>'Monthly Data'!AB97</f>
        <v>5870549.5817425298</v>
      </c>
      <c r="G97" s="33">
        <f t="shared" ca="1" si="21"/>
        <v>812.36333333333334</v>
      </c>
      <c r="H97" s="33">
        <f t="shared" ca="1" si="21"/>
        <v>0</v>
      </c>
      <c r="I97" s="33">
        <f>'Monthly Data'!AQ97</f>
        <v>713.16250000000014</v>
      </c>
      <c r="J97" s="33">
        <f>'Monthly Data'!BB97</f>
        <v>0</v>
      </c>
      <c r="L97" s="521"/>
      <c r="M97" s="18">
        <f ca="1">(G97-I97)*'GS&gt;50 Predicted Monthly (no LC)'!$P$10</f>
        <v>229699.10666716198</v>
      </c>
      <c r="N97" s="18">
        <f ca="1">(H97-J97)*'GS&gt;50 Predicted Monthly (no LC)'!$P$11</f>
        <v>0</v>
      </c>
      <c r="O97" s="18">
        <f t="shared" ca="1" si="13"/>
        <v>6100248.6884096917</v>
      </c>
      <c r="Q97" s="18">
        <f>'Monthly Data'!Y97</f>
        <v>156736</v>
      </c>
      <c r="R97" s="18">
        <f>'Monthly Data'!DN97</f>
        <v>0</v>
      </c>
      <c r="S97" s="18">
        <f>'Monthly Data'!DO97</f>
        <v>0</v>
      </c>
      <c r="T97" s="277">
        <f t="shared" ca="1" si="19"/>
        <v>812.36333333333334</v>
      </c>
      <c r="U97" s="18">
        <f t="shared" si="20"/>
        <v>713.16250000000014</v>
      </c>
      <c r="V97" s="18">
        <f>'Monthly Data'!BR97</f>
        <v>0</v>
      </c>
      <c r="W97" s="18"/>
      <c r="X97" s="18"/>
      <c r="Y97" s="18"/>
      <c r="Z97" s="18"/>
      <c r="AA97" s="18">
        <f ca="1">(T97-U97)*'LC Predicted Monthly'!$T$12</f>
        <v>20309.716013861391</v>
      </c>
      <c r="AB97" s="18"/>
      <c r="AC97" s="18">
        <f t="shared" ca="1" si="14"/>
        <v>177045.71601386138</v>
      </c>
      <c r="AD97" s="18"/>
      <c r="AE97" s="18">
        <f t="shared" ca="1" si="15"/>
        <v>6277294.4044235535</v>
      </c>
    </row>
    <row r="98" spans="1:34">
      <c r="A98" s="541">
        <f>'Monthly Data'!A98</f>
        <v>45292</v>
      </c>
      <c r="B98">
        <f t="shared" si="16"/>
        <v>2024</v>
      </c>
      <c r="C98">
        <f t="shared" si="17"/>
        <v>1</v>
      </c>
      <c r="D98" s="30">
        <f>'Monthly Data'!N98</f>
        <v>6253607.9586970024</v>
      </c>
      <c r="E98" s="30"/>
      <c r="F98" s="30">
        <f>'Monthly Data'!AB98</f>
        <v>6249528.2786970027</v>
      </c>
      <c r="G98" s="33">
        <f t="shared" ca="1" si="21"/>
        <v>914.55166666666662</v>
      </c>
      <c r="H98" s="33">
        <f t="shared" ca="1" si="21"/>
        <v>0</v>
      </c>
      <c r="I98" s="33">
        <f>'Monthly Data'!AQ98</f>
        <v>829.07916666666677</v>
      </c>
      <c r="J98" s="33">
        <f>'Monthly Data'!BB98</f>
        <v>0</v>
      </c>
      <c r="L98" s="521"/>
      <c r="M98" s="18">
        <f ca="1">(G98-I98)*'GS&gt;50 Predicted Monthly (no LC)'!$P$10</f>
        <v>197911.20936089911</v>
      </c>
      <c r="N98" s="18">
        <f ca="1">(H98-J98)*'GS&gt;50 Predicted Monthly (no LC)'!$P$11</f>
        <v>0</v>
      </c>
      <c r="O98" s="18">
        <f t="shared" ca="1" si="13"/>
        <v>6447439.4880579021</v>
      </c>
      <c r="Q98" s="18">
        <f>'Monthly Data'!Y98</f>
        <v>4079.68</v>
      </c>
      <c r="R98" s="18">
        <f>'Monthly Data'!DN98</f>
        <v>0</v>
      </c>
      <c r="S98" s="18">
        <f>'Monthly Data'!DO98</f>
        <v>0</v>
      </c>
      <c r="T98" s="277">
        <f t="shared" ca="1" si="19"/>
        <v>914.55166666666662</v>
      </c>
      <c r="U98" s="18">
        <f t="shared" si="20"/>
        <v>829.07916666666677</v>
      </c>
      <c r="V98" s="18">
        <f>'Monthly Data'!BR98</f>
        <v>0</v>
      </c>
      <c r="W98" s="18"/>
      <c r="X98" s="18"/>
      <c r="Y98" s="18"/>
      <c r="Z98" s="18"/>
      <c r="AA98" s="18">
        <f ca="1">(T98-U98)*'LC Predicted Monthly'!$T$12</f>
        <v>17499.068744329434</v>
      </c>
      <c r="AB98" s="18"/>
      <c r="AC98" s="18">
        <f t="shared" ca="1" si="14"/>
        <v>21578.748744329434</v>
      </c>
      <c r="AD98" s="18"/>
      <c r="AE98" s="18">
        <f t="shared" ca="1" si="15"/>
        <v>6469018.2368022315</v>
      </c>
    </row>
    <row r="99" spans="1:34">
      <c r="A99" s="541">
        <f>'Monthly Data'!A99</f>
        <v>45323</v>
      </c>
      <c r="B99">
        <f t="shared" si="16"/>
        <v>2024</v>
      </c>
      <c r="C99">
        <f t="shared" si="17"/>
        <v>2</v>
      </c>
      <c r="D99" s="30">
        <f>'Monthly Data'!N99</f>
        <v>5644985.0132523365</v>
      </c>
      <c r="E99" s="30"/>
      <c r="F99" s="30">
        <f>'Monthly Data'!AB99</f>
        <v>5606591.5732523361</v>
      </c>
      <c r="G99" s="33">
        <f t="shared" ca="1" si="21"/>
        <v>803.82854166666664</v>
      </c>
      <c r="H99" s="33">
        <f t="shared" ca="1" si="21"/>
        <v>0</v>
      </c>
      <c r="I99" s="33">
        <f>'Monthly Data'!AQ99</f>
        <v>711.87916666666661</v>
      </c>
      <c r="J99" s="33">
        <f>'Monthly Data'!BB99</f>
        <v>0</v>
      </c>
      <c r="L99" s="521"/>
      <c r="M99" s="18">
        <f ca="1">(G99-I99)*'GS&gt;50 Predicted Monthly (no LC)'!$P$10</f>
        <v>212908.38581097851</v>
      </c>
      <c r="N99" s="18">
        <f ca="1">(H99-J99)*'GS&gt;50 Predicted Monthly (no LC)'!$P$11</f>
        <v>0</v>
      </c>
      <c r="O99" s="18">
        <f t="shared" ca="1" si="13"/>
        <v>5819499.9590633148</v>
      </c>
      <c r="Q99" s="18">
        <f>'Monthly Data'!Y99</f>
        <v>38393.440000000002</v>
      </c>
      <c r="R99" s="18">
        <f>'Monthly Data'!DN99</f>
        <v>0</v>
      </c>
      <c r="S99" s="18">
        <f>'Monthly Data'!DO99</f>
        <v>0</v>
      </c>
      <c r="T99" s="277">
        <f t="shared" ca="1" si="19"/>
        <v>803.82854166666664</v>
      </c>
      <c r="U99" s="18">
        <f t="shared" si="20"/>
        <v>711.87916666666661</v>
      </c>
      <c r="V99" s="18">
        <f>'Monthly Data'!BR99</f>
        <v>0</v>
      </c>
      <c r="W99" s="18"/>
      <c r="X99" s="18"/>
      <c r="Y99" s="18"/>
      <c r="Z99" s="18"/>
      <c r="AA99" s="18">
        <f ca="1">(T99-U99)*'LC Predicted Monthly'!$T$12</f>
        <v>18825.100870141036</v>
      </c>
      <c r="AB99" s="18"/>
      <c r="AC99" s="18">
        <f t="shared" ca="1" si="14"/>
        <v>57218.540870141034</v>
      </c>
      <c r="AD99" s="18"/>
      <c r="AE99" s="18">
        <f t="shared" ca="1" si="15"/>
        <v>5876718.4999334561</v>
      </c>
    </row>
    <row r="100" spans="1:34">
      <c r="A100" s="541">
        <f>'Monthly Data'!A100</f>
        <v>45352</v>
      </c>
      <c r="B100">
        <f t="shared" si="16"/>
        <v>2024</v>
      </c>
      <c r="C100">
        <f t="shared" si="17"/>
        <v>3</v>
      </c>
      <c r="D100" s="30">
        <f>'Monthly Data'!N100</f>
        <v>5687000.0678076707</v>
      </c>
      <c r="E100" s="30"/>
      <c r="F100" s="30">
        <f>'Monthly Data'!AB100</f>
        <v>5626603.7478076704</v>
      </c>
      <c r="G100" s="33">
        <f t="shared" ca="1" si="21"/>
        <v>698.29604166666672</v>
      </c>
      <c r="H100" s="33">
        <f t="shared" ca="1" si="21"/>
        <v>0.11000000000000032</v>
      </c>
      <c r="I100" s="33">
        <f>'Monthly Data'!AQ100</f>
        <v>596.57916666666665</v>
      </c>
      <c r="J100" s="33">
        <f>'Monthly Data'!BB100</f>
        <v>0</v>
      </c>
      <c r="L100" s="521"/>
      <c r="M100" s="18">
        <f ca="1">(G100-I100)*'GS&gt;50 Predicted Monthly (no LC)'!$P$10</f>
        <v>235524.99041985965</v>
      </c>
      <c r="N100" s="18">
        <f ca="1">(H100-J100)*'GS&gt;50 Predicted Monthly (no LC)'!$P$11</f>
        <v>594.2444084467578</v>
      </c>
      <c r="O100" s="18">
        <f t="shared" ca="1" si="13"/>
        <v>5862722.9826359767</v>
      </c>
      <c r="Q100" s="18">
        <f>'Monthly Data'!Y100</f>
        <v>60396.32</v>
      </c>
      <c r="R100" s="18">
        <f>'Monthly Data'!DN100</f>
        <v>0</v>
      </c>
      <c r="S100" s="18">
        <f>'Monthly Data'!DO100</f>
        <v>0</v>
      </c>
      <c r="T100" s="277">
        <f t="shared" ca="1" si="19"/>
        <v>698.29604166666672</v>
      </c>
      <c r="U100" s="18">
        <f t="shared" si="20"/>
        <v>596.57916666666665</v>
      </c>
      <c r="V100" s="18">
        <f>'Monthly Data'!BR100</f>
        <v>0</v>
      </c>
      <c r="W100" s="18"/>
      <c r="X100" s="18"/>
      <c r="Y100" s="18"/>
      <c r="Z100" s="18"/>
      <c r="AA100" s="18">
        <f ca="1">(T100-U100)*'LC Predicted Monthly'!$T$12</f>
        <v>20824.833579026803</v>
      </c>
      <c r="AB100" s="18"/>
      <c r="AC100" s="18">
        <f t="shared" ca="1" si="14"/>
        <v>81221.15357902681</v>
      </c>
      <c r="AD100" s="18"/>
      <c r="AE100" s="18">
        <f t="shared" ca="1" si="15"/>
        <v>5943944.1362150041</v>
      </c>
    </row>
    <row r="101" spans="1:34">
      <c r="A101" s="541">
        <f>'Monthly Data'!A101</f>
        <v>45383</v>
      </c>
      <c r="B101">
        <f t="shared" si="16"/>
        <v>2024</v>
      </c>
      <c r="C101">
        <f t="shared" si="17"/>
        <v>4</v>
      </c>
      <c r="D101" s="30">
        <f>'Monthly Data'!N101</f>
        <v>5089288.1223630048</v>
      </c>
      <c r="E101" s="30"/>
      <c r="F101" s="30">
        <f>'Monthly Data'!AB101</f>
        <v>5088750.3623630051</v>
      </c>
      <c r="G101" s="33">
        <f t="shared" ca="1" si="21"/>
        <v>468.60374999999993</v>
      </c>
      <c r="H101" s="33">
        <f t="shared" ca="1" si="21"/>
        <v>7.7354166666666684</v>
      </c>
      <c r="I101" s="33">
        <f>'Monthly Data'!AQ101</f>
        <v>417.11249999999995</v>
      </c>
      <c r="J101" s="33">
        <f>'Monthly Data'!BB101</f>
        <v>7.8500000000000032</v>
      </c>
      <c r="L101" s="521"/>
      <c r="M101" s="18">
        <f ca="1">(G101-I101)*'GS&gt;50 Predicted Monthly (no LC)'!$P$10</f>
        <v>119227.76985585317</v>
      </c>
      <c r="N101" s="18">
        <f ca="1">(H101-J101)*'GS&gt;50 Predicted Monthly (no LC)'!$P$11</f>
        <v>-619.00459213204567</v>
      </c>
      <c r="O101" s="18">
        <f t="shared" ca="1" si="13"/>
        <v>5207359.1276267264</v>
      </c>
      <c r="Q101" s="18">
        <f>'Monthly Data'!Y101</f>
        <v>537.76</v>
      </c>
      <c r="R101" s="18">
        <f>'Monthly Data'!DN101</f>
        <v>0</v>
      </c>
      <c r="S101" s="18">
        <f>'Monthly Data'!DO101</f>
        <v>0</v>
      </c>
      <c r="T101" s="277">
        <f t="shared" ca="1" si="19"/>
        <v>468.60374999999993</v>
      </c>
      <c r="U101" s="18">
        <f t="shared" si="20"/>
        <v>417.11249999999995</v>
      </c>
      <c r="V101" s="18">
        <f>'Monthly Data'!BR101</f>
        <v>0</v>
      </c>
      <c r="W101" s="18"/>
      <c r="X101" s="18"/>
      <c r="Y101" s="18"/>
      <c r="Z101" s="18"/>
      <c r="AA101" s="18">
        <f ca="1">(T101-U101)*'LC Predicted Monthly'!$T$12</f>
        <v>10541.974593950736</v>
      </c>
      <c r="AB101" s="18"/>
      <c r="AC101" s="18">
        <f t="shared" ca="1" si="14"/>
        <v>11079.734593950736</v>
      </c>
      <c r="AD101" s="18"/>
      <c r="AE101" s="18">
        <f t="shared" ca="1" si="15"/>
        <v>5218438.8622206766</v>
      </c>
    </row>
    <row r="102" spans="1:34">
      <c r="A102" s="541">
        <f>'Monthly Data'!A102</f>
        <v>45413</v>
      </c>
      <c r="B102">
        <f t="shared" si="16"/>
        <v>2024</v>
      </c>
      <c r="C102">
        <f t="shared" si="17"/>
        <v>5</v>
      </c>
      <c r="D102" s="30">
        <f>'Monthly Data'!N102</f>
        <v>5269158.176918339</v>
      </c>
      <c r="E102" s="30"/>
      <c r="F102" s="30">
        <f>'Monthly Data'!AB102</f>
        <v>5269132.5769183394</v>
      </c>
      <c r="G102" s="33">
        <f t="shared" ca="1" si="21"/>
        <v>232.88687500000006</v>
      </c>
      <c r="H102" s="33">
        <f t="shared" ca="1" si="21"/>
        <v>111.43645833333332</v>
      </c>
      <c r="I102" s="33">
        <f>'Monthly Data'!AQ102</f>
        <v>162.30416666666667</v>
      </c>
      <c r="J102" s="33">
        <f>'Monthly Data'!BB102</f>
        <v>148.82500000000002</v>
      </c>
      <c r="L102" s="521"/>
      <c r="M102" s="18">
        <f ca="1">(G102-I102)*'GS&gt;50 Predicted Monthly (no LC)'!$P$10</f>
        <v>163433.9602353698</v>
      </c>
      <c r="N102" s="18">
        <f ca="1">(H102-J102)*'GS&gt;50 Predicted Monthly (no LC)'!$P$11</f>
        <v>-201981.19841268405</v>
      </c>
      <c r="O102" s="18">
        <f t="shared" ca="1" si="13"/>
        <v>5230585.338741025</v>
      </c>
      <c r="Q102" s="18">
        <f>'Monthly Data'!Y102</f>
        <v>25.6</v>
      </c>
      <c r="R102" s="18">
        <f>'Monthly Data'!DN102</f>
        <v>0</v>
      </c>
      <c r="S102" s="18">
        <f>'Monthly Data'!DO102</f>
        <v>0</v>
      </c>
      <c r="T102" s="277">
        <f t="shared" ca="1" si="19"/>
        <v>232.88687500000006</v>
      </c>
      <c r="U102" s="18">
        <f t="shared" si="20"/>
        <v>162.30416666666667</v>
      </c>
      <c r="V102" s="18">
        <f>'Monthly Data'!BR102</f>
        <v>0</v>
      </c>
      <c r="W102" s="18"/>
      <c r="X102" s="18"/>
      <c r="Y102" s="18"/>
      <c r="Z102" s="18"/>
      <c r="AA102" s="18">
        <f ca="1">(T102-U102)*'LC Predicted Monthly'!$T$12</f>
        <v>14450.632253484537</v>
      </c>
      <c r="AB102" s="18"/>
      <c r="AC102" s="18">
        <f t="shared" ca="1" si="14"/>
        <v>14476.232253484537</v>
      </c>
      <c r="AD102" s="18"/>
      <c r="AE102" s="18">
        <f t="shared" ca="1" si="15"/>
        <v>5245061.5709945094</v>
      </c>
    </row>
    <row r="103" spans="1:34">
      <c r="A103" s="541">
        <f>'Monthly Data'!A103</f>
        <v>45444</v>
      </c>
      <c r="B103">
        <f t="shared" si="16"/>
        <v>2024</v>
      </c>
      <c r="C103">
        <f t="shared" si="17"/>
        <v>6</v>
      </c>
      <c r="D103" s="30">
        <f>'Monthly Data'!N103</f>
        <v>5374172.2314736731</v>
      </c>
      <c r="E103" s="30"/>
      <c r="F103" s="30">
        <f>'Monthly Data'!AB103</f>
        <v>5374140.2314736731</v>
      </c>
      <c r="G103" s="33">
        <f t="shared" ca="1" si="21"/>
        <v>92.751249999999999</v>
      </c>
      <c r="H103" s="33">
        <f t="shared" ca="1" si="21"/>
        <v>227.31958333333333</v>
      </c>
      <c r="I103" s="33">
        <f>'Monthly Data'!AQ103</f>
        <v>82.241666666666674</v>
      </c>
      <c r="J103" s="33">
        <f>'Monthly Data'!BB103</f>
        <v>245.28333333333333</v>
      </c>
      <c r="L103" s="521"/>
      <c r="M103" s="18">
        <f ca="1">(G103-I103)*'GS&gt;50 Predicted Monthly (no LC)'!$P$10</f>
        <v>24334.895403540919</v>
      </c>
      <c r="N103" s="18">
        <f ca="1">(H103-J103)*'GS&gt;50 Predicted Monthly (no LC)'!$P$11</f>
        <v>-97044.163565776529</v>
      </c>
      <c r="O103" s="18">
        <f t="shared" ca="1" si="13"/>
        <v>5301430.9633114375</v>
      </c>
      <c r="Q103" s="18">
        <f>'Monthly Data'!Y103</f>
        <v>32</v>
      </c>
      <c r="R103" s="18">
        <f>'Monthly Data'!DN103</f>
        <v>0</v>
      </c>
      <c r="S103" s="18">
        <f>'Monthly Data'!DO103</f>
        <v>0</v>
      </c>
      <c r="T103" s="277">
        <f t="shared" ca="1" si="19"/>
        <v>92.751249999999999</v>
      </c>
      <c r="U103" s="18">
        <f t="shared" si="20"/>
        <v>82.241666666666674</v>
      </c>
      <c r="V103" s="18">
        <f>'Monthly Data'!BR103</f>
        <v>0</v>
      </c>
      <c r="W103" s="18"/>
      <c r="X103" s="18"/>
      <c r="Y103" s="18"/>
      <c r="Z103" s="18"/>
      <c r="AA103" s="18">
        <f ca="1">(T103-U103)*'LC Predicted Monthly'!$T$12</f>
        <v>2151.661893875329</v>
      </c>
      <c r="AB103" s="18"/>
      <c r="AC103" s="18">
        <f t="shared" ca="1" si="14"/>
        <v>2183.661893875329</v>
      </c>
      <c r="AD103" s="18"/>
      <c r="AE103" s="18">
        <f t="shared" ca="1" si="15"/>
        <v>5303614.6252053129</v>
      </c>
    </row>
    <row r="104" spans="1:34">
      <c r="A104" s="541">
        <f>'Monthly Data'!A104</f>
        <v>45474</v>
      </c>
      <c r="B104">
        <f t="shared" si="16"/>
        <v>2024</v>
      </c>
      <c r="C104">
        <f t="shared" si="17"/>
        <v>7</v>
      </c>
      <c r="D104" s="30">
        <f>'Monthly Data'!N104</f>
        <v>5847813.2860290073</v>
      </c>
      <c r="E104" s="30"/>
      <c r="F104" s="30">
        <f>'Monthly Data'!AB104</f>
        <v>5841560.4860290075</v>
      </c>
      <c r="G104" s="33">
        <f t="shared" ca="1" si="21"/>
        <v>25.464999999999996</v>
      </c>
      <c r="H104" s="33">
        <f t="shared" ca="1" si="21"/>
        <v>327.99625000000003</v>
      </c>
      <c r="I104" s="33">
        <f>'Monthly Data'!AQ104</f>
        <v>17.166666666666668</v>
      </c>
      <c r="J104" s="33">
        <f>'Monthly Data'!BB104</f>
        <v>336.14166666666665</v>
      </c>
      <c r="L104" s="521"/>
      <c r="M104" s="18">
        <f ca="1">(G104-I104)*'GS&gt;50 Predicted Monthly (no LC)'!$P$10</f>
        <v>19214.755455612776</v>
      </c>
      <c r="N104" s="18">
        <f ca="1">(H104-J104)*'GS&gt;50 Predicted Monthly (no LC)'!$P$11</f>
        <v>-44003.348260324121</v>
      </c>
      <c r="O104" s="18">
        <f t="shared" ca="1" si="13"/>
        <v>5816771.8932242962</v>
      </c>
      <c r="Q104" s="18">
        <f>'Monthly Data'!Y104</f>
        <v>6252.8</v>
      </c>
      <c r="R104" s="18">
        <f>'Monthly Data'!DN104</f>
        <v>0</v>
      </c>
      <c r="S104" s="18">
        <f>'Monthly Data'!DO104</f>
        <v>0</v>
      </c>
      <c r="T104" s="277">
        <f t="shared" ca="1" si="19"/>
        <v>25.464999999999996</v>
      </c>
      <c r="U104" s="18">
        <f t="shared" si="20"/>
        <v>17.166666666666668</v>
      </c>
      <c r="V104" s="18">
        <f>'Monthly Data'!BR104</f>
        <v>0</v>
      </c>
      <c r="W104" s="18"/>
      <c r="X104" s="18"/>
      <c r="Y104" s="18"/>
      <c r="Z104" s="18"/>
      <c r="AA104" s="18">
        <f ca="1">(T104-U104)*'LC Predicted Monthly'!$T$12</f>
        <v>1698.9453387155002</v>
      </c>
      <c r="AB104" s="18"/>
      <c r="AC104" s="18">
        <f t="shared" ca="1" si="14"/>
        <v>7951.7453387155001</v>
      </c>
      <c r="AD104" s="18"/>
      <c r="AE104" s="18">
        <f t="shared" ca="1" si="15"/>
        <v>5824723.6385630118</v>
      </c>
    </row>
    <row r="105" spans="1:34">
      <c r="A105" s="541">
        <f>'Monthly Data'!A105</f>
        <v>45505</v>
      </c>
      <c r="B105">
        <f t="shared" si="16"/>
        <v>2024</v>
      </c>
      <c r="C105">
        <f t="shared" si="17"/>
        <v>8</v>
      </c>
      <c r="D105" s="30">
        <f>'Monthly Data'!N105</f>
        <v>5588978.3405843414</v>
      </c>
      <c r="E105" s="30"/>
      <c r="F105" s="30">
        <f>'Monthly Data'!AB105</f>
        <v>5588607.1405843413</v>
      </c>
      <c r="G105" s="33">
        <f t="shared" ca="1" si="21"/>
        <v>54.974791666666668</v>
      </c>
      <c r="H105" s="33">
        <f t="shared" ca="1" si="21"/>
        <v>280.40312500000005</v>
      </c>
      <c r="I105" s="33">
        <f>'Monthly Data'!AQ105</f>
        <v>63.7</v>
      </c>
      <c r="J105" s="33">
        <f>'Monthly Data'!BB105</f>
        <v>274.65000000000003</v>
      </c>
      <c r="L105" s="521"/>
      <c r="M105" s="18">
        <f ca="1">(G105-I105)*'GS&gt;50 Predicted Monthly (no LC)'!$P$10</f>
        <v>-20203.182698245611</v>
      </c>
      <c r="N105" s="18">
        <f ca="1">(H105-J105)*'GS&gt;50 Predicted Monthly (no LC)'!$P$11</f>
        <v>31079.657839502277</v>
      </c>
      <c r="O105" s="18">
        <f t="shared" ca="1" si="13"/>
        <v>5599483.6157255983</v>
      </c>
      <c r="Q105" s="18">
        <f>'Monthly Data'!Y105</f>
        <v>371.2</v>
      </c>
      <c r="R105" s="18">
        <f>'Monthly Data'!DN105</f>
        <v>0</v>
      </c>
      <c r="S105" s="18">
        <f>'Monthly Data'!DO105</f>
        <v>0</v>
      </c>
      <c r="T105" s="277">
        <f t="shared" ca="1" si="19"/>
        <v>54.974791666666668</v>
      </c>
      <c r="U105" s="18">
        <f t="shared" si="20"/>
        <v>63.7</v>
      </c>
      <c r="V105" s="18">
        <f>'Monthly Data'!BR105</f>
        <v>0</v>
      </c>
      <c r="W105" s="18"/>
      <c r="X105" s="18"/>
      <c r="Y105" s="18"/>
      <c r="Z105" s="18"/>
      <c r="AA105" s="18">
        <f ca="1">(T105-U105)*'LC Predicted Monthly'!$T$12</f>
        <v>-1786.3408749433599</v>
      </c>
      <c r="AB105" s="18"/>
      <c r="AC105" s="18">
        <f t="shared" ca="1" si="14"/>
        <v>-1415.1408749433599</v>
      </c>
      <c r="AD105" s="18"/>
      <c r="AE105" s="18">
        <f t="shared" ca="1" si="15"/>
        <v>5598068.4748506555</v>
      </c>
    </row>
    <row r="106" spans="1:34">
      <c r="A106" s="541">
        <f>'Monthly Data'!A106</f>
        <v>45536</v>
      </c>
      <c r="B106">
        <f t="shared" si="16"/>
        <v>2024</v>
      </c>
      <c r="C106">
        <f t="shared" si="17"/>
        <v>9</v>
      </c>
      <c r="D106" s="30">
        <f>'Monthly Data'!N106</f>
        <v>5358949.3951396765</v>
      </c>
      <c r="E106" s="30"/>
      <c r="F106" s="30">
        <f>'Monthly Data'!AB106</f>
        <v>5358645.3951396765</v>
      </c>
      <c r="G106" s="33">
        <f t="shared" ca="1" si="21"/>
        <v>166.50624999999999</v>
      </c>
      <c r="H106" s="33">
        <f t="shared" ca="1" si="21"/>
        <v>144.00333333333333</v>
      </c>
      <c r="I106" s="33">
        <f>'Monthly Data'!AQ106</f>
        <v>120.98333333333333</v>
      </c>
      <c r="J106" s="33">
        <f>'Monthly Data'!BB106</f>
        <v>181.45</v>
      </c>
      <c r="L106" s="521"/>
      <c r="M106" s="18">
        <f ca="1">(G106-I106)*'GS&gt;50 Predicted Monthly (no LC)'!$P$10</f>
        <v>105408.11946690976</v>
      </c>
      <c r="N106" s="18">
        <f ca="1">(H106-J106)*'GS&gt;50 Predicted Monthly (no LC)'!$P$11</f>
        <v>-202295.20256032899</v>
      </c>
      <c r="O106" s="18">
        <f t="shared" ca="1" si="13"/>
        <v>5261758.3120462578</v>
      </c>
      <c r="Q106" s="18">
        <f>'Monthly Data'!Y106</f>
        <v>304</v>
      </c>
      <c r="R106" s="18">
        <f>'Monthly Data'!DN106</f>
        <v>0</v>
      </c>
      <c r="S106" s="18">
        <f>'Monthly Data'!DO106</f>
        <v>0</v>
      </c>
      <c r="T106" s="277">
        <f t="shared" ca="1" si="19"/>
        <v>166.50624999999999</v>
      </c>
      <c r="U106" s="18">
        <f t="shared" si="20"/>
        <v>120.98333333333333</v>
      </c>
      <c r="V106" s="18">
        <f>'Monthly Data'!BR106</f>
        <v>1</v>
      </c>
      <c r="W106" s="18"/>
      <c r="X106" s="18"/>
      <c r="Y106" s="18"/>
      <c r="Z106" s="18"/>
      <c r="AA106" s="18">
        <f ca="1">(T106-U106)*'LC Predicted Monthly'!$T$12</f>
        <v>9320.0578922154073</v>
      </c>
      <c r="AB106" s="18"/>
      <c r="AC106" s="18">
        <f t="shared" ca="1" si="14"/>
        <v>9624.0578922154073</v>
      </c>
      <c r="AD106" s="18"/>
      <c r="AE106" s="18">
        <f t="shared" ca="1" si="15"/>
        <v>5271382.3699384732</v>
      </c>
    </row>
    <row r="107" spans="1:34">
      <c r="A107" s="541">
        <f>'Monthly Data'!A107</f>
        <v>45566</v>
      </c>
      <c r="B107">
        <f t="shared" si="16"/>
        <v>2024</v>
      </c>
      <c r="C107">
        <f t="shared" si="17"/>
        <v>10</v>
      </c>
      <c r="D107" s="30">
        <f>'Monthly Data'!N107</f>
        <v>5365372.4496950107</v>
      </c>
      <c r="E107" s="30"/>
      <c r="F107" s="30">
        <f>'Monthly Data'!AB107</f>
        <v>5216942.0496950103</v>
      </c>
      <c r="G107" s="33">
        <f t="shared" ca="1" si="21"/>
        <v>363.47645833333326</v>
      </c>
      <c r="H107" s="33">
        <f t="shared" ca="1" si="21"/>
        <v>40.02791666666667</v>
      </c>
      <c r="I107" s="33">
        <f>'Monthly Data'!AQ107</f>
        <v>360.05833333333328</v>
      </c>
      <c r="J107" s="33">
        <f>'Monthly Data'!BB107</f>
        <v>39.741666666666674</v>
      </c>
      <c r="L107" s="521"/>
      <c r="M107" s="18">
        <f ca="1">(G107-I107)*'GS&gt;50 Predicted Monthly (no LC)'!$P$10</f>
        <v>7914.6538652399249</v>
      </c>
      <c r="N107" s="18">
        <f ca="1">(H107-J107)*'GS&gt;50 Predicted Monthly (no LC)'!$P$11</f>
        <v>1546.386017435284</v>
      </c>
      <c r="O107" s="18">
        <f t="shared" ca="1" si="13"/>
        <v>5226403.0895776851</v>
      </c>
      <c r="Q107" s="18">
        <f>'Monthly Data'!Y107</f>
        <v>148430.39999999999</v>
      </c>
      <c r="R107" s="18">
        <f>'Monthly Data'!DN107</f>
        <v>0</v>
      </c>
      <c r="S107" s="18">
        <f>'Monthly Data'!DO107</f>
        <v>0</v>
      </c>
      <c r="T107" s="277">
        <f t="shared" ca="1" si="19"/>
        <v>363.47645833333326</v>
      </c>
      <c r="U107" s="18">
        <f t="shared" si="20"/>
        <v>360.05833333333328</v>
      </c>
      <c r="V107" s="18">
        <f>'Monthly Data'!BR107</f>
        <v>1</v>
      </c>
      <c r="W107" s="18"/>
      <c r="X107" s="18"/>
      <c r="Y107" s="18"/>
      <c r="Z107" s="18"/>
      <c r="AA107" s="18">
        <f ca="1">(T107-U107)*'LC Predicted Monthly'!$T$12</f>
        <v>699.80408144971443</v>
      </c>
      <c r="AB107" s="18"/>
      <c r="AC107" s="18">
        <f t="shared" ca="1" si="14"/>
        <v>149130.20408144972</v>
      </c>
      <c r="AD107" s="18"/>
      <c r="AE107" s="18">
        <f t="shared" ca="1" si="15"/>
        <v>5375533.2936591348</v>
      </c>
    </row>
    <row r="108" spans="1:34">
      <c r="A108" s="541">
        <f>'Monthly Data'!A108</f>
        <v>45597</v>
      </c>
      <c r="B108">
        <f t="shared" si="16"/>
        <v>2024</v>
      </c>
      <c r="C108">
        <f t="shared" si="17"/>
        <v>11</v>
      </c>
      <c r="D108" s="30">
        <f>'Monthly Data'!N108</f>
        <v>5333654.5042503448</v>
      </c>
      <c r="E108" s="30"/>
      <c r="F108" s="30">
        <f>'Monthly Data'!AB108</f>
        <v>5269712.9042503452</v>
      </c>
      <c r="G108" s="33">
        <f t="shared" ca="1" si="21"/>
        <v>586.00395833333334</v>
      </c>
      <c r="H108" s="33">
        <f t="shared" ca="1" si="21"/>
        <v>4.5920833333333331</v>
      </c>
      <c r="I108" s="33">
        <f>'Monthly Data'!AQ108</f>
        <v>506.44583333333338</v>
      </c>
      <c r="J108" s="33">
        <f>'Monthly Data'!BB108</f>
        <v>6.6374999999999975</v>
      </c>
      <c r="L108" s="521"/>
      <c r="M108" s="18">
        <f ca="1">(G108-I108)*'GS&gt;50 Predicted Monthly (no LC)'!$P$10</f>
        <v>184216.49926275236</v>
      </c>
      <c r="N108" s="18">
        <f ca="1">(H108-J108)*'GS&gt;50 Predicted Monthly (no LC)'!$P$11</f>
        <v>-11049.794701004252</v>
      </c>
      <c r="O108" s="18">
        <f t="shared" ca="1" si="13"/>
        <v>5442879.6088120928</v>
      </c>
      <c r="Q108" s="18">
        <f>'Monthly Data'!Y108</f>
        <v>63941.599999999999</v>
      </c>
      <c r="R108" s="18">
        <f>'Monthly Data'!DN108</f>
        <v>0</v>
      </c>
      <c r="S108" s="18">
        <f>'Monthly Data'!DO108</f>
        <v>0</v>
      </c>
      <c r="T108" s="277">
        <f t="shared" ca="1" si="19"/>
        <v>586.00395833333334</v>
      </c>
      <c r="U108" s="18">
        <f t="shared" si="20"/>
        <v>506.44583333333338</v>
      </c>
      <c r="V108" s="18">
        <f>'Monthly Data'!BR108</f>
        <v>1</v>
      </c>
      <c r="W108" s="18"/>
      <c r="X108" s="18"/>
      <c r="Y108" s="18"/>
      <c r="Z108" s="18"/>
      <c r="AA108" s="18">
        <f ca="1">(T108-U108)*'LC Predicted Monthly'!$T$12</f>
        <v>16288.199111351089</v>
      </c>
      <c r="AB108" s="18"/>
      <c r="AC108" s="18">
        <f t="shared" ca="1" si="14"/>
        <v>80229.79911135108</v>
      </c>
      <c r="AD108" s="18"/>
      <c r="AE108" s="18">
        <f t="shared" ca="1" si="15"/>
        <v>5523109.4079234432</v>
      </c>
    </row>
    <row r="109" spans="1:34">
      <c r="A109" s="541">
        <f>'Monthly Data'!A109</f>
        <v>45627</v>
      </c>
      <c r="B109">
        <f t="shared" si="16"/>
        <v>2024</v>
      </c>
      <c r="C109">
        <f t="shared" si="17"/>
        <v>12</v>
      </c>
      <c r="D109" s="30">
        <f>'Monthly Data'!N109</f>
        <v>6275377.558805679</v>
      </c>
      <c r="E109" s="30"/>
      <c r="F109" s="30">
        <f>'Monthly Data'!AB109</f>
        <v>5848692.7588056792</v>
      </c>
      <c r="G109" s="33">
        <f t="shared" ca="1" si="21"/>
        <v>812.36333333333334</v>
      </c>
      <c r="H109" s="33">
        <f t="shared" ca="1" si="21"/>
        <v>0</v>
      </c>
      <c r="I109" s="33">
        <f>'Monthly Data'!AQ109</f>
        <v>796.64791666666656</v>
      </c>
      <c r="J109" s="33">
        <f>'Monthly Data'!BB109</f>
        <v>0</v>
      </c>
      <c r="L109" s="521"/>
      <c r="M109" s="18">
        <f ca="1">(G109-I109)*'GS&gt;50 Predicted Monthly (no LC)'!$P$10</f>
        <v>36388.980293199078</v>
      </c>
      <c r="N109" s="18">
        <f ca="1">(H109-J109)*'GS&gt;50 Predicted Monthly (no LC)'!$P$11</f>
        <v>0</v>
      </c>
      <c r="O109" s="18">
        <f t="shared" ca="1" si="13"/>
        <v>5885081.7390988786</v>
      </c>
      <c r="Q109" s="18">
        <f>'Monthly Data'!Y109</f>
        <v>426684.8</v>
      </c>
      <c r="R109" s="18">
        <f>'Monthly Data'!DN109</f>
        <v>0</v>
      </c>
      <c r="S109" s="18">
        <f>'Monthly Data'!DO109</f>
        <v>0</v>
      </c>
      <c r="T109" s="277">
        <f t="shared" ca="1" si="19"/>
        <v>812.36333333333334</v>
      </c>
      <c r="U109" s="18">
        <f t="shared" si="20"/>
        <v>796.64791666666656</v>
      </c>
      <c r="V109" s="18">
        <f>'Monthly Data'!BR109</f>
        <v>0</v>
      </c>
      <c r="W109" s="18"/>
      <c r="X109" s="18"/>
      <c r="Y109" s="18"/>
      <c r="Z109" s="18"/>
      <c r="AA109" s="18">
        <f ca="1">(T109-U109)*'LC Predicted Monthly'!$T$12</f>
        <v>3217.4694386590195</v>
      </c>
      <c r="AB109" s="18"/>
      <c r="AC109" s="18">
        <f t="shared" ca="1" si="14"/>
        <v>429902.26943865902</v>
      </c>
      <c r="AD109" s="18"/>
      <c r="AE109" s="18">
        <f t="shared" ca="1" si="15"/>
        <v>6314984.0085375374</v>
      </c>
    </row>
    <row r="110" spans="1:34">
      <c r="A110" s="541">
        <f>'Monthly Data'!A110</f>
        <v>45658</v>
      </c>
      <c r="B110">
        <f t="shared" si="16"/>
        <v>2025</v>
      </c>
      <c r="C110">
        <f t="shared" si="17"/>
        <v>1</v>
      </c>
      <c r="D110" s="30">
        <f>'Monthly Data'!N110</f>
        <v>6397150.1120626032</v>
      </c>
      <c r="E110" s="30"/>
      <c r="F110" s="30">
        <f>'Monthly Data'!AB110</f>
        <v>6253700.5120626036</v>
      </c>
      <c r="G110" s="33">
        <f t="shared" ref="G110:H121" ca="1" si="22">G98</f>
        <v>914.55166666666662</v>
      </c>
      <c r="H110" s="33">
        <f t="shared" ca="1" si="22"/>
        <v>0</v>
      </c>
      <c r="I110" s="33">
        <f>'Monthly Data'!AQ110</f>
        <v>930.57291666666663</v>
      </c>
      <c r="J110" s="33">
        <f>'Monthly Data'!BB110</f>
        <v>0</v>
      </c>
      <c r="L110" s="521"/>
      <c r="M110" s="18">
        <f ca="1">(G110-I110)*'GS&gt;50 Predicted Monthly (no LC)'!$P$10</f>
        <v>-37097.136072693698</v>
      </c>
      <c r="N110" s="18">
        <f ca="1">(H110-J110)*'GS&gt;50 Predicted Monthly (no LC)'!$P$11</f>
        <v>0</v>
      </c>
      <c r="O110" s="18">
        <f t="shared" ca="1" si="13"/>
        <v>6216603.3759899102</v>
      </c>
      <c r="Q110" s="18">
        <f>'Monthly Data'!Y110</f>
        <v>143449.60000000001</v>
      </c>
      <c r="R110" s="18">
        <f>'Monthly Data'!DN110</f>
        <v>0</v>
      </c>
      <c r="S110" s="18">
        <f>'Monthly Data'!DO110</f>
        <v>0</v>
      </c>
      <c r="T110" s="277">
        <f t="shared" ca="1" si="19"/>
        <v>914.55166666666662</v>
      </c>
      <c r="U110" s="18">
        <f t="shared" si="20"/>
        <v>930.57291666666663</v>
      </c>
      <c r="V110" s="18">
        <f>'Monthly Data'!BR110</f>
        <v>0</v>
      </c>
      <c r="W110" s="18"/>
      <c r="X110" s="18"/>
      <c r="Y110" s="18"/>
      <c r="Z110" s="18"/>
      <c r="AA110" s="18">
        <f ca="1">(T110-U110)*'LC Predicted Monthly'!$T$12</f>
        <v>-3280.0837125401572</v>
      </c>
      <c r="AB110" s="18"/>
      <c r="AC110" s="18">
        <f t="shared" ca="1" si="14"/>
        <v>140169.51628745985</v>
      </c>
      <c r="AD110" s="18"/>
      <c r="AE110" s="18">
        <f t="shared" ca="1" si="15"/>
        <v>6356772.8922773693</v>
      </c>
    </row>
    <row r="111" spans="1:34">
      <c r="A111" s="541">
        <f>'Monthly Data'!A111</f>
        <v>45689</v>
      </c>
      <c r="B111">
        <f t="shared" si="16"/>
        <v>2025</v>
      </c>
      <c r="C111">
        <f t="shared" si="17"/>
        <v>2</v>
      </c>
      <c r="D111" s="30">
        <f>'Monthly Data'!N111</f>
        <v>6043124.5591707714</v>
      </c>
      <c r="E111" s="30"/>
      <c r="F111" s="30">
        <f>'Monthly Data'!AB111</f>
        <v>5650064.5591707714</v>
      </c>
      <c r="G111" s="33">
        <f t="shared" ca="1" si="22"/>
        <v>803.82854166666664</v>
      </c>
      <c r="H111" s="33">
        <f t="shared" ca="1" si="22"/>
        <v>0</v>
      </c>
      <c r="I111" s="33">
        <f>'Monthly Data'!AQ111</f>
        <v>851.05000000000007</v>
      </c>
      <c r="J111" s="33">
        <f>'Monthly Data'!BB111</f>
        <v>0</v>
      </c>
      <c r="L111" s="521"/>
      <c r="M111" s="18">
        <f ca="1">(G111-I111)*'GS&gt;50 Predicted Monthly (no LC)'!$P$10</f>
        <v>-109341.08545479941</v>
      </c>
      <c r="N111" s="18">
        <f ca="1">(H111-J111)*'GS&gt;50 Predicted Monthly (no LC)'!$P$11</f>
        <v>0</v>
      </c>
      <c r="O111" s="18">
        <f t="shared" ca="1" si="13"/>
        <v>5540723.4737159722</v>
      </c>
      <c r="Q111" s="18">
        <f>'Monthly Data'!Y111</f>
        <v>393060</v>
      </c>
      <c r="R111" s="18">
        <f>'Monthly Data'!DN111</f>
        <v>0</v>
      </c>
      <c r="S111" s="18">
        <f>'Monthly Data'!DO111</f>
        <v>0</v>
      </c>
      <c r="T111" s="277">
        <f t="shared" ca="1" si="19"/>
        <v>803.82854166666664</v>
      </c>
      <c r="U111" s="18">
        <f t="shared" si="20"/>
        <v>851.05000000000007</v>
      </c>
      <c r="V111" s="18">
        <f>'Monthly Data'!BR111</f>
        <v>0</v>
      </c>
      <c r="W111" s="18"/>
      <c r="X111" s="18"/>
      <c r="Y111" s="18"/>
      <c r="Z111" s="18"/>
      <c r="AA111" s="18">
        <f ca="1">(T111-U111)*'LC Predicted Monthly'!$T$12</f>
        <v>-9667.8059677965575</v>
      </c>
      <c r="AB111" s="18"/>
      <c r="AC111" s="18">
        <f t="shared" ca="1" si="14"/>
        <v>383392.19403220346</v>
      </c>
      <c r="AD111" s="18"/>
      <c r="AE111" s="18">
        <f t="shared" ca="1" si="15"/>
        <v>5924115.6677481756</v>
      </c>
    </row>
    <row r="112" spans="1:34">
      <c r="A112" s="541">
        <f>'Monthly Data'!A112</f>
        <v>45717</v>
      </c>
      <c r="B112">
        <f t="shared" si="16"/>
        <v>2025</v>
      </c>
      <c r="C112">
        <f t="shared" si="17"/>
        <v>3</v>
      </c>
      <c r="D112" s="30">
        <f>'Monthly Data'!N112</f>
        <v>5823009.0062789395</v>
      </c>
      <c r="E112" s="30"/>
      <c r="F112" s="30">
        <f>'Monthly Data'!AB112</f>
        <v>5728253.8062789394</v>
      </c>
      <c r="G112" s="33">
        <f t="shared" ca="1" si="22"/>
        <v>698.29604166666672</v>
      </c>
      <c r="H112" s="33">
        <f t="shared" ca="1" si="22"/>
        <v>0.11000000000000032</v>
      </c>
      <c r="I112" s="33">
        <f>'Monthly Data'!AQ112</f>
        <v>682.18333333333362</v>
      </c>
      <c r="J112" s="33">
        <f>'Monthly Data'!BB112</f>
        <v>0</v>
      </c>
      <c r="L112" s="521"/>
      <c r="M112" s="18">
        <f ca="1">(G112-I112)*'GS&gt;50 Predicted Monthly (no LC)'!$P$10</f>
        <v>37308.907453618383</v>
      </c>
      <c r="N112" s="18">
        <f ca="1">(H112-J112)*'GS&gt;50 Predicted Monthly (no LC)'!$P$11</f>
        <v>594.2444084467578</v>
      </c>
      <c r="O112" s="18">
        <f t="shared" ca="1" si="13"/>
        <v>5766156.9581410037</v>
      </c>
      <c r="Q112" s="18">
        <f>'Monthly Data'!Y112</f>
        <v>94755.199999999997</v>
      </c>
      <c r="R112" s="18">
        <f>'Monthly Data'!DN112</f>
        <v>0</v>
      </c>
      <c r="S112" s="18">
        <f>'Monthly Data'!DO112</f>
        <v>0</v>
      </c>
      <c r="T112" s="277">
        <f t="shared" ca="1" si="19"/>
        <v>698.29604166666672</v>
      </c>
      <c r="U112" s="18">
        <f t="shared" si="20"/>
        <v>682.18333333333362</v>
      </c>
      <c r="V112" s="18">
        <f>'Monthly Data'!BR112</f>
        <v>0</v>
      </c>
      <c r="W112" s="18"/>
      <c r="X112" s="18"/>
      <c r="Y112" s="18"/>
      <c r="Z112" s="18"/>
      <c r="AA112" s="18">
        <f ca="1">(T112-U112)*'LC Predicted Monthly'!$T$12</f>
        <v>3298.8082808192835</v>
      </c>
      <c r="AB112" s="18"/>
      <c r="AC112" s="18">
        <f t="shared" ca="1" si="14"/>
        <v>98054.008280819282</v>
      </c>
      <c r="AD112" s="18"/>
      <c r="AE112" s="18">
        <f t="shared" ca="1" si="15"/>
        <v>5864210.966421823</v>
      </c>
      <c r="AG112" s="18"/>
      <c r="AH112" s="34"/>
    </row>
    <row r="113" spans="1:34">
      <c r="A113" s="541">
        <f>'Monthly Data'!A113</f>
        <v>45748</v>
      </c>
      <c r="B113">
        <f t="shared" si="16"/>
        <v>2025</v>
      </c>
      <c r="C113">
        <f t="shared" si="17"/>
        <v>4</v>
      </c>
      <c r="D113" s="30">
        <f>'Monthly Data'!N113</f>
        <v>5161102.4533871077</v>
      </c>
      <c r="E113" s="30"/>
      <c r="F113" s="30">
        <f>'Monthly Data'!AB113</f>
        <v>5156675.2533871075</v>
      </c>
      <c r="G113" s="33">
        <f t="shared" ca="1" si="22"/>
        <v>468.60374999999993</v>
      </c>
      <c r="H113" s="33">
        <f t="shared" ca="1" si="22"/>
        <v>7.7354166666666684</v>
      </c>
      <c r="I113" s="33">
        <f>'Monthly Data'!AQ113</f>
        <v>479.43541666666664</v>
      </c>
      <c r="J113" s="33">
        <f>'Monthly Data'!BB113</f>
        <v>8.80833333333333</v>
      </c>
      <c r="L113" s="521"/>
      <c r="M113" s="18">
        <f ca="1">(G113-I113)*'GS&gt;50 Predicted Monthly (no LC)'!$P$10</f>
        <v>-25080.677988758376</v>
      </c>
      <c r="N113" s="18">
        <f ca="1">(H113-J113)*'GS&gt;50 Predicted Monthly (no LC)'!$P$11</f>
        <v>-5796.1339081454162</v>
      </c>
      <c r="O113" s="18">
        <f t="shared" ca="1" si="13"/>
        <v>5125798.4414902041</v>
      </c>
      <c r="Q113" s="18">
        <f>'Monthly Data'!Y113</f>
        <v>4427.2</v>
      </c>
      <c r="R113" s="18">
        <f>'Monthly Data'!DN113</f>
        <v>0</v>
      </c>
      <c r="S113" s="18">
        <f>'Monthly Data'!DO113</f>
        <v>0</v>
      </c>
      <c r="T113" s="277">
        <f t="shared" ca="1" si="19"/>
        <v>468.60374999999993</v>
      </c>
      <c r="U113" s="18">
        <f t="shared" si="20"/>
        <v>479.43541666666664</v>
      </c>
      <c r="V113" s="18">
        <f>'Monthly Data'!BR113</f>
        <v>0</v>
      </c>
      <c r="W113" s="18"/>
      <c r="X113" s="18"/>
      <c r="Y113" s="18"/>
      <c r="Z113" s="18"/>
      <c r="AA113" s="18">
        <f ca="1">(T113-U113)*'LC Predicted Monthly'!$T$12</f>
        <v>-2217.6030842161244</v>
      </c>
      <c r="AB113" s="18"/>
      <c r="AC113" s="18">
        <f t="shared" ca="1" si="14"/>
        <v>2209.5969157838754</v>
      </c>
      <c r="AD113" s="18"/>
      <c r="AE113" s="18">
        <f t="shared" ca="1" si="15"/>
        <v>5128008.0384059884</v>
      </c>
      <c r="AG113" s="18"/>
      <c r="AH113" s="34"/>
    </row>
    <row r="114" spans="1:34">
      <c r="A114" s="541">
        <f>'Monthly Data'!A114</f>
        <v>45778</v>
      </c>
      <c r="B114">
        <f t="shared" si="16"/>
        <v>2025</v>
      </c>
      <c r="C114">
        <f t="shared" si="17"/>
        <v>5</v>
      </c>
      <c r="D114" s="30">
        <f>'Monthly Data'!N114</f>
        <v>5020546.9004952768</v>
      </c>
      <c r="E114" s="30"/>
      <c r="F114" s="30">
        <f>'Monthly Data'!AB114</f>
        <v>5014022.9004952768</v>
      </c>
      <c r="G114" s="33">
        <f t="shared" ca="1" si="22"/>
        <v>232.88687500000006</v>
      </c>
      <c r="H114" s="33">
        <f t="shared" ca="1" si="22"/>
        <v>111.43645833333332</v>
      </c>
      <c r="I114" s="33">
        <f>'Monthly Data'!AQ114</f>
        <v>237.32916666666665</v>
      </c>
      <c r="J114" s="33">
        <f>'Monthly Data'!BB114</f>
        <v>94.225000000000009</v>
      </c>
      <c r="L114" s="521"/>
      <c r="M114" s="18">
        <f ca="1">(G114-I114)*'GS&gt;50 Predicted Monthly (no LC)'!$P$10</f>
        <v>-10286.107415646327</v>
      </c>
      <c r="N114" s="18">
        <f ca="1">(H114-J114)*'GS&gt;50 Predicted Monthly (no LC)'!$P$11</f>
        <v>92980.117052705857</v>
      </c>
      <c r="O114" s="18">
        <f t="shared" ca="1" si="13"/>
        <v>5096716.9101323364</v>
      </c>
      <c r="Q114" s="18">
        <f>'Monthly Data'!Y114</f>
        <v>6524</v>
      </c>
      <c r="R114" s="18">
        <f>'Monthly Data'!DN114</f>
        <v>0</v>
      </c>
      <c r="S114" s="18">
        <f>'Monthly Data'!DO114</f>
        <v>0</v>
      </c>
      <c r="T114" s="277">
        <f t="shared" ca="1" si="19"/>
        <v>232.88687500000006</v>
      </c>
      <c r="U114" s="18">
        <f t="shared" si="20"/>
        <v>237.32916666666665</v>
      </c>
      <c r="V114" s="18">
        <f>'Monthly Data'!BR114</f>
        <v>0</v>
      </c>
      <c r="W114" s="18"/>
      <c r="X114" s="18"/>
      <c r="Y114" s="18"/>
      <c r="Z114" s="18"/>
      <c r="AA114" s="18">
        <f ca="1">(T114-U114)*'LC Predicted Monthly'!$T$12</f>
        <v>-909.48512395636715</v>
      </c>
      <c r="AB114" s="18"/>
      <c r="AC114" s="18">
        <f t="shared" ca="1" si="14"/>
        <v>5614.5148760436332</v>
      </c>
      <c r="AD114" s="18"/>
      <c r="AE114" s="18">
        <f t="shared" ca="1" si="15"/>
        <v>5102331.4250083799</v>
      </c>
      <c r="AG114" s="18"/>
      <c r="AH114" s="34"/>
    </row>
    <row r="115" spans="1:34">
      <c r="A115" s="541">
        <f>'Monthly Data'!A115</f>
        <v>45809</v>
      </c>
      <c r="B115">
        <f t="shared" si="16"/>
        <v>2025</v>
      </c>
      <c r="C115">
        <f t="shared" si="17"/>
        <v>6</v>
      </c>
      <c r="D115" s="30">
        <f>'Monthly Data'!N115</f>
        <v>5552991.3476034449</v>
      </c>
      <c r="E115" s="30"/>
      <c r="F115" s="30">
        <f>'Monthly Data'!AB115</f>
        <v>5552694.7476034453</v>
      </c>
      <c r="G115" s="33">
        <f t="shared" ca="1" si="22"/>
        <v>92.751249999999999</v>
      </c>
      <c r="H115" s="33">
        <f t="shared" ca="1" si="22"/>
        <v>227.31958333333333</v>
      </c>
      <c r="I115" s="33">
        <f>'Monthly Data'!AQ115</f>
        <v>85.787499999999994</v>
      </c>
      <c r="J115" s="33">
        <f>'Monthly Data'!BB115</f>
        <v>248.45</v>
      </c>
      <c r="L115" s="521"/>
      <c r="M115" s="18">
        <f ca="1">(G115-I115)*'GS&gt;50 Predicted Monthly (no LC)'!$P$10</f>
        <v>16124.533436917891</v>
      </c>
      <c r="N115" s="18">
        <f ca="1">(H115-J115)*'GS&gt;50 Predicted Monthly (no LC)'!$P$11</f>
        <v>-114151.19956651643</v>
      </c>
      <c r="O115" s="18">
        <f t="shared" ca="1" si="13"/>
        <v>5454668.0814738469</v>
      </c>
      <c r="Q115" s="18">
        <f>'Monthly Data'!Y115</f>
        <v>296.60000000000002</v>
      </c>
      <c r="R115" s="18">
        <f>'Monthly Data'!DN115</f>
        <v>0</v>
      </c>
      <c r="S115" s="18">
        <f>'Monthly Data'!DO115</f>
        <v>0</v>
      </c>
      <c r="T115" s="277">
        <f t="shared" ca="1" si="19"/>
        <v>92.751249999999999</v>
      </c>
      <c r="U115" s="18">
        <f t="shared" si="20"/>
        <v>85.787499999999994</v>
      </c>
      <c r="V115" s="18">
        <f>'Monthly Data'!BR115</f>
        <v>0</v>
      </c>
      <c r="W115" s="18"/>
      <c r="X115" s="18"/>
      <c r="Y115" s="18"/>
      <c r="Z115" s="18"/>
      <c r="AA115" s="18">
        <f ca="1">(T115-U115)*'LC Predicted Monthly'!$T$12</f>
        <v>1425.7116612749644</v>
      </c>
      <c r="AB115" s="18"/>
      <c r="AC115" s="18">
        <f t="shared" ca="1" si="14"/>
        <v>1722.3116612749645</v>
      </c>
      <c r="AD115" s="18"/>
      <c r="AE115" s="18">
        <f t="shared" ca="1" si="15"/>
        <v>5456390.3931351211</v>
      </c>
      <c r="AG115" s="18"/>
      <c r="AH115" s="34"/>
    </row>
    <row r="116" spans="1:34">
      <c r="A116" s="541">
        <f>'Monthly Data'!A116</f>
        <v>45839</v>
      </c>
      <c r="B116">
        <f t="shared" si="16"/>
        <v>2025</v>
      </c>
      <c r="C116">
        <f t="shared" si="17"/>
        <v>7</v>
      </c>
      <c r="D116" s="30">
        <f>'Monthly Data'!N116</f>
        <v>6041461.7947116131</v>
      </c>
      <c r="E116" s="30"/>
      <c r="F116" s="30">
        <f>'Monthly Data'!AB116</f>
        <v>6038806.5947116129</v>
      </c>
      <c r="G116" s="33">
        <f t="shared" ca="1" si="22"/>
        <v>25.464999999999996</v>
      </c>
      <c r="H116" s="33">
        <f t="shared" ca="1" si="22"/>
        <v>327.99625000000003</v>
      </c>
      <c r="I116" s="33">
        <f>'Monthly Data'!AQ116</f>
        <v>23.716666666666676</v>
      </c>
      <c r="J116" s="33">
        <f>'Monthly Data'!BB116</f>
        <v>347.84375000000006</v>
      </c>
      <c r="L116" s="521"/>
      <c r="M116" s="18">
        <f ca="1">(G116-I116)*'GS&gt;50 Predicted Monthly (no LC)'!$P$10</f>
        <v>4048.2583797826205</v>
      </c>
      <c r="N116" s="18">
        <f ca="1">(H116-J116)*'GS&gt;50 Predicted Monthly (no LC)'!$P$11</f>
        <v>-107220.59906042734</v>
      </c>
      <c r="O116" s="18">
        <f t="shared" ca="1" si="13"/>
        <v>5935634.2540309681</v>
      </c>
      <c r="Q116" s="18">
        <f>'Monthly Data'!Y116</f>
        <v>2655.2</v>
      </c>
      <c r="R116" s="18">
        <f>'Monthly Data'!DN116</f>
        <v>0</v>
      </c>
      <c r="S116" s="18">
        <f>'Monthly Data'!DO116</f>
        <v>0</v>
      </c>
      <c r="T116" s="277">
        <f t="shared" ca="1" si="19"/>
        <v>25.464999999999996</v>
      </c>
      <c r="U116" s="18">
        <f t="shared" si="20"/>
        <v>23.716666666666676</v>
      </c>
      <c r="V116" s="18">
        <f>'Monthly Data'!BR116</f>
        <v>0</v>
      </c>
      <c r="W116" s="18"/>
      <c r="X116" s="18"/>
      <c r="Y116" s="18"/>
      <c r="Z116" s="18"/>
      <c r="AA116" s="18">
        <f ca="1">(T116-U116)*'LC Predicted Monthly'!$T$12</f>
        <v>357.94208883561919</v>
      </c>
      <c r="AB116" s="18"/>
      <c r="AC116" s="18">
        <f t="shared" ca="1" si="14"/>
        <v>3013.1420888356188</v>
      </c>
      <c r="AD116" s="18"/>
      <c r="AE116" s="18">
        <f t="shared" ca="1" si="15"/>
        <v>5938647.3961198041</v>
      </c>
      <c r="AG116" s="18"/>
      <c r="AH116" s="34"/>
    </row>
    <row r="117" spans="1:34">
      <c r="A117" s="541">
        <f>'Monthly Data'!A117</f>
        <v>45870</v>
      </c>
      <c r="B117">
        <f t="shared" si="16"/>
        <v>2025</v>
      </c>
      <c r="C117">
        <f t="shared" si="17"/>
        <v>8</v>
      </c>
      <c r="D117" s="30">
        <f>'Monthly Data'!N117</f>
        <v>5593918.2418197813</v>
      </c>
      <c r="E117" s="30"/>
      <c r="F117" s="30">
        <f>'Monthly Data'!AB117</f>
        <v>5593679.8418197809</v>
      </c>
      <c r="G117" s="33">
        <f t="shared" ca="1" si="22"/>
        <v>54.974791666666668</v>
      </c>
      <c r="H117" s="33">
        <f t="shared" ca="1" si="22"/>
        <v>280.40312500000005</v>
      </c>
      <c r="I117" s="33">
        <f>'Monthly Data'!AQ117</f>
        <v>67.597916666666677</v>
      </c>
      <c r="J117" s="33">
        <f>'Monthly Data'!BB117</f>
        <v>280.76041666666669</v>
      </c>
      <c r="L117" s="521"/>
      <c r="M117" s="18">
        <f ca="1">(G117-I117)*'GS&gt;50 Predicted Monthly (no LC)'!$P$10</f>
        <v>-29228.792122189076</v>
      </c>
      <c r="N117" s="18">
        <f ca="1">(H117-J117)*'GS&gt;50 Predicted Monthly (no LC)'!$P$11</f>
        <v>-1930.1688645570287</v>
      </c>
      <c r="O117" s="18">
        <f t="shared" ca="1" si="13"/>
        <v>5562520.8808330353</v>
      </c>
      <c r="Q117" s="18">
        <f>'Monthly Data'!Y117</f>
        <v>238.4</v>
      </c>
      <c r="R117" s="18">
        <f>'Monthly Data'!DN117</f>
        <v>0</v>
      </c>
      <c r="S117" s="18">
        <f>'Monthly Data'!DO117</f>
        <v>0</v>
      </c>
      <c r="T117" s="277">
        <f t="shared" ca="1" si="19"/>
        <v>54.974791666666668</v>
      </c>
      <c r="U117" s="18">
        <f t="shared" si="20"/>
        <v>67.597916666666677</v>
      </c>
      <c r="V117" s="18">
        <f>'Monthly Data'!BR117</f>
        <v>0</v>
      </c>
      <c r="W117" s="18"/>
      <c r="X117" s="18"/>
      <c r="Y117" s="18"/>
      <c r="Z117" s="18"/>
      <c r="AA117" s="18">
        <f ca="1">(T117-U117)*'LC Predicted Monthly'!$T$12</f>
        <v>-2584.3742975022847</v>
      </c>
      <c r="AB117" s="18"/>
      <c r="AC117" s="18">
        <f t="shared" ca="1" si="14"/>
        <v>-2345.9742975022846</v>
      </c>
      <c r="AD117" s="18"/>
      <c r="AE117" s="18">
        <f t="shared" ca="1" si="15"/>
        <v>5560174.9065355333</v>
      </c>
      <c r="AG117" s="18"/>
      <c r="AH117" s="34"/>
    </row>
    <row r="118" spans="1:34">
      <c r="A118" s="541">
        <f>'Monthly Data'!A118</f>
        <v>45901</v>
      </c>
      <c r="B118">
        <f t="shared" si="16"/>
        <v>2025</v>
      </c>
      <c r="C118">
        <f t="shared" si="17"/>
        <v>9</v>
      </c>
      <c r="D118" s="30">
        <f>'Monthly Data'!N118</f>
        <v>5145149.6889279494</v>
      </c>
      <c r="E118" s="30"/>
      <c r="F118" s="30">
        <f>'Monthly Data'!AB118</f>
        <v>5118840.8889279496</v>
      </c>
      <c r="G118" s="33">
        <f t="shared" ca="1" si="22"/>
        <v>166.50624999999999</v>
      </c>
      <c r="H118" s="33">
        <f t="shared" ca="1" si="22"/>
        <v>144.00333333333333</v>
      </c>
      <c r="I118" s="33">
        <f>'Monthly Data'!AQ118</f>
        <v>178.70416666666671</v>
      </c>
      <c r="J118" s="33">
        <f>'Monthly Data'!BB118</f>
        <v>125.17083333333335</v>
      </c>
      <c r="L118" s="521"/>
      <c r="M118" s="18">
        <f ca="1">(G118-I118)*'GS&gt;50 Predicted Monthly (no LC)'!$P$10</f>
        <v>-28244.22403911762</v>
      </c>
      <c r="N118" s="18">
        <f ca="1">(H118-J118)*'GS&gt;50 Predicted Monthly (no LC)'!$P$11</f>
        <v>101737.34383703204</v>
      </c>
      <c r="O118" s="18">
        <f t="shared" ca="1" si="13"/>
        <v>5192334.0087258639</v>
      </c>
      <c r="Q118" s="18">
        <f>'Monthly Data'!Y118</f>
        <v>26308.799999999999</v>
      </c>
      <c r="R118" s="18">
        <f>'Monthly Data'!DN118</f>
        <v>0</v>
      </c>
      <c r="S118" s="18">
        <f>'Monthly Data'!DO118</f>
        <v>0</v>
      </c>
      <c r="T118" s="277">
        <f t="shared" ca="1" si="19"/>
        <v>166.50624999999999</v>
      </c>
      <c r="U118" s="18">
        <f t="shared" si="20"/>
        <v>178.70416666666671</v>
      </c>
      <c r="V118" s="18">
        <f>'Monthly Data'!BR118</f>
        <v>1</v>
      </c>
      <c r="W118" s="18"/>
      <c r="X118" s="18"/>
      <c r="Y118" s="18"/>
      <c r="Z118" s="18"/>
      <c r="AA118" s="18">
        <f ca="1">(T118-U118)*'LC Predicted Monthly'!$T$12</f>
        <v>-2497.3199834754214</v>
      </c>
      <c r="AB118" s="18"/>
      <c r="AC118" s="18">
        <f t="shared" ca="1" si="14"/>
        <v>23811.480016524576</v>
      </c>
      <c r="AD118" s="18"/>
      <c r="AE118" s="18">
        <f t="shared" ca="1" si="15"/>
        <v>5216145.4887423879</v>
      </c>
      <c r="AG118" s="18"/>
      <c r="AH118" s="34"/>
    </row>
    <row r="119" spans="1:34">
      <c r="A119" s="541">
        <f>'Monthly Data'!A119</f>
        <v>45931</v>
      </c>
      <c r="B119">
        <f t="shared" si="16"/>
        <v>2025</v>
      </c>
      <c r="C119">
        <f t="shared" si="17"/>
        <v>10</v>
      </c>
      <c r="D119" s="30">
        <f>'Monthly Data'!N119</f>
        <v>5977730.1360361176</v>
      </c>
      <c r="E119" s="30"/>
      <c r="F119" s="30">
        <f>'Monthly Data'!AB119</f>
        <v>5192044.5360361179</v>
      </c>
      <c r="G119" s="33">
        <f t="shared" ca="1" si="22"/>
        <v>363.47645833333326</v>
      </c>
      <c r="H119" s="33">
        <f t="shared" ca="1" si="22"/>
        <v>40.02791666666667</v>
      </c>
      <c r="I119" s="33">
        <f>'Monthly Data'!AQ119</f>
        <v>347.06666666666666</v>
      </c>
      <c r="J119" s="33">
        <f>'Monthly Data'!BB119</f>
        <v>56.94583333333334</v>
      </c>
      <c r="L119" s="521"/>
      <c r="M119" s="18">
        <f ca="1">(G119-I119)*'GS&gt;50 Predicted Monthly (no LC)'!$P$10</f>
        <v>37996.802645416887</v>
      </c>
      <c r="N119" s="18">
        <f ca="1">(H119-J119)*'GS&gt;50 Predicted Monthly (no LC)'!$P$11</f>
        <v>-91394.3398339532</v>
      </c>
      <c r="O119" s="18">
        <f t="shared" ca="1" si="13"/>
        <v>5138646.9988475814</v>
      </c>
      <c r="Q119" s="18">
        <f>'Monthly Data'!Y119</f>
        <v>785685.6</v>
      </c>
      <c r="R119" s="18">
        <f>'Monthly Data'!DN119</f>
        <v>0</v>
      </c>
      <c r="S119" s="18">
        <f>'Monthly Data'!DO119</f>
        <v>0</v>
      </c>
      <c r="T119" s="277">
        <f t="shared" ca="1" si="19"/>
        <v>363.47645833333326</v>
      </c>
      <c r="U119" s="18">
        <f t="shared" si="20"/>
        <v>347.06666666666666</v>
      </c>
      <c r="V119" s="18">
        <f>'Monthly Data'!BR119</f>
        <v>1</v>
      </c>
      <c r="W119" s="18"/>
      <c r="X119" s="18"/>
      <c r="Y119" s="18"/>
      <c r="Z119" s="18"/>
      <c r="AA119" s="18">
        <f ca="1">(T119-U119)*'LC Predicted Monthly'!$T$12</f>
        <v>3359.6311381452924</v>
      </c>
      <c r="AB119" s="18"/>
      <c r="AC119" s="18">
        <f t="shared" ca="1" si="14"/>
        <v>789045.23113814532</v>
      </c>
      <c r="AD119" s="18"/>
      <c r="AE119" s="18">
        <f t="shared" ca="1" si="15"/>
        <v>5927692.2299857261</v>
      </c>
      <c r="AG119" s="18"/>
      <c r="AH119" s="34"/>
    </row>
    <row r="120" spans="1:34">
      <c r="A120" s="541">
        <f>'Monthly Data'!A120</f>
        <v>45962</v>
      </c>
      <c r="B120">
        <f t="shared" si="16"/>
        <v>2025</v>
      </c>
      <c r="C120">
        <f t="shared" si="17"/>
        <v>11</v>
      </c>
      <c r="D120" s="30">
        <f>'Monthly Data'!N120</f>
        <v>8021249.5831442866</v>
      </c>
      <c r="E120" s="30"/>
      <c r="F120" s="30">
        <f>'Monthly Data'!AB120</f>
        <v>5479491.1831442863</v>
      </c>
      <c r="G120" s="33">
        <f t="shared" ca="1" si="22"/>
        <v>586.00395833333334</v>
      </c>
      <c r="H120" s="33">
        <f t="shared" ca="1" si="22"/>
        <v>4.5920833333333331</v>
      </c>
      <c r="I120" s="33">
        <f>'Monthly Data'!AQ120</f>
        <v>607.22916666666652</v>
      </c>
      <c r="J120" s="33">
        <f>'Monthly Data'!BB120</f>
        <v>0</v>
      </c>
      <c r="L120" s="521"/>
      <c r="M120" s="18">
        <f ca="1">(G120-I120)*'GS&gt;50 Predicted Monthly (no LC)'!$P$10</f>
        <v>-49146.879407844732</v>
      </c>
      <c r="N120" s="18">
        <f ca="1">(H120-J120)*'GS&gt;50 Predicted Monthly (no LC)'!$P$11</f>
        <v>24807.453126862496</v>
      </c>
      <c r="O120" s="18">
        <f t="shared" ca="1" si="13"/>
        <v>5455151.7568633044</v>
      </c>
      <c r="Q120" s="18">
        <f>'Monthly Data'!Y120</f>
        <v>2541758.4</v>
      </c>
      <c r="R120" s="18">
        <f>'Monthly Data'!DN120</f>
        <v>1</v>
      </c>
      <c r="S120" s="18">
        <f>'Monthly Data'!DO120</f>
        <v>0</v>
      </c>
      <c r="T120" s="277">
        <f t="shared" ca="1" si="19"/>
        <v>586.00395833333334</v>
      </c>
      <c r="U120" s="18">
        <f t="shared" si="20"/>
        <v>607.22916666666652</v>
      </c>
      <c r="V120" s="18">
        <f>'Monthly Data'!BR120</f>
        <v>1</v>
      </c>
      <c r="W120" s="18"/>
      <c r="X120" s="18"/>
      <c r="Y120" s="18"/>
      <c r="Z120" s="18"/>
      <c r="AA120" s="18">
        <f ca="1">(T120-U120)*'LC Predicted Monthly'!$T$12</f>
        <v>-4345.5073823476769</v>
      </c>
      <c r="AB120" s="18"/>
      <c r="AC120" s="18">
        <f t="shared" ca="1" si="14"/>
        <v>2537412.8926176522</v>
      </c>
      <c r="AD120" s="18"/>
      <c r="AE120" s="18">
        <f t="shared" ca="1" si="15"/>
        <v>7992564.6494809575</v>
      </c>
      <c r="AG120" s="18"/>
      <c r="AH120" s="34"/>
    </row>
    <row r="121" spans="1:34">
      <c r="A121" s="541">
        <f>'Monthly Data'!A121</f>
        <v>45992</v>
      </c>
      <c r="B121">
        <f t="shared" si="16"/>
        <v>2025</v>
      </c>
      <c r="C121">
        <f t="shared" si="17"/>
        <v>12</v>
      </c>
      <c r="D121" s="30">
        <f>'Monthly Data'!N121</f>
        <v>10556903.030252455</v>
      </c>
      <c r="E121" s="30"/>
      <c r="F121" s="30">
        <f>'Monthly Data'!AB121</f>
        <v>6114849.4302524552</v>
      </c>
      <c r="G121" s="33">
        <f t="shared" ca="1" si="22"/>
        <v>812.36333333333334</v>
      </c>
      <c r="H121" s="33">
        <f t="shared" ca="1" si="22"/>
        <v>0</v>
      </c>
      <c r="I121" s="33">
        <f>'Monthly Data'!AQ121</f>
        <v>915.94583333333321</v>
      </c>
      <c r="J121" s="33">
        <f>'Monthly Data'!BB121</f>
        <v>0</v>
      </c>
      <c r="L121" s="521"/>
      <c r="M121" s="18">
        <f ca="1">(G121-I121)*'GS&gt;50 Predicted Monthly (no LC)'!$P$10</f>
        <v>-239844.83715376689</v>
      </c>
      <c r="N121" s="18">
        <f ca="1">(H121-J121)*'GS&gt;50 Predicted Monthly (no LC)'!$P$11</f>
        <v>0</v>
      </c>
      <c r="O121" s="18">
        <f t="shared" ca="1" si="13"/>
        <v>5875004.5930986879</v>
      </c>
      <c r="Q121" s="18">
        <f>'Monthly Data'!Y121</f>
        <v>4442053.5999999996</v>
      </c>
      <c r="R121" s="18">
        <f>'Monthly Data'!DN121</f>
        <v>0</v>
      </c>
      <c r="S121" s="18">
        <f>'Monthly Data'!DO121</f>
        <v>1</v>
      </c>
      <c r="T121" s="277">
        <f t="shared" ca="1" si="19"/>
        <v>812.36333333333334</v>
      </c>
      <c r="U121" s="18">
        <f t="shared" si="20"/>
        <v>915.94583333333321</v>
      </c>
      <c r="V121" s="18">
        <f>'Monthly Data'!BR121</f>
        <v>0</v>
      </c>
      <c r="W121" s="18"/>
      <c r="X121" s="18"/>
      <c r="Y121" s="18"/>
      <c r="Z121" s="18"/>
      <c r="AA121" s="18">
        <f ca="1">(T121-U121)*'LC Predicted Monthly'!$T$12</f>
        <v>-21206.789180256859</v>
      </c>
      <c r="AB121" s="18"/>
      <c r="AC121" s="18">
        <f t="shared" ca="1" si="14"/>
        <v>4420846.8108197432</v>
      </c>
      <c r="AD121" s="18"/>
      <c r="AE121" s="18">
        <f t="shared" ca="1" si="15"/>
        <v>10295851.403918432</v>
      </c>
      <c r="AF121" s="30"/>
      <c r="AG121" s="18"/>
      <c r="AH121" s="34"/>
    </row>
    <row r="122" spans="1:34">
      <c r="A122" s="541">
        <f>EOMONTH(A121,0)+1</f>
        <v>46023</v>
      </c>
      <c r="B122">
        <f t="shared" si="16"/>
        <v>2026</v>
      </c>
      <c r="C122">
        <f t="shared" si="17"/>
        <v>1</v>
      </c>
      <c r="D122" s="30"/>
      <c r="E122" s="30"/>
      <c r="F122" s="30"/>
      <c r="G122" s="264">
        <f t="shared" ref="G122:H133" ca="1" si="23">G110</f>
        <v>914.55166666666662</v>
      </c>
      <c r="H122" s="264">
        <f t="shared" ca="1" si="23"/>
        <v>0</v>
      </c>
      <c r="I122" s="33"/>
      <c r="J122" s="33"/>
      <c r="L122" s="521">
        <f>'GS&gt;50 Predicted Monthly (no LC)'!$P$9</f>
        <v>4121039.41701539</v>
      </c>
      <c r="M122" s="18">
        <f ca="1">G122*'GS&gt;50 Predicted Monthly (no LC)'!$P$10</f>
        <v>2117640.4852206991</v>
      </c>
      <c r="N122" s="18">
        <f ca="1">H122*'GS&gt;50 Predicted Monthly (no LC)'!$P$11</f>
        <v>0</v>
      </c>
      <c r="O122" s="18">
        <f ca="1">SUM(L122:N122)</f>
        <v>6238679.9022360891</v>
      </c>
      <c r="Q122" s="18"/>
      <c r="R122" s="18">
        <f>'Monthly Data'!DN122</f>
        <v>0</v>
      </c>
      <c r="S122" s="18">
        <f>'Monthly Data'!DO122</f>
        <v>0</v>
      </c>
      <c r="T122" s="277">
        <f t="shared" ca="1" si="19"/>
        <v>914.55166666666662</v>
      </c>
      <c r="U122" s="18"/>
      <c r="V122" s="18">
        <f>V110</f>
        <v>0</v>
      </c>
      <c r="W122" s="18"/>
      <c r="X122" s="18">
        <f>'LC Predicted Monthly'!$T$9</f>
        <v>-22694.781953278001</v>
      </c>
      <c r="Y122" s="18">
        <f>R122*'LC Predicted Monthly'!$T$10</f>
        <v>0</v>
      </c>
      <c r="Z122" s="18">
        <f>S122*'LC Predicted Monthly'!$T$11</f>
        <v>0</v>
      </c>
      <c r="AA122" s="18">
        <f ca="1">T122*'LC Predicted Monthly'!$T$12</f>
        <v>187239.19956993285</v>
      </c>
      <c r="AB122" s="18">
        <f>V122*'LC Predicted Monthly'!$T$13</f>
        <v>0</v>
      </c>
      <c r="AC122" s="18">
        <f ca="1">SUM(X122:AB122)</f>
        <v>164544.41761665486</v>
      </c>
      <c r="AD122" s="18"/>
      <c r="AE122" s="18">
        <f ca="1">SUM(L122:N122,X122:AB122)</f>
        <v>6403224.3198527442</v>
      </c>
      <c r="AF122" s="30"/>
      <c r="AG122" s="18"/>
      <c r="AH122" s="34"/>
    </row>
    <row r="123" spans="1:34">
      <c r="A123" s="541">
        <f t="shared" ref="A123:A145" si="24">EOMONTH(A122,0)+1</f>
        <v>46054</v>
      </c>
      <c r="B123">
        <f t="shared" si="16"/>
        <v>2026</v>
      </c>
      <c r="C123">
        <f t="shared" si="17"/>
        <v>2</v>
      </c>
      <c r="D123" s="30"/>
      <c r="E123" s="30"/>
      <c r="F123" s="30"/>
      <c r="G123" s="264">
        <f t="shared" ca="1" si="23"/>
        <v>803.82854166666664</v>
      </c>
      <c r="H123" s="264">
        <f t="shared" ca="1" si="23"/>
        <v>0</v>
      </c>
      <c r="I123" s="33"/>
      <c r="J123" s="33"/>
      <c r="L123" s="521">
        <f>'GS&gt;50 Predicted Monthly (no LC)'!$P$9</f>
        <v>4121039.41701539</v>
      </c>
      <c r="M123" s="18">
        <f ca="1">G123*'GS&gt;50 Predicted Monthly (no LC)'!$P$10</f>
        <v>1861261.5613215731</v>
      </c>
      <c r="N123" s="18">
        <f ca="1">H123*'GS&gt;50 Predicted Monthly (no LC)'!$P$11</f>
        <v>0</v>
      </c>
      <c r="O123" s="18">
        <f t="shared" ref="O123:O145" ca="1" si="25">SUM(L123:N123)</f>
        <v>5982300.9783369629</v>
      </c>
      <c r="Q123" s="18"/>
      <c r="R123" s="18">
        <f>'Monthly Data'!DN123</f>
        <v>0</v>
      </c>
      <c r="S123" s="18">
        <f>'Monthly Data'!DO123</f>
        <v>0</v>
      </c>
      <c r="T123" s="277">
        <f t="shared" ca="1" si="19"/>
        <v>803.82854166666664</v>
      </c>
      <c r="U123" s="18"/>
      <c r="V123" s="18">
        <f t="shared" ref="V123:V145" si="26">V111</f>
        <v>0</v>
      </c>
      <c r="W123" s="18"/>
      <c r="X123" s="18">
        <f>'LC Predicted Monthly'!$T$9</f>
        <v>-22694.781953278001</v>
      </c>
      <c r="Y123" s="18">
        <f>R123*'LC Predicted Monthly'!$T$10</f>
        <v>0</v>
      </c>
      <c r="Z123" s="18">
        <f>S123*'LC Predicted Monthly'!$T$11</f>
        <v>0</v>
      </c>
      <c r="AA123" s="18">
        <f ca="1">T123*'LC Predicted Monthly'!$T$12</f>
        <v>164570.48652232124</v>
      </c>
      <c r="AB123" s="18">
        <f>V123*'LC Predicted Monthly'!$T$13</f>
        <v>0</v>
      </c>
      <c r="AC123" s="18">
        <f t="shared" ref="AC123:AC145" ca="1" si="27">SUM(X123:AB123)</f>
        <v>141875.70456904324</v>
      </c>
      <c r="AD123" s="18"/>
      <c r="AE123" s="18">
        <f t="shared" ref="AE123:AE144" ca="1" si="28">SUM(L123:N123,X123:AB123)</f>
        <v>6124176.6829060065</v>
      </c>
      <c r="AF123" s="30"/>
      <c r="AG123" s="18"/>
      <c r="AH123" s="34"/>
    </row>
    <row r="124" spans="1:34">
      <c r="A124" s="541">
        <f t="shared" si="24"/>
        <v>46082</v>
      </c>
      <c r="B124">
        <f t="shared" si="16"/>
        <v>2026</v>
      </c>
      <c r="C124">
        <f t="shared" si="17"/>
        <v>3</v>
      </c>
      <c r="D124" s="30"/>
      <c r="E124" s="30"/>
      <c r="F124" s="30"/>
      <c r="G124" s="264">
        <f t="shared" ca="1" si="23"/>
        <v>698.29604166666672</v>
      </c>
      <c r="H124" s="264">
        <f t="shared" ca="1" si="23"/>
        <v>0.11000000000000032</v>
      </c>
      <c r="I124" s="33"/>
      <c r="J124" s="33"/>
      <c r="L124" s="521">
        <f>'GS&gt;50 Predicted Monthly (no LC)'!$P$9</f>
        <v>4121039.41701539</v>
      </c>
      <c r="M124" s="18">
        <f ca="1">G124*'GS&gt;50 Predicted Monthly (no LC)'!$P$10</f>
        <v>1616901.5074811084</v>
      </c>
      <c r="N124" s="18">
        <f ca="1">H124*'GS&gt;50 Predicted Monthly (no LC)'!$P$11</f>
        <v>594.2444084467578</v>
      </c>
      <c r="O124" s="18">
        <f t="shared" ca="1" si="25"/>
        <v>5738535.1689049443</v>
      </c>
      <c r="Q124" s="18"/>
      <c r="R124" s="18">
        <f>'Monthly Data'!DN124</f>
        <v>0</v>
      </c>
      <c r="S124" s="18">
        <f>'Monthly Data'!DO124</f>
        <v>0</v>
      </c>
      <c r="T124" s="277">
        <f t="shared" ca="1" si="19"/>
        <v>698.29604166666672</v>
      </c>
      <c r="U124" s="18"/>
      <c r="V124" s="18">
        <f t="shared" si="26"/>
        <v>0</v>
      </c>
      <c r="W124" s="18"/>
      <c r="X124" s="18">
        <f>'LC Predicted Monthly'!$T$9</f>
        <v>-22694.781953278001</v>
      </c>
      <c r="Y124" s="18">
        <f>R124*'LC Predicted Monthly'!$T$10</f>
        <v>0</v>
      </c>
      <c r="Z124" s="18">
        <f>S124*'LC Predicted Monthly'!$T$11</f>
        <v>0</v>
      </c>
      <c r="AA124" s="18">
        <f ca="1">T124*'LC Predicted Monthly'!$T$12</f>
        <v>142964.46736690929</v>
      </c>
      <c r="AB124" s="18">
        <f>V124*'LC Predicted Monthly'!$T$13</f>
        <v>0</v>
      </c>
      <c r="AC124" s="18">
        <f t="shared" ca="1" si="27"/>
        <v>120269.68541363129</v>
      </c>
      <c r="AD124" s="18"/>
      <c r="AE124" s="18">
        <f t="shared" ca="1" si="28"/>
        <v>5858804.8543185759</v>
      </c>
      <c r="AF124" s="30"/>
    </row>
    <row r="125" spans="1:34">
      <c r="A125" s="541">
        <f t="shared" si="24"/>
        <v>46113</v>
      </c>
      <c r="B125">
        <f t="shared" si="16"/>
        <v>2026</v>
      </c>
      <c r="C125">
        <f t="shared" si="17"/>
        <v>4</v>
      </c>
      <c r="D125" s="30"/>
      <c r="E125" s="30"/>
      <c r="F125" s="30"/>
      <c r="G125" s="264">
        <f t="shared" ca="1" si="23"/>
        <v>468.60374999999993</v>
      </c>
      <c r="H125" s="264">
        <f t="shared" ca="1" si="23"/>
        <v>7.7354166666666684</v>
      </c>
      <c r="I125" s="33"/>
      <c r="J125" s="33"/>
      <c r="L125" s="521">
        <f>'GS&gt;50 Predicted Monthly (no LC)'!$P$9</f>
        <v>4121039.41701539</v>
      </c>
      <c r="M125" s="18">
        <f ca="1">G125*'GS&gt;50 Predicted Monthly (no LC)'!$P$10</f>
        <v>1085049.9853584787</v>
      </c>
      <c r="N125" s="18">
        <f ca="1">H125*'GS&gt;50 Predicted Monthly (no LC)'!$P$11</f>
        <v>41788.437283386476</v>
      </c>
      <c r="O125" s="18">
        <f t="shared" ca="1" si="25"/>
        <v>5247877.8396572554</v>
      </c>
      <c r="Q125" s="18"/>
      <c r="R125" s="18">
        <f>'Monthly Data'!DN125</f>
        <v>0</v>
      </c>
      <c r="S125" s="18">
        <f>'Monthly Data'!DO125</f>
        <v>0</v>
      </c>
      <c r="T125" s="277">
        <f t="shared" ca="1" si="19"/>
        <v>468.60374999999993</v>
      </c>
      <c r="U125" s="18"/>
      <c r="V125" s="18">
        <f t="shared" si="26"/>
        <v>0</v>
      </c>
      <c r="W125" s="18"/>
      <c r="X125" s="18">
        <f>'LC Predicted Monthly'!$T$9</f>
        <v>-22694.781953278001</v>
      </c>
      <c r="Y125" s="18">
        <f>R125*'LC Predicted Monthly'!$T$10</f>
        <v>0</v>
      </c>
      <c r="Z125" s="18">
        <f>S125*'LC Predicted Monthly'!$T$11</f>
        <v>0</v>
      </c>
      <c r="AA125" s="18">
        <f ca="1">T125*'LC Predicted Monthly'!$T$12</f>
        <v>95938.80177952649</v>
      </c>
      <c r="AB125" s="18">
        <f>V125*'LC Predicted Monthly'!$T$13</f>
        <v>0</v>
      </c>
      <c r="AC125" s="18">
        <f t="shared" ca="1" si="27"/>
        <v>73244.019826248492</v>
      </c>
      <c r="AD125" s="18"/>
      <c r="AE125" s="18">
        <f t="shared" ca="1" si="28"/>
        <v>5321121.8594835037</v>
      </c>
      <c r="AF125" s="30"/>
      <c r="AG125" s="18"/>
    </row>
    <row r="126" spans="1:34">
      <c r="A126" s="541">
        <f t="shared" si="24"/>
        <v>46143</v>
      </c>
      <c r="B126">
        <f t="shared" si="16"/>
        <v>2026</v>
      </c>
      <c r="C126">
        <f t="shared" si="17"/>
        <v>5</v>
      </c>
      <c r="D126" s="30"/>
      <c r="E126" s="30"/>
      <c r="F126" s="30"/>
      <c r="G126" s="264">
        <f t="shared" ca="1" si="23"/>
        <v>232.88687500000006</v>
      </c>
      <c r="H126" s="264">
        <f t="shared" ca="1" si="23"/>
        <v>111.43645833333332</v>
      </c>
      <c r="I126" s="33"/>
      <c r="J126" s="33"/>
      <c r="L126" s="521">
        <f>'GS&gt;50 Predicted Monthly (no LC)'!$P$9</f>
        <v>4121039.41701539</v>
      </c>
      <c r="M126" s="18">
        <f ca="1">G126*'GS&gt;50 Predicted Monthly (no LC)'!$P$10</f>
        <v>539248.5662117129</v>
      </c>
      <c r="N126" s="18">
        <f ca="1">H126*'GS&gt;50 Predicted Monthly (no LC)'!$P$11</f>
        <v>602004.47510630218</v>
      </c>
      <c r="O126" s="18">
        <f t="shared" ca="1" si="25"/>
        <v>5262292.4583334047</v>
      </c>
      <c r="Q126" s="18"/>
      <c r="R126" s="18">
        <f>'Monthly Data'!DN126</f>
        <v>0</v>
      </c>
      <c r="S126" s="18">
        <f>'Monthly Data'!DO126</f>
        <v>0</v>
      </c>
      <c r="T126" s="277">
        <f t="shared" ca="1" si="19"/>
        <v>232.88687500000006</v>
      </c>
      <c r="U126" s="18"/>
      <c r="V126" s="18">
        <f t="shared" si="26"/>
        <v>0</v>
      </c>
      <c r="W126" s="18"/>
      <c r="X126" s="18">
        <f>'LC Predicted Monthly'!$T$9</f>
        <v>-22694.781953278001</v>
      </c>
      <c r="Y126" s="18">
        <f>R126*'LC Predicted Monthly'!$T$10</f>
        <v>0</v>
      </c>
      <c r="Z126" s="18">
        <f>S126*'LC Predicted Monthly'!$T$11</f>
        <v>0</v>
      </c>
      <c r="AA126" s="18">
        <f ca="1">T126*'LC Predicted Monthly'!$T$12</f>
        <v>47679.703241125091</v>
      </c>
      <c r="AB126" s="18">
        <f>V126*'LC Predicted Monthly'!$T$13</f>
        <v>0</v>
      </c>
      <c r="AC126" s="18">
        <f t="shared" ca="1" si="27"/>
        <v>24984.92128784709</v>
      </c>
      <c r="AD126" s="18"/>
      <c r="AE126" s="18">
        <f t="shared" ca="1" si="28"/>
        <v>5287277.3796212515</v>
      </c>
      <c r="AF126" s="30"/>
      <c r="AG126" s="18"/>
    </row>
    <row r="127" spans="1:34">
      <c r="A127" s="541">
        <f t="shared" si="24"/>
        <v>46174</v>
      </c>
      <c r="B127">
        <f t="shared" si="16"/>
        <v>2026</v>
      </c>
      <c r="C127">
        <f t="shared" si="17"/>
        <v>6</v>
      </c>
      <c r="D127" s="30"/>
      <c r="E127" s="30"/>
      <c r="F127" s="30"/>
      <c r="G127" s="264">
        <f t="shared" ca="1" si="23"/>
        <v>92.751249999999999</v>
      </c>
      <c r="H127" s="264">
        <f t="shared" ca="1" si="23"/>
        <v>227.31958333333333</v>
      </c>
      <c r="I127" s="33"/>
      <c r="J127" s="33"/>
      <c r="L127" s="521">
        <f>'GS&gt;50 Predicted Monthly (no LC)'!$P$9</f>
        <v>4121039.41701539</v>
      </c>
      <c r="M127" s="18">
        <f ca="1">G127*'GS&gt;50 Predicted Monthly (no LC)'!$P$10</f>
        <v>214765.12395489923</v>
      </c>
      <c r="N127" s="18">
        <f ca="1">H127*'GS&gt;50 Predicted Monthly (no LC)'!$P$11</f>
        <v>1228030.8302389067</v>
      </c>
      <c r="O127" s="18">
        <f t="shared" ca="1" si="25"/>
        <v>5563835.3712091958</v>
      </c>
      <c r="Q127" s="18"/>
      <c r="R127" s="18">
        <f>'Monthly Data'!DN127</f>
        <v>0</v>
      </c>
      <c r="S127" s="18">
        <f>'Monthly Data'!DO127</f>
        <v>0</v>
      </c>
      <c r="T127" s="277">
        <f t="shared" ca="1" si="19"/>
        <v>92.751249999999999</v>
      </c>
      <c r="U127" s="18"/>
      <c r="V127" s="18">
        <f t="shared" si="26"/>
        <v>0</v>
      </c>
      <c r="W127" s="18"/>
      <c r="X127" s="18">
        <f>'LC Predicted Monthly'!$T$9</f>
        <v>-22694.781953278001</v>
      </c>
      <c r="Y127" s="18">
        <f>R127*'LC Predicted Monthly'!$T$10</f>
        <v>0</v>
      </c>
      <c r="Z127" s="18">
        <f>S127*'LC Predicted Monthly'!$T$11</f>
        <v>0</v>
      </c>
      <c r="AA127" s="18">
        <f ca="1">T127*'LC Predicted Monthly'!$T$12</f>
        <v>18989.271401591017</v>
      </c>
      <c r="AB127" s="18">
        <f>V127*'LC Predicted Monthly'!$T$13</f>
        <v>0</v>
      </c>
      <c r="AC127" s="18">
        <f t="shared" ca="1" si="27"/>
        <v>-3705.5105516869844</v>
      </c>
      <c r="AD127" s="18"/>
      <c r="AE127" s="18">
        <f t="shared" ca="1" si="28"/>
        <v>5560129.8606575085</v>
      </c>
      <c r="AF127" s="30"/>
      <c r="AG127" s="18"/>
    </row>
    <row r="128" spans="1:34">
      <c r="A128" s="541">
        <f t="shared" si="24"/>
        <v>46204</v>
      </c>
      <c r="B128">
        <f t="shared" ref="B128:B145" si="29">YEAR(A128)</f>
        <v>2026</v>
      </c>
      <c r="C128">
        <f t="shared" ref="C128:C145" si="30">MONTH(A128)</f>
        <v>7</v>
      </c>
      <c r="D128" s="30"/>
      <c r="E128" s="30"/>
      <c r="F128" s="30"/>
      <c r="G128" s="264">
        <f t="shared" ca="1" si="23"/>
        <v>25.464999999999996</v>
      </c>
      <c r="H128" s="264">
        <f t="shared" ca="1" si="23"/>
        <v>327.99625000000003</v>
      </c>
      <c r="I128" s="33"/>
      <c r="J128" s="33"/>
      <c r="L128" s="521">
        <f>'GS&gt;50 Predicted Monthly (no LC)'!$P$9</f>
        <v>4121039.41701539</v>
      </c>
      <c r="M128" s="18">
        <f ca="1">G128*'GS&gt;50 Predicted Monthly (no LC)'!$P$10</f>
        <v>58964.098936796094</v>
      </c>
      <c r="N128" s="18">
        <f ca="1">H128*'GS&gt;50 Predicted Monthly (no LC)'!$P$11</f>
        <v>1771908.5232182215</v>
      </c>
      <c r="O128" s="18">
        <f t="shared" ca="1" si="25"/>
        <v>5951912.0391704077</v>
      </c>
      <c r="Q128" s="18"/>
      <c r="R128" s="18">
        <f>'Monthly Data'!DN128</f>
        <v>0</v>
      </c>
      <c r="S128" s="18">
        <f>'Monthly Data'!DO128</f>
        <v>0</v>
      </c>
      <c r="T128" s="277">
        <f t="shared" ca="1" si="19"/>
        <v>25.464999999999996</v>
      </c>
      <c r="U128" s="18"/>
      <c r="V128" s="18">
        <f t="shared" si="26"/>
        <v>0</v>
      </c>
      <c r="W128" s="18"/>
      <c r="X128" s="18">
        <f>'LC Predicted Monthly'!$T$9</f>
        <v>-22694.781953278001</v>
      </c>
      <c r="Y128" s="18">
        <f>R128*'LC Predicted Monthly'!$T$10</f>
        <v>0</v>
      </c>
      <c r="Z128" s="18">
        <f>S128*'LC Predicted Monthly'!$T$11</f>
        <v>0</v>
      </c>
      <c r="AA128" s="18">
        <f ca="1">T128*'LC Predicted Monthly'!$T$12</f>
        <v>5213.5340088841413</v>
      </c>
      <c r="AB128" s="18">
        <f>V128*'LC Predicted Monthly'!$T$13</f>
        <v>0</v>
      </c>
      <c r="AC128" s="18">
        <f t="shared" ca="1" si="27"/>
        <v>-17481.247944393861</v>
      </c>
      <c r="AD128" s="18"/>
      <c r="AE128" s="18">
        <f t="shared" ca="1" si="28"/>
        <v>5934430.7912260136</v>
      </c>
      <c r="AF128" s="30"/>
      <c r="AG128" s="18"/>
    </row>
    <row r="129" spans="1:33">
      <c r="A129" s="541">
        <f t="shared" si="24"/>
        <v>46235</v>
      </c>
      <c r="B129">
        <f t="shared" si="29"/>
        <v>2026</v>
      </c>
      <c r="C129">
        <f t="shared" si="30"/>
        <v>8</v>
      </c>
      <c r="D129" s="30"/>
      <c r="E129" s="30"/>
      <c r="F129" s="30"/>
      <c r="G129" s="264">
        <f t="shared" ca="1" si="23"/>
        <v>54.974791666666668</v>
      </c>
      <c r="H129" s="264">
        <f t="shared" ca="1" si="23"/>
        <v>280.40312500000005</v>
      </c>
      <c r="I129" s="33"/>
      <c r="J129" s="33"/>
      <c r="L129" s="521">
        <f>'GS&gt;50 Predicted Monthly (no LC)'!$P$9</f>
        <v>4121039.41701539</v>
      </c>
      <c r="M129" s="18">
        <f ca="1">G129*'GS&gt;50 Predicted Monthly (no LC)'!$P$10</f>
        <v>127293.89573387343</v>
      </c>
      <c r="N129" s="18">
        <f ca="1">H129*'GS&gt;50 Predicted Monthly (no LC)'!$P$11</f>
        <v>1514799.9012931532</v>
      </c>
      <c r="O129" s="18">
        <f t="shared" ca="1" si="25"/>
        <v>5763133.2140424168</v>
      </c>
      <c r="Q129" s="18"/>
      <c r="R129" s="18">
        <f>'Monthly Data'!DN129</f>
        <v>0</v>
      </c>
      <c r="S129" s="18">
        <f>'Monthly Data'!DO129</f>
        <v>0</v>
      </c>
      <c r="T129" s="277">
        <f t="shared" ca="1" si="19"/>
        <v>54.974791666666668</v>
      </c>
      <c r="U129" s="18"/>
      <c r="V129" s="18">
        <f t="shared" si="26"/>
        <v>0</v>
      </c>
      <c r="W129" s="18"/>
      <c r="X129" s="18">
        <f>'LC Predicted Monthly'!$T$9</f>
        <v>-22694.781953278001</v>
      </c>
      <c r="Y129" s="18">
        <f>R129*'LC Predicted Monthly'!$T$10</f>
        <v>0</v>
      </c>
      <c r="Z129" s="18">
        <f>S129*'LC Predicted Monthly'!$T$11</f>
        <v>0</v>
      </c>
      <c r="AA129" s="18">
        <f ca="1">T129*'LC Predicted Monthly'!$T$12</f>
        <v>11255.171646789209</v>
      </c>
      <c r="AB129" s="18">
        <f>V129*'LC Predicted Monthly'!$T$13</f>
        <v>0</v>
      </c>
      <c r="AC129" s="18">
        <f t="shared" ca="1" si="27"/>
        <v>-11439.610306488792</v>
      </c>
      <c r="AD129" s="18"/>
      <c r="AE129" s="18">
        <f t="shared" ca="1" si="28"/>
        <v>5751693.6037359284</v>
      </c>
      <c r="AG129" s="18"/>
    </row>
    <row r="130" spans="1:33">
      <c r="A130" s="541">
        <f t="shared" si="24"/>
        <v>46266</v>
      </c>
      <c r="B130">
        <f t="shared" si="29"/>
        <v>2026</v>
      </c>
      <c r="C130">
        <f t="shared" si="30"/>
        <v>9</v>
      </c>
      <c r="D130" s="30"/>
      <c r="E130" s="30"/>
      <c r="F130" s="30"/>
      <c r="G130" s="264">
        <f t="shared" ca="1" si="23"/>
        <v>166.50624999999999</v>
      </c>
      <c r="H130" s="264">
        <f t="shared" ca="1" si="23"/>
        <v>144.00333333333333</v>
      </c>
      <c r="I130" s="33"/>
      <c r="J130" s="33"/>
      <c r="L130" s="521">
        <f>'GS&gt;50 Predicted Monthly (no LC)'!$P$9</f>
        <v>4121039.41701539</v>
      </c>
      <c r="M130" s="18">
        <f ca="1">G130*'GS&gt;50 Predicted Monthly (no LC)'!$P$10</f>
        <v>385544.51202022011</v>
      </c>
      <c r="N130" s="18">
        <f ca="1">H130*'GS&gt;50 Predicted Monthly (no LC)'!$P$11</f>
        <v>777937.96028206998</v>
      </c>
      <c r="O130" s="18">
        <f t="shared" ca="1" si="25"/>
        <v>5284521.8893176802</v>
      </c>
      <c r="Q130" s="18"/>
      <c r="R130" s="18">
        <f>'Monthly Data'!DN130</f>
        <v>0</v>
      </c>
      <c r="S130" s="18">
        <f>'Monthly Data'!DO130</f>
        <v>0</v>
      </c>
      <c r="T130" s="277">
        <f t="shared" ca="1" si="19"/>
        <v>166.50624999999999</v>
      </c>
      <c r="U130" s="18"/>
      <c r="V130" s="18">
        <f t="shared" si="26"/>
        <v>1</v>
      </c>
      <c r="W130" s="18"/>
      <c r="X130" s="18">
        <f>'LC Predicted Monthly'!$T$9</f>
        <v>-22694.781953278001</v>
      </c>
      <c r="Y130" s="18">
        <f>R130*'LC Predicted Monthly'!$T$10</f>
        <v>0</v>
      </c>
      <c r="Z130" s="18">
        <f>S130*'LC Predicted Monthly'!$T$11</f>
        <v>0</v>
      </c>
      <c r="AA130" s="18">
        <f ca="1">T130*'LC Predicted Monthly'!$T$12</f>
        <v>34089.377461879645</v>
      </c>
      <c r="AB130" s="18">
        <f>V130*'LC Predicted Monthly'!$T$13</f>
        <v>97970.228068396304</v>
      </c>
      <c r="AC130" s="18">
        <f t="shared" ca="1" si="27"/>
        <v>109364.82357699795</v>
      </c>
      <c r="AD130" s="18"/>
      <c r="AE130" s="18">
        <f t="shared" ca="1" si="28"/>
        <v>5393886.7128946781</v>
      </c>
      <c r="AG130" s="18"/>
    </row>
    <row r="131" spans="1:33">
      <c r="A131" s="541">
        <f t="shared" si="24"/>
        <v>46296</v>
      </c>
      <c r="B131">
        <f t="shared" si="29"/>
        <v>2026</v>
      </c>
      <c r="C131">
        <f t="shared" si="30"/>
        <v>10</v>
      </c>
      <c r="D131" s="30"/>
      <c r="E131" s="30"/>
      <c r="F131" s="30"/>
      <c r="G131" s="264">
        <f t="shared" ca="1" si="23"/>
        <v>363.47645833333326</v>
      </c>
      <c r="H131" s="264">
        <f t="shared" ca="1" si="23"/>
        <v>40.02791666666667</v>
      </c>
      <c r="I131" s="33"/>
      <c r="J131" s="33"/>
      <c r="L131" s="521">
        <f>'GS&gt;50 Predicted Monthly (no LC)'!$P$9</f>
        <v>4121039.41701539</v>
      </c>
      <c r="M131" s="18">
        <f ca="1">G131*'GS&gt;50 Predicted Monthly (no LC)'!$P$10</f>
        <v>841628.18968635018</v>
      </c>
      <c r="N131" s="18">
        <f ca="1">H131*'GS&gt;50 Predicted Monthly (no LC)'!$P$11</f>
        <v>216239.6878267217</v>
      </c>
      <c r="O131" s="18">
        <f t="shared" ca="1" si="25"/>
        <v>5178907.294528462</v>
      </c>
      <c r="Q131" s="18"/>
      <c r="R131" s="18">
        <f>'Monthly Data'!DN131</f>
        <v>0</v>
      </c>
      <c r="S131" s="18">
        <f>'Monthly Data'!DO131</f>
        <v>0</v>
      </c>
      <c r="T131" s="277">
        <f t="shared" ca="1" si="19"/>
        <v>363.47645833333326</v>
      </c>
      <c r="U131" s="18"/>
      <c r="V131" s="18">
        <f t="shared" si="26"/>
        <v>1</v>
      </c>
      <c r="W131" s="18"/>
      <c r="X131" s="18">
        <f>'LC Predicted Monthly'!$T$9</f>
        <v>-22694.781953278001</v>
      </c>
      <c r="Y131" s="18">
        <f>R131*'LC Predicted Monthly'!$T$10</f>
        <v>0</v>
      </c>
      <c r="Z131" s="18">
        <f>S131*'LC Predicted Monthly'!$T$11</f>
        <v>0</v>
      </c>
      <c r="AA131" s="18">
        <f ca="1">T131*'LC Predicted Monthly'!$T$12</f>
        <v>74415.742271729541</v>
      </c>
      <c r="AB131" s="18">
        <f>V131*'LC Predicted Monthly'!$T$13</f>
        <v>97970.228068396304</v>
      </c>
      <c r="AC131" s="18">
        <f t="shared" ca="1" si="27"/>
        <v>149691.18838684785</v>
      </c>
      <c r="AD131" s="18"/>
      <c r="AE131" s="18">
        <f t="shared" ca="1" si="28"/>
        <v>5328598.4829153102</v>
      </c>
      <c r="AG131" s="18"/>
    </row>
    <row r="132" spans="1:33">
      <c r="A132" s="541">
        <f t="shared" si="24"/>
        <v>46327</v>
      </c>
      <c r="B132">
        <f t="shared" si="29"/>
        <v>2026</v>
      </c>
      <c r="C132">
        <f t="shared" si="30"/>
        <v>11</v>
      </c>
      <c r="D132" s="30"/>
      <c r="E132" s="30"/>
      <c r="F132" s="30"/>
      <c r="G132" s="264">
        <f t="shared" ca="1" si="23"/>
        <v>586.00395833333334</v>
      </c>
      <c r="H132" s="264">
        <f t="shared" ca="1" si="23"/>
        <v>4.5920833333333331</v>
      </c>
      <c r="I132" s="33"/>
      <c r="J132" s="33"/>
      <c r="L132" s="521">
        <f>'GS&gt;50 Predicted Monthly (no LC)'!$P$9</f>
        <v>4121039.41701539</v>
      </c>
      <c r="M132" s="18">
        <f ca="1">G132*'GS&gt;50 Predicted Monthly (no LC)'!$P$10</f>
        <v>1356889.6672499825</v>
      </c>
      <c r="N132" s="18">
        <f ca="1">H132*'GS&gt;50 Predicted Monthly (no LC)'!$P$11</f>
        <v>24807.453126862496</v>
      </c>
      <c r="O132" s="18">
        <f t="shared" ca="1" si="25"/>
        <v>5502736.5373922354</v>
      </c>
      <c r="Q132" s="18"/>
      <c r="R132" s="18">
        <f>'Monthly Data'!DN132</f>
        <v>0</v>
      </c>
      <c r="S132" s="18">
        <f>'Monthly Data'!DO132</f>
        <v>0</v>
      </c>
      <c r="T132" s="277">
        <f t="shared" ca="1" si="19"/>
        <v>586.00395833333334</v>
      </c>
      <c r="U132" s="18"/>
      <c r="V132" s="18">
        <f t="shared" si="26"/>
        <v>1</v>
      </c>
      <c r="W132" s="18"/>
      <c r="X132" s="18">
        <f>'LC Predicted Monthly'!$T$9</f>
        <v>-22694.781953278001</v>
      </c>
      <c r="Y132" s="18">
        <f>R132*'LC Predicted Monthly'!$T$10</f>
        <v>0</v>
      </c>
      <c r="Z132" s="18">
        <f>S132*'LC Predicted Monthly'!$T$11</f>
        <v>0</v>
      </c>
      <c r="AA132" s="18">
        <f ca="1">T132*'LC Predicted Monthly'!$T$12</f>
        <v>119974.53626984327</v>
      </c>
      <c r="AB132" s="18">
        <f>V132*'LC Predicted Monthly'!$T$13</f>
        <v>97970.228068396304</v>
      </c>
      <c r="AC132" s="18">
        <f t="shared" ca="1" si="27"/>
        <v>195249.98238496156</v>
      </c>
      <c r="AD132" s="18"/>
      <c r="AE132" s="18">
        <f t="shared" ca="1" si="28"/>
        <v>5697986.5197771974</v>
      </c>
      <c r="AG132" s="18"/>
    </row>
    <row r="133" spans="1:33">
      <c r="A133" s="541">
        <f t="shared" si="24"/>
        <v>46357</v>
      </c>
      <c r="B133">
        <f t="shared" si="29"/>
        <v>2026</v>
      </c>
      <c r="C133">
        <f t="shared" si="30"/>
        <v>12</v>
      </c>
      <c r="D133" s="30"/>
      <c r="E133" s="30"/>
      <c r="F133" s="30"/>
      <c r="G133" s="264">
        <f t="shared" ca="1" si="23"/>
        <v>812.36333333333334</v>
      </c>
      <c r="H133" s="264">
        <f t="shared" ca="1" si="23"/>
        <v>0</v>
      </c>
      <c r="I133" s="33"/>
      <c r="J133" s="33"/>
      <c r="L133" s="521">
        <f>'GS&gt;50 Predicted Monthly (no LC)'!$P$9</f>
        <v>4121039.41701539</v>
      </c>
      <c r="M133" s="18">
        <f ca="1">G133*'GS&gt;50 Predicted Monthly (no LC)'!$P$10</f>
        <v>1881023.8350399425</v>
      </c>
      <c r="N133" s="18">
        <f ca="1">H133*'GS&gt;50 Predicted Monthly (no LC)'!$P$11</f>
        <v>0</v>
      </c>
      <c r="O133" s="18">
        <f t="shared" ca="1" si="25"/>
        <v>6002063.2520553321</v>
      </c>
      <c r="Q133" s="18"/>
      <c r="R133" s="18">
        <f>'Monthly Data'!DN133</f>
        <v>0</v>
      </c>
      <c r="S133" s="18">
        <f>'Monthly Data'!DO133</f>
        <v>0</v>
      </c>
      <c r="T133" s="277">
        <f t="shared" ca="1" si="19"/>
        <v>812.36333333333334</v>
      </c>
      <c r="U133" s="18"/>
      <c r="V133" s="18">
        <f t="shared" si="26"/>
        <v>0</v>
      </c>
      <c r="W133" s="18"/>
      <c r="X133" s="18">
        <f>'LC Predicted Monthly'!$T$9</f>
        <v>-22694.781953278001</v>
      </c>
      <c r="Y133" s="18">
        <f>R133*'LC Predicted Monthly'!$T$10</f>
        <v>0</v>
      </c>
      <c r="Z133" s="18">
        <f>S133*'LC Predicted Monthly'!$T$11</f>
        <v>0</v>
      </c>
      <c r="AA133" s="18">
        <f ca="1">T133*'LC Predicted Monthly'!$T$12</f>
        <v>166317.84276080181</v>
      </c>
      <c r="AB133" s="18">
        <f>V133*'LC Predicted Monthly'!$T$13</f>
        <v>0</v>
      </c>
      <c r="AC133" s="18">
        <f t="shared" ca="1" si="27"/>
        <v>143623.06080752381</v>
      </c>
      <c r="AD133" s="18"/>
      <c r="AE133" s="18">
        <f t="shared" ca="1" si="28"/>
        <v>6145686.3128628563</v>
      </c>
      <c r="AG133" s="18"/>
    </row>
    <row r="134" spans="1:33">
      <c r="A134" s="541">
        <f t="shared" si="24"/>
        <v>46388</v>
      </c>
      <c r="B134">
        <f t="shared" si="29"/>
        <v>2027</v>
      </c>
      <c r="C134">
        <f t="shared" si="30"/>
        <v>1</v>
      </c>
      <c r="D134" s="30"/>
      <c r="E134" s="30"/>
      <c r="F134" s="30"/>
      <c r="G134" s="264">
        <f t="shared" ref="G134:H141" ca="1" si="31">G122</f>
        <v>914.55166666666662</v>
      </c>
      <c r="H134" s="264">
        <f t="shared" ca="1" si="31"/>
        <v>0</v>
      </c>
      <c r="I134" s="33"/>
      <c r="J134" s="33"/>
      <c r="L134" s="521">
        <f>'GS&gt;50 Predicted Monthly (no LC)'!$P$9</f>
        <v>4121039.41701539</v>
      </c>
      <c r="M134" s="18">
        <f ca="1">G134*'GS&gt;50 Predicted Monthly (no LC)'!$P$10</f>
        <v>2117640.4852206991</v>
      </c>
      <c r="N134" s="18">
        <f ca="1">H134*'GS&gt;50 Predicted Monthly (no LC)'!$P$11</f>
        <v>0</v>
      </c>
      <c r="O134" s="18">
        <f t="shared" ca="1" si="25"/>
        <v>6238679.9022360891</v>
      </c>
      <c r="Q134" s="18"/>
      <c r="R134" s="18">
        <f>'Monthly Data'!DN134</f>
        <v>0</v>
      </c>
      <c r="S134" s="18">
        <f>'Monthly Data'!DO134</f>
        <v>0</v>
      </c>
      <c r="T134" s="277">
        <f t="shared" ca="1" si="19"/>
        <v>914.55166666666662</v>
      </c>
      <c r="U134" s="18"/>
      <c r="V134" s="18">
        <f t="shared" si="26"/>
        <v>0</v>
      </c>
      <c r="W134" s="18"/>
      <c r="X134" s="18">
        <f>'LC Predicted Monthly'!$T$9</f>
        <v>-22694.781953278001</v>
      </c>
      <c r="Y134" s="18">
        <f>R134*'LC Predicted Monthly'!$T$10</f>
        <v>0</v>
      </c>
      <c r="Z134" s="18">
        <f>S134*'LC Predicted Monthly'!$T$11</f>
        <v>0</v>
      </c>
      <c r="AA134" s="18">
        <f ca="1">T134*'LC Predicted Monthly'!$T$12</f>
        <v>187239.19956993285</v>
      </c>
      <c r="AB134" s="18">
        <f>V134*'LC Predicted Monthly'!$T$13</f>
        <v>0</v>
      </c>
      <c r="AC134" s="18">
        <f t="shared" ca="1" si="27"/>
        <v>164544.41761665486</v>
      </c>
      <c r="AD134" s="18"/>
      <c r="AE134" s="18">
        <f t="shared" ca="1" si="28"/>
        <v>6403224.3198527442</v>
      </c>
      <c r="AG134" s="18"/>
    </row>
    <row r="135" spans="1:33">
      <c r="A135" s="541">
        <f t="shared" si="24"/>
        <v>46419</v>
      </c>
      <c r="B135">
        <f t="shared" si="29"/>
        <v>2027</v>
      </c>
      <c r="C135">
        <f t="shared" si="30"/>
        <v>2</v>
      </c>
      <c r="D135" s="30"/>
      <c r="E135" s="30"/>
      <c r="F135" s="30"/>
      <c r="G135" s="264">
        <f t="shared" ca="1" si="31"/>
        <v>803.82854166666664</v>
      </c>
      <c r="H135" s="264">
        <f t="shared" ca="1" si="31"/>
        <v>0</v>
      </c>
      <c r="I135" s="33"/>
      <c r="J135" s="33"/>
      <c r="L135" s="521">
        <f>'GS&gt;50 Predicted Monthly (no LC)'!$P$9</f>
        <v>4121039.41701539</v>
      </c>
      <c r="M135" s="18">
        <f ca="1">G135*'GS&gt;50 Predicted Monthly (no LC)'!$P$10</f>
        <v>1861261.5613215731</v>
      </c>
      <c r="N135" s="18">
        <f ca="1">H135*'GS&gt;50 Predicted Monthly (no LC)'!$P$11</f>
        <v>0</v>
      </c>
      <c r="O135" s="18">
        <f t="shared" ca="1" si="25"/>
        <v>5982300.9783369629</v>
      </c>
      <c r="Q135" s="18"/>
      <c r="R135" s="18">
        <f>'Monthly Data'!DN135</f>
        <v>0</v>
      </c>
      <c r="S135" s="18">
        <f>'Monthly Data'!DO135</f>
        <v>0</v>
      </c>
      <c r="T135" s="277">
        <f t="shared" ca="1" si="19"/>
        <v>803.82854166666664</v>
      </c>
      <c r="U135" s="18"/>
      <c r="V135" s="18">
        <f t="shared" si="26"/>
        <v>0</v>
      </c>
      <c r="W135" s="18"/>
      <c r="X135" s="18">
        <f>'LC Predicted Monthly'!$T$9</f>
        <v>-22694.781953278001</v>
      </c>
      <c r="Y135" s="18">
        <f>R135*'LC Predicted Monthly'!$T$10</f>
        <v>0</v>
      </c>
      <c r="Z135" s="18">
        <f>S135*'LC Predicted Monthly'!$T$11</f>
        <v>0</v>
      </c>
      <c r="AA135" s="18">
        <f ca="1">T135*'LC Predicted Monthly'!$T$12</f>
        <v>164570.48652232124</v>
      </c>
      <c r="AB135" s="18">
        <f>V135*'LC Predicted Monthly'!$T$13</f>
        <v>0</v>
      </c>
      <c r="AC135" s="18">
        <f t="shared" ca="1" si="27"/>
        <v>141875.70456904324</v>
      </c>
      <c r="AD135" s="18"/>
      <c r="AE135" s="18">
        <f t="shared" ca="1" si="28"/>
        <v>6124176.6829060065</v>
      </c>
      <c r="AG135" s="18"/>
    </row>
    <row r="136" spans="1:33">
      <c r="A136" s="541">
        <f t="shared" si="24"/>
        <v>46447</v>
      </c>
      <c r="B136">
        <f t="shared" si="29"/>
        <v>2027</v>
      </c>
      <c r="C136">
        <f t="shared" si="30"/>
        <v>3</v>
      </c>
      <c r="D136" s="30"/>
      <c r="E136" s="30"/>
      <c r="F136" s="30"/>
      <c r="G136" s="264">
        <f t="shared" ca="1" si="31"/>
        <v>698.29604166666672</v>
      </c>
      <c r="H136" s="264">
        <f t="shared" ca="1" si="31"/>
        <v>0.11000000000000032</v>
      </c>
      <c r="I136" s="33"/>
      <c r="J136" s="33"/>
      <c r="L136" s="521">
        <f>'GS&gt;50 Predicted Monthly (no LC)'!$P$9</f>
        <v>4121039.41701539</v>
      </c>
      <c r="M136" s="18">
        <f ca="1">G136*'GS&gt;50 Predicted Monthly (no LC)'!$P$10</f>
        <v>1616901.5074811084</v>
      </c>
      <c r="N136" s="18">
        <f ca="1">H136*'GS&gt;50 Predicted Monthly (no LC)'!$P$11</f>
        <v>594.2444084467578</v>
      </c>
      <c r="O136" s="18">
        <f t="shared" ca="1" si="25"/>
        <v>5738535.1689049443</v>
      </c>
      <c r="Q136" s="18"/>
      <c r="R136" s="18">
        <f>'Monthly Data'!DN136</f>
        <v>0</v>
      </c>
      <c r="S136" s="18">
        <f>'Monthly Data'!DO136</f>
        <v>0</v>
      </c>
      <c r="T136" s="277">
        <f t="shared" ca="1" si="19"/>
        <v>698.29604166666672</v>
      </c>
      <c r="U136" s="18"/>
      <c r="V136" s="18">
        <f t="shared" si="26"/>
        <v>0</v>
      </c>
      <c r="W136" s="18"/>
      <c r="X136" s="18">
        <f>'LC Predicted Monthly'!$T$9</f>
        <v>-22694.781953278001</v>
      </c>
      <c r="Y136" s="18">
        <f>R136*'LC Predicted Monthly'!$T$10</f>
        <v>0</v>
      </c>
      <c r="Z136" s="18">
        <f>S136*'LC Predicted Monthly'!$T$11</f>
        <v>0</v>
      </c>
      <c r="AA136" s="18">
        <f ca="1">T136*'LC Predicted Monthly'!$T$12</f>
        <v>142964.46736690929</v>
      </c>
      <c r="AB136" s="18">
        <f>V136*'LC Predicted Monthly'!$T$13</f>
        <v>0</v>
      </c>
      <c r="AC136" s="18">
        <f t="shared" ca="1" si="27"/>
        <v>120269.68541363129</v>
      </c>
      <c r="AD136" s="18"/>
      <c r="AE136" s="18">
        <f t="shared" ca="1" si="28"/>
        <v>5858804.8543185759</v>
      </c>
      <c r="AG136" s="18"/>
    </row>
    <row r="137" spans="1:33">
      <c r="A137" s="541">
        <f t="shared" si="24"/>
        <v>46478</v>
      </c>
      <c r="B137">
        <f t="shared" si="29"/>
        <v>2027</v>
      </c>
      <c r="C137">
        <f t="shared" si="30"/>
        <v>4</v>
      </c>
      <c r="D137" s="30"/>
      <c r="E137" s="30"/>
      <c r="F137" s="30"/>
      <c r="G137" s="264">
        <f t="shared" ca="1" si="31"/>
        <v>468.60374999999993</v>
      </c>
      <c r="H137" s="264">
        <f t="shared" ca="1" si="31"/>
        <v>7.7354166666666684</v>
      </c>
      <c r="I137" s="33"/>
      <c r="J137" s="33"/>
      <c r="L137" s="521">
        <f>'GS&gt;50 Predicted Monthly (no LC)'!$P$9</f>
        <v>4121039.41701539</v>
      </c>
      <c r="M137" s="18">
        <f ca="1">G137*'GS&gt;50 Predicted Monthly (no LC)'!$P$10</f>
        <v>1085049.9853584787</v>
      </c>
      <c r="N137" s="18">
        <f ca="1">H137*'GS&gt;50 Predicted Monthly (no LC)'!$P$11</f>
        <v>41788.437283386476</v>
      </c>
      <c r="O137" s="18">
        <f t="shared" ca="1" si="25"/>
        <v>5247877.8396572554</v>
      </c>
      <c r="Q137" s="18"/>
      <c r="R137" s="18">
        <f>'Monthly Data'!DN137</f>
        <v>0</v>
      </c>
      <c r="S137" s="18">
        <f>'Monthly Data'!DO137</f>
        <v>0</v>
      </c>
      <c r="T137" s="277">
        <f t="shared" ca="1" si="19"/>
        <v>468.60374999999993</v>
      </c>
      <c r="U137" s="18"/>
      <c r="V137" s="18">
        <f t="shared" si="26"/>
        <v>0</v>
      </c>
      <c r="W137" s="18"/>
      <c r="X137" s="18">
        <f>'LC Predicted Monthly'!$T$9</f>
        <v>-22694.781953278001</v>
      </c>
      <c r="Y137" s="18">
        <f>R137*'LC Predicted Monthly'!$T$10</f>
        <v>0</v>
      </c>
      <c r="Z137" s="18">
        <f>S137*'LC Predicted Monthly'!$T$11</f>
        <v>0</v>
      </c>
      <c r="AA137" s="18">
        <f ca="1">T137*'LC Predicted Monthly'!$T$12</f>
        <v>95938.80177952649</v>
      </c>
      <c r="AB137" s="18">
        <f>V137*'LC Predicted Monthly'!$T$13</f>
        <v>0</v>
      </c>
      <c r="AC137" s="18">
        <f t="shared" ca="1" si="27"/>
        <v>73244.019826248492</v>
      </c>
      <c r="AD137" s="18"/>
      <c r="AE137" s="18">
        <f t="shared" ca="1" si="28"/>
        <v>5321121.8594835037</v>
      </c>
    </row>
    <row r="138" spans="1:33">
      <c r="A138" s="541">
        <f t="shared" si="24"/>
        <v>46508</v>
      </c>
      <c r="B138">
        <f t="shared" si="29"/>
        <v>2027</v>
      </c>
      <c r="C138">
        <f t="shared" si="30"/>
        <v>5</v>
      </c>
      <c r="D138" s="30"/>
      <c r="E138" s="30"/>
      <c r="F138" s="30"/>
      <c r="G138" s="264">
        <f t="shared" ca="1" si="31"/>
        <v>232.88687500000006</v>
      </c>
      <c r="H138" s="264">
        <f t="shared" ca="1" si="31"/>
        <v>111.43645833333332</v>
      </c>
      <c r="I138" s="33"/>
      <c r="J138" s="33"/>
      <c r="L138" s="521">
        <f>'GS&gt;50 Predicted Monthly (no LC)'!$P$9</f>
        <v>4121039.41701539</v>
      </c>
      <c r="M138" s="18">
        <f ca="1">G138*'GS&gt;50 Predicted Monthly (no LC)'!$P$10</f>
        <v>539248.5662117129</v>
      </c>
      <c r="N138" s="18">
        <f ca="1">H138*'GS&gt;50 Predicted Monthly (no LC)'!$P$11</f>
        <v>602004.47510630218</v>
      </c>
      <c r="O138" s="18">
        <f t="shared" ca="1" si="25"/>
        <v>5262292.4583334047</v>
      </c>
      <c r="Q138" s="18"/>
      <c r="R138" s="18">
        <f>'Monthly Data'!DN138</f>
        <v>0</v>
      </c>
      <c r="S138" s="18">
        <f>'Monthly Data'!DO138</f>
        <v>0</v>
      </c>
      <c r="T138" s="277">
        <f t="shared" ca="1" si="19"/>
        <v>232.88687500000006</v>
      </c>
      <c r="U138" s="18"/>
      <c r="V138" s="18">
        <f t="shared" si="26"/>
        <v>0</v>
      </c>
      <c r="W138" s="18"/>
      <c r="X138" s="18">
        <f>'LC Predicted Monthly'!$T$9</f>
        <v>-22694.781953278001</v>
      </c>
      <c r="Y138" s="18">
        <f>R138*'LC Predicted Monthly'!$T$10</f>
        <v>0</v>
      </c>
      <c r="Z138" s="18">
        <f>S138*'LC Predicted Monthly'!$T$11</f>
        <v>0</v>
      </c>
      <c r="AA138" s="18">
        <f ca="1">T138*'LC Predicted Monthly'!$T$12</f>
        <v>47679.703241125091</v>
      </c>
      <c r="AB138" s="18">
        <f>V138*'LC Predicted Monthly'!$T$13</f>
        <v>0</v>
      </c>
      <c r="AC138" s="18">
        <f t="shared" ca="1" si="27"/>
        <v>24984.92128784709</v>
      </c>
      <c r="AD138" s="18"/>
      <c r="AE138" s="18">
        <f t="shared" ca="1" si="28"/>
        <v>5287277.3796212515</v>
      </c>
    </row>
    <row r="139" spans="1:33">
      <c r="A139" s="541">
        <f t="shared" si="24"/>
        <v>46539</v>
      </c>
      <c r="B139">
        <f t="shared" si="29"/>
        <v>2027</v>
      </c>
      <c r="C139">
        <f t="shared" si="30"/>
        <v>6</v>
      </c>
      <c r="D139" s="30"/>
      <c r="E139" s="30"/>
      <c r="F139" s="30"/>
      <c r="G139" s="264">
        <f t="shared" ca="1" si="31"/>
        <v>92.751249999999999</v>
      </c>
      <c r="H139" s="264">
        <f t="shared" ca="1" si="31"/>
        <v>227.31958333333333</v>
      </c>
      <c r="I139" s="33"/>
      <c r="J139" s="33"/>
      <c r="L139" s="521">
        <f>'GS&gt;50 Predicted Monthly (no LC)'!$P$9</f>
        <v>4121039.41701539</v>
      </c>
      <c r="M139" s="18">
        <f ca="1">G139*'GS&gt;50 Predicted Monthly (no LC)'!$P$10</f>
        <v>214765.12395489923</v>
      </c>
      <c r="N139" s="18">
        <f ca="1">H139*'GS&gt;50 Predicted Monthly (no LC)'!$P$11</f>
        <v>1228030.8302389067</v>
      </c>
      <c r="O139" s="18">
        <f t="shared" ca="1" si="25"/>
        <v>5563835.3712091958</v>
      </c>
      <c r="Q139" s="18"/>
      <c r="R139" s="18">
        <f>'Monthly Data'!DN139</f>
        <v>0</v>
      </c>
      <c r="S139" s="18">
        <f>'Monthly Data'!DO139</f>
        <v>0</v>
      </c>
      <c r="T139" s="277">
        <f t="shared" ca="1" si="19"/>
        <v>92.751249999999999</v>
      </c>
      <c r="U139" s="18"/>
      <c r="V139" s="18">
        <f t="shared" si="26"/>
        <v>0</v>
      </c>
      <c r="W139" s="18"/>
      <c r="X139" s="18">
        <f>'LC Predicted Monthly'!$T$9</f>
        <v>-22694.781953278001</v>
      </c>
      <c r="Y139" s="18">
        <f>R139*'LC Predicted Monthly'!$T$10</f>
        <v>0</v>
      </c>
      <c r="Z139" s="18">
        <f>S139*'LC Predicted Monthly'!$T$11</f>
        <v>0</v>
      </c>
      <c r="AA139" s="18">
        <f ca="1">T139*'LC Predicted Monthly'!$T$12</f>
        <v>18989.271401591017</v>
      </c>
      <c r="AB139" s="18">
        <f>V139*'LC Predicted Monthly'!$T$13</f>
        <v>0</v>
      </c>
      <c r="AC139" s="18">
        <f t="shared" ca="1" si="27"/>
        <v>-3705.5105516869844</v>
      </c>
      <c r="AD139" s="18"/>
      <c r="AE139" s="18">
        <f t="shared" ca="1" si="28"/>
        <v>5560129.8606575085</v>
      </c>
    </row>
    <row r="140" spans="1:33">
      <c r="A140" s="541">
        <f t="shared" si="24"/>
        <v>46569</v>
      </c>
      <c r="B140">
        <f t="shared" si="29"/>
        <v>2027</v>
      </c>
      <c r="C140">
        <f t="shared" si="30"/>
        <v>7</v>
      </c>
      <c r="D140" s="30"/>
      <c r="E140" s="30"/>
      <c r="F140" s="30"/>
      <c r="G140" s="264">
        <f t="shared" ca="1" si="31"/>
        <v>25.464999999999996</v>
      </c>
      <c r="H140" s="264">
        <f t="shared" ca="1" si="31"/>
        <v>327.99625000000003</v>
      </c>
      <c r="I140" s="33"/>
      <c r="J140" s="33"/>
      <c r="L140" s="521">
        <f>'GS&gt;50 Predicted Monthly (no LC)'!$P$9</f>
        <v>4121039.41701539</v>
      </c>
      <c r="M140" s="18">
        <f ca="1">G140*'GS&gt;50 Predicted Monthly (no LC)'!$P$10</f>
        <v>58964.098936796094</v>
      </c>
      <c r="N140" s="18">
        <f ca="1">H140*'GS&gt;50 Predicted Monthly (no LC)'!$P$11</f>
        <v>1771908.5232182215</v>
      </c>
      <c r="O140" s="18">
        <f t="shared" ca="1" si="25"/>
        <v>5951912.0391704077</v>
      </c>
      <c r="Q140" s="18"/>
      <c r="R140" s="18">
        <f>'Monthly Data'!DN140</f>
        <v>0</v>
      </c>
      <c r="S140" s="18">
        <f>'Monthly Data'!DO140</f>
        <v>0</v>
      </c>
      <c r="T140" s="277">
        <f t="shared" ca="1" si="19"/>
        <v>25.464999999999996</v>
      </c>
      <c r="U140" s="18"/>
      <c r="V140" s="18">
        <f t="shared" si="26"/>
        <v>0</v>
      </c>
      <c r="W140" s="18"/>
      <c r="X140" s="18">
        <f>'LC Predicted Monthly'!$T$9</f>
        <v>-22694.781953278001</v>
      </c>
      <c r="Y140" s="18">
        <f>R140*'LC Predicted Monthly'!$T$10</f>
        <v>0</v>
      </c>
      <c r="Z140" s="18">
        <f>S140*'LC Predicted Monthly'!$T$11</f>
        <v>0</v>
      </c>
      <c r="AA140" s="18">
        <f ca="1">T140*'LC Predicted Monthly'!$T$12</f>
        <v>5213.5340088841413</v>
      </c>
      <c r="AB140" s="18">
        <f>V140*'LC Predicted Monthly'!$T$13</f>
        <v>0</v>
      </c>
      <c r="AC140" s="18">
        <f t="shared" ca="1" si="27"/>
        <v>-17481.247944393861</v>
      </c>
      <c r="AD140" s="18"/>
      <c r="AE140" s="18">
        <f t="shared" ca="1" si="28"/>
        <v>5934430.7912260136</v>
      </c>
    </row>
    <row r="141" spans="1:33">
      <c r="A141" s="541">
        <f t="shared" si="24"/>
        <v>46600</v>
      </c>
      <c r="B141">
        <f t="shared" si="29"/>
        <v>2027</v>
      </c>
      <c r="C141">
        <f t="shared" si="30"/>
        <v>8</v>
      </c>
      <c r="D141" s="30"/>
      <c r="E141" s="30"/>
      <c r="F141" s="30"/>
      <c r="G141" s="264">
        <f t="shared" ca="1" si="31"/>
        <v>54.974791666666668</v>
      </c>
      <c r="H141" s="264">
        <f t="shared" ca="1" si="31"/>
        <v>280.40312500000005</v>
      </c>
      <c r="I141" s="33"/>
      <c r="J141" s="33"/>
      <c r="L141" s="521">
        <f>'GS&gt;50 Predicted Monthly (no LC)'!$P$9</f>
        <v>4121039.41701539</v>
      </c>
      <c r="M141" s="18">
        <f ca="1">G141*'GS&gt;50 Predicted Monthly (no LC)'!$P$10</f>
        <v>127293.89573387343</v>
      </c>
      <c r="N141" s="18">
        <f ca="1">H141*'GS&gt;50 Predicted Monthly (no LC)'!$P$11</f>
        <v>1514799.9012931532</v>
      </c>
      <c r="O141" s="18">
        <f t="shared" ca="1" si="25"/>
        <v>5763133.2140424168</v>
      </c>
      <c r="Q141" s="18"/>
      <c r="R141" s="18">
        <f>'Monthly Data'!DN141</f>
        <v>0</v>
      </c>
      <c r="S141" s="18">
        <f>'Monthly Data'!DO141</f>
        <v>0</v>
      </c>
      <c r="T141" s="277">
        <f t="shared" ca="1" si="19"/>
        <v>54.974791666666668</v>
      </c>
      <c r="U141" s="18"/>
      <c r="V141" s="18">
        <f t="shared" si="26"/>
        <v>0</v>
      </c>
      <c r="W141" s="18"/>
      <c r="X141" s="18">
        <f>'LC Predicted Monthly'!$T$9</f>
        <v>-22694.781953278001</v>
      </c>
      <c r="Y141" s="18">
        <f>R141*'LC Predicted Monthly'!$T$10</f>
        <v>0</v>
      </c>
      <c r="Z141" s="18">
        <f>S141*'LC Predicted Monthly'!$T$11</f>
        <v>0</v>
      </c>
      <c r="AA141" s="18">
        <f ca="1">T141*'LC Predicted Monthly'!$T$12</f>
        <v>11255.171646789209</v>
      </c>
      <c r="AB141" s="18">
        <f>V141*'LC Predicted Monthly'!$T$13</f>
        <v>0</v>
      </c>
      <c r="AC141" s="18">
        <f t="shared" ca="1" si="27"/>
        <v>-11439.610306488792</v>
      </c>
      <c r="AD141" s="18"/>
      <c r="AE141" s="18">
        <f t="shared" ca="1" si="28"/>
        <v>5751693.6037359284</v>
      </c>
    </row>
    <row r="142" spans="1:33">
      <c r="A142" s="541">
        <f t="shared" si="24"/>
        <v>46631</v>
      </c>
      <c r="B142">
        <f t="shared" si="29"/>
        <v>2027</v>
      </c>
      <c r="C142">
        <f t="shared" si="30"/>
        <v>9</v>
      </c>
      <c r="D142" s="30"/>
      <c r="E142" s="30"/>
      <c r="F142" s="30"/>
      <c r="G142" s="264">
        <f t="shared" ref="G142:H145" ca="1" si="32">G130</f>
        <v>166.50624999999999</v>
      </c>
      <c r="H142" s="264">
        <f t="shared" ca="1" si="32"/>
        <v>144.00333333333333</v>
      </c>
      <c r="I142" s="33"/>
      <c r="J142" s="33"/>
      <c r="L142" s="521">
        <f>'GS&gt;50 Predicted Monthly (no LC)'!$P$9</f>
        <v>4121039.41701539</v>
      </c>
      <c r="M142" s="18">
        <f ca="1">G142*'GS&gt;50 Predicted Monthly (no LC)'!$P$10</f>
        <v>385544.51202022011</v>
      </c>
      <c r="N142" s="18">
        <f ca="1">H142*'GS&gt;50 Predicted Monthly (no LC)'!$P$11</f>
        <v>777937.96028206998</v>
      </c>
      <c r="O142" s="18">
        <f t="shared" ca="1" si="25"/>
        <v>5284521.8893176802</v>
      </c>
      <c r="Q142" s="18"/>
      <c r="R142" s="18">
        <f>'Monthly Data'!DN142</f>
        <v>0</v>
      </c>
      <c r="S142" s="18">
        <f>'Monthly Data'!DO142</f>
        <v>0</v>
      </c>
      <c r="T142" s="277">
        <f ca="1">G142</f>
        <v>166.50624999999999</v>
      </c>
      <c r="U142" s="18"/>
      <c r="V142" s="18">
        <f t="shared" si="26"/>
        <v>1</v>
      </c>
      <c r="W142" s="18"/>
      <c r="X142" s="18">
        <f>'LC Predicted Monthly'!$T$9</f>
        <v>-22694.781953278001</v>
      </c>
      <c r="Y142" s="18">
        <f>R142*'LC Predicted Monthly'!$T$10</f>
        <v>0</v>
      </c>
      <c r="Z142" s="18">
        <f>S142*'LC Predicted Monthly'!$T$11</f>
        <v>0</v>
      </c>
      <c r="AA142" s="18">
        <f ca="1">T142*'LC Predicted Monthly'!$T$12</f>
        <v>34089.377461879645</v>
      </c>
      <c r="AB142" s="18">
        <f>V142*'LC Predicted Monthly'!$T$13</f>
        <v>97970.228068396304</v>
      </c>
      <c r="AC142" s="18">
        <f t="shared" ca="1" si="27"/>
        <v>109364.82357699795</v>
      </c>
      <c r="AD142" s="18"/>
      <c r="AE142" s="18">
        <f t="shared" ca="1" si="28"/>
        <v>5393886.7128946781</v>
      </c>
    </row>
    <row r="143" spans="1:33">
      <c r="A143" s="541">
        <f t="shared" si="24"/>
        <v>46661</v>
      </c>
      <c r="B143">
        <f t="shared" si="29"/>
        <v>2027</v>
      </c>
      <c r="C143">
        <f t="shared" si="30"/>
        <v>10</v>
      </c>
      <c r="D143" s="30"/>
      <c r="E143" s="30"/>
      <c r="F143" s="30"/>
      <c r="G143" s="264">
        <f t="shared" ca="1" si="32"/>
        <v>363.47645833333326</v>
      </c>
      <c r="H143" s="264">
        <f t="shared" ca="1" si="32"/>
        <v>40.02791666666667</v>
      </c>
      <c r="I143" s="33"/>
      <c r="J143" s="33"/>
      <c r="L143" s="521">
        <f>'GS&gt;50 Predicted Monthly (no LC)'!$P$9</f>
        <v>4121039.41701539</v>
      </c>
      <c r="M143" s="18">
        <f ca="1">G143*'GS&gt;50 Predicted Monthly (no LC)'!$P$10</f>
        <v>841628.18968635018</v>
      </c>
      <c r="N143" s="18">
        <f ca="1">H143*'GS&gt;50 Predicted Monthly (no LC)'!$P$11</f>
        <v>216239.6878267217</v>
      </c>
      <c r="O143" s="18">
        <f t="shared" ca="1" si="25"/>
        <v>5178907.294528462</v>
      </c>
      <c r="Q143" s="18"/>
      <c r="R143" s="18">
        <f>'Monthly Data'!DN143</f>
        <v>0</v>
      </c>
      <c r="S143" s="18">
        <f>'Monthly Data'!DO143</f>
        <v>0</v>
      </c>
      <c r="T143" s="277">
        <f ca="1">G143</f>
        <v>363.47645833333326</v>
      </c>
      <c r="U143" s="18"/>
      <c r="V143" s="18">
        <f t="shared" si="26"/>
        <v>1</v>
      </c>
      <c r="W143" s="18"/>
      <c r="X143" s="18">
        <f>'LC Predicted Monthly'!$T$9</f>
        <v>-22694.781953278001</v>
      </c>
      <c r="Y143" s="18">
        <f>R143*'LC Predicted Monthly'!$T$10</f>
        <v>0</v>
      </c>
      <c r="Z143" s="18">
        <f>S143*'LC Predicted Monthly'!$T$11</f>
        <v>0</v>
      </c>
      <c r="AA143" s="18">
        <f ca="1">T143*'LC Predicted Monthly'!$T$12</f>
        <v>74415.742271729541</v>
      </c>
      <c r="AB143" s="18">
        <f>V143*'LC Predicted Monthly'!$T$13</f>
        <v>97970.228068396304</v>
      </c>
      <c r="AC143" s="18">
        <f t="shared" ca="1" si="27"/>
        <v>149691.18838684785</v>
      </c>
      <c r="AD143" s="18"/>
      <c r="AE143" s="18">
        <f t="shared" ca="1" si="28"/>
        <v>5328598.4829153102</v>
      </c>
    </row>
    <row r="144" spans="1:33">
      <c r="A144" s="541">
        <f t="shared" si="24"/>
        <v>46692</v>
      </c>
      <c r="B144">
        <f t="shared" si="29"/>
        <v>2027</v>
      </c>
      <c r="C144">
        <f t="shared" si="30"/>
        <v>11</v>
      </c>
      <c r="D144" s="30"/>
      <c r="E144" s="30"/>
      <c r="F144" s="30"/>
      <c r="G144" s="264">
        <f t="shared" ca="1" si="32"/>
        <v>586.00395833333334</v>
      </c>
      <c r="H144" s="264">
        <f t="shared" ca="1" si="32"/>
        <v>4.5920833333333331</v>
      </c>
      <c r="I144" s="33"/>
      <c r="J144" s="33"/>
      <c r="L144" s="521">
        <f>'GS&gt;50 Predicted Monthly (no LC)'!$P$9</f>
        <v>4121039.41701539</v>
      </c>
      <c r="M144" s="18">
        <f ca="1">G144*'GS&gt;50 Predicted Monthly (no LC)'!$P$10</f>
        <v>1356889.6672499825</v>
      </c>
      <c r="N144" s="18">
        <f ca="1">H144*'GS&gt;50 Predicted Monthly (no LC)'!$P$11</f>
        <v>24807.453126862496</v>
      </c>
      <c r="O144" s="18">
        <f t="shared" ca="1" si="25"/>
        <v>5502736.5373922354</v>
      </c>
      <c r="Q144" s="18"/>
      <c r="R144" s="18">
        <f>'Monthly Data'!DN144</f>
        <v>0</v>
      </c>
      <c r="S144" s="18">
        <f>'Monthly Data'!DO144</f>
        <v>0</v>
      </c>
      <c r="T144" s="277">
        <f ca="1">G144</f>
        <v>586.00395833333334</v>
      </c>
      <c r="U144" s="18"/>
      <c r="V144" s="18">
        <f t="shared" si="26"/>
        <v>1</v>
      </c>
      <c r="W144" s="18"/>
      <c r="X144" s="18">
        <f>'LC Predicted Monthly'!$T$9</f>
        <v>-22694.781953278001</v>
      </c>
      <c r="Y144" s="18">
        <f>R144*'LC Predicted Monthly'!$T$10</f>
        <v>0</v>
      </c>
      <c r="Z144" s="18">
        <f>S144*'LC Predicted Monthly'!$T$11</f>
        <v>0</v>
      </c>
      <c r="AA144" s="18">
        <f ca="1">T144*'LC Predicted Monthly'!$T$12</f>
        <v>119974.53626984327</v>
      </c>
      <c r="AB144" s="18">
        <f>V144*'LC Predicted Monthly'!$T$13</f>
        <v>97970.228068396304</v>
      </c>
      <c r="AC144" s="18">
        <f t="shared" ca="1" si="27"/>
        <v>195249.98238496156</v>
      </c>
      <c r="AD144" s="18"/>
      <c r="AE144" s="18">
        <f t="shared" ca="1" si="28"/>
        <v>5697986.5197771974</v>
      </c>
    </row>
    <row r="145" spans="1:31">
      <c r="A145" s="541">
        <f t="shared" si="24"/>
        <v>46722</v>
      </c>
      <c r="B145">
        <f t="shared" si="29"/>
        <v>2027</v>
      </c>
      <c r="C145">
        <f t="shared" si="30"/>
        <v>12</v>
      </c>
      <c r="D145" s="30"/>
      <c r="E145" s="30"/>
      <c r="F145" s="30"/>
      <c r="G145" s="264">
        <f t="shared" ca="1" si="32"/>
        <v>812.36333333333334</v>
      </c>
      <c r="H145" s="264">
        <f t="shared" ca="1" si="32"/>
        <v>0</v>
      </c>
      <c r="I145" s="33"/>
      <c r="J145" s="33"/>
      <c r="L145" s="521">
        <f>'GS&gt;50 Predicted Monthly (no LC)'!$P$9</f>
        <v>4121039.41701539</v>
      </c>
      <c r="M145" s="18">
        <f ca="1">G145*'GS&gt;50 Predicted Monthly (no LC)'!$P$10</f>
        <v>1881023.8350399425</v>
      </c>
      <c r="N145" s="18">
        <f ca="1">H145*'GS&gt;50 Predicted Monthly (no LC)'!$P$11</f>
        <v>0</v>
      </c>
      <c r="O145" s="18">
        <f t="shared" ca="1" si="25"/>
        <v>6002063.2520553321</v>
      </c>
      <c r="Q145" s="18"/>
      <c r="R145" s="18">
        <f>'Monthly Data'!DN145</f>
        <v>0</v>
      </c>
      <c r="S145" s="18">
        <f>'Monthly Data'!DO145</f>
        <v>0</v>
      </c>
      <c r="T145" s="277">
        <f ca="1">G145</f>
        <v>812.36333333333334</v>
      </c>
      <c r="U145" s="18"/>
      <c r="V145" s="18">
        <f t="shared" si="26"/>
        <v>0</v>
      </c>
      <c r="W145" s="18"/>
      <c r="X145" s="18">
        <f>'LC Predicted Monthly'!$T$9</f>
        <v>-22694.781953278001</v>
      </c>
      <c r="Y145" s="18">
        <f>R145*'LC Predicted Monthly'!$T$10</f>
        <v>0</v>
      </c>
      <c r="Z145" s="18">
        <f>S145*'LC Predicted Monthly'!$T$11</f>
        <v>0</v>
      </c>
      <c r="AA145" s="18">
        <f ca="1">T145*'LC Predicted Monthly'!$T$12</f>
        <v>166317.84276080181</v>
      </c>
      <c r="AB145" s="18">
        <f>V145*'LC Predicted Monthly'!$T$13</f>
        <v>0</v>
      </c>
      <c r="AC145" s="18">
        <f t="shared" ca="1" si="27"/>
        <v>143623.06080752381</v>
      </c>
      <c r="AD145" s="18"/>
      <c r="AE145" s="18">
        <f ca="1">SUM(L145:N145,X145:AB145)</f>
        <v>6145686.3128628563</v>
      </c>
    </row>
    <row r="147" spans="1:31">
      <c r="Q147" s="31">
        <f>Q145-'GS&gt;50 (no LC) Norm Monthly'!I145</f>
        <v>-4121039.41701539</v>
      </c>
      <c r="R147" s="31">
        <f ca="1">R145-'GS&gt;50 (no LC) Norm Monthly'!J145</f>
        <v>-1881023.8350399425</v>
      </c>
      <c r="S147" s="31">
        <f ca="1">S145-'GS&gt;50 (no LC) Norm Monthly'!K145</f>
        <v>0</v>
      </c>
      <c r="T147" s="31"/>
      <c r="U147" s="31"/>
      <c r="V147" s="31"/>
      <c r="W147" s="31"/>
      <c r="X147" s="31"/>
      <c r="Y147" s="31"/>
      <c r="Z147" s="31"/>
      <c r="AA147" s="31"/>
      <c r="AB147" s="31"/>
      <c r="AC147" s="31"/>
      <c r="AD147" s="31"/>
    </row>
    <row r="195" spans="17:34">
      <c r="R195" s="18"/>
      <c r="S195" s="18"/>
      <c r="T195" s="18"/>
      <c r="U195" s="18"/>
      <c r="V195" s="18"/>
      <c r="W195" s="18"/>
      <c r="X195" s="18"/>
      <c r="Y195" s="18"/>
      <c r="Z195" s="18"/>
      <c r="AA195" s="18"/>
      <c r="AB195" s="18"/>
      <c r="AC195" s="18"/>
      <c r="AD195" s="18"/>
      <c r="AE195" s="18"/>
      <c r="AF195" s="18"/>
      <c r="AG195" s="18"/>
      <c r="AH195" s="18"/>
    </row>
    <row r="196" spans="17:34">
      <c r="R196" s="18"/>
      <c r="S196" s="18"/>
      <c r="T196" s="18"/>
      <c r="U196" s="18"/>
      <c r="V196" s="18"/>
      <c r="W196" s="18"/>
      <c r="X196" s="18"/>
      <c r="Y196" s="18"/>
      <c r="Z196" s="18"/>
      <c r="AA196" s="18"/>
      <c r="AB196" s="18"/>
      <c r="AC196" s="18"/>
      <c r="AD196" s="18"/>
      <c r="AE196" s="18"/>
      <c r="AF196" s="18"/>
      <c r="AG196" s="18"/>
      <c r="AH196" s="18"/>
    </row>
    <row r="197" spans="17:34">
      <c r="R197" s="18"/>
      <c r="S197" s="18"/>
      <c r="T197" s="18"/>
      <c r="U197" s="18"/>
      <c r="V197" s="18"/>
      <c r="W197" s="18"/>
      <c r="X197" s="18"/>
      <c r="Y197" s="18"/>
      <c r="Z197" s="18"/>
      <c r="AA197" s="18"/>
      <c r="AB197" s="18"/>
      <c r="AC197" s="18"/>
      <c r="AD197" s="18"/>
      <c r="AE197" s="18"/>
      <c r="AF197" s="18"/>
      <c r="AG197" s="18"/>
      <c r="AH197" s="18"/>
    </row>
    <row r="198" spans="17:34">
      <c r="R198" s="18"/>
      <c r="S198" s="18"/>
      <c r="T198" s="18"/>
      <c r="U198" s="18"/>
      <c r="V198" s="18"/>
      <c r="W198" s="18"/>
      <c r="X198" s="18"/>
      <c r="Y198" s="18"/>
      <c r="Z198" s="18"/>
      <c r="AA198" s="18"/>
      <c r="AB198" s="18"/>
      <c r="AC198" s="18"/>
      <c r="AD198" s="18"/>
      <c r="AE198" s="18"/>
      <c r="AF198" s="18"/>
      <c r="AG198" s="18"/>
      <c r="AH198" s="18"/>
    </row>
    <row r="199" spans="17:34">
      <c r="R199" s="18"/>
      <c r="S199" s="18"/>
      <c r="T199" s="18"/>
      <c r="U199" s="18"/>
      <c r="V199" s="18"/>
      <c r="W199" s="18"/>
      <c r="X199" s="18"/>
      <c r="Y199" s="18"/>
      <c r="Z199" s="18"/>
      <c r="AA199" s="18"/>
      <c r="AB199" s="18"/>
      <c r="AC199" s="18"/>
      <c r="AD199" s="18"/>
      <c r="AE199" s="18"/>
      <c r="AF199" s="18"/>
      <c r="AG199" s="18"/>
      <c r="AH199" s="18"/>
    </row>
    <row r="200" spans="17:34">
      <c r="R200" s="18"/>
      <c r="S200" s="18"/>
      <c r="T200" s="18"/>
      <c r="U200" s="18"/>
      <c r="V200" s="18"/>
      <c r="W200" s="18"/>
      <c r="X200" s="18"/>
      <c r="Y200" s="18"/>
      <c r="Z200" s="18"/>
      <c r="AA200" s="18"/>
      <c r="AB200" s="18"/>
      <c r="AC200" s="18"/>
      <c r="AD200" s="18"/>
      <c r="AE200" s="18"/>
      <c r="AF200" s="18"/>
      <c r="AG200" s="18"/>
      <c r="AH200" s="18"/>
    </row>
    <row r="201" spans="17:34">
      <c r="R201" s="18"/>
      <c r="S201" s="18"/>
      <c r="T201" s="18"/>
      <c r="U201" s="18"/>
      <c r="V201" s="18"/>
      <c r="W201" s="18"/>
      <c r="X201" s="18"/>
      <c r="Y201" s="18"/>
      <c r="Z201" s="18"/>
      <c r="AA201" s="18"/>
      <c r="AB201" s="18"/>
      <c r="AC201" s="18"/>
      <c r="AD201" s="18"/>
      <c r="AE201" s="18"/>
      <c r="AF201" s="18"/>
      <c r="AG201" s="18"/>
      <c r="AH201" s="18"/>
    </row>
    <row r="202" spans="17:34">
      <c r="R202" s="18"/>
      <c r="S202" s="18"/>
      <c r="T202" s="18"/>
      <c r="U202" s="18"/>
      <c r="V202" s="18"/>
      <c r="W202" s="18"/>
      <c r="X202" s="18"/>
      <c r="Y202" s="18"/>
      <c r="Z202" s="18"/>
      <c r="AA202" s="18"/>
      <c r="AB202" s="18"/>
      <c r="AC202" s="18"/>
      <c r="AD202" s="18"/>
      <c r="AE202" s="18"/>
      <c r="AF202" s="18"/>
      <c r="AG202" s="18"/>
      <c r="AH202" s="18"/>
    </row>
    <row r="204" spans="17:34">
      <c r="Q204" s="31"/>
      <c r="R204" s="31"/>
      <c r="S204" s="31"/>
      <c r="T204" s="31"/>
      <c r="U204" s="31"/>
      <c r="V204" s="31"/>
      <c r="W204" s="31"/>
      <c r="X204" s="31"/>
      <c r="Y204" s="31"/>
      <c r="Z204" s="31"/>
      <c r="AA204" s="31"/>
      <c r="AB204" s="31"/>
      <c r="AC204" s="31"/>
      <c r="AD204" s="31"/>
      <c r="AE204" s="31"/>
      <c r="AF204" s="31"/>
      <c r="AG204" s="31"/>
      <c r="AH204" s="31"/>
    </row>
  </sheetData>
  <sheetProtection algorithmName="SHA-512" hashValue="n9mnJJyB7zT6YTPKqeGAq8VMDhKSkrtPoe21zX3L6hzdu894GnRq5AB0fEOE5gJEyB5eCkJdG3r2bl4juVNx7Q==" saltValue="0AfcMOITzk0GG5Kmf5116A==" spinCount="100000" sheet="1" objects="1" scenarios="1"/>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1">
    <tabColor rgb="FFFF0000"/>
  </sheetPr>
  <dimension ref="B2:BC56"/>
  <sheetViews>
    <sheetView topLeftCell="T1" workbookViewId="0">
      <selection activeCell="Z49" sqref="Z49"/>
    </sheetView>
  </sheetViews>
  <sheetFormatPr defaultRowHeight="13.15"/>
  <cols>
    <col min="3" max="5" width="13" bestFit="1" customWidth="1"/>
    <col min="6" max="6" width="13.83203125" customWidth="1"/>
    <col min="7" max="7" width="13" customWidth="1"/>
    <col min="8" max="8" width="15.33203125" customWidth="1"/>
    <col min="9" max="9" width="12.83203125" customWidth="1"/>
    <col min="10" max="10" width="15.33203125" customWidth="1"/>
    <col min="11" max="11" width="11.1640625" bestFit="1" customWidth="1"/>
    <col min="12" max="12" width="7.6640625" customWidth="1"/>
    <col min="13" max="13" width="14.83203125" customWidth="1"/>
    <col min="14" max="18" width="13" bestFit="1" customWidth="1"/>
    <col min="19" max="19" width="13" customWidth="1"/>
    <col min="20" max="20" width="17" customWidth="1"/>
    <col min="21" max="21" width="11.33203125" customWidth="1"/>
    <col min="22" max="22" width="5.83203125" bestFit="1" customWidth="1"/>
    <col min="23" max="23" width="14.83203125" customWidth="1"/>
    <col min="24" max="24" width="12.33203125" customWidth="1"/>
    <col min="25" max="26" width="13" bestFit="1" customWidth="1"/>
    <col min="27" max="27" width="12.33203125" customWidth="1"/>
    <col min="28" max="28" width="13" bestFit="1" customWidth="1"/>
    <col min="29" max="29" width="13.33203125" customWidth="1"/>
    <col min="30" max="30" width="16.33203125" customWidth="1"/>
    <col min="31" max="31" width="12.1640625" bestFit="1" customWidth="1"/>
    <col min="32" max="32" width="14.1640625" bestFit="1" customWidth="1"/>
    <col min="33" max="33" width="11.5" customWidth="1"/>
    <col min="34" max="34" width="9.6640625" customWidth="1"/>
    <col min="35" max="35" width="11.33203125" customWidth="1"/>
    <col min="36" max="36" width="13.33203125" customWidth="1"/>
    <col min="38" max="38" width="12.1640625" bestFit="1" customWidth="1"/>
    <col min="39" max="39" width="14.1640625" bestFit="1" customWidth="1"/>
    <col min="40" max="40" width="11.5" customWidth="1"/>
    <col min="41" max="41" width="9.6640625" customWidth="1"/>
    <col min="42" max="42" width="11.33203125" customWidth="1"/>
    <col min="43" max="43" width="13.33203125" customWidth="1"/>
    <col min="48" max="48" width="14.5" customWidth="1"/>
    <col min="49" max="49" width="13.33203125" bestFit="1" customWidth="1"/>
    <col min="50" max="50" width="12.6640625" customWidth="1"/>
    <col min="51" max="51" width="10.6640625" bestFit="1" customWidth="1"/>
    <col min="53" max="53" width="12.83203125" bestFit="1" customWidth="1"/>
  </cols>
  <sheetData>
    <row r="2" spans="2:55">
      <c r="B2" s="606" t="s">
        <v>352</v>
      </c>
      <c r="C2" s="606"/>
      <c r="D2" s="606"/>
      <c r="E2" s="606"/>
      <c r="F2" s="606"/>
      <c r="G2" s="606"/>
      <c r="H2" s="606"/>
      <c r="I2" s="606"/>
      <c r="J2" s="606"/>
      <c r="L2" s="606" t="s">
        <v>386</v>
      </c>
      <c r="M2" s="606"/>
      <c r="N2" s="606"/>
      <c r="O2" s="606"/>
      <c r="P2" s="606"/>
      <c r="Q2" s="606"/>
      <c r="R2" s="606"/>
      <c r="S2" s="606"/>
      <c r="T2" s="606"/>
      <c r="V2" s="606" t="s">
        <v>387</v>
      </c>
      <c r="W2" s="606"/>
      <c r="X2" s="606"/>
      <c r="Y2" s="606"/>
      <c r="Z2" s="606"/>
      <c r="AA2" s="606"/>
      <c r="AB2" s="606"/>
      <c r="AC2" s="606"/>
      <c r="AD2" s="606"/>
      <c r="AF2" s="606" t="s">
        <v>21</v>
      </c>
      <c r="AG2" s="606"/>
      <c r="AH2" s="606"/>
      <c r="AI2" s="606"/>
      <c r="AJ2" s="606"/>
      <c r="AM2" s="606" t="s">
        <v>22</v>
      </c>
      <c r="AN2" s="606"/>
      <c r="AO2" s="606"/>
      <c r="AP2" s="606"/>
      <c r="AQ2" s="606"/>
      <c r="AU2" s="606" t="s">
        <v>23</v>
      </c>
      <c r="AV2" s="606"/>
      <c r="AW2" s="606"/>
      <c r="AX2" s="606"/>
      <c r="AY2" s="606"/>
    </row>
    <row r="3" spans="2:55" s="260" customFormat="1" ht="39.6">
      <c r="B3" s="259" t="s">
        <v>27</v>
      </c>
      <c r="C3" s="259" t="s">
        <v>388</v>
      </c>
      <c r="D3" s="259" t="s">
        <v>389</v>
      </c>
      <c r="E3" s="259" t="s">
        <v>390</v>
      </c>
      <c r="F3" s="259" t="s">
        <v>391</v>
      </c>
      <c r="G3" s="259" t="s">
        <v>389</v>
      </c>
      <c r="H3" s="259" t="s">
        <v>385</v>
      </c>
      <c r="I3" s="259" t="s">
        <v>392</v>
      </c>
      <c r="J3" s="259" t="s">
        <v>393</v>
      </c>
      <c r="L3" s="259" t="s">
        <v>27</v>
      </c>
      <c r="M3" s="259" t="s">
        <v>388</v>
      </c>
      <c r="N3" s="259" t="s">
        <v>389</v>
      </c>
      <c r="O3" s="259" t="s">
        <v>390</v>
      </c>
      <c r="P3" s="259" t="s">
        <v>394</v>
      </c>
      <c r="Q3" s="259" t="s">
        <v>389</v>
      </c>
      <c r="R3" s="259" t="s">
        <v>385</v>
      </c>
      <c r="S3" s="259" t="s">
        <v>392</v>
      </c>
      <c r="T3" s="259" t="s">
        <v>393</v>
      </c>
      <c r="V3" s="259" t="s">
        <v>27</v>
      </c>
      <c r="W3" s="259" t="s">
        <v>388</v>
      </c>
      <c r="X3" s="259" t="s">
        <v>389</v>
      </c>
      <c r="Y3" s="259" t="s">
        <v>390</v>
      </c>
      <c r="Z3" s="259" t="s">
        <v>391</v>
      </c>
      <c r="AA3" s="259" t="s">
        <v>389</v>
      </c>
      <c r="AB3" s="259" t="s">
        <v>385</v>
      </c>
      <c r="AC3" s="259" t="s">
        <v>395</v>
      </c>
      <c r="AD3" s="259" t="s">
        <v>393</v>
      </c>
      <c r="AF3" s="261" t="s">
        <v>27</v>
      </c>
      <c r="AG3" s="262" t="s">
        <v>388</v>
      </c>
      <c r="AH3" s="262" t="s">
        <v>396</v>
      </c>
      <c r="AI3" s="262" t="s">
        <v>397</v>
      </c>
      <c r="AJ3" s="262" t="s">
        <v>398</v>
      </c>
      <c r="AM3" s="261" t="s">
        <v>27</v>
      </c>
      <c r="AN3" s="262" t="s">
        <v>388</v>
      </c>
      <c r="AO3" s="262" t="s">
        <v>396</v>
      </c>
      <c r="AP3" s="262" t="s">
        <v>397</v>
      </c>
      <c r="AQ3" s="262" t="s">
        <v>398</v>
      </c>
      <c r="AU3" s="261" t="s">
        <v>27</v>
      </c>
      <c r="AV3" s="261" t="s">
        <v>388</v>
      </c>
      <c r="AW3" s="261" t="s">
        <v>25</v>
      </c>
      <c r="AX3" s="262" t="s">
        <v>399</v>
      </c>
      <c r="AY3" s="262" t="s">
        <v>398</v>
      </c>
    </row>
    <row r="4" spans="2:55">
      <c r="B4" s="299"/>
      <c r="C4" s="299" t="s">
        <v>400</v>
      </c>
      <c r="D4" s="299" t="s">
        <v>401</v>
      </c>
      <c r="E4" s="299" t="s">
        <v>402</v>
      </c>
      <c r="F4" s="299" t="s">
        <v>403</v>
      </c>
      <c r="G4" s="299" t="s">
        <v>404</v>
      </c>
      <c r="H4" s="299" t="s">
        <v>405</v>
      </c>
      <c r="I4" s="299" t="s">
        <v>406</v>
      </c>
      <c r="J4" s="299" t="s">
        <v>407</v>
      </c>
      <c r="L4" s="255"/>
      <c r="M4" s="255" t="s">
        <v>400</v>
      </c>
      <c r="N4" s="255" t="s">
        <v>401</v>
      </c>
      <c r="O4" s="255" t="s">
        <v>402</v>
      </c>
      <c r="P4" s="255" t="s">
        <v>403</v>
      </c>
      <c r="Q4" s="255" t="s">
        <v>404</v>
      </c>
      <c r="R4" s="255" t="s">
        <v>405</v>
      </c>
      <c r="S4" s="255" t="s">
        <v>406</v>
      </c>
      <c r="T4" s="255" t="s">
        <v>407</v>
      </c>
      <c r="V4" s="255"/>
      <c r="W4" s="255" t="s">
        <v>400</v>
      </c>
      <c r="X4" s="255" t="s">
        <v>401</v>
      </c>
      <c r="Y4" s="255" t="s">
        <v>402</v>
      </c>
      <c r="Z4" s="255" t="s">
        <v>403</v>
      </c>
      <c r="AA4" s="255" t="s">
        <v>404</v>
      </c>
      <c r="AB4" s="255" t="s">
        <v>405</v>
      </c>
      <c r="AC4" s="255" t="s">
        <v>406</v>
      </c>
      <c r="AD4" s="255" t="s">
        <v>407</v>
      </c>
      <c r="AF4" s="257"/>
      <c r="AG4" s="257" t="s">
        <v>400</v>
      </c>
      <c r="AH4" s="257" t="s">
        <v>401</v>
      </c>
      <c r="AI4" s="257" t="s">
        <v>408</v>
      </c>
      <c r="AJ4" s="257" t="s">
        <v>409</v>
      </c>
      <c r="AM4" s="257"/>
      <c r="AN4" s="257" t="s">
        <v>400</v>
      </c>
      <c r="AO4" s="257" t="s">
        <v>401</v>
      </c>
      <c r="AP4" s="257" t="s">
        <v>408</v>
      </c>
      <c r="AQ4" s="257" t="s">
        <v>409</v>
      </c>
      <c r="AU4" s="257"/>
      <c r="AV4" s="257" t="s">
        <v>400</v>
      </c>
      <c r="AW4" s="257" t="s">
        <v>401</v>
      </c>
      <c r="AX4" s="257" t="s">
        <v>408</v>
      </c>
      <c r="AY4" s="257" t="s">
        <v>409</v>
      </c>
    </row>
    <row r="5" spans="2:55">
      <c r="B5" s="39">
        <v>2016</v>
      </c>
      <c r="C5" s="40">
        <f>SUMIF('Monthly Data'!$B:$B,B5,'Monthly Data'!D:D)</f>
        <v>76635115</v>
      </c>
      <c r="D5" s="40">
        <f>SUMIF('Monthly Data'!$B:$B,B5,'Monthly Data'!E:E)</f>
        <v>389591.49999999994</v>
      </c>
      <c r="E5" s="40">
        <f t="shared" ref="E5:E14" si="0">C5+D5</f>
        <v>77024706.5</v>
      </c>
      <c r="F5" s="40">
        <f ca="1">SUMIF('Res Normalized Monthly'!$B:$B,B5,'Res Normalized Monthly'!$S:$S)</f>
        <v>76024917.630102694</v>
      </c>
      <c r="G5" s="40">
        <f t="shared" ref="G5:G14" si="1">D5</f>
        <v>389591.49999999994</v>
      </c>
      <c r="H5" s="40">
        <f t="shared" ref="H5:H16" ca="1" si="2">F5-G5</f>
        <v>75635326.130102694</v>
      </c>
      <c r="I5" s="40"/>
      <c r="J5" s="40">
        <f t="shared" ref="J5:J13" ca="1" si="3">H5+I5</f>
        <v>75635326.130102694</v>
      </c>
      <c r="L5" s="39">
        <v>2016</v>
      </c>
      <c r="M5" s="40">
        <f>SUMIF('Monthly Data'!$B:$B,L5,'Monthly Data'!H:H)</f>
        <v>29514061</v>
      </c>
      <c r="N5" s="40">
        <f>SUMIF('Monthly Data'!$B:$B,L5,'Monthly Data'!I:I)</f>
        <v>363311.5</v>
      </c>
      <c r="O5" s="40">
        <f t="shared" ref="O5:O14" si="4">M5+N5</f>
        <v>29877372.5</v>
      </c>
      <c r="P5" s="40">
        <f ca="1">SUMIF('GS&lt;50 Normalized Monthly'!$B:$B,L5,'GS&lt;50 Normalized Monthly'!S:$S)</f>
        <v>29173352.512958936</v>
      </c>
      <c r="Q5" s="40">
        <f t="shared" ref="Q5:Q14" si="5">N5</f>
        <v>363311.5</v>
      </c>
      <c r="R5" s="40">
        <f ca="1">P5-Q5</f>
        <v>28810041.012958936</v>
      </c>
      <c r="S5" s="40"/>
      <c r="T5" s="40">
        <f t="shared" ref="T5:T13" ca="1" si="6">R5+S5</f>
        <v>28810041.012958936</v>
      </c>
      <c r="V5" s="39">
        <v>2016</v>
      </c>
      <c r="W5" s="40">
        <f>SUMIF('Monthly Data'!$B:$B,V5,'Monthly Data'!L:L)</f>
        <v>75048053</v>
      </c>
      <c r="X5" s="40">
        <f>SUMIF('Monthly Data'!$B:$B,V5,'Monthly Data'!M:M)</f>
        <v>331928.49999999994</v>
      </c>
      <c r="Y5" s="40">
        <f t="shared" ref="Y5:Y14" si="7">W5+X5</f>
        <v>75379981.5</v>
      </c>
      <c r="Z5" s="40">
        <f ca="1">SUMIF('GS&gt;50 (no LC) Norm Monthly'!$B:$B,V5,'GS&gt;50 (no LC) Norm Monthly'!$Y:$Y)</f>
        <v>68807017.380251586</v>
      </c>
      <c r="AA5" s="40">
        <f t="shared" ref="AA5:AA14" si="8">X5</f>
        <v>331928.49999999994</v>
      </c>
      <c r="AB5" s="40">
        <f t="shared" ref="AB5:AB16" ca="1" si="9">Z5-AA5</f>
        <v>68475088.880251586</v>
      </c>
      <c r="AC5" s="40"/>
      <c r="AD5" s="40">
        <f t="shared" ref="AD5:AD13" ca="1" si="10">AB5+AC5</f>
        <v>68475088.880251586</v>
      </c>
      <c r="AF5" s="39">
        <v>2016</v>
      </c>
      <c r="AG5" s="40">
        <f>SUMIF('Monthly Data'!$B:$B,AF5,'Monthly Data'!Q:Q)</f>
        <v>1307703</v>
      </c>
      <c r="AH5" s="40">
        <f>'Customer Count'!O4</f>
        <v>2821.5</v>
      </c>
      <c r="AI5" s="40">
        <f t="shared" ref="AI5:AI13" si="11">AG5/AH5</f>
        <v>463.47793726741094</v>
      </c>
      <c r="AJ5" s="40">
        <f t="shared" ref="AJ5:AJ16" si="12">AI5*AH5</f>
        <v>1307703</v>
      </c>
      <c r="AM5" s="39">
        <v>2016</v>
      </c>
      <c r="AN5" s="40">
        <f>SUMIF('Monthly Data'!$B:$B,AM5,'Monthly Data'!T:T)</f>
        <v>217806</v>
      </c>
      <c r="AO5" s="40">
        <f>'Customer Count'!S4</f>
        <v>182.25</v>
      </c>
      <c r="AP5" s="40">
        <f t="shared" ref="AP5:AP13" si="13">AN5/AO5</f>
        <v>1195.0946502057614</v>
      </c>
      <c r="AQ5" s="40">
        <f t="shared" ref="AQ5:AQ16" si="14">AP5*AO5</f>
        <v>217806</v>
      </c>
      <c r="AR5" s="8"/>
      <c r="AU5" s="39">
        <v>2016</v>
      </c>
      <c r="AV5" s="40">
        <f>SUMIF('Monthly Data'!$B:$B,AU5,'Monthly Data'!W:W)</f>
        <v>594265</v>
      </c>
      <c r="AW5" s="40">
        <f>'Customer Count'!W4</f>
        <v>19</v>
      </c>
      <c r="AX5" s="40">
        <f t="shared" ref="AX5:AX14" si="15">AV5/AW5</f>
        <v>31277.105263157893</v>
      </c>
      <c r="AY5" s="40">
        <f t="shared" ref="AY5:AY16" si="16">AX5*AW5</f>
        <v>594265</v>
      </c>
    </row>
    <row r="6" spans="2:55">
      <c r="B6" s="39">
        <f t="shared" ref="B6:B14" si="17">B5+1</f>
        <v>2017</v>
      </c>
      <c r="C6" s="40">
        <f>SUMIF('Monthly Data'!$B:$B,B6,'Monthly Data'!D:D)</f>
        <v>76119517.019999996</v>
      </c>
      <c r="D6" s="40">
        <f>SUMIF('Monthly Data'!$B:$B,B6,'Monthly Data'!E:E)</f>
        <v>1379949.5</v>
      </c>
      <c r="E6" s="40">
        <f t="shared" si="0"/>
        <v>77499466.519999996</v>
      </c>
      <c r="F6" s="40">
        <f ca="1">SUMIF('Res Normalized Monthly'!$B:$B,B6,'Res Normalized Monthly'!$S:$S)</f>
        <v>77544372.29779838</v>
      </c>
      <c r="G6" s="40">
        <f t="shared" si="1"/>
        <v>1379949.5</v>
      </c>
      <c r="H6" s="40">
        <f t="shared" ca="1" si="2"/>
        <v>76164422.79779838</v>
      </c>
      <c r="I6" s="40"/>
      <c r="J6" s="40">
        <f t="shared" ca="1" si="3"/>
        <v>76164422.79779838</v>
      </c>
      <c r="L6" s="39">
        <f t="shared" ref="L6:L13" si="18">L5+1</f>
        <v>2017</v>
      </c>
      <c r="M6" s="40">
        <f>SUMIF('Monthly Data'!$B:$B,L6,'Monthly Data'!H:H)</f>
        <v>28872534</v>
      </c>
      <c r="N6" s="40">
        <f>SUMIF('Monthly Data'!$B:$B,L6,'Monthly Data'!I:I)</f>
        <v>1048114.25</v>
      </c>
      <c r="O6" s="40">
        <f t="shared" si="4"/>
        <v>29920648.25</v>
      </c>
      <c r="P6" s="40">
        <f ca="1">SUMIF('GS&lt;50 Normalized Monthly'!$B:$B,L6,'GS&lt;50 Normalized Monthly'!S:$S)</f>
        <v>29765763.552042037</v>
      </c>
      <c r="Q6" s="40">
        <f t="shared" si="5"/>
        <v>1048114.25</v>
      </c>
      <c r="R6" s="40">
        <f t="shared" ref="R6:R16" ca="1" si="19">P6-Q6</f>
        <v>28717649.302042037</v>
      </c>
      <c r="S6" s="40"/>
      <c r="T6" s="40">
        <f t="shared" ca="1" si="6"/>
        <v>28717649.302042037</v>
      </c>
      <c r="V6" s="39">
        <f t="shared" ref="V6:V13" si="20">V5+1</f>
        <v>2017</v>
      </c>
      <c r="W6" s="40">
        <f>SUMIF('Monthly Data'!$B:$B,V6,'Monthly Data'!L:L)</f>
        <v>70829349</v>
      </c>
      <c r="X6" s="40">
        <f>SUMIF('Monthly Data'!$B:$B,V6,'Monthly Data'!M:M)</f>
        <v>917682.75</v>
      </c>
      <c r="Y6" s="40">
        <f t="shared" si="7"/>
        <v>71747031.75</v>
      </c>
      <c r="Z6" s="40">
        <f ca="1">SUMIF('GS&gt;50 (no LC) Norm Monthly'!$B:$B,V6,'GS&gt;50 (no LC) Norm Monthly'!$Y:$Y)</f>
        <v>68807017.380251586</v>
      </c>
      <c r="AA6" s="40">
        <f t="shared" si="8"/>
        <v>917682.75</v>
      </c>
      <c r="AB6" s="40">
        <f t="shared" ca="1" si="9"/>
        <v>67889334.630251586</v>
      </c>
      <c r="AC6" s="40"/>
      <c r="AD6" s="40">
        <f t="shared" ca="1" si="10"/>
        <v>67889334.630251586</v>
      </c>
      <c r="AF6" s="39">
        <f t="shared" ref="AF6:AF14" si="21">AF5+1</f>
        <v>2017</v>
      </c>
      <c r="AG6" s="40">
        <f>SUMIF('Monthly Data'!$B:$B,AF6,'Monthly Data'!Q:Q)</f>
        <v>1297582</v>
      </c>
      <c r="AH6" s="40">
        <f>'Customer Count'!O5</f>
        <v>2840</v>
      </c>
      <c r="AI6" s="40">
        <f t="shared" si="11"/>
        <v>456.89507042253518</v>
      </c>
      <c r="AJ6" s="40">
        <f t="shared" si="12"/>
        <v>1297582</v>
      </c>
      <c r="AM6" s="39">
        <f t="shared" ref="AM6:AM16" si="22">AM5+1</f>
        <v>2017</v>
      </c>
      <c r="AN6" s="40">
        <f>SUMIF('Monthly Data'!$B:$B,AM6,'Monthly Data'!T:T)</f>
        <v>203681</v>
      </c>
      <c r="AO6" s="40">
        <f>'Customer Count'!S5</f>
        <v>178</v>
      </c>
      <c r="AP6" s="40">
        <f t="shared" si="13"/>
        <v>1144.2752808988764</v>
      </c>
      <c r="AQ6" s="40">
        <f t="shared" si="14"/>
        <v>203681</v>
      </c>
      <c r="AR6" s="8"/>
      <c r="AU6" s="39">
        <f t="shared" ref="AU6:AU14" si="23">AU5+1</f>
        <v>2017</v>
      </c>
      <c r="AV6" s="40">
        <f>SUMIF('Monthly Data'!$B:$B,AU6,'Monthly Data'!W:W)</f>
        <v>606897.73</v>
      </c>
      <c r="AW6" s="40">
        <f>'Customer Count'!W5</f>
        <v>19</v>
      </c>
      <c r="AX6" s="40">
        <f t="shared" si="15"/>
        <v>31941.985789473682</v>
      </c>
      <c r="AY6" s="40">
        <f t="shared" si="16"/>
        <v>606897.73</v>
      </c>
    </row>
    <row r="7" spans="2:55">
      <c r="B7" s="39">
        <f t="shared" si="17"/>
        <v>2018</v>
      </c>
      <c r="C7" s="40">
        <f>SUMIF('Monthly Data'!$B:$B,B7,'Monthly Data'!D:D)</f>
        <v>81716499</v>
      </c>
      <c r="D7" s="40">
        <f>SUMIF('Monthly Data'!$B:$B,B7,'Monthly Data'!E:E)</f>
        <v>1862266.4016356957</v>
      </c>
      <c r="E7" s="40">
        <f t="shared" si="0"/>
        <v>83578765.401635692</v>
      </c>
      <c r="F7" s="40">
        <f ca="1">SUMIF('Res Normalized Monthly'!$B:$B,B7,'Res Normalized Monthly'!$S:$S)</f>
        <v>80030965.088798404</v>
      </c>
      <c r="G7" s="40">
        <f t="shared" si="1"/>
        <v>1862266.4016356957</v>
      </c>
      <c r="H7" s="40">
        <f t="shared" ca="1" si="2"/>
        <v>78168698.687162712</v>
      </c>
      <c r="I7" s="40"/>
      <c r="J7" s="40">
        <f t="shared" ca="1" si="3"/>
        <v>78168698.687162712</v>
      </c>
      <c r="L7" s="39">
        <f t="shared" si="18"/>
        <v>2018</v>
      </c>
      <c r="M7" s="40">
        <f>SUMIF('Monthly Data'!$B:$B,L7,'Monthly Data'!H:H)</f>
        <v>30060062</v>
      </c>
      <c r="N7" s="40">
        <f>SUMIF('Monthly Data'!$B:$B,L7,'Monthly Data'!I:I)</f>
        <v>1654568.4312637697</v>
      </c>
      <c r="O7" s="40">
        <f t="shared" si="4"/>
        <v>31714630.431263771</v>
      </c>
      <c r="P7" s="40">
        <f ca="1">SUMIF('GS&lt;50 Normalized Monthly'!$B:$B,L7,'GS&lt;50 Normalized Monthly'!S:$S)</f>
        <v>30546124.580268793</v>
      </c>
      <c r="Q7" s="40">
        <f t="shared" si="5"/>
        <v>1654568.4312637697</v>
      </c>
      <c r="R7" s="40">
        <f t="shared" ca="1" si="19"/>
        <v>28891556.149005022</v>
      </c>
      <c r="S7" s="40"/>
      <c r="T7" s="40">
        <f t="shared" ca="1" si="6"/>
        <v>28891556.149005022</v>
      </c>
      <c r="V7" s="39">
        <f t="shared" si="20"/>
        <v>2018</v>
      </c>
      <c r="W7" s="40">
        <f>SUMIF('Monthly Data'!$B:$B,V7,'Monthly Data'!L:L)</f>
        <v>71502339</v>
      </c>
      <c r="X7" s="40">
        <f>SUMIF('Monthly Data'!$B:$B,V7,'Monthly Data'!M:M)</f>
        <v>1409655.3538016949</v>
      </c>
      <c r="Y7" s="40">
        <f t="shared" si="7"/>
        <v>72911994.353801697</v>
      </c>
      <c r="Z7" s="40">
        <f ca="1">SUMIF('GS&gt;50 (no LC) Norm Monthly'!$B:$B,V7,'GS&gt;50 (no LC) Norm Monthly'!$Y:$Y)</f>
        <v>68807017.380251586</v>
      </c>
      <c r="AA7" s="40">
        <f t="shared" si="8"/>
        <v>1409655.3538016949</v>
      </c>
      <c r="AB7" s="40">
        <f t="shared" ca="1" si="9"/>
        <v>67397362.026449889</v>
      </c>
      <c r="AC7" s="40"/>
      <c r="AD7" s="40">
        <f t="shared" ca="1" si="10"/>
        <v>67397362.026449889</v>
      </c>
      <c r="AF7" s="39">
        <f t="shared" si="21"/>
        <v>2018</v>
      </c>
      <c r="AG7" s="40">
        <f>SUMIF('Monthly Data'!$B:$B,AF7,'Monthly Data'!Q:Q)</f>
        <v>1110658</v>
      </c>
      <c r="AH7" s="40">
        <f>'Customer Count'!O6</f>
        <v>2877.5</v>
      </c>
      <c r="AI7" s="40">
        <f t="shared" si="11"/>
        <v>385.98019113814075</v>
      </c>
      <c r="AJ7" s="40">
        <f t="shared" si="12"/>
        <v>1110658</v>
      </c>
      <c r="AM7" s="39">
        <f t="shared" si="22"/>
        <v>2018</v>
      </c>
      <c r="AN7" s="40">
        <f>SUMIF('Monthly Data'!$B:$B,AM7,'Monthly Data'!T:T)</f>
        <v>203849</v>
      </c>
      <c r="AO7" s="40">
        <f>'Customer Count'!S6</f>
        <v>178</v>
      </c>
      <c r="AP7" s="40">
        <f t="shared" si="13"/>
        <v>1145.2191011235955</v>
      </c>
      <c r="AQ7" s="40">
        <f t="shared" si="14"/>
        <v>203849</v>
      </c>
      <c r="AR7" s="8"/>
      <c r="AU7" s="39">
        <f t="shared" si="23"/>
        <v>2018</v>
      </c>
      <c r="AV7" s="40">
        <f>SUMIF('Monthly Data'!$B:$B,AU7,'Monthly Data'!W:W)</f>
        <v>605298.17000000004</v>
      </c>
      <c r="AW7" s="40">
        <f>'Customer Count'!W6</f>
        <v>19</v>
      </c>
      <c r="AX7" s="40">
        <f t="shared" si="15"/>
        <v>31857.798421052634</v>
      </c>
      <c r="AY7" s="40">
        <f t="shared" si="16"/>
        <v>605298.17000000004</v>
      </c>
    </row>
    <row r="8" spans="2:55">
      <c r="B8" s="39">
        <f t="shared" si="17"/>
        <v>2019</v>
      </c>
      <c r="C8" s="40">
        <f>SUMIF('Monthly Data'!$B:$B,B8,'Monthly Data'!D:D)</f>
        <v>85932903</v>
      </c>
      <c r="D8" s="40">
        <f>SUMIF('Monthly Data'!$B:$B,B8,'Monthly Data'!E:E)</f>
        <v>1941972.3051129691</v>
      </c>
      <c r="E8" s="40">
        <f t="shared" si="0"/>
        <v>87874875.305112973</v>
      </c>
      <c r="F8" s="40">
        <f ca="1">SUMIF('Res Normalized Monthly'!$B:$B,B8,'Res Normalized Monthly'!$S:$S)</f>
        <v>81702667.119763464</v>
      </c>
      <c r="G8" s="40">
        <f t="shared" si="1"/>
        <v>1941972.3051129691</v>
      </c>
      <c r="H8" s="40">
        <f t="shared" ca="1" si="2"/>
        <v>79760694.814650491</v>
      </c>
      <c r="I8" s="40"/>
      <c r="J8" s="40">
        <f t="shared" ca="1" si="3"/>
        <v>79760694.814650491</v>
      </c>
      <c r="L8" s="39">
        <f t="shared" si="18"/>
        <v>2019</v>
      </c>
      <c r="M8" s="40">
        <f>SUMIF('Monthly Data'!$B:$B,L8,'Monthly Data'!H:H)</f>
        <v>30767208</v>
      </c>
      <c r="N8" s="40">
        <f>SUMIF('Monthly Data'!$B:$B,L8,'Monthly Data'!I:I)</f>
        <v>1935875.3829046211</v>
      </c>
      <c r="O8" s="40">
        <f t="shared" si="4"/>
        <v>32703083.382904623</v>
      </c>
      <c r="P8" s="40">
        <f ca="1">SUMIF('GS&lt;50 Normalized Monthly'!$B:$B,L8,'GS&lt;50 Normalized Monthly'!S:$S)</f>
        <v>31003570.862440787</v>
      </c>
      <c r="Q8" s="40">
        <f t="shared" si="5"/>
        <v>1935875.3829046211</v>
      </c>
      <c r="R8" s="40">
        <f t="shared" ca="1" si="19"/>
        <v>29067695.479536165</v>
      </c>
      <c r="S8" s="40"/>
      <c r="T8" s="40">
        <f t="shared" ca="1" si="6"/>
        <v>29067695.479536165</v>
      </c>
      <c r="V8" s="39">
        <f t="shared" si="20"/>
        <v>2019</v>
      </c>
      <c r="W8" s="40">
        <f>SUMIF('Monthly Data'!$B:$B,V8,'Monthly Data'!L:L)</f>
        <v>73532152</v>
      </c>
      <c r="X8" s="40">
        <f>SUMIF('Monthly Data'!$B:$B,V8,'Monthly Data'!M:M)</f>
        <v>1646577.9779804719</v>
      </c>
      <c r="Y8" s="40">
        <f t="shared" si="7"/>
        <v>75178729.977980465</v>
      </c>
      <c r="Z8" s="40">
        <f ca="1">SUMIF('GS&gt;50 (no LC) Norm Monthly'!$B:$B,V8,'GS&gt;50 (no LC) Norm Monthly'!$Y:$Y)</f>
        <v>68807017.380251586</v>
      </c>
      <c r="AA8" s="40">
        <f t="shared" si="8"/>
        <v>1646577.9779804719</v>
      </c>
      <c r="AB8" s="40">
        <f t="shared" ca="1" si="9"/>
        <v>67160439.402271122</v>
      </c>
      <c r="AC8" s="40"/>
      <c r="AD8" s="40">
        <f t="shared" ca="1" si="10"/>
        <v>67160439.402271122</v>
      </c>
      <c r="AF8" s="39">
        <f t="shared" si="21"/>
        <v>2019</v>
      </c>
      <c r="AG8" s="40">
        <f>SUMIF('Monthly Data'!$B:$B,AF8,'Monthly Data'!Q:Q)</f>
        <v>1053969</v>
      </c>
      <c r="AH8" s="40">
        <f>'Customer Count'!O7</f>
        <v>2897</v>
      </c>
      <c r="AI8" s="40">
        <f t="shared" si="11"/>
        <v>363.81394546082151</v>
      </c>
      <c r="AJ8" s="40">
        <f t="shared" si="12"/>
        <v>1053969</v>
      </c>
      <c r="AM8" s="39">
        <f t="shared" si="22"/>
        <v>2019</v>
      </c>
      <c r="AN8" s="40">
        <f>SUMIF('Monthly Data'!$B:$B,AM8,'Monthly Data'!T:T)</f>
        <v>211785</v>
      </c>
      <c r="AO8" s="40">
        <f>'Customer Count'!S7</f>
        <v>175</v>
      </c>
      <c r="AP8" s="40">
        <f t="shared" si="13"/>
        <v>1210.2</v>
      </c>
      <c r="AQ8" s="40">
        <f t="shared" si="14"/>
        <v>211785</v>
      </c>
      <c r="AR8" s="8"/>
      <c r="AU8" s="39">
        <f t="shared" si="23"/>
        <v>2019</v>
      </c>
      <c r="AV8" s="40">
        <f>SUMIF('Monthly Data'!$B:$B,AU8,'Monthly Data'!W:W)</f>
        <v>613238</v>
      </c>
      <c r="AW8" s="40">
        <f>'Customer Count'!W7</f>
        <v>19</v>
      </c>
      <c r="AX8" s="40">
        <f t="shared" si="15"/>
        <v>32275.684210526317</v>
      </c>
      <c r="AY8" s="40">
        <f t="shared" si="16"/>
        <v>613238</v>
      </c>
      <c r="BC8" s="73"/>
    </row>
    <row r="9" spans="2:55">
      <c r="B9" s="39">
        <f t="shared" si="17"/>
        <v>2020</v>
      </c>
      <c r="C9" s="40">
        <f>SUMIF('Monthly Data'!$B:$B,B9,'Monthly Data'!D:D)</f>
        <v>85141857</v>
      </c>
      <c r="D9" s="40">
        <f>SUMIF('Monthly Data'!$B:$B,B9,'Monthly Data'!E:E)</f>
        <v>1942287.3051129689</v>
      </c>
      <c r="E9" s="40">
        <f t="shared" si="0"/>
        <v>87084144.305112973</v>
      </c>
      <c r="F9" s="40">
        <f ca="1">SUMIF('Res Normalized Monthly'!$B:$B,B9,'Res Normalized Monthly'!$S:$S)</f>
        <v>86678262.004335776</v>
      </c>
      <c r="G9" s="40">
        <f t="shared" si="1"/>
        <v>1942287.3051129689</v>
      </c>
      <c r="H9" s="40">
        <f t="shared" ca="1" si="2"/>
        <v>84735974.699222803</v>
      </c>
      <c r="I9" s="40"/>
      <c r="J9" s="40">
        <f t="shared" ca="1" si="3"/>
        <v>84735974.699222803</v>
      </c>
      <c r="L9" s="39">
        <f t="shared" si="18"/>
        <v>2020</v>
      </c>
      <c r="M9" s="40">
        <f>SUMIF('Monthly Data'!$B:$B,L9,'Monthly Data'!H:H)</f>
        <v>26233400</v>
      </c>
      <c r="N9" s="40">
        <f>SUMIF('Monthly Data'!$B:$B,L9,'Monthly Data'!I:I)</f>
        <v>1875915.4084355345</v>
      </c>
      <c r="O9" s="40">
        <f t="shared" si="4"/>
        <v>28109315.408435535</v>
      </c>
      <c r="P9" s="40">
        <f ca="1">SUMIF('GS&lt;50 Normalized Monthly'!$B:$B,L9,'GS&lt;50 Normalized Monthly'!S:$S)</f>
        <v>28056155.246278159</v>
      </c>
      <c r="Q9" s="40">
        <f t="shared" si="5"/>
        <v>1875915.4084355345</v>
      </c>
      <c r="R9" s="40">
        <f t="shared" ca="1" si="19"/>
        <v>26180239.837842625</v>
      </c>
      <c r="S9" s="40"/>
      <c r="T9" s="40">
        <f t="shared" ca="1" si="6"/>
        <v>26180239.837842625</v>
      </c>
      <c r="V9" s="39">
        <f t="shared" si="20"/>
        <v>2020</v>
      </c>
      <c r="W9" s="40">
        <f>SUMIF('Monthly Data'!$B:$B,V9,'Monthly Data'!L:L)</f>
        <v>65161090</v>
      </c>
      <c r="X9" s="40">
        <f>SUMIF('Monthly Data'!$B:$B,V9,'Monthly Data'!M:M)</f>
        <v>1626238.3077887457</v>
      </c>
      <c r="Y9" s="40">
        <f t="shared" si="7"/>
        <v>66787328.307788745</v>
      </c>
      <c r="Z9" s="40">
        <f ca="1">SUMIF('GS&gt;50 (no LC) Norm Monthly'!$B:$B,V9,'GS&gt;50 (no LC) Norm Monthly'!$Y:$Y)</f>
        <v>68807017.380251586</v>
      </c>
      <c r="AA9" s="40">
        <f t="shared" si="8"/>
        <v>1626238.3077887457</v>
      </c>
      <c r="AB9" s="40">
        <f t="shared" ca="1" si="9"/>
        <v>67180779.072462842</v>
      </c>
      <c r="AC9" s="40"/>
      <c r="AD9" s="40">
        <f t="shared" ca="1" si="10"/>
        <v>67180779.072462842</v>
      </c>
      <c r="AF9" s="39">
        <f t="shared" si="21"/>
        <v>2020</v>
      </c>
      <c r="AG9" s="40">
        <f>SUMIF('Monthly Data'!$B:$B,AF9,'Monthly Data'!Q:Q)</f>
        <v>1015667</v>
      </c>
      <c r="AH9" s="40">
        <f>'Customer Count'!O8</f>
        <v>2905</v>
      </c>
      <c r="AI9" s="40">
        <f t="shared" si="11"/>
        <v>349.62719449225472</v>
      </c>
      <c r="AJ9" s="40">
        <f t="shared" ref="AJ9:AJ14" si="24">AI9*AH9</f>
        <v>1015667</v>
      </c>
      <c r="AM9" s="39">
        <f t="shared" si="22"/>
        <v>2020</v>
      </c>
      <c r="AN9" s="40">
        <f>SUMIF('Monthly Data'!$B:$B,AM9,'Monthly Data'!T:T)</f>
        <v>199124</v>
      </c>
      <c r="AO9" s="40">
        <f>'Customer Count'!S8</f>
        <v>171</v>
      </c>
      <c r="AP9" s="40">
        <f t="shared" si="13"/>
        <v>1164.46783625731</v>
      </c>
      <c r="AQ9" s="40">
        <f t="shared" si="14"/>
        <v>199124</v>
      </c>
      <c r="AR9" s="8"/>
      <c r="AU9" s="39">
        <f t="shared" si="23"/>
        <v>2020</v>
      </c>
      <c r="AV9" s="40">
        <f>SUMIF('Monthly Data'!$B:$B,AU9,'Monthly Data'!W:W)</f>
        <v>602100</v>
      </c>
      <c r="AW9" s="40">
        <f>'Customer Count'!W8</f>
        <v>19</v>
      </c>
      <c r="AX9" s="40">
        <f t="shared" si="15"/>
        <v>31689.473684210527</v>
      </c>
      <c r="AY9" s="40">
        <f t="shared" si="16"/>
        <v>602100</v>
      </c>
      <c r="BC9" s="73"/>
    </row>
    <row r="10" spans="2:55">
      <c r="B10" s="39">
        <f t="shared" si="17"/>
        <v>2021</v>
      </c>
      <c r="C10" s="40">
        <f>SUMIF('Monthly Data'!$B:$B,B10,'Monthly Data'!D:D)</f>
        <v>85333074.640000001</v>
      </c>
      <c r="D10" s="40">
        <f>SUMIF('Monthly Data'!$B:$B,B10,'Monthly Data'!E:E)</f>
        <v>1951882.7739361152</v>
      </c>
      <c r="E10" s="40">
        <f t="shared" si="0"/>
        <v>87284957.413936108</v>
      </c>
      <c r="F10" s="40">
        <f ca="1">SUMIF('Res Normalized Monthly'!$B:$B,B10,'Res Normalized Monthly'!$S:$S)</f>
        <v>88518951.755734608</v>
      </c>
      <c r="G10" s="40">
        <f t="shared" si="1"/>
        <v>1951882.7739361152</v>
      </c>
      <c r="H10" s="40">
        <f t="shared" ca="1" si="2"/>
        <v>86567068.9817985</v>
      </c>
      <c r="I10" s="40"/>
      <c r="J10" s="40">
        <f t="shared" ca="1" si="3"/>
        <v>86567068.9817985</v>
      </c>
      <c r="L10" s="39">
        <f t="shared" si="18"/>
        <v>2021</v>
      </c>
      <c r="M10" s="40">
        <f>SUMIF('Monthly Data'!$B:$B,L10,'Monthly Data'!H:H)</f>
        <v>27003038.649999999</v>
      </c>
      <c r="N10" s="40">
        <f>SUMIF('Monthly Data'!$B:$B,L10,'Monthly Data'!I:I)</f>
        <v>2006317.6821795288</v>
      </c>
      <c r="O10" s="40">
        <f t="shared" si="4"/>
        <v>29009356.332179528</v>
      </c>
      <c r="P10" s="40">
        <f ca="1">SUMIF('GS&lt;50 Normalized Monthly'!$B:$B,L10,'GS&lt;50 Normalized Monthly'!S:$S)</f>
        <v>29424475.375913627</v>
      </c>
      <c r="Q10" s="40">
        <f t="shared" si="5"/>
        <v>2006317.6821795288</v>
      </c>
      <c r="R10" s="40">
        <f ca="1">P10-Q10</f>
        <v>27418157.693734098</v>
      </c>
      <c r="S10" s="40"/>
      <c r="T10" s="40">
        <f t="shared" ca="1" si="6"/>
        <v>27418157.693734098</v>
      </c>
      <c r="V10" s="39">
        <f t="shared" si="20"/>
        <v>2021</v>
      </c>
      <c r="W10" s="40">
        <f>SUMIF('Monthly Data'!$B:$B,V10,'Monthly Data'!L:L)</f>
        <v>67961293.822997034</v>
      </c>
      <c r="X10" s="40">
        <f>SUMIF('Monthly Data'!$B:$B,V10,'Monthly Data'!M:M)</f>
        <v>1782955.7442286725</v>
      </c>
      <c r="Y10" s="40">
        <f t="shared" si="7"/>
        <v>69744249.56722571</v>
      </c>
      <c r="Z10" s="40">
        <f ca="1">SUMIF('GS&gt;50 (no LC) Norm Monthly'!$B:$B,V10,'GS&gt;50 (no LC) Norm Monthly'!$Y:$Y)</f>
        <v>68807017.380251586</v>
      </c>
      <c r="AA10" s="40">
        <f t="shared" si="8"/>
        <v>1782955.7442286725</v>
      </c>
      <c r="AB10" s="40">
        <f t="shared" ca="1" si="9"/>
        <v>67024061.63602291</v>
      </c>
      <c r="AC10" s="40"/>
      <c r="AD10" s="40">
        <f t="shared" ca="1" si="10"/>
        <v>67024061.63602291</v>
      </c>
      <c r="AF10" s="39">
        <f t="shared" si="21"/>
        <v>2021</v>
      </c>
      <c r="AG10" s="40">
        <f>SUMIF('Monthly Data'!$B:$B,AF10,'Monthly Data'!Q:Q)</f>
        <v>1011635.55</v>
      </c>
      <c r="AH10" s="40">
        <f>'Customer Count'!O9</f>
        <v>2920</v>
      </c>
      <c r="AI10" s="40">
        <f t="shared" si="11"/>
        <v>346.45053082191782</v>
      </c>
      <c r="AJ10" s="40">
        <f t="shared" si="24"/>
        <v>1011635.55</v>
      </c>
      <c r="AM10" s="39">
        <f t="shared" si="22"/>
        <v>2021</v>
      </c>
      <c r="AN10" s="40">
        <f>SUMIF('Monthly Data'!$B:$B,AM10,'Monthly Data'!T:T)</f>
        <v>189809.41692454813</v>
      </c>
      <c r="AO10" s="40">
        <f>'Customer Count'!S9</f>
        <v>171</v>
      </c>
      <c r="AP10" s="40">
        <f t="shared" si="13"/>
        <v>1109.9965902020358</v>
      </c>
      <c r="AQ10" s="40">
        <f t="shared" si="14"/>
        <v>189809.41692454813</v>
      </c>
      <c r="AR10" s="8"/>
      <c r="AU10" s="39">
        <f t="shared" si="23"/>
        <v>2021</v>
      </c>
      <c r="AV10" s="40">
        <f>SUMIF('Monthly Data'!$B:$B,AU10,'Monthly Data'!W:W)</f>
        <v>613643.61</v>
      </c>
      <c r="AW10" s="40">
        <f>'Customer Count'!W9</f>
        <v>19</v>
      </c>
      <c r="AX10" s="40">
        <f t="shared" si="15"/>
        <v>32297.032105263159</v>
      </c>
      <c r="AY10" s="40">
        <f t="shared" si="16"/>
        <v>613643.61</v>
      </c>
      <c r="BC10" s="73"/>
    </row>
    <row r="11" spans="2:55">
      <c r="B11" s="39">
        <f t="shared" si="17"/>
        <v>2022</v>
      </c>
      <c r="C11" s="40">
        <f>SUMIF('Monthly Data'!$B:$B,B11,'Monthly Data'!D:D)</f>
        <v>86112039</v>
      </c>
      <c r="D11" s="40">
        <f>SUMIF('Monthly Data'!$B:$B,B11,'Monthly Data'!E:E)</f>
        <v>1969118.2960123431</v>
      </c>
      <c r="E11" s="40">
        <f t="shared" si="0"/>
        <v>88081157.296012342</v>
      </c>
      <c r="F11" s="40">
        <f ca="1">SUMIF('Res Normalized Monthly'!$B:$B,B11,'Res Normalized Monthly'!$S:$S)</f>
        <v>89113628.4238666</v>
      </c>
      <c r="G11" s="40">
        <f t="shared" si="1"/>
        <v>1969118.2960123431</v>
      </c>
      <c r="H11" s="40">
        <f t="shared" ca="1" si="2"/>
        <v>87144510.127854258</v>
      </c>
      <c r="I11" s="40"/>
      <c r="J11" s="40">
        <f t="shared" ca="1" si="3"/>
        <v>87144510.127854258</v>
      </c>
      <c r="L11" s="39">
        <f t="shared" si="18"/>
        <v>2022</v>
      </c>
      <c r="M11" s="40">
        <f>SUMIF('Monthly Data'!$B:$B,L11,'Monthly Data'!H:H)</f>
        <v>28785066</v>
      </c>
      <c r="N11" s="40">
        <f>SUMIF('Monthly Data'!$B:$B,L11,'Monthly Data'!I:I)</f>
        <v>2414462.1326522678</v>
      </c>
      <c r="O11" s="40">
        <f t="shared" si="4"/>
        <v>31199528.132652268</v>
      </c>
      <c r="P11" s="40">
        <f ca="1">SUMIF('GS&lt;50 Normalized Monthly'!$B:$B,L11,'GS&lt;50 Normalized Monthly'!S:$S)</f>
        <v>31373885.632574722</v>
      </c>
      <c r="Q11" s="40">
        <f t="shared" si="5"/>
        <v>2414462.1326522678</v>
      </c>
      <c r="R11" s="40">
        <f ca="1">P11-Q11</f>
        <v>28959423.499922454</v>
      </c>
      <c r="S11" s="40"/>
      <c r="T11" s="40">
        <f t="shared" ca="1" si="6"/>
        <v>28959423.499922454</v>
      </c>
      <c r="V11" s="39">
        <f t="shared" si="20"/>
        <v>2022</v>
      </c>
      <c r="W11" s="40">
        <f>SUMIF('Monthly Data'!$B:$B,V11,'Monthly Data'!L:L)</f>
        <v>68211369.280000001</v>
      </c>
      <c r="X11" s="40">
        <f>SUMIF('Monthly Data'!$B:$B,V11,'Monthly Data'!M:M)</f>
        <v>2218278.2262306586</v>
      </c>
      <c r="Y11" s="40">
        <f t="shared" si="7"/>
        <v>70429647.506230652</v>
      </c>
      <c r="Z11" s="40">
        <f ca="1">SUMIF('GS&gt;50 (no LC) Norm Monthly'!$B:$B,V11,'GS&gt;50 (no LC) Norm Monthly'!$Y:$Y)</f>
        <v>68807017.380251586</v>
      </c>
      <c r="AA11" s="40">
        <f t="shared" si="8"/>
        <v>2218278.2262306586</v>
      </c>
      <c r="AB11" s="40">
        <f t="shared" ca="1" si="9"/>
        <v>66588739.154020928</v>
      </c>
      <c r="AC11" s="40"/>
      <c r="AD11" s="40">
        <f t="shared" ca="1" si="10"/>
        <v>66588739.154020928</v>
      </c>
      <c r="AF11" s="39">
        <f t="shared" si="21"/>
        <v>2022</v>
      </c>
      <c r="AG11" s="40">
        <f>SUMIF('Monthly Data'!$B:$B,AF11,'Monthly Data'!Q:Q)</f>
        <v>1002092</v>
      </c>
      <c r="AH11" s="40">
        <f>'Customer Count'!O10</f>
        <v>2920</v>
      </c>
      <c r="AI11" s="40">
        <f t="shared" si="11"/>
        <v>343.18219178082194</v>
      </c>
      <c r="AJ11" s="40">
        <f t="shared" si="24"/>
        <v>1002092.0000000001</v>
      </c>
      <c r="AM11" s="39">
        <f t="shared" si="22"/>
        <v>2022</v>
      </c>
      <c r="AN11" s="40">
        <f>SUMIF('Monthly Data'!$B:$B,AM11,'Monthly Data'!T:T)</f>
        <v>190718</v>
      </c>
      <c r="AO11" s="40">
        <f>'Customer Count'!S10</f>
        <v>177</v>
      </c>
      <c r="AP11" s="40">
        <f t="shared" si="13"/>
        <v>1077.5028248587571</v>
      </c>
      <c r="AQ11" s="40">
        <f t="shared" si="14"/>
        <v>190718</v>
      </c>
      <c r="AR11" s="8"/>
      <c r="AU11" s="39">
        <f t="shared" si="23"/>
        <v>2022</v>
      </c>
      <c r="AV11" s="40">
        <f>SUMIF('Monthly Data'!$B:$B,AU11,'Monthly Data'!W:W)</f>
        <v>588782</v>
      </c>
      <c r="AW11" s="40">
        <f>'Customer Count'!W10</f>
        <v>19</v>
      </c>
      <c r="AX11" s="40">
        <f t="shared" si="15"/>
        <v>30988.526315789473</v>
      </c>
      <c r="AY11" s="40">
        <f t="shared" si="16"/>
        <v>588782</v>
      </c>
      <c r="BC11" s="73"/>
    </row>
    <row r="12" spans="2:55">
      <c r="B12" s="39">
        <f t="shared" si="17"/>
        <v>2023</v>
      </c>
      <c r="C12" s="40">
        <f>SUMIF('Monthly Data'!$B:$B,B12,'Monthly Data'!D:D)</f>
        <v>85022917</v>
      </c>
      <c r="D12" s="40">
        <f>SUMIF('Monthly Data'!$B:$B,B12,'Monthly Data'!E:E)</f>
        <v>1988095.2487503036</v>
      </c>
      <c r="E12" s="40">
        <f t="shared" si="0"/>
        <v>87011012.248750299</v>
      </c>
      <c r="F12" s="40">
        <f ca="1">SUMIF('Res Normalized Monthly'!$B:$B,B12,'Res Normalized Monthly'!$S:$S)</f>
        <v>89614079.217402667</v>
      </c>
      <c r="G12" s="40">
        <f t="shared" si="1"/>
        <v>1988095.2487503036</v>
      </c>
      <c r="H12" s="40">
        <f t="shared" ca="1" si="2"/>
        <v>87625983.968652368</v>
      </c>
      <c r="I12" s="40"/>
      <c r="J12" s="40">
        <f t="shared" ca="1" si="3"/>
        <v>87625983.968652368</v>
      </c>
      <c r="L12" s="39">
        <f t="shared" si="18"/>
        <v>2023</v>
      </c>
      <c r="M12" s="40">
        <f>SUMIF('Monthly Data'!$B:$B,L12,'Monthly Data'!H:H)</f>
        <v>29063129</v>
      </c>
      <c r="N12" s="40">
        <f>SUMIF('Monthly Data'!$B:$B,L12,'Monthly Data'!I:I)</f>
        <v>2665068.1477616997</v>
      </c>
      <c r="O12" s="40">
        <f t="shared" si="4"/>
        <v>31728197.147761699</v>
      </c>
      <c r="P12" s="40">
        <f ca="1">SUMIF('GS&lt;50 Normalized Monthly'!$B:$B,L12,'GS&lt;50 Normalized Monthly'!S:$S)</f>
        <v>32697510.905478738</v>
      </c>
      <c r="Q12" s="40">
        <f t="shared" si="5"/>
        <v>2665068.1477616997</v>
      </c>
      <c r="R12" s="40">
        <f ca="1">P12-Q12</f>
        <v>30032442.757717039</v>
      </c>
      <c r="S12" s="40"/>
      <c r="T12" s="40">
        <f t="shared" ca="1" si="6"/>
        <v>30032442.757717039</v>
      </c>
      <c r="V12" s="39">
        <f t="shared" si="20"/>
        <v>2023</v>
      </c>
      <c r="W12" s="40">
        <f>SUMIF('Monthly Data'!$B:$B,V12,'Monthly Data'!L:L)</f>
        <v>64679344</v>
      </c>
      <c r="X12" s="40">
        <f>SUMIF('Monthly Data'!$B:$B,V12,'Monthly Data'!M:M)</f>
        <v>2525244.5943839592</v>
      </c>
      <c r="Y12" s="40">
        <f t="shared" si="7"/>
        <v>67204588.594383955</v>
      </c>
      <c r="Z12" s="40">
        <f ca="1">SUMIF('GS&gt;50 (no LC) Norm Monthly'!$B:$B,V12,'GS&gt;50 (no LC) Norm Monthly'!$Y:$Y)</f>
        <v>68807017.380251586</v>
      </c>
      <c r="AA12" s="40">
        <f t="shared" si="8"/>
        <v>2525244.5943839592</v>
      </c>
      <c r="AB12" s="40">
        <f t="shared" ca="1" si="9"/>
        <v>66281772.785867624</v>
      </c>
      <c r="AC12" s="40"/>
      <c r="AD12" s="40">
        <f t="shared" ca="1" si="10"/>
        <v>66281772.785867624</v>
      </c>
      <c r="AF12" s="39">
        <f t="shared" si="21"/>
        <v>2023</v>
      </c>
      <c r="AG12" s="40">
        <f>SUMIF('Monthly Data'!$B:$B,AF12,'Monthly Data'!Q:Q)</f>
        <v>998543</v>
      </c>
      <c r="AH12" s="40">
        <f>'Customer Count'!O11</f>
        <v>2903.6666666666665</v>
      </c>
      <c r="AI12" s="40">
        <f t="shared" si="11"/>
        <v>343.89036849959825</v>
      </c>
      <c r="AJ12" s="40">
        <f t="shared" si="24"/>
        <v>998543.00000000012</v>
      </c>
      <c r="AM12" s="39">
        <f t="shared" si="22"/>
        <v>2023</v>
      </c>
      <c r="AN12" s="40">
        <f>SUMIF('Monthly Data'!$B:$B,AM12,'Monthly Data'!T:T)</f>
        <v>175555</v>
      </c>
      <c r="AO12" s="40">
        <f>'Customer Count'!S11</f>
        <v>173.91666666666666</v>
      </c>
      <c r="AP12" s="40">
        <f t="shared" si="13"/>
        <v>1009.4202204120749</v>
      </c>
      <c r="AQ12" s="40">
        <f t="shared" si="14"/>
        <v>175555</v>
      </c>
      <c r="AR12" s="8"/>
      <c r="AU12" s="39">
        <f t="shared" si="23"/>
        <v>2023</v>
      </c>
      <c r="AV12" s="40">
        <f>SUMIF('Monthly Data'!$B:$B,AU12,'Monthly Data'!W:W)</f>
        <v>589689</v>
      </c>
      <c r="AW12" s="40">
        <f>'Customer Count'!W11</f>
        <v>18.916666666666668</v>
      </c>
      <c r="AX12" s="40">
        <f t="shared" si="15"/>
        <v>31172.986784140969</v>
      </c>
      <c r="AY12" s="40">
        <f t="shared" si="16"/>
        <v>589689</v>
      </c>
      <c r="BC12" s="73"/>
    </row>
    <row r="13" spans="2:55">
      <c r="B13" s="39">
        <f t="shared" si="17"/>
        <v>2024</v>
      </c>
      <c r="C13" s="40">
        <f>SUMIF('Monthly Data'!$B:$B,B13,'Monthly Data'!D:D)</f>
        <v>86752528</v>
      </c>
      <c r="D13" s="40">
        <f>SUMIF('Monthly Data'!$B:$B,B13,'Monthly Data'!E:E)</f>
        <v>2055887.5691241524</v>
      </c>
      <c r="E13" s="40">
        <f t="shared" si="0"/>
        <v>88808415.569124147</v>
      </c>
      <c r="F13" s="40">
        <f ca="1">SUMIF('Res Normalized Monthly'!$B:$B,B13,'Res Normalized Monthly'!$S:$S)</f>
        <v>90734970.964648008</v>
      </c>
      <c r="G13" s="40">
        <f t="shared" si="1"/>
        <v>2055887.5691241524</v>
      </c>
      <c r="H13" s="40">
        <f t="shared" ca="1" si="2"/>
        <v>88679083.395523861</v>
      </c>
      <c r="I13" s="40"/>
      <c r="J13" s="40">
        <f t="shared" ca="1" si="3"/>
        <v>88679083.395523861</v>
      </c>
      <c r="L13" s="39">
        <f t="shared" si="18"/>
        <v>2024</v>
      </c>
      <c r="M13" s="40">
        <f>SUMIF('Monthly Data'!$B:$B,L13,'Monthly Data'!H:H)</f>
        <v>29356697</v>
      </c>
      <c r="N13" s="40">
        <f>SUMIF('Monthly Data'!$B:$B,L13,'Monthly Data'!I:I)</f>
        <v>2966111.8512537554</v>
      </c>
      <c r="O13" s="40">
        <f t="shared" si="4"/>
        <v>32322808.851253755</v>
      </c>
      <c r="P13" s="40">
        <f ca="1">SUMIF('GS&lt;50 Normalized Monthly'!$B:$B,L13,'GS&lt;50 Normalized Monthly'!S:$S)</f>
        <v>33008630.358327545</v>
      </c>
      <c r="Q13" s="40">
        <f t="shared" si="5"/>
        <v>2966111.8512537554</v>
      </c>
      <c r="R13" s="40">
        <f ca="1">P13-Q13</f>
        <v>30042518.50707379</v>
      </c>
      <c r="S13" s="40"/>
      <c r="T13" s="40">
        <f t="shared" ca="1" si="6"/>
        <v>30042518.50707379</v>
      </c>
      <c r="V13" s="39">
        <f t="shared" si="20"/>
        <v>2024</v>
      </c>
      <c r="W13" s="40">
        <f>SUMIF('Monthly Data'!$B:$B,V13,'Monthly Data'!L:L)</f>
        <v>64215692</v>
      </c>
      <c r="X13" s="40">
        <f>SUMIF('Monthly Data'!$B:$B,V13,'Monthly Data'!M:M)</f>
        <v>2872665.1050160881</v>
      </c>
      <c r="Y13" s="40">
        <f t="shared" si="7"/>
        <v>67088357.10501609</v>
      </c>
      <c r="Z13" s="40">
        <f ca="1">SUMIF('GS&gt;50 (no LC) Norm Monthly'!$B:$B,V13,'GS&gt;50 (no LC) Norm Monthly'!$Y:$Y)</f>
        <v>68807017.380251586</v>
      </c>
      <c r="AA13" s="40">
        <f t="shared" si="8"/>
        <v>2872665.1050160881</v>
      </c>
      <c r="AB13" s="40">
        <f t="shared" ca="1" si="9"/>
        <v>65934352.275235496</v>
      </c>
      <c r="AC13" s="40"/>
      <c r="AD13" s="40">
        <f t="shared" ca="1" si="10"/>
        <v>65934352.275235496</v>
      </c>
      <c r="AF13" s="39">
        <f t="shared" si="21"/>
        <v>2024</v>
      </c>
      <c r="AG13" s="40">
        <f>SUMIF('Monthly Data'!$B:$B,AF13,'Monthly Data'!Q:Q)</f>
        <v>996845</v>
      </c>
      <c r="AH13" s="40">
        <f>'Customer Count'!O12</f>
        <v>2907.1666666666665</v>
      </c>
      <c r="AI13" s="40">
        <f t="shared" si="11"/>
        <v>342.89227770452334</v>
      </c>
      <c r="AJ13" s="40">
        <f t="shared" si="24"/>
        <v>996845</v>
      </c>
      <c r="AM13" s="39">
        <f t="shared" si="22"/>
        <v>2024</v>
      </c>
      <c r="AN13" s="40">
        <f>SUMIF('Monthly Data'!$B:$B,AM13,'Monthly Data'!T:T)</f>
        <v>164745</v>
      </c>
      <c r="AO13" s="40">
        <f>'Customer Count'!S12</f>
        <v>172.83333333333334</v>
      </c>
      <c r="AP13" s="40">
        <f t="shared" si="13"/>
        <v>953.20154291224685</v>
      </c>
      <c r="AQ13" s="40">
        <f t="shared" si="14"/>
        <v>164745</v>
      </c>
      <c r="AR13" s="8"/>
      <c r="AU13" s="39">
        <f t="shared" si="23"/>
        <v>2024</v>
      </c>
      <c r="AV13" s="40">
        <f>SUMIF('Monthly Data'!$B:$B,AU13,'Monthly Data'!W:W)</f>
        <v>591629</v>
      </c>
      <c r="AW13" s="40">
        <f>'Customer Count'!W12</f>
        <v>18.25</v>
      </c>
      <c r="AX13" s="40">
        <f t="shared" si="15"/>
        <v>32418.027397260274</v>
      </c>
      <c r="AY13" s="40">
        <f t="shared" si="16"/>
        <v>591629</v>
      </c>
      <c r="BC13" s="73"/>
    </row>
    <row r="14" spans="2:55" s="77" customFormat="1">
      <c r="B14" s="39">
        <f t="shared" si="17"/>
        <v>2025</v>
      </c>
      <c r="C14" s="40">
        <f>SUMIF('Monthly Data'!$B:$B,B14,'Monthly Data'!D:D)</f>
        <v>90973051</v>
      </c>
      <c r="D14" s="40">
        <f>SUMIF('Monthly Data'!$B:$B,B14,'Monthly Data'!E:E)</f>
        <v>2184225.8549258215</v>
      </c>
      <c r="E14" s="40">
        <f t="shared" si="0"/>
        <v>93157276.854925826</v>
      </c>
      <c r="F14" s="40">
        <f ca="1">SUMIF('Res Normalized Monthly'!$B:$B,B14,'Res Normalized Monthly'!$S:$S)</f>
        <v>91467484.21404013</v>
      </c>
      <c r="G14" s="40">
        <f t="shared" si="1"/>
        <v>2184225.8549258215</v>
      </c>
      <c r="H14" s="40">
        <f t="shared" ca="1" si="2"/>
        <v>89283258.359114304</v>
      </c>
      <c r="I14" s="40"/>
      <c r="J14" s="40">
        <f ca="1">H14+I14</f>
        <v>89283258.359114304</v>
      </c>
      <c r="L14" s="42">
        <f>L13+1</f>
        <v>2025</v>
      </c>
      <c r="M14" s="40">
        <f>SUMIF('Monthly Data'!$B:$B,L14,'Monthly Data'!H:H)</f>
        <v>30749969</v>
      </c>
      <c r="N14" s="40">
        <f>SUMIF('Monthly Data'!$B:$B,L14,'Monthly Data'!I:I)</f>
        <v>3291781.9094771584</v>
      </c>
      <c r="O14" s="40">
        <f t="shared" si="4"/>
        <v>34041750.909477159</v>
      </c>
      <c r="P14" s="40">
        <f ca="1">SUMIF('GS&lt;50 Normalized Monthly'!$B:$B,L14,'GS&lt;50 Normalized Monthly'!S:$S)</f>
        <v>33331801.274779182</v>
      </c>
      <c r="Q14" s="40">
        <f t="shared" si="5"/>
        <v>3291781.9094771584</v>
      </c>
      <c r="R14" s="40">
        <f ca="1">P14-Q14</f>
        <v>30040019.365302023</v>
      </c>
      <c r="S14" s="40"/>
      <c r="T14" s="40">
        <f ca="1">R14+S14</f>
        <v>30040019.365302023</v>
      </c>
      <c r="V14" s="42">
        <f>V13+1</f>
        <v>2025</v>
      </c>
      <c r="W14" s="40">
        <f>SUMIF('Monthly Data'!$B:$B,V14,'Monthly Data'!L:L)</f>
        <v>72102178</v>
      </c>
      <c r="X14" s="40">
        <f>SUMIF('Monthly Data'!$B:$B,V14,'Monthly Data'!M:M)</f>
        <v>3232158.8538903464</v>
      </c>
      <c r="Y14" s="40">
        <f t="shared" si="7"/>
        <v>75334336.853890345</v>
      </c>
      <c r="Z14" s="40">
        <f ca="1">SUMIF('GS&gt;50 (no LC) Norm Monthly'!$B:$B,V14,'GS&gt;50 (no LC) Norm Monthly'!$Y:$Y)</f>
        <v>75144657.425577551</v>
      </c>
      <c r="AA14" s="40">
        <f t="shared" si="8"/>
        <v>3232158.8538903464</v>
      </c>
      <c r="AB14" s="40">
        <f t="shared" ca="1" si="9"/>
        <v>71912498.571687207</v>
      </c>
      <c r="AC14" s="40"/>
      <c r="AD14" s="40">
        <f ca="1">AB14+AC14</f>
        <v>71912498.571687207</v>
      </c>
      <c r="AF14" s="39">
        <f t="shared" si="21"/>
        <v>2025</v>
      </c>
      <c r="AG14" s="40">
        <f>SUMIF('Monthly Data'!$B:$B,AF14,'Monthly Data'!Q:Q)</f>
        <v>1016652</v>
      </c>
      <c r="AH14" s="40">
        <f>'Customer Count'!O13</f>
        <v>2924.8333333333335</v>
      </c>
      <c r="AI14" s="40">
        <f>AG14/AH14</f>
        <v>347.5931392102114</v>
      </c>
      <c r="AJ14" s="40">
        <f t="shared" si="24"/>
        <v>1016652</v>
      </c>
      <c r="AK14"/>
      <c r="AM14" s="39">
        <f t="shared" si="22"/>
        <v>2025</v>
      </c>
      <c r="AN14" s="40">
        <f>SUMIF('Monthly Data'!$B:$B,AM14,'Monthly Data'!T:T)</f>
        <v>162265</v>
      </c>
      <c r="AO14" s="40">
        <f>'Customer Count'!S13</f>
        <v>177</v>
      </c>
      <c r="AP14" s="40">
        <f>AN14/AO14</f>
        <v>916.75141242937855</v>
      </c>
      <c r="AQ14" s="40">
        <f t="shared" si="14"/>
        <v>162265</v>
      </c>
      <c r="AR14" s="8"/>
      <c r="AS14"/>
      <c r="AT14"/>
      <c r="AU14" s="39">
        <f t="shared" si="23"/>
        <v>2025</v>
      </c>
      <c r="AV14" s="40">
        <f>SUMIF('Monthly Data'!$B:$B,AU14,'Monthly Data'!W:W)</f>
        <v>587172</v>
      </c>
      <c r="AW14" s="40">
        <f>'Customer Count'!W13</f>
        <v>19</v>
      </c>
      <c r="AX14" s="40">
        <f t="shared" si="15"/>
        <v>30903.78947368421</v>
      </c>
      <c r="AY14" s="40">
        <f t="shared" si="16"/>
        <v>587172</v>
      </c>
    </row>
    <row r="15" spans="2:55" s="77" customFormat="1">
      <c r="B15" s="42">
        <f>B14+1</f>
        <v>2026</v>
      </c>
      <c r="C15" s="42"/>
      <c r="D15" s="42"/>
      <c r="E15" s="42"/>
      <c r="F15" s="41">
        <f ca="1">SUMIF('Res Normalized Monthly'!$B:$B,B15,'Res Normalized Monthly'!$S:$S)</f>
        <v>93312107.586049333</v>
      </c>
      <c r="G15" s="41">
        <f>CDM!K29</f>
        <v>2170023.3351844172</v>
      </c>
      <c r="H15" s="41">
        <f t="shared" ca="1" si="2"/>
        <v>91142084.250864923</v>
      </c>
      <c r="I15" s="41">
        <f ca="1">'Total Additional-Lost Loads'!D18</f>
        <v>265090.49770155037</v>
      </c>
      <c r="J15" s="41">
        <f ca="1">H15+I15</f>
        <v>91407174.748566478</v>
      </c>
      <c r="K15" s="263"/>
      <c r="L15" s="42">
        <f>L14+1</f>
        <v>2026</v>
      </c>
      <c r="M15" s="42"/>
      <c r="N15" s="42"/>
      <c r="O15" s="42"/>
      <c r="P15" s="41">
        <f ca="1">SUMIF('GS&lt;50 Normalized Monthly'!$B:$B,L15,'GS&lt;50 Normalized Monthly'!S:$S)</f>
        <v>33605570.602010362</v>
      </c>
      <c r="Q15" s="41">
        <f>CDM!L29</f>
        <v>3193265.9287199136</v>
      </c>
      <c r="R15" s="41">
        <f t="shared" ca="1" si="19"/>
        <v>30412304.673290446</v>
      </c>
      <c r="S15" s="41">
        <f ca="1">'Total Additional-Lost Loads'!D19</f>
        <v>65845.848167107833</v>
      </c>
      <c r="T15" s="41">
        <f ca="1">R15+S15</f>
        <v>30478150.521457553</v>
      </c>
      <c r="V15" s="42">
        <f>V14+1</f>
        <v>2026</v>
      </c>
      <c r="W15" s="42"/>
      <c r="X15" s="42"/>
      <c r="Y15" s="42"/>
      <c r="Z15" s="41">
        <f ca="1">SUMIF('GS&gt;50 (no LC) Norm Monthly'!$B:$B,V15,'GS&gt;50 (no LC) Norm Monthly'!$Y:$Y)</f>
        <v>68807017.380251586</v>
      </c>
      <c r="AA15" s="41">
        <f>CDM!M29</f>
        <v>3173492.9991229787</v>
      </c>
      <c r="AB15" s="41">
        <f t="shared" ca="1" si="9"/>
        <v>65633524.381128609</v>
      </c>
      <c r="AC15" s="41">
        <f>'Total Additional-Lost Loads'!D20</f>
        <v>8824.2000000000007</v>
      </c>
      <c r="AD15" s="41">
        <f ca="1">AB15+AC15</f>
        <v>65642348.581128612</v>
      </c>
      <c r="AF15" s="42">
        <f>AF14+1</f>
        <v>2026</v>
      </c>
      <c r="AG15" s="42"/>
      <c r="AH15" s="41">
        <f>'Customer Count'!O18</f>
        <v>2936.5433529136408</v>
      </c>
      <c r="AI15" s="41">
        <f>AVERAGE(AI12:AI14)</f>
        <v>344.79192847144435</v>
      </c>
      <c r="AJ15" s="41">
        <f t="shared" si="12"/>
        <v>1012496.4456910954</v>
      </c>
      <c r="AM15" s="42">
        <f t="shared" si="22"/>
        <v>2026</v>
      </c>
      <c r="AN15" s="42"/>
      <c r="AO15" s="41">
        <f>'Customer Count'!S18</f>
        <v>176.4263804778202</v>
      </c>
      <c r="AP15" s="41" cm="1">
        <f t="array" ref="AP15">TREND($AP$7:$AP$14,$AM$7:$AM$14,AM15)</f>
        <v>892.1715810684982</v>
      </c>
      <c r="AQ15" s="41">
        <f t="shared" si="14"/>
        <v>157402.60281308927</v>
      </c>
      <c r="AR15" s="8"/>
      <c r="AU15" s="42">
        <f>AU14+1</f>
        <v>2026</v>
      </c>
      <c r="AV15" s="42"/>
      <c r="AW15" s="41">
        <f>'Customer Count'!W18</f>
        <v>19</v>
      </c>
      <c r="AX15" s="41">
        <f>AVERAGE(AX12:AX14)</f>
        <v>31498.267885028486</v>
      </c>
      <c r="AY15" s="41">
        <f t="shared" si="16"/>
        <v>598467.08981554129</v>
      </c>
    </row>
    <row r="16" spans="2:55" s="77" customFormat="1">
      <c r="B16" s="42">
        <f>B15+1</f>
        <v>2027</v>
      </c>
      <c r="C16" s="42"/>
      <c r="D16" s="42"/>
      <c r="E16" s="42"/>
      <c r="F16" s="41">
        <f ca="1">SUMIF('Res Normalized Monthly'!$B:$B,B16,'Res Normalized Monthly'!$S:$S)</f>
        <v>94789646.309641719</v>
      </c>
      <c r="G16" s="41">
        <f>CDM!K30</f>
        <v>2132604.0099626933</v>
      </c>
      <c r="H16" s="41">
        <f t="shared" ca="1" si="2"/>
        <v>92657042.299679026</v>
      </c>
      <c r="I16" s="41">
        <f ca="1">'Total Additional-Lost Loads'!E18</f>
        <v>575885.8983718378</v>
      </c>
      <c r="J16" s="41">
        <f ca="1">H16+I16</f>
        <v>93232928.198050857</v>
      </c>
      <c r="L16" s="42">
        <f>L15+1</f>
        <v>2027</v>
      </c>
      <c r="M16" s="42"/>
      <c r="N16" s="42"/>
      <c r="O16" s="42"/>
      <c r="P16" s="41">
        <f ca="1">SUMIF('GS&lt;50 Normalized Monthly'!$B:$B,L16,'GS&lt;50 Normalized Monthly'!S:$S)</f>
        <v>34003037.319815226</v>
      </c>
      <c r="Q16" s="41">
        <f>CDM!L30</f>
        <v>3100567.3543275874</v>
      </c>
      <c r="R16" s="41">
        <f t="shared" ca="1" si="19"/>
        <v>30902469.965487637</v>
      </c>
      <c r="S16" s="41">
        <f ca="1">'Total Additional-Lost Loads'!E19</f>
        <v>131150.11918158378</v>
      </c>
      <c r="T16" s="41">
        <f ca="1">R16+S16</f>
        <v>31033620.084669221</v>
      </c>
      <c r="V16" s="42">
        <f>V15+1</f>
        <v>2027</v>
      </c>
      <c r="W16" s="42"/>
      <c r="X16" s="42"/>
      <c r="Y16" s="42"/>
      <c r="Z16" s="41">
        <f ca="1">SUMIF('GS&gt;50 (no LC) Norm Monthly'!$B:$B,V16,'GS&gt;50 (no LC) Norm Monthly'!$Y:$Y)</f>
        <v>68807017.380251586</v>
      </c>
      <c r="AA16" s="41">
        <f>CDM!M30</f>
        <v>3124320.1182158221</v>
      </c>
      <c r="AB16" s="41">
        <f t="shared" ca="1" si="9"/>
        <v>65682697.262035765</v>
      </c>
      <c r="AC16" s="41">
        <f>'Total Additional-Lost Loads'!E20</f>
        <v>17394.521317681541</v>
      </c>
      <c r="AD16" s="41">
        <f ca="1">AB16+AC16</f>
        <v>65700091.783353448</v>
      </c>
      <c r="AF16" s="42">
        <f>AF15+1</f>
        <v>2027</v>
      </c>
      <c r="AG16" s="42"/>
      <c r="AH16" s="41">
        <f>'Customer Count'!O19</f>
        <v>2948.3028425181169</v>
      </c>
      <c r="AI16" s="41">
        <f>AI15</f>
        <v>344.79192847144435</v>
      </c>
      <c r="AJ16" s="41">
        <f t="shared" si="12"/>
        <v>1016551.0227896626</v>
      </c>
      <c r="AM16" s="42">
        <f t="shared" si="22"/>
        <v>2027</v>
      </c>
      <c r="AN16" s="42"/>
      <c r="AO16" s="41">
        <f>'Customer Count'!S19</f>
        <v>175.85432333854411</v>
      </c>
      <c r="AP16" s="41" cm="1">
        <f t="array" ref="AP16">TREND($AP$7:$AP$14,$AM$7:$AM$14,AM16)</f>
        <v>851.91083441162482</v>
      </c>
      <c r="AQ16" s="41">
        <f t="shared" si="14"/>
        <v>149812.20333023078</v>
      </c>
      <c r="AR16" s="8"/>
      <c r="AU16" s="42">
        <f>AU15+1</f>
        <v>2027</v>
      </c>
      <c r="AV16" s="42"/>
      <c r="AW16" s="41">
        <f>'Customer Count'!W19</f>
        <v>19</v>
      </c>
      <c r="AX16" s="41">
        <f>AX15</f>
        <v>31498.267885028486</v>
      </c>
      <c r="AY16" s="41">
        <f t="shared" si="16"/>
        <v>598467.08981554129</v>
      </c>
      <c r="BA16" s="279"/>
    </row>
    <row r="42" spans="2:38">
      <c r="B42" s="606" t="s">
        <v>352</v>
      </c>
      <c r="C42" s="606"/>
      <c r="D42" s="606"/>
      <c r="E42" s="606"/>
      <c r="F42" s="606"/>
      <c r="G42" s="606"/>
      <c r="H42" s="606"/>
      <c r="I42" s="606"/>
      <c r="J42" s="606"/>
      <c r="L42" s="606" t="s">
        <v>386</v>
      </c>
      <c r="M42" s="606"/>
      <c r="N42" s="606"/>
      <c r="O42" s="606"/>
      <c r="P42" s="606"/>
      <c r="Q42" s="606"/>
      <c r="R42" s="606"/>
      <c r="S42" s="606"/>
      <c r="T42" s="606"/>
      <c r="V42" s="606" t="s">
        <v>387</v>
      </c>
      <c r="W42" s="606"/>
      <c r="X42" s="606"/>
      <c r="Y42" s="606"/>
      <c r="Z42" s="606"/>
      <c r="AA42" s="606"/>
      <c r="AB42" s="606"/>
      <c r="AC42" s="606"/>
      <c r="AD42" s="606"/>
    </row>
    <row r="43" spans="2:38" ht="39.6">
      <c r="B43" s="259" t="s">
        <v>27</v>
      </c>
      <c r="C43" s="259" t="s">
        <v>388</v>
      </c>
      <c r="D43" s="259" t="s">
        <v>389</v>
      </c>
      <c r="E43" s="259" t="s">
        <v>390</v>
      </c>
      <c r="F43" s="259" t="s">
        <v>391</v>
      </c>
      <c r="G43" s="259" t="s">
        <v>389</v>
      </c>
      <c r="H43" s="259" t="s">
        <v>385</v>
      </c>
      <c r="I43" s="259" t="s">
        <v>392</v>
      </c>
      <c r="J43" s="259" t="s">
        <v>393</v>
      </c>
      <c r="K43" s="260"/>
      <c r="L43" s="259" t="s">
        <v>27</v>
      </c>
      <c r="M43" s="259" t="s">
        <v>388</v>
      </c>
      <c r="N43" s="259" t="s">
        <v>389</v>
      </c>
      <c r="O43" s="259" t="s">
        <v>390</v>
      </c>
      <c r="P43" s="259" t="s">
        <v>394</v>
      </c>
      <c r="Q43" s="259" t="s">
        <v>389</v>
      </c>
      <c r="R43" s="259" t="s">
        <v>385</v>
      </c>
      <c r="S43" s="259" t="s">
        <v>392</v>
      </c>
      <c r="T43" s="259" t="s">
        <v>393</v>
      </c>
      <c r="U43" s="260"/>
      <c r="V43" s="259" t="s">
        <v>27</v>
      </c>
      <c r="W43" s="259" t="s">
        <v>388</v>
      </c>
      <c r="X43" s="259" t="s">
        <v>389</v>
      </c>
      <c r="Y43" s="259" t="s">
        <v>390</v>
      </c>
      <c r="Z43" s="259" t="s">
        <v>391</v>
      </c>
      <c r="AA43" s="259" t="s">
        <v>389</v>
      </c>
      <c r="AB43" s="259" t="s">
        <v>385</v>
      </c>
      <c r="AC43" s="259" t="s">
        <v>395</v>
      </c>
      <c r="AD43" s="259" t="s">
        <v>393</v>
      </c>
    </row>
    <row r="44" spans="2:38" s="38" customFormat="1">
      <c r="B44" s="299"/>
      <c r="C44" s="299" t="s">
        <v>400</v>
      </c>
      <c r="D44" s="299" t="s">
        <v>401</v>
      </c>
      <c r="E44" s="299" t="s">
        <v>402</v>
      </c>
      <c r="F44" s="299" t="s">
        <v>403</v>
      </c>
      <c r="G44" s="299" t="s">
        <v>404</v>
      </c>
      <c r="H44" s="299" t="s">
        <v>405</v>
      </c>
      <c r="I44" s="299" t="s">
        <v>406</v>
      </c>
      <c r="J44" s="299" t="s">
        <v>407</v>
      </c>
      <c r="L44" s="299"/>
      <c r="M44" s="299" t="s">
        <v>400</v>
      </c>
      <c r="N44" s="299" t="s">
        <v>401</v>
      </c>
      <c r="O44" s="299" t="s">
        <v>402</v>
      </c>
      <c r="P44" s="299" t="s">
        <v>403</v>
      </c>
      <c r="Q44" s="299" t="s">
        <v>404</v>
      </c>
      <c r="R44" s="299" t="s">
        <v>405</v>
      </c>
      <c r="S44" s="299" t="s">
        <v>406</v>
      </c>
      <c r="T44" s="299" t="s">
        <v>407</v>
      </c>
      <c r="V44" s="299"/>
      <c r="W44" s="299" t="s">
        <v>400</v>
      </c>
      <c r="X44" s="299" t="s">
        <v>401</v>
      </c>
      <c r="Y44" s="299" t="s">
        <v>402</v>
      </c>
      <c r="Z44" s="299" t="s">
        <v>403</v>
      </c>
      <c r="AA44" s="299" t="s">
        <v>404</v>
      </c>
      <c r="AB44" s="299" t="s">
        <v>405</v>
      </c>
      <c r="AC44" s="299" t="s">
        <v>406</v>
      </c>
      <c r="AD44" s="299" t="s">
        <v>407</v>
      </c>
    </row>
    <row r="45" spans="2:38">
      <c r="B45" s="39">
        <v>2016</v>
      </c>
      <c r="C45" s="40">
        <f>SUMIF('Monthly Data'!$B:$B,B45,'Monthly Data'!D:D)</f>
        <v>76635115</v>
      </c>
      <c r="D45" s="40">
        <f>SUMIF('Monthly Data'!$B:$B,B45,'Monthly Data'!E:E)</f>
        <v>389591.49999999994</v>
      </c>
      <c r="E45" s="40">
        <f t="shared" ref="E45:E54" si="25">C45+D45</f>
        <v>77024706.5</v>
      </c>
      <c r="F45" s="40">
        <f ca="1">SUMIF('Res Normalized Monthly WN'!$B:$B,B45,'Res Normalized Monthly WN'!$W:$W)</f>
        <v>75936416.684295669</v>
      </c>
      <c r="G45" s="40">
        <f t="shared" ref="G45:G54" si="26">D45</f>
        <v>389591.49999999994</v>
      </c>
      <c r="H45" s="40">
        <f t="shared" ref="H45:H54" ca="1" si="27">F45-G45</f>
        <v>75546825.184295669</v>
      </c>
      <c r="I45" s="40"/>
      <c r="J45" s="40">
        <f t="shared" ref="J45:J54" ca="1" si="28">H45+I45</f>
        <v>75546825.184295669</v>
      </c>
      <c r="K45" s="8"/>
      <c r="L45" s="39">
        <v>2016</v>
      </c>
      <c r="M45" s="40">
        <f>SUMIF('Monthly Data'!$B:$B,L45,'Monthly Data'!H:H)</f>
        <v>29514061</v>
      </c>
      <c r="N45" s="40">
        <f>SUMIF('Monthly Data'!$B:$B,L45,'Monthly Data'!I:I)</f>
        <v>363311.5</v>
      </c>
      <c r="O45" s="40">
        <f t="shared" ref="O45:O54" si="29">M45+N45</f>
        <v>29877372.5</v>
      </c>
      <c r="P45" s="40">
        <f ca="1">SUMIF('GS&lt;50 Normalized Monthly WN'!$B:$B,L45,'GS&lt;50 Normalized Monthly WN'!S:$S)</f>
        <v>29623740.033725206</v>
      </c>
      <c r="Q45" s="40">
        <f t="shared" ref="Q45:Q54" si="30">N45</f>
        <v>363311.5</v>
      </c>
      <c r="R45" s="40">
        <f t="shared" ref="R45:R56" ca="1" si="31">P45-Q45</f>
        <v>29260428.533725206</v>
      </c>
      <c r="S45" s="40"/>
      <c r="T45" s="40">
        <f t="shared" ref="T45:T54" ca="1" si="32">R45+S45</f>
        <v>29260428.533725206</v>
      </c>
      <c r="U45" s="8"/>
      <c r="V45" s="39">
        <v>2016</v>
      </c>
      <c r="W45" s="40">
        <f>SUMIF('Monthly Data'!$B:$B,V45,'Monthly Data'!L:L)</f>
        <v>75048053</v>
      </c>
      <c r="X45" s="40">
        <f>SUMIF('Monthly Data'!$B:$B,V45,'Monthly Data'!M:M)</f>
        <v>331928.49999999994</v>
      </c>
      <c r="Y45" s="40">
        <f t="shared" ref="Y45:Y54" si="33">W45+X45</f>
        <v>75379981.5</v>
      </c>
      <c r="Z45" s="40">
        <f ca="1">SUMIF('GS&gt;50 (no LC) Norm Monthly WN'!$B:$B,V45,'GS&gt;50 (no LC) Norm Monthly WN'!$AE:$AE)</f>
        <v>75017609.769329727</v>
      </c>
      <c r="AA45" s="40">
        <f t="shared" ref="AA45:AA54" si="34">X45</f>
        <v>331928.49999999994</v>
      </c>
      <c r="AB45" s="40">
        <f t="shared" ref="AB45:AB55" ca="1" si="35">Z45-AA45</f>
        <v>74685681.269329727</v>
      </c>
      <c r="AC45" s="40"/>
      <c r="AD45" s="40">
        <f t="shared" ref="AD45:AD54" ca="1" si="36">AB45+AC45</f>
        <v>74685681.269329727</v>
      </c>
      <c r="AE45" s="8"/>
      <c r="AL45" s="8"/>
    </row>
    <row r="46" spans="2:38">
      <c r="B46" s="39">
        <f t="shared" ref="B46:B54" si="37">B45+1</f>
        <v>2017</v>
      </c>
      <c r="C46" s="40">
        <f>SUMIF('Monthly Data'!$B:$B,B46,'Monthly Data'!D:D)</f>
        <v>76119517.019999996</v>
      </c>
      <c r="D46" s="40">
        <f>SUMIF('Monthly Data'!$B:$B,B46,'Monthly Data'!E:E)</f>
        <v>1379949.5</v>
      </c>
      <c r="E46" s="40">
        <f t="shared" si="25"/>
        <v>77499466.519999996</v>
      </c>
      <c r="F46" s="40">
        <f ca="1">SUMIF('Res Normalized Monthly WN'!$B:$B,B46,'Res Normalized Monthly WN'!$W:$W)</f>
        <v>78111830.963716179</v>
      </c>
      <c r="G46" s="40">
        <f t="shared" si="26"/>
        <v>1379949.5</v>
      </c>
      <c r="H46" s="40">
        <f t="shared" ca="1" si="27"/>
        <v>76731881.463716179</v>
      </c>
      <c r="I46" s="40"/>
      <c r="J46" s="40">
        <f t="shared" ca="1" si="28"/>
        <v>76731881.463716179</v>
      </c>
      <c r="K46" s="8"/>
      <c r="L46" s="39">
        <f t="shared" ref="L46:L54" si="38">L45+1</f>
        <v>2017</v>
      </c>
      <c r="M46" s="40">
        <f>SUMIF('Monthly Data'!$B:$B,L46,'Monthly Data'!H:H)</f>
        <v>28872534</v>
      </c>
      <c r="N46" s="40">
        <f>SUMIF('Monthly Data'!$B:$B,L46,'Monthly Data'!I:I)</f>
        <v>1048114.25</v>
      </c>
      <c r="O46" s="40">
        <f t="shared" si="29"/>
        <v>29920648.25</v>
      </c>
      <c r="P46" s="40">
        <f ca="1">SUMIF('GS&lt;50 Normalized Monthly WN'!$B:$B,L46,'GS&lt;50 Normalized Monthly WN'!S:$S)</f>
        <v>30016480.169109121</v>
      </c>
      <c r="Q46" s="40">
        <f t="shared" si="30"/>
        <v>1048114.25</v>
      </c>
      <c r="R46" s="40">
        <f t="shared" ca="1" si="31"/>
        <v>28968365.919109121</v>
      </c>
      <c r="S46" s="40"/>
      <c r="T46" s="40">
        <f t="shared" ca="1" si="32"/>
        <v>28968365.919109121</v>
      </c>
      <c r="U46" s="8"/>
      <c r="V46" s="39">
        <f t="shared" ref="V46:V54" si="39">V45+1</f>
        <v>2017</v>
      </c>
      <c r="W46" s="40">
        <f>SUMIF('Monthly Data'!$B:$B,V46,'Monthly Data'!L:L)</f>
        <v>70829349</v>
      </c>
      <c r="X46" s="40">
        <f>SUMIF('Monthly Data'!$B:$B,V46,'Monthly Data'!M:M)</f>
        <v>917682.75</v>
      </c>
      <c r="Y46" s="40">
        <f t="shared" si="33"/>
        <v>71747031.75</v>
      </c>
      <c r="Z46" s="40">
        <f ca="1">SUMIF('GS&gt;50 (no LC) Norm Monthly WN'!$B:$B,V46,'GS&gt;50 (no LC) Norm Monthly WN'!$AE:$AE)</f>
        <v>71879847.96381928</v>
      </c>
      <c r="AA46" s="40">
        <f t="shared" si="34"/>
        <v>917682.75</v>
      </c>
      <c r="AB46" s="40">
        <f t="shared" ca="1" si="35"/>
        <v>70962165.21381928</v>
      </c>
      <c r="AC46" s="40"/>
      <c r="AD46" s="40">
        <f t="shared" ca="1" si="36"/>
        <v>70962165.21381928</v>
      </c>
      <c r="AE46" s="8"/>
      <c r="AL46" s="8"/>
    </row>
    <row r="47" spans="2:38">
      <c r="B47" s="39">
        <f t="shared" si="37"/>
        <v>2018</v>
      </c>
      <c r="C47" s="40">
        <f>SUMIF('Monthly Data'!$B:$B,B47,'Monthly Data'!D:D)</f>
        <v>81716499</v>
      </c>
      <c r="D47" s="40">
        <f>SUMIF('Monthly Data'!$B:$B,B47,'Monthly Data'!E:E)</f>
        <v>1862266.4016356957</v>
      </c>
      <c r="E47" s="40">
        <f t="shared" si="25"/>
        <v>83578765.401635692</v>
      </c>
      <c r="F47" s="40">
        <f ca="1">SUMIF('Res Normalized Monthly WN'!$B:$B,B47,'Res Normalized Monthly WN'!$W:$W)</f>
        <v>80741778.817611739</v>
      </c>
      <c r="G47" s="40">
        <f t="shared" si="26"/>
        <v>1862266.4016356957</v>
      </c>
      <c r="H47" s="40">
        <f t="shared" ca="1" si="27"/>
        <v>78879512.415976048</v>
      </c>
      <c r="I47" s="40"/>
      <c r="J47" s="40">
        <f t="shared" ca="1" si="28"/>
        <v>78879512.415976048</v>
      </c>
      <c r="K47" s="8"/>
      <c r="L47" s="39">
        <f t="shared" si="38"/>
        <v>2018</v>
      </c>
      <c r="M47" s="40">
        <f>SUMIF('Monthly Data'!$B:$B,L47,'Monthly Data'!H:H)</f>
        <v>30060062</v>
      </c>
      <c r="N47" s="40">
        <f>SUMIF('Monthly Data'!$B:$B,L47,'Monthly Data'!I:I)</f>
        <v>1654568.4312637697</v>
      </c>
      <c r="O47" s="40">
        <f t="shared" si="29"/>
        <v>31714630.431263771</v>
      </c>
      <c r="P47" s="40">
        <f ca="1">SUMIF('GS&lt;50 Normalized Monthly WN'!$B:$B,L47,'GS&lt;50 Normalized Monthly WN'!S:$S)</f>
        <v>30973347.337103978</v>
      </c>
      <c r="Q47" s="40">
        <f t="shared" si="30"/>
        <v>1654568.4312637697</v>
      </c>
      <c r="R47" s="40">
        <f t="shared" ca="1" si="31"/>
        <v>29318778.905840207</v>
      </c>
      <c r="S47" s="40"/>
      <c r="T47" s="40">
        <f t="shared" ca="1" si="32"/>
        <v>29318778.905840207</v>
      </c>
      <c r="U47" s="8"/>
      <c r="V47" s="39">
        <f t="shared" si="39"/>
        <v>2018</v>
      </c>
      <c r="W47" s="40">
        <f>SUMIF('Monthly Data'!$B:$B,V47,'Monthly Data'!L:L)</f>
        <v>71502339</v>
      </c>
      <c r="X47" s="40">
        <f>SUMIF('Monthly Data'!$B:$B,V47,'Monthly Data'!M:M)</f>
        <v>1409655.3538016949</v>
      </c>
      <c r="Y47" s="40">
        <f t="shared" si="33"/>
        <v>72911994.353801697</v>
      </c>
      <c r="Z47" s="40">
        <f ca="1">SUMIF('GS&gt;50 (no LC) Norm Monthly WN'!$B:$B,V47,'GS&gt;50 (no LC) Norm Monthly WN'!$AE:$AE)</f>
        <v>71960233.854021192</v>
      </c>
      <c r="AA47" s="40">
        <f t="shared" si="34"/>
        <v>1409655.3538016949</v>
      </c>
      <c r="AB47" s="40">
        <f t="shared" ca="1" si="35"/>
        <v>70550578.500219494</v>
      </c>
      <c r="AC47" s="40"/>
      <c r="AD47" s="40">
        <f t="shared" ca="1" si="36"/>
        <v>70550578.500219494</v>
      </c>
      <c r="AE47" s="8"/>
      <c r="AL47" s="8"/>
    </row>
    <row r="48" spans="2:38">
      <c r="B48" s="39">
        <f t="shared" si="37"/>
        <v>2019</v>
      </c>
      <c r="C48" s="40">
        <f>SUMIF('Monthly Data'!$B:$B,B48,'Monthly Data'!D:D)</f>
        <v>85932903</v>
      </c>
      <c r="D48" s="40">
        <f>SUMIF('Monthly Data'!$B:$B,B48,'Monthly Data'!E:E)</f>
        <v>1941972.3051129691</v>
      </c>
      <c r="E48" s="40">
        <f t="shared" si="25"/>
        <v>87874875.305112973</v>
      </c>
      <c r="F48" s="40">
        <f ca="1">SUMIF('Res Normalized Monthly WN'!$B:$B,B48,'Res Normalized Monthly WN'!$W:$W)</f>
        <v>86503318.198718488</v>
      </c>
      <c r="G48" s="40">
        <f t="shared" si="26"/>
        <v>1941972.3051129691</v>
      </c>
      <c r="H48" s="40">
        <f t="shared" ca="1" si="27"/>
        <v>84561345.893605515</v>
      </c>
      <c r="I48" s="40"/>
      <c r="J48" s="40">
        <f t="shared" ca="1" si="28"/>
        <v>84561345.893605515</v>
      </c>
      <c r="K48" s="8"/>
      <c r="L48" s="39">
        <f t="shared" si="38"/>
        <v>2019</v>
      </c>
      <c r="M48" s="40">
        <f>SUMIF('Monthly Data'!$B:$B,L48,'Monthly Data'!H:H)</f>
        <v>30767208</v>
      </c>
      <c r="N48" s="40">
        <f>SUMIF('Monthly Data'!$B:$B,L48,'Monthly Data'!I:I)</f>
        <v>1935875.3829046211</v>
      </c>
      <c r="O48" s="40">
        <f t="shared" si="29"/>
        <v>32703083.382904623</v>
      </c>
      <c r="P48" s="40">
        <f ca="1">SUMIF('GS&lt;50 Normalized Monthly WN'!$B:$B,L48,'GS&lt;50 Normalized Monthly WN'!S:$S)</f>
        <v>32208002.808535106</v>
      </c>
      <c r="Q48" s="40">
        <f t="shared" si="30"/>
        <v>1935875.3829046211</v>
      </c>
      <c r="R48" s="40">
        <f t="shared" ca="1" si="31"/>
        <v>30272127.425630484</v>
      </c>
      <c r="S48" s="40"/>
      <c r="T48" s="40">
        <f t="shared" ca="1" si="32"/>
        <v>30272127.425630484</v>
      </c>
      <c r="U48" s="8"/>
      <c r="V48" s="39">
        <f t="shared" si="39"/>
        <v>2019</v>
      </c>
      <c r="W48" s="40">
        <f>SUMIF('Monthly Data'!$B:$B,V48,'Monthly Data'!L:L)</f>
        <v>73532152</v>
      </c>
      <c r="X48" s="40">
        <f>SUMIF('Monthly Data'!$B:$B,V48,'Monthly Data'!M:M)</f>
        <v>1646577.9779804719</v>
      </c>
      <c r="Y48" s="40">
        <f t="shared" si="33"/>
        <v>75178729.977980465</v>
      </c>
      <c r="Z48" s="40">
        <f ca="1">SUMIF('GS&gt;50 (no LC) Norm Monthly WN'!$B:$B,V48,'GS&gt;50 (no LC) Norm Monthly WN'!$AE:$AE)</f>
        <v>74764882.925172657</v>
      </c>
      <c r="AA48" s="40">
        <f t="shared" si="34"/>
        <v>1646577.9779804719</v>
      </c>
      <c r="AB48" s="40">
        <f t="shared" ca="1" si="35"/>
        <v>73118304.947192192</v>
      </c>
      <c r="AC48" s="40"/>
      <c r="AD48" s="40">
        <f t="shared" ca="1" si="36"/>
        <v>73118304.947192192</v>
      </c>
      <c r="AE48" s="8"/>
      <c r="AL48" s="8"/>
    </row>
    <row r="49" spans="2:38">
      <c r="B49" s="39">
        <f t="shared" si="37"/>
        <v>2020</v>
      </c>
      <c r="C49" s="40">
        <f>SUMIF('Monthly Data'!$B:$B,B49,'Monthly Data'!D:D)</f>
        <v>85141857</v>
      </c>
      <c r="D49" s="40">
        <f>SUMIF('Monthly Data'!$B:$B,B49,'Monthly Data'!E:E)</f>
        <v>1942287.3051129689</v>
      </c>
      <c r="E49" s="40">
        <f t="shared" si="25"/>
        <v>87084144.305112973</v>
      </c>
      <c r="F49" s="40">
        <f ca="1">SUMIF('Res Normalized Monthly WN'!$B:$B,B49,'Res Normalized Monthly WN'!$W:$W)</f>
        <v>87338140.494040176</v>
      </c>
      <c r="G49" s="40">
        <f t="shared" si="26"/>
        <v>1942287.3051129689</v>
      </c>
      <c r="H49" s="40">
        <f t="shared" ca="1" si="27"/>
        <v>85395853.188927203</v>
      </c>
      <c r="I49" s="40"/>
      <c r="J49" s="40">
        <f t="shared" ca="1" si="28"/>
        <v>85395853.188927203</v>
      </c>
      <c r="K49" s="8"/>
      <c r="L49" s="39">
        <f t="shared" si="38"/>
        <v>2020</v>
      </c>
      <c r="M49" s="40">
        <f>SUMIF('Monthly Data'!$B:$B,L49,'Monthly Data'!H:H)</f>
        <v>26233400</v>
      </c>
      <c r="N49" s="40">
        <f>SUMIF('Monthly Data'!$B:$B,L49,'Monthly Data'!I:I)</f>
        <v>1875915.4084355345</v>
      </c>
      <c r="O49" s="40">
        <f t="shared" si="29"/>
        <v>28109315.408435535</v>
      </c>
      <c r="P49" s="40">
        <f ca="1">SUMIF('GS&lt;50 Normalized Monthly WN'!$B:$B,L49,'GS&lt;50 Normalized Monthly WN'!S:$S)</f>
        <v>28201617.296914015</v>
      </c>
      <c r="Q49" s="40">
        <f t="shared" si="30"/>
        <v>1875915.4084355345</v>
      </c>
      <c r="R49" s="40">
        <f t="shared" ca="1" si="31"/>
        <v>26325701.88847848</v>
      </c>
      <c r="S49" s="40"/>
      <c r="T49" s="40">
        <f t="shared" ca="1" si="32"/>
        <v>26325701.88847848</v>
      </c>
      <c r="U49" s="8"/>
      <c r="V49" s="39">
        <f t="shared" si="39"/>
        <v>2020</v>
      </c>
      <c r="W49" s="40">
        <f>SUMIF('Monthly Data'!$B:$B,V49,'Monthly Data'!L:L)</f>
        <v>65161090</v>
      </c>
      <c r="X49" s="40">
        <f>SUMIF('Monthly Data'!$B:$B,V49,'Monthly Data'!M:M)</f>
        <v>1626238.3077887457</v>
      </c>
      <c r="Y49" s="40">
        <f t="shared" si="33"/>
        <v>66787328.307788745</v>
      </c>
      <c r="Z49" s="40">
        <f ca="1">SUMIF('GS&gt;50 (no LC) Norm Monthly WN'!$B:$B,V49,'GS&gt;50 (no LC) Norm Monthly WN'!$AE:$AE)</f>
        <v>67062773.302959651</v>
      </c>
      <c r="AA49" s="40">
        <f t="shared" si="34"/>
        <v>1626238.3077887457</v>
      </c>
      <c r="AB49" s="40">
        <f t="shared" ca="1" si="35"/>
        <v>65436534.995170906</v>
      </c>
      <c r="AC49" s="40"/>
      <c r="AD49" s="40">
        <f t="shared" ca="1" si="36"/>
        <v>65436534.995170906</v>
      </c>
      <c r="AE49" s="8"/>
      <c r="AL49" s="8"/>
    </row>
    <row r="50" spans="2:38">
      <c r="B50" s="39">
        <f t="shared" si="37"/>
        <v>2021</v>
      </c>
      <c r="C50" s="40">
        <f>SUMIF('Monthly Data'!$B:$B,B50,'Monthly Data'!D:D)</f>
        <v>85333074.640000001</v>
      </c>
      <c r="D50" s="40">
        <f>SUMIF('Monthly Data'!$B:$B,B50,'Monthly Data'!E:E)</f>
        <v>1951882.7739361152</v>
      </c>
      <c r="E50" s="40">
        <f t="shared" si="25"/>
        <v>87284957.413936108</v>
      </c>
      <c r="F50" s="40">
        <f ca="1">SUMIF('Res Normalized Monthly WN'!$B:$B,B50,'Res Normalized Monthly WN'!$W:$W)</f>
        <v>88382667.756474018</v>
      </c>
      <c r="G50" s="40">
        <f t="shared" si="26"/>
        <v>1951882.7739361152</v>
      </c>
      <c r="H50" s="40">
        <f t="shared" ca="1" si="27"/>
        <v>86430784.982537895</v>
      </c>
      <c r="I50" s="40"/>
      <c r="J50" s="40">
        <f t="shared" ca="1" si="28"/>
        <v>86430784.982537895</v>
      </c>
      <c r="K50" s="8"/>
      <c r="L50" s="39">
        <f t="shared" si="38"/>
        <v>2021</v>
      </c>
      <c r="M50" s="40">
        <f>SUMIF('Monthly Data'!$B:$B,L50,'Monthly Data'!H:H)</f>
        <v>27003038.649999999</v>
      </c>
      <c r="N50" s="40">
        <f>SUMIF('Monthly Data'!$B:$B,L50,'Monthly Data'!I:I)</f>
        <v>2006317.6821795288</v>
      </c>
      <c r="O50" s="40">
        <f t="shared" si="29"/>
        <v>29009356.332179528</v>
      </c>
      <c r="P50" s="40">
        <f ca="1">SUMIF('GS&lt;50 Normalized Monthly WN'!$B:$B,L50,'GS&lt;50 Normalized Monthly WN'!S:$S)</f>
        <v>29359235.57146845</v>
      </c>
      <c r="Q50" s="40">
        <f t="shared" si="30"/>
        <v>2006317.6821795288</v>
      </c>
      <c r="R50" s="40">
        <f t="shared" ca="1" si="31"/>
        <v>27352917.889288921</v>
      </c>
      <c r="S50" s="40"/>
      <c r="T50" s="40">
        <f t="shared" ca="1" si="32"/>
        <v>27352917.889288921</v>
      </c>
      <c r="U50" s="8"/>
      <c r="V50" s="39">
        <f t="shared" si="39"/>
        <v>2021</v>
      </c>
      <c r="W50" s="40">
        <f>SUMIF('Monthly Data'!$B:$B,V50,'Monthly Data'!L:L)</f>
        <v>67961293.822997034</v>
      </c>
      <c r="X50" s="40">
        <f>SUMIF('Monthly Data'!$B:$B,V50,'Monthly Data'!M:M)</f>
        <v>1782955.7442286725</v>
      </c>
      <c r="Y50" s="40">
        <f t="shared" si="33"/>
        <v>69744249.56722571</v>
      </c>
      <c r="Z50" s="40">
        <f ca="1">SUMIF('GS&gt;50 (no LC) Norm Monthly WN'!$B:$B,V50,'GS&gt;50 (no LC) Norm Monthly WN'!$AE:$AE)</f>
        <v>70044770.694913805</v>
      </c>
      <c r="AA50" s="40">
        <f t="shared" si="34"/>
        <v>1782955.7442286725</v>
      </c>
      <c r="AB50" s="40">
        <f t="shared" ca="1" si="35"/>
        <v>68261814.950685129</v>
      </c>
      <c r="AC50" s="40"/>
      <c r="AD50" s="40">
        <f t="shared" ca="1" si="36"/>
        <v>68261814.950685129</v>
      </c>
      <c r="AE50" s="8"/>
      <c r="AL50" s="8"/>
    </row>
    <row r="51" spans="2:38">
      <c r="B51" s="39">
        <f t="shared" si="37"/>
        <v>2022</v>
      </c>
      <c r="C51" s="40">
        <f>SUMIF('Monthly Data'!$B:$B,B51,'Monthly Data'!D:D)</f>
        <v>86112039</v>
      </c>
      <c r="D51" s="40">
        <f>SUMIF('Monthly Data'!$B:$B,B51,'Monthly Data'!E:E)</f>
        <v>1969118.2960123431</v>
      </c>
      <c r="E51" s="40">
        <f t="shared" si="25"/>
        <v>88081157.296012342</v>
      </c>
      <c r="F51" s="40">
        <f ca="1">SUMIF('Res Normalized Monthly WN'!$B:$B,B51,'Res Normalized Monthly WN'!$W:$W)</f>
        <v>88071804.681066751</v>
      </c>
      <c r="G51" s="40">
        <f t="shared" si="26"/>
        <v>1969118.2960123431</v>
      </c>
      <c r="H51" s="40">
        <f t="shared" ca="1" si="27"/>
        <v>86102686.38505441</v>
      </c>
      <c r="I51" s="40"/>
      <c r="J51" s="40">
        <f t="shared" ca="1" si="28"/>
        <v>86102686.38505441</v>
      </c>
      <c r="K51" s="8"/>
      <c r="L51" s="39">
        <f t="shared" si="38"/>
        <v>2022</v>
      </c>
      <c r="M51" s="40">
        <f>SUMIF('Monthly Data'!$B:$B,L51,'Monthly Data'!H:H)</f>
        <v>28785066</v>
      </c>
      <c r="N51" s="40">
        <f>SUMIF('Monthly Data'!$B:$B,L51,'Monthly Data'!I:I)</f>
        <v>2414462.1326522678</v>
      </c>
      <c r="O51" s="40">
        <f t="shared" si="29"/>
        <v>31199528.132652268</v>
      </c>
      <c r="P51" s="40">
        <f ca="1">SUMIF('GS&lt;50 Normalized Monthly WN'!$B:$B,L51,'GS&lt;50 Normalized Monthly WN'!S:$S)</f>
        <v>31184608.719103813</v>
      </c>
      <c r="Q51" s="40">
        <f t="shared" si="30"/>
        <v>2414462.1326522678</v>
      </c>
      <c r="R51" s="40">
        <f t="shared" ca="1" si="31"/>
        <v>28770146.586451545</v>
      </c>
      <c r="S51" s="40"/>
      <c r="T51" s="40">
        <f t="shared" ca="1" si="32"/>
        <v>28770146.586451545</v>
      </c>
      <c r="U51" s="8"/>
      <c r="V51" s="39">
        <f t="shared" si="39"/>
        <v>2022</v>
      </c>
      <c r="W51" s="40">
        <f>SUMIF('Monthly Data'!$B:$B,V51,'Monthly Data'!L:L)</f>
        <v>68211369.280000001</v>
      </c>
      <c r="X51" s="40">
        <f>SUMIF('Monthly Data'!$B:$B,V51,'Monthly Data'!M:M)</f>
        <v>2218278.2262306586</v>
      </c>
      <c r="Y51" s="40">
        <f t="shared" si="33"/>
        <v>70429647.506230652</v>
      </c>
      <c r="Z51" s="40">
        <f ca="1">SUMIF('GS&gt;50 (no LC) Norm Monthly WN'!$B:$B,V51,'GS&gt;50 (no LC) Norm Monthly WN'!$AE:$AE)</f>
        <v>70385086.302486986</v>
      </c>
      <c r="AA51" s="40">
        <f t="shared" si="34"/>
        <v>2218278.2262306586</v>
      </c>
      <c r="AB51" s="40">
        <f t="shared" ca="1" si="35"/>
        <v>68166808.076256335</v>
      </c>
      <c r="AC51" s="40"/>
      <c r="AD51" s="40">
        <f t="shared" ca="1" si="36"/>
        <v>68166808.076256335</v>
      </c>
      <c r="AE51" s="8"/>
      <c r="AL51" s="8"/>
    </row>
    <row r="52" spans="2:38">
      <c r="B52" s="39">
        <f t="shared" si="37"/>
        <v>2023</v>
      </c>
      <c r="C52" s="40">
        <f>SUMIF('Monthly Data'!$B:$B,B52,'Monthly Data'!D:D)</f>
        <v>85022917</v>
      </c>
      <c r="D52" s="40">
        <f>SUMIF('Monthly Data'!$B:$B,B52,'Monthly Data'!E:E)</f>
        <v>1988095.2487503036</v>
      </c>
      <c r="E52" s="40">
        <f t="shared" si="25"/>
        <v>87011012.248750299</v>
      </c>
      <c r="F52" s="40">
        <f ca="1">SUMIF('Res Normalized Monthly WN'!$B:$B,B52,'Res Normalized Monthly WN'!$W:$W)</f>
        <v>89344804.205048084</v>
      </c>
      <c r="G52" s="40">
        <f t="shared" si="26"/>
        <v>1988095.2487503036</v>
      </c>
      <c r="H52" s="40">
        <f t="shared" ca="1" si="27"/>
        <v>87356708.956297785</v>
      </c>
      <c r="I52" s="40"/>
      <c r="J52" s="40">
        <f t="shared" ca="1" si="28"/>
        <v>87356708.956297785</v>
      </c>
      <c r="K52" s="8"/>
      <c r="L52" s="39">
        <f t="shared" si="38"/>
        <v>2023</v>
      </c>
      <c r="M52" s="40">
        <f>SUMIF('Monthly Data'!$B:$B,L52,'Monthly Data'!H:H)</f>
        <v>29063129</v>
      </c>
      <c r="N52" s="40">
        <f>SUMIF('Monthly Data'!$B:$B,L52,'Monthly Data'!I:I)</f>
        <v>2665068.1477616997</v>
      </c>
      <c r="O52" s="40">
        <f t="shared" si="29"/>
        <v>31728197.147761699</v>
      </c>
      <c r="P52" s="40">
        <f ca="1">SUMIF('GS&lt;50 Normalized Monthly WN'!$B:$B,L52,'GS&lt;50 Normalized Monthly WN'!S:$S)</f>
        <v>32343178.879823029</v>
      </c>
      <c r="Q52" s="40">
        <f t="shared" si="30"/>
        <v>2665068.1477616997</v>
      </c>
      <c r="R52" s="40">
        <f t="shared" ca="1" si="31"/>
        <v>29678110.73206133</v>
      </c>
      <c r="S52" s="40"/>
      <c r="T52" s="40">
        <f t="shared" ca="1" si="32"/>
        <v>29678110.73206133</v>
      </c>
      <c r="U52" s="8"/>
      <c r="V52" s="39">
        <f t="shared" si="39"/>
        <v>2023</v>
      </c>
      <c r="W52" s="40">
        <f>SUMIF('Monthly Data'!$B:$B,V52,'Monthly Data'!L:L)</f>
        <v>64679344</v>
      </c>
      <c r="X52" s="40">
        <f>SUMIF('Monthly Data'!$B:$B,V52,'Monthly Data'!M:M)</f>
        <v>2525244.5943839592</v>
      </c>
      <c r="Y52" s="40">
        <f t="shared" si="33"/>
        <v>67204588.594383955</v>
      </c>
      <c r="Z52" s="40">
        <f ca="1">SUMIF('GS&gt;50 (no LC) Norm Monthly WN'!$B:$B,V52,'GS&gt;50 (no LC) Norm Monthly WN'!$AE:$AE)</f>
        <v>67963538.12099123</v>
      </c>
      <c r="AA52" s="40">
        <f t="shared" si="34"/>
        <v>2525244.5943839592</v>
      </c>
      <c r="AB52" s="40">
        <f t="shared" ca="1" si="35"/>
        <v>65438293.526607268</v>
      </c>
      <c r="AC52" s="40"/>
      <c r="AD52" s="40">
        <f t="shared" ca="1" si="36"/>
        <v>65438293.526607268</v>
      </c>
      <c r="AE52" s="8"/>
      <c r="AL52" s="8"/>
    </row>
    <row r="53" spans="2:38">
      <c r="B53" s="39">
        <f t="shared" si="37"/>
        <v>2024</v>
      </c>
      <c r="C53" s="40">
        <f>SUMIF('Monthly Data'!$B:$B,B53,'Monthly Data'!D:D)</f>
        <v>86752528</v>
      </c>
      <c r="D53" s="40">
        <f>SUMIF('Monthly Data'!$B:$B,B53,'Monthly Data'!E:E)</f>
        <v>2055887.5691241524</v>
      </c>
      <c r="E53" s="40">
        <f t="shared" si="25"/>
        <v>88808415.569124147</v>
      </c>
      <c r="F53" s="40">
        <f ca="1">SUMIF('Res Normalized Monthly WN'!$B:$B,B53,'Res Normalized Monthly WN'!$W:$W)</f>
        <v>91425141.397616893</v>
      </c>
      <c r="G53" s="40">
        <f t="shared" si="26"/>
        <v>2055887.5691241524</v>
      </c>
      <c r="H53" s="40">
        <f t="shared" ca="1" si="27"/>
        <v>89369253.828492746</v>
      </c>
      <c r="I53" s="40"/>
      <c r="J53" s="40">
        <f t="shared" ca="1" si="28"/>
        <v>89369253.828492746</v>
      </c>
      <c r="K53" s="8"/>
      <c r="L53" s="39">
        <f t="shared" si="38"/>
        <v>2024</v>
      </c>
      <c r="M53" s="40">
        <f>SUMIF('Monthly Data'!$B:$B,L53,'Monthly Data'!H:H)</f>
        <v>29356697</v>
      </c>
      <c r="N53" s="40">
        <f>SUMIF('Monthly Data'!$B:$B,L53,'Monthly Data'!I:I)</f>
        <v>2966111.8512537554</v>
      </c>
      <c r="O53" s="40">
        <f t="shared" si="29"/>
        <v>32322808.851253755</v>
      </c>
      <c r="P53" s="40">
        <f ca="1">SUMIF('GS&lt;50 Normalized Monthly WN'!$B:$B,L53,'GS&lt;50 Normalized Monthly WN'!S:$S)</f>
        <v>33110309.932553951</v>
      </c>
      <c r="Q53" s="40">
        <f t="shared" si="30"/>
        <v>2966111.8512537554</v>
      </c>
      <c r="R53" s="40">
        <f t="shared" ca="1" si="31"/>
        <v>30144198.081300195</v>
      </c>
      <c r="S53" s="40"/>
      <c r="T53" s="40">
        <f t="shared" ca="1" si="32"/>
        <v>30144198.081300195</v>
      </c>
      <c r="U53" s="8"/>
      <c r="V53" s="39">
        <f t="shared" si="39"/>
        <v>2024</v>
      </c>
      <c r="W53" s="40">
        <f>SUMIF('Monthly Data'!$B:$B,V53,'Monthly Data'!L:L)</f>
        <v>64215692</v>
      </c>
      <c r="X53" s="40">
        <f>SUMIF('Monthly Data'!$B:$B,V53,'Monthly Data'!M:M)</f>
        <v>2872665.1050160881</v>
      </c>
      <c r="Y53" s="40">
        <f t="shared" si="33"/>
        <v>67088357.10501609</v>
      </c>
      <c r="Z53" s="40">
        <f ca="1">SUMIF('GS&gt;50 (no LC) Norm Monthly WN'!$B:$B,V53,'GS&gt;50 (no LC) Norm Monthly WN'!$AE:$AE)</f>
        <v>67964597.124843448</v>
      </c>
      <c r="AA53" s="40">
        <f t="shared" si="34"/>
        <v>2872665.1050160881</v>
      </c>
      <c r="AB53" s="40">
        <f t="shared" ca="1" si="35"/>
        <v>65091932.019827358</v>
      </c>
      <c r="AC53" s="40"/>
      <c r="AD53" s="40">
        <f t="shared" ca="1" si="36"/>
        <v>65091932.019827358</v>
      </c>
      <c r="AE53" s="8"/>
      <c r="AL53" s="8"/>
    </row>
    <row r="54" spans="2:38">
      <c r="B54" s="39">
        <f t="shared" si="37"/>
        <v>2025</v>
      </c>
      <c r="C54" s="40">
        <f>SUMIF('Monthly Data'!$B:$B,B54,'Monthly Data'!D:D)</f>
        <v>90973051</v>
      </c>
      <c r="D54" s="40">
        <f>SUMIF('Monthly Data'!$B:$B,B54,'Monthly Data'!E:E)</f>
        <v>2184225.8549258215</v>
      </c>
      <c r="E54" s="40">
        <f t="shared" si="25"/>
        <v>93157276.854925826</v>
      </c>
      <c r="F54" s="40">
        <f ca="1">SUMIF('Res Normalized Monthly WN'!$B:$B,B54,'Res Normalized Monthly WN'!$W:$W)</f>
        <v>91618348.295400664</v>
      </c>
      <c r="G54" s="40">
        <f t="shared" si="26"/>
        <v>2184225.8549258215</v>
      </c>
      <c r="H54" s="40">
        <f t="shared" ca="1" si="27"/>
        <v>89434122.440474838</v>
      </c>
      <c r="I54" s="40"/>
      <c r="J54" s="40">
        <f t="shared" ca="1" si="28"/>
        <v>89434122.440474838</v>
      </c>
      <c r="K54" s="8"/>
      <c r="L54" s="39">
        <f t="shared" si="38"/>
        <v>2025</v>
      </c>
      <c r="M54" s="40">
        <f>SUMIF('Monthly Data'!$B:$B,L54,'Monthly Data'!H:H)</f>
        <v>30749969</v>
      </c>
      <c r="N54" s="40">
        <f>SUMIF('Monthly Data'!$B:$B,L54,'Monthly Data'!I:I)</f>
        <v>3291781.9094771584</v>
      </c>
      <c r="O54" s="40">
        <f t="shared" si="29"/>
        <v>34041750.909477159</v>
      </c>
      <c r="P54" s="40">
        <f ca="1">SUMIF('GS&lt;50 Normalized Monthly WN'!$B:$B,L54,'GS&lt;50 Normalized Monthly WN'!S:$S)</f>
        <v>33606170.597591646</v>
      </c>
      <c r="Q54" s="40">
        <f t="shared" si="30"/>
        <v>3291781.9094771584</v>
      </c>
      <c r="R54" s="40">
        <f t="shared" ca="1" si="31"/>
        <v>30314388.688114487</v>
      </c>
      <c r="S54" s="40"/>
      <c r="T54" s="40">
        <f t="shared" ca="1" si="32"/>
        <v>30314388.688114487</v>
      </c>
      <c r="U54" s="8"/>
      <c r="V54" s="39">
        <f t="shared" si="39"/>
        <v>2025</v>
      </c>
      <c r="W54" s="40">
        <f>SUMIF('Monthly Data'!$B:$B,V54,'Monthly Data'!L:L)</f>
        <v>72102178</v>
      </c>
      <c r="X54" s="40">
        <f>SUMIF('Monthly Data'!$B:$B,V54,'Monthly Data'!M:M)</f>
        <v>3232158.8538903464</v>
      </c>
      <c r="Y54" s="40">
        <f t="shared" si="33"/>
        <v>75334336.853890345</v>
      </c>
      <c r="Z54" s="40">
        <f ca="1">SUMIF('GS&gt;50 (no LC) Norm Monthly WN'!$B:$B,V54,'GS&gt;50 (no LC) Norm Monthly WN'!$AE:$AE)</f>
        <v>74762905.457779706</v>
      </c>
      <c r="AA54" s="40">
        <f t="shared" si="34"/>
        <v>3232158.8538903464</v>
      </c>
      <c r="AB54" s="40">
        <f t="shared" ca="1" si="35"/>
        <v>71530746.603889361</v>
      </c>
      <c r="AC54" s="40"/>
      <c r="AD54" s="40">
        <f t="shared" ca="1" si="36"/>
        <v>71530746.603889361</v>
      </c>
      <c r="AE54" s="8"/>
      <c r="AL54" s="8"/>
    </row>
    <row r="55" spans="2:38">
      <c r="B55" s="42">
        <f>B54+1</f>
        <v>2026</v>
      </c>
      <c r="C55" s="41"/>
      <c r="D55" s="41"/>
      <c r="E55" s="41"/>
      <c r="F55" s="40">
        <f ca="1">SUMIF('Res Normalized Monthly WN'!$B:$B,B55,'Res Normalized Monthly WN'!$W:$W)</f>
        <v>93312107.586049333</v>
      </c>
      <c r="G55" s="41">
        <f>G15</f>
        <v>2170023.3351844172</v>
      </c>
      <c r="H55" s="41">
        <f ca="1">F55-G55</f>
        <v>91142084.250864923</v>
      </c>
      <c r="I55" s="41">
        <f ca="1">I15</f>
        <v>265090.49770155037</v>
      </c>
      <c r="J55" s="41">
        <f ca="1">H55+I55</f>
        <v>91407174.748566478</v>
      </c>
      <c r="K55" s="8"/>
      <c r="L55" s="42">
        <f>L54+1</f>
        <v>2026</v>
      </c>
      <c r="M55" s="41"/>
      <c r="N55" s="41"/>
      <c r="O55" s="41"/>
      <c r="P55" s="41">
        <f ca="1">SUMIF('GS&lt;50 Normalized Monthly WN'!$B:$B,L55,'GS&lt;50 Normalized Monthly WN'!S:$S)</f>
        <v>33605570.602010362</v>
      </c>
      <c r="Q55" s="41">
        <f>Q15</f>
        <v>3193265.9287199136</v>
      </c>
      <c r="R55" s="41">
        <f t="shared" ca="1" si="31"/>
        <v>30412304.673290446</v>
      </c>
      <c r="S55" s="41">
        <f ca="1">S15</f>
        <v>65845.848167107833</v>
      </c>
      <c r="T55" s="41">
        <f ca="1">R55+S55</f>
        <v>30478150.521457553</v>
      </c>
      <c r="U55" s="8"/>
      <c r="V55" s="42">
        <f>V54+1</f>
        <v>2026</v>
      </c>
      <c r="W55" s="41"/>
      <c r="X55" s="41"/>
      <c r="Y55" s="41"/>
      <c r="Z55" s="41">
        <f ca="1">SUMIF('GS&gt;50 (no LC) Norm Monthly WN'!$B:$B,V55,'GS&gt;50 (no LC) Norm Monthly WN'!$AE:$AE)</f>
        <v>68807017.380251586</v>
      </c>
      <c r="AA55" s="41">
        <f>AA15</f>
        <v>3173492.9991229787</v>
      </c>
      <c r="AB55" s="41">
        <f t="shared" ca="1" si="35"/>
        <v>65633524.381128609</v>
      </c>
      <c r="AC55" s="41">
        <f>AC15</f>
        <v>8824.2000000000007</v>
      </c>
      <c r="AD55" s="41">
        <f ca="1">AB55+AC55</f>
        <v>65642348.581128612</v>
      </c>
      <c r="AE55" s="8"/>
      <c r="AL55" s="8"/>
    </row>
    <row r="56" spans="2:38">
      <c r="B56" s="42">
        <f>B55+1</f>
        <v>2027</v>
      </c>
      <c r="C56" s="42"/>
      <c r="D56" s="42"/>
      <c r="E56" s="42"/>
      <c r="F56" s="40">
        <f ca="1">SUMIF('Res Normalized Monthly WN'!$B:$B,B56,'Res Normalized Monthly WN'!$W:$W)</f>
        <v>94789646.309641719</v>
      </c>
      <c r="G56" s="41">
        <f>G16</f>
        <v>2132604.0099626933</v>
      </c>
      <c r="H56" s="41">
        <f ca="1">F56-G56</f>
        <v>92657042.299679026</v>
      </c>
      <c r="I56" s="41">
        <f ca="1">I16</f>
        <v>575885.8983718378</v>
      </c>
      <c r="J56" s="41">
        <f ca="1">H56+I56</f>
        <v>93232928.198050857</v>
      </c>
      <c r="K56" s="8"/>
      <c r="L56" s="42">
        <f>L55+1</f>
        <v>2027</v>
      </c>
      <c r="M56" s="42"/>
      <c r="N56" s="42"/>
      <c r="O56" s="42"/>
      <c r="P56" s="41">
        <f ca="1">SUMIF('GS&lt;50 Normalized Monthly WN'!$B:$B,L56,'GS&lt;50 Normalized Monthly WN'!S:$S)</f>
        <v>34003037.319815226</v>
      </c>
      <c r="Q56" s="41">
        <f>Q16</f>
        <v>3100567.3543275874</v>
      </c>
      <c r="R56" s="41">
        <f t="shared" ca="1" si="31"/>
        <v>30902469.965487637</v>
      </c>
      <c r="S56" s="41">
        <f ca="1">S16</f>
        <v>131150.11918158378</v>
      </c>
      <c r="T56" s="41">
        <f ca="1">R56+S56</f>
        <v>31033620.084669221</v>
      </c>
      <c r="U56" s="8"/>
      <c r="V56" s="42">
        <f>V55+1</f>
        <v>2027</v>
      </c>
      <c r="W56" s="42"/>
      <c r="X56" s="42"/>
      <c r="Y56" s="42"/>
      <c r="Z56" s="41">
        <f ca="1">SUMIF('GS&gt;50 (no LC) Norm Monthly WN'!$B:$B,V56,'GS&gt;50 (no LC) Norm Monthly WN'!$AE:$AE)</f>
        <v>68807017.380251586</v>
      </c>
      <c r="AA56" s="41">
        <f>AA16</f>
        <v>3124320.1182158221</v>
      </c>
      <c r="AB56" s="41">
        <f ca="1">Z56-AA56</f>
        <v>65682697.262035765</v>
      </c>
      <c r="AC56" s="41">
        <f>AC16</f>
        <v>17394.521317681541</v>
      </c>
      <c r="AD56" s="41">
        <f ca="1">AB56+AC56</f>
        <v>65700091.783353448</v>
      </c>
      <c r="AE56" s="8"/>
      <c r="AL56" s="8"/>
    </row>
  </sheetData>
  <mergeCells count="9">
    <mergeCell ref="B42:J42"/>
    <mergeCell ref="L42:T42"/>
    <mergeCell ref="V42:AD42"/>
    <mergeCell ref="AF2:AJ2"/>
    <mergeCell ref="AU2:AY2"/>
    <mergeCell ref="B2:J2"/>
    <mergeCell ref="L2:T2"/>
    <mergeCell ref="V2:AD2"/>
    <mergeCell ref="AM2:AQ2"/>
  </mergeCells>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2"/>
  <dimension ref="A2:AW59"/>
  <sheetViews>
    <sheetView workbookViewId="0">
      <selection activeCell="E10" sqref="E10"/>
    </sheetView>
  </sheetViews>
  <sheetFormatPr defaultRowHeight="13.15"/>
  <cols>
    <col min="1" max="1" width="7" customWidth="1"/>
    <col min="2" max="2" width="5.83203125" bestFit="1" customWidth="1"/>
    <col min="3" max="3" width="11.6640625" bestFit="1" customWidth="1"/>
    <col min="4" max="4" width="11.5" customWidth="1"/>
    <col min="5" max="6" width="6.1640625" customWidth="1"/>
    <col min="7" max="7" width="11.6640625" bestFit="1" customWidth="1"/>
    <col min="8" max="8" width="10.83203125" bestFit="1" customWidth="1"/>
    <col min="9" max="9" width="6.6640625" customWidth="1"/>
    <col min="10" max="10" width="5.83203125" bestFit="1" customWidth="1"/>
    <col min="11" max="11" width="11.6640625" bestFit="1" customWidth="1"/>
    <col min="12" max="12" width="12.83203125" customWidth="1"/>
    <col min="13" max="13" width="7.6640625" customWidth="1"/>
    <col min="14" max="14" width="5.83203125" bestFit="1" customWidth="1"/>
    <col min="15" max="15" width="11.6640625" bestFit="1" customWidth="1"/>
    <col min="16" max="16" width="10.83203125" bestFit="1" customWidth="1"/>
    <col min="17" max="17" width="8.33203125" customWidth="1"/>
    <col min="18" max="18" width="5.83203125" bestFit="1" customWidth="1"/>
    <col min="19" max="19" width="11.6640625" bestFit="1" customWidth="1"/>
    <col min="20" max="20" width="10.83203125" bestFit="1" customWidth="1"/>
    <col min="21" max="21" width="8.33203125" customWidth="1"/>
    <col min="22" max="22" width="5.83203125" bestFit="1" customWidth="1"/>
    <col min="23" max="23" width="11.6640625" bestFit="1" customWidth="1"/>
    <col min="24" max="24" width="9.6640625" bestFit="1" customWidth="1"/>
  </cols>
  <sheetData>
    <row r="2" spans="2:25" ht="13.15" customHeight="1">
      <c r="B2" s="606" t="s">
        <v>18</v>
      </c>
      <c r="C2" s="606"/>
      <c r="D2" s="607" t="s">
        <v>410</v>
      </c>
      <c r="E2" s="10"/>
      <c r="F2" s="606" t="s">
        <v>19</v>
      </c>
      <c r="G2" s="606"/>
      <c r="H2" s="607" t="s">
        <v>410</v>
      </c>
      <c r="I2" s="10"/>
      <c r="J2" s="606" t="s">
        <v>20</v>
      </c>
      <c r="K2" s="606"/>
      <c r="L2" s="607" t="s">
        <v>410</v>
      </c>
      <c r="M2" s="10"/>
      <c r="N2" s="606" t="s">
        <v>411</v>
      </c>
      <c r="O2" s="606"/>
      <c r="P2" s="607" t="s">
        <v>410</v>
      </c>
      <c r="Q2" s="10"/>
      <c r="R2" s="606" t="s">
        <v>185</v>
      </c>
      <c r="S2" s="606"/>
      <c r="T2" s="607" t="s">
        <v>410</v>
      </c>
      <c r="U2" s="10"/>
      <c r="V2" s="606" t="s">
        <v>23</v>
      </c>
      <c r="W2" s="606"/>
      <c r="X2" s="607" t="s">
        <v>410</v>
      </c>
      <c r="Y2" s="10"/>
    </row>
    <row r="3" spans="2:25">
      <c r="B3" s="257" t="s">
        <v>27</v>
      </c>
      <c r="C3" s="257" t="s">
        <v>25</v>
      </c>
      <c r="D3" s="607"/>
      <c r="E3" s="10"/>
      <c r="F3" s="257" t="s">
        <v>27</v>
      </c>
      <c r="G3" s="257" t="s">
        <v>25</v>
      </c>
      <c r="H3" s="607"/>
      <c r="I3" s="10"/>
      <c r="J3" s="257" t="s">
        <v>27</v>
      </c>
      <c r="K3" s="257" t="s">
        <v>25</v>
      </c>
      <c r="L3" s="607"/>
      <c r="M3" s="10"/>
      <c r="N3" s="257" t="s">
        <v>27</v>
      </c>
      <c r="O3" s="257" t="s">
        <v>412</v>
      </c>
      <c r="P3" s="607"/>
      <c r="Q3" s="10"/>
      <c r="R3" s="257" t="s">
        <v>27</v>
      </c>
      <c r="S3" s="257" t="s">
        <v>412</v>
      </c>
      <c r="T3" s="607"/>
      <c r="U3" s="10"/>
      <c r="V3" s="257" t="s">
        <v>27</v>
      </c>
      <c r="W3" s="257" t="s">
        <v>412</v>
      </c>
      <c r="X3" s="607"/>
      <c r="Y3" s="10"/>
    </row>
    <row r="4" spans="2:25">
      <c r="B4" s="10">
        <v>2016</v>
      </c>
      <c r="C4" s="43">
        <f>AVERAGEIF('Monthly Data'!B:B,B4,'Monthly Data'!G:G)</f>
        <v>9506</v>
      </c>
      <c r="D4" s="44"/>
      <c r="E4" s="56"/>
      <c r="F4" s="10">
        <f>B4</f>
        <v>2016</v>
      </c>
      <c r="G4" s="43">
        <f>AVERAGEIF('Monthly Data'!B:B,B4,'Monthly Data'!K:K)</f>
        <v>1292.5</v>
      </c>
      <c r="H4" s="44"/>
      <c r="I4" s="45"/>
      <c r="J4" s="10">
        <f>F4</f>
        <v>2016</v>
      </c>
      <c r="K4" s="43">
        <f>AVERAGEIF('Monthly Data'!B:B,B4,'Monthly Data'!P:P)</f>
        <v>149.75</v>
      </c>
      <c r="L4" s="44"/>
      <c r="M4" s="45"/>
      <c r="N4" s="10">
        <f>J4</f>
        <v>2016</v>
      </c>
      <c r="O4" s="43">
        <f>AVERAGEIF('Monthly Data'!B:B,B4,'Monthly Data'!S:S)</f>
        <v>2821.5</v>
      </c>
      <c r="P4" s="44"/>
      <c r="Q4" s="45"/>
      <c r="R4" s="10">
        <f>N4</f>
        <v>2016</v>
      </c>
      <c r="S4" s="43">
        <f>AVERAGEIF('Monthly Data'!B:B,B4,'Monthly Data'!V:V)</f>
        <v>182.25</v>
      </c>
      <c r="T4" s="44"/>
      <c r="U4" s="45"/>
      <c r="V4" s="10">
        <f>R4</f>
        <v>2016</v>
      </c>
      <c r="W4" s="43">
        <f>AVERAGEIF('Monthly Data'!B:B,B4,'Monthly Data'!X:X)</f>
        <v>19</v>
      </c>
      <c r="X4" s="44"/>
      <c r="Y4" s="45"/>
    </row>
    <row r="5" spans="2:25">
      <c r="B5" s="10">
        <f t="shared" ref="B5:B15" si="0">B4+1</f>
        <v>2017</v>
      </c>
      <c r="C5" s="43">
        <f>AVERAGEIF('Monthly Data'!B:B,B5,'Monthly Data'!G:G)</f>
        <v>9600</v>
      </c>
      <c r="D5" s="44">
        <f t="shared" ref="D5:D13" si="1">C5/C4</f>
        <v>1.0098884914790658</v>
      </c>
      <c r="E5" s="56"/>
      <c r="F5" s="10">
        <f t="shared" ref="F5:F13" si="2">F4+1</f>
        <v>2017</v>
      </c>
      <c r="G5" s="43">
        <f>AVERAGEIF('Monthly Data'!B:B,B5,'Monthly Data'!K:K)</f>
        <v>1282</v>
      </c>
      <c r="H5" s="44">
        <f t="shared" ref="H5:H13" si="3">G5/G4</f>
        <v>0.99187620889748551</v>
      </c>
      <c r="I5" s="12"/>
      <c r="J5" s="10">
        <f t="shared" ref="J5:J13" si="4">J4+1</f>
        <v>2017</v>
      </c>
      <c r="K5" s="43">
        <f>AVERAGEIF('Monthly Data'!B:B,B5,'Monthly Data'!P:P)</f>
        <v>151.25</v>
      </c>
      <c r="L5" s="44">
        <f t="shared" ref="L5:L13" si="5">K5/K4</f>
        <v>1.010016694490818</v>
      </c>
      <c r="M5" s="12">
        <f>L5-1</f>
        <v>1.001669449081799E-2</v>
      </c>
      <c r="N5" s="10">
        <f t="shared" ref="N5:N13" si="6">N4+1</f>
        <v>2017</v>
      </c>
      <c r="O5" s="43">
        <f>AVERAGEIF('Monthly Data'!B:B,B5,'Monthly Data'!S:S)</f>
        <v>2840</v>
      </c>
      <c r="P5" s="44">
        <f t="shared" ref="P5:P13" si="7">O5/O4</f>
        <v>1.0065567960304802</v>
      </c>
      <c r="Q5" s="12">
        <f>P5-1</f>
        <v>6.5567960304802053E-3</v>
      </c>
      <c r="R5" s="10">
        <f t="shared" ref="R5:R13" si="8">R4+1</f>
        <v>2017</v>
      </c>
      <c r="S5" s="43">
        <f>AVERAGEIF('Monthly Data'!B:B,B5,'Monthly Data'!V:V)</f>
        <v>178</v>
      </c>
      <c r="T5" s="44">
        <f t="shared" ref="T5:T13" si="9">S5/S4</f>
        <v>0.97668038408779145</v>
      </c>
      <c r="U5" s="12">
        <f>T5-1</f>
        <v>-2.3319615912208547E-2</v>
      </c>
      <c r="V5" s="10">
        <f t="shared" ref="V5:V13" si="10">V4+1</f>
        <v>2017</v>
      </c>
      <c r="W5" s="43">
        <f>AVERAGEIF('Monthly Data'!B:B,B5,'Monthly Data'!X:X)</f>
        <v>19</v>
      </c>
      <c r="X5" s="44">
        <f t="shared" ref="X5:X13" si="11">W5/W4</f>
        <v>1</v>
      </c>
      <c r="Y5" s="12">
        <f>X5-1</f>
        <v>0</v>
      </c>
    </row>
    <row r="6" spans="2:25">
      <c r="B6" s="10">
        <f t="shared" si="0"/>
        <v>2018</v>
      </c>
      <c r="C6" s="43">
        <f>AVERAGEIF('Monthly Data'!B:B,B6,'Monthly Data'!G:G)</f>
        <v>9740.8333333333339</v>
      </c>
      <c r="D6" s="44">
        <f t="shared" si="1"/>
        <v>1.014670138888889</v>
      </c>
      <c r="E6" s="56"/>
      <c r="F6" s="10">
        <f t="shared" si="2"/>
        <v>2018</v>
      </c>
      <c r="G6" s="43">
        <f>AVERAGEIF('Monthly Data'!B:B,B6,'Monthly Data'!K:K)</f>
        <v>1287.4166666666667</v>
      </c>
      <c r="H6" s="44">
        <f t="shared" si="3"/>
        <v>1.0042251690067603</v>
      </c>
      <c r="I6" s="12"/>
      <c r="J6" s="10">
        <f t="shared" si="4"/>
        <v>2018</v>
      </c>
      <c r="K6" s="43">
        <f>AVERAGEIF('Monthly Data'!B:B,B6,'Monthly Data'!P:P)</f>
        <v>149.25</v>
      </c>
      <c r="L6" s="44">
        <f t="shared" si="5"/>
        <v>0.98677685950413219</v>
      </c>
      <c r="M6" s="12">
        <f t="shared" ref="M6:M14" si="12">L6-1</f>
        <v>-1.3223140495867813E-2</v>
      </c>
      <c r="N6" s="10">
        <f t="shared" si="6"/>
        <v>2018</v>
      </c>
      <c r="O6" s="43">
        <f>AVERAGEIF('Monthly Data'!B:B,B6,'Monthly Data'!S:S)</f>
        <v>2877.5</v>
      </c>
      <c r="P6" s="44">
        <f t="shared" si="7"/>
        <v>1.0132042253521127</v>
      </c>
      <c r="Q6" s="12">
        <f t="shared" ref="Q6:Q13" si="13">P6-1</f>
        <v>1.3204225352112742E-2</v>
      </c>
      <c r="R6" s="10">
        <f t="shared" si="8"/>
        <v>2018</v>
      </c>
      <c r="S6" s="43">
        <f>AVERAGEIF('Monthly Data'!B:B,B6,'Monthly Data'!V:V)</f>
        <v>178</v>
      </c>
      <c r="T6" s="44">
        <f t="shared" si="9"/>
        <v>1</v>
      </c>
      <c r="U6" s="12">
        <f t="shared" ref="U6:U13" si="14">T6-1</f>
        <v>0</v>
      </c>
      <c r="V6" s="10">
        <f t="shared" si="10"/>
        <v>2018</v>
      </c>
      <c r="W6" s="43">
        <f>AVERAGEIF('Monthly Data'!B:B,B6,'Monthly Data'!X:X)</f>
        <v>19</v>
      </c>
      <c r="X6" s="44">
        <f t="shared" si="11"/>
        <v>1</v>
      </c>
      <c r="Y6" s="12">
        <f t="shared" ref="Y6:Y13" si="15">X6-1</f>
        <v>0</v>
      </c>
    </row>
    <row r="7" spans="2:25">
      <c r="B7" s="10">
        <f t="shared" si="0"/>
        <v>2019</v>
      </c>
      <c r="C7" s="43">
        <f>AVERAGEIF('Monthly Data'!B:B,B7,'Monthly Data'!G:G)</f>
        <v>9857.25</v>
      </c>
      <c r="D7" s="44">
        <f t="shared" si="1"/>
        <v>1.0119514073060141</v>
      </c>
      <c r="E7" s="56"/>
      <c r="F7" s="10">
        <f t="shared" si="2"/>
        <v>2019</v>
      </c>
      <c r="G7" s="43">
        <f>AVERAGEIF('Monthly Data'!B:B,B7,'Monthly Data'!K:K)</f>
        <v>1285.75</v>
      </c>
      <c r="H7" s="44">
        <f t="shared" si="3"/>
        <v>0.99870541782639644</v>
      </c>
      <c r="I7" s="12"/>
      <c r="J7" s="10">
        <f t="shared" si="4"/>
        <v>2019</v>
      </c>
      <c r="K7" s="43">
        <f>AVERAGEIF('Monthly Data'!B:B,B7,'Monthly Data'!P:P)</f>
        <v>149.33333333333334</v>
      </c>
      <c r="L7" s="44">
        <f t="shared" si="5"/>
        <v>1.0005583472920156</v>
      </c>
      <c r="M7" s="12">
        <f t="shared" si="12"/>
        <v>5.5834729201564848E-4</v>
      </c>
      <c r="N7" s="10">
        <f t="shared" si="6"/>
        <v>2019</v>
      </c>
      <c r="O7" s="43">
        <f>AVERAGEIF('Monthly Data'!B:B,B7,'Monthly Data'!S:S)</f>
        <v>2897</v>
      </c>
      <c r="P7" s="44">
        <f t="shared" si="7"/>
        <v>1.006776715899218</v>
      </c>
      <c r="Q7" s="12">
        <f t="shared" si="13"/>
        <v>6.7767158992180221E-3</v>
      </c>
      <c r="R7" s="10">
        <f t="shared" si="8"/>
        <v>2019</v>
      </c>
      <c r="S7" s="43">
        <f>AVERAGEIF('Monthly Data'!B:B,B7,'Monthly Data'!V:V)</f>
        <v>175</v>
      </c>
      <c r="T7" s="44">
        <f t="shared" si="9"/>
        <v>0.9831460674157303</v>
      </c>
      <c r="U7" s="12">
        <f t="shared" si="14"/>
        <v>-1.6853932584269704E-2</v>
      </c>
      <c r="V7" s="10">
        <f t="shared" si="10"/>
        <v>2019</v>
      </c>
      <c r="W7" s="43">
        <f>AVERAGEIF('Monthly Data'!B:B,B7,'Monthly Data'!X:X)</f>
        <v>19</v>
      </c>
      <c r="X7" s="44">
        <f t="shared" si="11"/>
        <v>1</v>
      </c>
      <c r="Y7" s="12">
        <f t="shared" si="15"/>
        <v>0</v>
      </c>
    </row>
    <row r="8" spans="2:25">
      <c r="B8" s="10">
        <f t="shared" si="0"/>
        <v>2020</v>
      </c>
      <c r="C8" s="43">
        <f>AVERAGEIF('Monthly Data'!B:B,B8,'Monthly Data'!G:G)</f>
        <v>9959.0833333333339</v>
      </c>
      <c r="D8" s="44">
        <f t="shared" si="1"/>
        <v>1.0103308055830311</v>
      </c>
      <c r="E8" s="56"/>
      <c r="F8" s="10">
        <f t="shared" si="2"/>
        <v>2020</v>
      </c>
      <c r="G8" s="43">
        <f>AVERAGEIF('Monthly Data'!B:B,B8,'Monthly Data'!K:K)</f>
        <v>1276.9166666666667</v>
      </c>
      <c r="H8" s="44">
        <f t="shared" si="3"/>
        <v>0.99312982046795006</v>
      </c>
      <c r="I8" s="12"/>
      <c r="J8" s="10">
        <f t="shared" si="4"/>
        <v>2020</v>
      </c>
      <c r="K8" s="43">
        <f>AVERAGEIF('Monthly Data'!B:B,B8,'Monthly Data'!P:P)</f>
        <v>149.66666666666666</v>
      </c>
      <c r="L8" s="44">
        <f t="shared" si="5"/>
        <v>1.0022321428571428</v>
      </c>
      <c r="M8" s="12">
        <f t="shared" si="12"/>
        <v>2.2321428571427937E-3</v>
      </c>
      <c r="N8" s="10">
        <f t="shared" si="6"/>
        <v>2020</v>
      </c>
      <c r="O8" s="43">
        <f>AVERAGEIF('Monthly Data'!B:B,B8,'Monthly Data'!S:S)</f>
        <v>2905</v>
      </c>
      <c r="P8" s="44">
        <f t="shared" si="7"/>
        <v>1.0027614773904039</v>
      </c>
      <c r="Q8" s="12">
        <f t="shared" si="13"/>
        <v>2.7614773904038881E-3</v>
      </c>
      <c r="R8" s="10">
        <f t="shared" si="8"/>
        <v>2020</v>
      </c>
      <c r="S8" s="43">
        <f>AVERAGEIF('Monthly Data'!B:B,B8,'Monthly Data'!V:V)</f>
        <v>171</v>
      </c>
      <c r="T8" s="44">
        <f t="shared" si="9"/>
        <v>0.97714285714285709</v>
      </c>
      <c r="U8" s="12">
        <f t="shared" si="14"/>
        <v>-2.2857142857142909E-2</v>
      </c>
      <c r="V8" s="10">
        <f t="shared" si="10"/>
        <v>2020</v>
      </c>
      <c r="W8" s="43">
        <f>AVERAGEIF('Monthly Data'!B:B,B8,'Monthly Data'!X:X)</f>
        <v>19</v>
      </c>
      <c r="X8" s="44">
        <f t="shared" si="11"/>
        <v>1</v>
      </c>
      <c r="Y8" s="12">
        <f t="shared" si="15"/>
        <v>0</v>
      </c>
    </row>
    <row r="9" spans="2:25" s="37" customFormat="1" ht="14.45">
      <c r="B9" s="10">
        <f t="shared" si="0"/>
        <v>2021</v>
      </c>
      <c r="C9" s="43">
        <f>AVERAGEIF('Monthly Data'!B:B,B9,'Monthly Data'!G:G)</f>
        <v>10078.083333333334</v>
      </c>
      <c r="D9" s="44">
        <f t="shared" si="1"/>
        <v>1.0119488908785113</v>
      </c>
      <c r="E9" s="56"/>
      <c r="F9" s="10">
        <f t="shared" si="2"/>
        <v>2021</v>
      </c>
      <c r="G9" s="43">
        <f>AVERAGEIF('Monthly Data'!B:B,B9,'Monthly Data'!K:K)</f>
        <v>1278.4166666666667</v>
      </c>
      <c r="H9" s="44">
        <f t="shared" si="3"/>
        <v>1.0011747046922925</v>
      </c>
      <c r="I9" s="12"/>
      <c r="J9" s="10">
        <f t="shared" si="4"/>
        <v>2021</v>
      </c>
      <c r="K9" s="43">
        <f>AVERAGEIF('Monthly Data'!B:B,B9,'Monthly Data'!P:P)</f>
        <v>144.58333333333334</v>
      </c>
      <c r="L9" s="44">
        <f t="shared" si="5"/>
        <v>0.96603563474387544</v>
      </c>
      <c r="M9" s="12">
        <f t="shared" si="12"/>
        <v>-3.3964365256124562E-2</v>
      </c>
      <c r="N9" s="10">
        <f t="shared" si="6"/>
        <v>2021</v>
      </c>
      <c r="O9" s="43">
        <f>AVERAGEIF('Monthly Data'!B:B,B9,'Monthly Data'!S:S)</f>
        <v>2920</v>
      </c>
      <c r="P9" s="44">
        <f t="shared" si="7"/>
        <v>1.0051635111876076</v>
      </c>
      <c r="Q9" s="12">
        <f t="shared" si="13"/>
        <v>5.1635111876076056E-3</v>
      </c>
      <c r="R9" s="10">
        <f t="shared" si="8"/>
        <v>2021</v>
      </c>
      <c r="S9" s="43">
        <f>AVERAGEIF('Monthly Data'!B:B,B9,'Monthly Data'!V:V)</f>
        <v>171</v>
      </c>
      <c r="T9" s="44">
        <f t="shared" si="9"/>
        <v>1</v>
      </c>
      <c r="U9" s="12">
        <f t="shared" si="14"/>
        <v>0</v>
      </c>
      <c r="V9" s="10">
        <f t="shared" si="10"/>
        <v>2021</v>
      </c>
      <c r="W9" s="43">
        <f>AVERAGEIF('Monthly Data'!B:B,B9,'Monthly Data'!X:X)</f>
        <v>19</v>
      </c>
      <c r="X9" s="44">
        <f t="shared" si="11"/>
        <v>1</v>
      </c>
      <c r="Y9" s="12">
        <f t="shared" si="15"/>
        <v>0</v>
      </c>
    </row>
    <row r="10" spans="2:25" s="37" customFormat="1" ht="14.45">
      <c r="B10" s="10">
        <f t="shared" si="0"/>
        <v>2022</v>
      </c>
      <c r="C10" s="43">
        <f>AVERAGEIF('Monthly Data'!B:B,B10,'Monthly Data'!G:G)</f>
        <v>10168.75</v>
      </c>
      <c r="D10" s="44">
        <f t="shared" si="1"/>
        <v>1.0089964196234402</v>
      </c>
      <c r="E10" s="56"/>
      <c r="F10" s="10">
        <f t="shared" si="2"/>
        <v>2022</v>
      </c>
      <c r="G10" s="43">
        <f>AVERAGEIF('Monthly Data'!B:B,B10,'Monthly Data'!K:K)</f>
        <v>1277.75</v>
      </c>
      <c r="H10" s="44">
        <f t="shared" si="3"/>
        <v>0.99947852160876083</v>
      </c>
      <c r="I10" s="12"/>
      <c r="J10" s="10">
        <f t="shared" si="4"/>
        <v>2022</v>
      </c>
      <c r="K10" s="43">
        <f>AVERAGEIF('Monthly Data'!B:B,B10,'Monthly Data'!P:P)</f>
        <v>141.91666666666666</v>
      </c>
      <c r="L10" s="44">
        <f t="shared" si="5"/>
        <v>0.98155619596541777</v>
      </c>
      <c r="M10" s="12">
        <f t="shared" si="12"/>
        <v>-1.8443804034582234E-2</v>
      </c>
      <c r="N10" s="10">
        <f t="shared" si="6"/>
        <v>2022</v>
      </c>
      <c r="O10" s="43">
        <f>AVERAGEIF('Monthly Data'!B:B,B10,'Monthly Data'!S:S)</f>
        <v>2920</v>
      </c>
      <c r="P10" s="44">
        <f t="shared" si="7"/>
        <v>1</v>
      </c>
      <c r="Q10" s="12">
        <f t="shared" si="13"/>
        <v>0</v>
      </c>
      <c r="R10" s="10">
        <f t="shared" si="8"/>
        <v>2022</v>
      </c>
      <c r="S10" s="43">
        <f>AVERAGEIF('Monthly Data'!B:B,B10,'Monthly Data'!V:V)</f>
        <v>177</v>
      </c>
      <c r="T10" s="44">
        <f t="shared" si="9"/>
        <v>1.0350877192982457</v>
      </c>
      <c r="U10" s="12">
        <f t="shared" si="14"/>
        <v>3.5087719298245723E-2</v>
      </c>
      <c r="V10" s="10">
        <f t="shared" si="10"/>
        <v>2022</v>
      </c>
      <c r="W10" s="43">
        <f>AVERAGEIF('Monthly Data'!B:B,B10,'Monthly Data'!X:X)</f>
        <v>19</v>
      </c>
      <c r="X10" s="44">
        <f t="shared" si="11"/>
        <v>1</v>
      </c>
      <c r="Y10" s="12">
        <f t="shared" si="15"/>
        <v>0</v>
      </c>
    </row>
    <row r="11" spans="2:25" s="37" customFormat="1" ht="14.45">
      <c r="B11" s="10">
        <f t="shared" si="0"/>
        <v>2023</v>
      </c>
      <c r="C11" s="43">
        <f>AVERAGEIF('Monthly Data'!B:B,B11,'Monthly Data'!G:G)</f>
        <v>10282.666666666666</v>
      </c>
      <c r="D11" s="44">
        <f t="shared" si="1"/>
        <v>1.0112026224134398</v>
      </c>
      <c r="E11" s="56"/>
      <c r="F11" s="10">
        <f t="shared" si="2"/>
        <v>2023</v>
      </c>
      <c r="G11" s="43">
        <f>AVERAGEIF('Monthly Data'!B:B,B11,'Monthly Data'!K:K)</f>
        <v>1269.5833333333333</v>
      </c>
      <c r="H11" s="44">
        <f t="shared" si="3"/>
        <v>0.9936085567077545</v>
      </c>
      <c r="I11" s="12"/>
      <c r="J11" s="10">
        <f t="shared" si="4"/>
        <v>2023</v>
      </c>
      <c r="K11" s="43">
        <f>AVERAGEIF('Monthly Data'!B:B,B11,'Monthly Data'!P:P)</f>
        <v>139.33333333333334</v>
      </c>
      <c r="L11" s="44">
        <f t="shared" si="5"/>
        <v>0.98179682912507349</v>
      </c>
      <c r="M11" s="12">
        <f t="shared" si="12"/>
        <v>-1.8203170874926511E-2</v>
      </c>
      <c r="N11" s="10">
        <f t="shared" si="6"/>
        <v>2023</v>
      </c>
      <c r="O11" s="43">
        <f>AVERAGEIF('Monthly Data'!B:B,B11,'Monthly Data'!S:S)</f>
        <v>2903.6666666666665</v>
      </c>
      <c r="P11" s="44">
        <f t="shared" si="7"/>
        <v>0.99440639269406383</v>
      </c>
      <c r="Q11" s="12">
        <f t="shared" si="13"/>
        <v>-5.5936073059361657E-3</v>
      </c>
      <c r="R11" s="10">
        <f t="shared" si="8"/>
        <v>2023</v>
      </c>
      <c r="S11" s="43">
        <f>AVERAGEIF('Monthly Data'!B:B,B11,'Monthly Data'!V:V)</f>
        <v>173.91666666666666</v>
      </c>
      <c r="T11" s="44">
        <f t="shared" si="9"/>
        <v>0.98258003766478341</v>
      </c>
      <c r="U11" s="12">
        <f t="shared" si="14"/>
        <v>-1.7419962335216588E-2</v>
      </c>
      <c r="V11" s="10">
        <f t="shared" si="10"/>
        <v>2023</v>
      </c>
      <c r="W11" s="43">
        <f>AVERAGEIF('Monthly Data'!B:B,B11,'Monthly Data'!X:X)</f>
        <v>18.916666666666668</v>
      </c>
      <c r="X11" s="44">
        <f t="shared" si="11"/>
        <v>0.9956140350877194</v>
      </c>
      <c r="Y11" s="12">
        <f t="shared" si="15"/>
        <v>-4.3859649122806044E-3</v>
      </c>
    </row>
    <row r="12" spans="2:25" s="37" customFormat="1" ht="14.45">
      <c r="B12" s="10">
        <f t="shared" si="0"/>
        <v>2024</v>
      </c>
      <c r="C12" s="43">
        <f>AVERAGEIF('Monthly Data'!B:B,B12,'Monthly Data'!G:G)</f>
        <v>10350.916666666666</v>
      </c>
      <c r="D12" s="44">
        <f t="shared" si="1"/>
        <v>1.0066373832987552</v>
      </c>
      <c r="E12" s="56"/>
      <c r="F12" s="10">
        <f t="shared" si="2"/>
        <v>2024</v>
      </c>
      <c r="G12" s="43">
        <f>AVERAGEIF('Monthly Data'!B:B,B12,'Monthly Data'!K:K)</f>
        <v>1276.4166666666667</v>
      </c>
      <c r="H12" s="44">
        <f t="shared" si="3"/>
        <v>1.0053823432884805</v>
      </c>
      <c r="I12" s="12"/>
      <c r="J12" s="10">
        <f t="shared" si="4"/>
        <v>2024</v>
      </c>
      <c r="K12" s="43">
        <f>AVERAGEIF('Monthly Data'!B:B,B12,'Monthly Data'!P:P)</f>
        <v>138.66666666666666</v>
      </c>
      <c r="L12" s="44">
        <f t="shared" si="5"/>
        <v>0.99521531100478455</v>
      </c>
      <c r="M12" s="12">
        <f t="shared" si="12"/>
        <v>-4.784688995215447E-3</v>
      </c>
      <c r="N12" s="10">
        <f t="shared" si="6"/>
        <v>2024</v>
      </c>
      <c r="O12" s="43">
        <f>AVERAGEIF('Monthly Data'!B:B,B12,'Monthly Data'!S:S)</f>
        <v>2907.1666666666665</v>
      </c>
      <c r="P12" s="44">
        <f t="shared" si="7"/>
        <v>1.0012053725175065</v>
      </c>
      <c r="Q12" s="12">
        <f t="shared" si="13"/>
        <v>1.20537251750652E-3</v>
      </c>
      <c r="R12" s="10">
        <f t="shared" si="8"/>
        <v>2024</v>
      </c>
      <c r="S12" s="43">
        <f>AVERAGEIF('Monthly Data'!B:B,B12,'Monthly Data'!V:V)</f>
        <v>172.83333333333334</v>
      </c>
      <c r="T12" s="44">
        <f t="shared" si="9"/>
        <v>0.9937709631049354</v>
      </c>
      <c r="U12" s="12">
        <f t="shared" si="14"/>
        <v>-6.2290368950645991E-3</v>
      </c>
      <c r="V12" s="10">
        <f t="shared" si="10"/>
        <v>2024</v>
      </c>
      <c r="W12" s="43">
        <f>AVERAGEIF('Monthly Data'!B:B,B12,'Monthly Data'!X:X)</f>
        <v>18.25</v>
      </c>
      <c r="X12" s="44">
        <f t="shared" si="11"/>
        <v>0.96475770925110127</v>
      </c>
      <c r="Y12" s="12">
        <f t="shared" si="15"/>
        <v>-3.524229074889873E-2</v>
      </c>
    </row>
    <row r="13" spans="2:25" s="37" customFormat="1" ht="14.45">
      <c r="B13" s="10">
        <f t="shared" si="0"/>
        <v>2025</v>
      </c>
      <c r="C13" s="43">
        <f>AVERAGEIF('Monthly Data'!B:B,B13,'Monthly Data'!G:G)</f>
        <v>10391.75</v>
      </c>
      <c r="D13" s="44">
        <f t="shared" si="1"/>
        <v>1.0039449002101264</v>
      </c>
      <c r="E13" s="56"/>
      <c r="F13" s="10">
        <f t="shared" si="2"/>
        <v>2025</v>
      </c>
      <c r="G13" s="43">
        <f>AVERAGEIF('Monthly Data'!B:B,B13,'Monthly Data'!K:K)</f>
        <v>1271.75</v>
      </c>
      <c r="H13" s="44">
        <f t="shared" si="3"/>
        <v>0.99634393157929091</v>
      </c>
      <c r="I13" s="12"/>
      <c r="J13" s="10">
        <f t="shared" si="4"/>
        <v>2025</v>
      </c>
      <c r="K13" s="43">
        <f>AVERAGEIF('Monthly Data'!B:B,B13,'Monthly Data'!P:P)</f>
        <v>135.75</v>
      </c>
      <c r="L13" s="44">
        <f t="shared" si="5"/>
        <v>0.97896634615384626</v>
      </c>
      <c r="M13" s="12">
        <f t="shared" si="12"/>
        <v>-2.1033653846153744E-2</v>
      </c>
      <c r="N13" s="10">
        <f t="shared" si="6"/>
        <v>2025</v>
      </c>
      <c r="O13" s="43">
        <f>AVERAGEIF('Monthly Data'!B:B,B13,'Monthly Data'!S:S)</f>
        <v>2924.8333333333335</v>
      </c>
      <c r="P13" s="44">
        <f t="shared" si="7"/>
        <v>1.006076936306828</v>
      </c>
      <c r="Q13" s="12">
        <f t="shared" si="13"/>
        <v>6.0769363068280402E-3</v>
      </c>
      <c r="R13" s="10">
        <f t="shared" si="8"/>
        <v>2025</v>
      </c>
      <c r="S13" s="43">
        <f>AVERAGEIF('Monthly Data'!B:B,B13,'Monthly Data'!V:V)</f>
        <v>177</v>
      </c>
      <c r="T13" s="44">
        <f t="shared" si="9"/>
        <v>1.0241080038572805</v>
      </c>
      <c r="U13" s="12">
        <f t="shared" si="14"/>
        <v>2.4108003857280513E-2</v>
      </c>
      <c r="V13" s="10">
        <f t="shared" si="10"/>
        <v>2025</v>
      </c>
      <c r="W13" s="43">
        <f>AVERAGEIF('Monthly Data'!B:B,B13,'Monthly Data'!X:X)</f>
        <v>19</v>
      </c>
      <c r="X13" s="44">
        <f t="shared" si="11"/>
        <v>1.0410958904109588</v>
      </c>
      <c r="Y13" s="12">
        <f t="shared" si="15"/>
        <v>4.1095890410958846E-2</v>
      </c>
    </row>
    <row r="14" spans="2:25">
      <c r="B14" s="45">
        <f>B13+1</f>
        <v>2026</v>
      </c>
      <c r="C14" s="46">
        <f>C13*D14</f>
        <v>10495.126481225594</v>
      </c>
      <c r="D14" s="47">
        <f>GEOMEAN(D5:D13)</f>
        <v>1.0099479376645506</v>
      </c>
      <c r="E14" s="56"/>
      <c r="F14" s="45">
        <f>F13+1</f>
        <v>2026</v>
      </c>
      <c r="G14" s="46">
        <f>G13*H14</f>
        <v>1269.4651062046864</v>
      </c>
      <c r="H14" s="47">
        <f>GEOMEAN(H5:H13)</f>
        <v>0.99820334673063615</v>
      </c>
      <c r="I14" s="45"/>
      <c r="J14" s="45">
        <f>J13+1</f>
        <v>2026</v>
      </c>
      <c r="K14" s="46">
        <f>K13*L14</f>
        <v>134.27758002971106</v>
      </c>
      <c r="L14" s="47">
        <f>GEOMEAN(L5:L13)</f>
        <v>0.98915344404943684</v>
      </c>
      <c r="M14" s="12">
        <f t="shared" si="12"/>
        <v>-1.0846555950563164E-2</v>
      </c>
      <c r="N14" s="45">
        <f>N13+1</f>
        <v>2026</v>
      </c>
      <c r="O14" s="46">
        <f>O13*P14</f>
        <v>2936.5459297586599</v>
      </c>
      <c r="P14" s="47">
        <f>GEOMEAN(P5:P13)</f>
        <v>1.0040045346488096</v>
      </c>
      <c r="Q14" s="45"/>
      <c r="R14" s="45">
        <f>R13+1</f>
        <v>2026</v>
      </c>
      <c r="S14" s="46">
        <f>S13*T14</f>
        <v>176.42608291697849</v>
      </c>
      <c r="T14" s="47">
        <f>GEOMEAN(T5:T13)</f>
        <v>0.99675753060439831</v>
      </c>
      <c r="U14" s="45"/>
      <c r="V14" s="45">
        <f>V13+1</f>
        <v>2026</v>
      </c>
      <c r="W14" s="46">
        <f>W13*X14</f>
        <v>19</v>
      </c>
      <c r="X14" s="47">
        <f>GEOMEAN(X5:X13)</f>
        <v>1</v>
      </c>
    </row>
    <row r="15" spans="2:25">
      <c r="B15" s="45">
        <f t="shared" si="0"/>
        <v>2027</v>
      </c>
      <c r="C15" s="46">
        <f>C14*D15</f>
        <v>10599.5313452424</v>
      </c>
      <c r="D15" s="47">
        <f>D14</f>
        <v>1.0099479376645506</v>
      </c>
      <c r="E15" s="56"/>
      <c r="F15" s="45">
        <f>F14+1</f>
        <v>2027</v>
      </c>
      <c r="G15" s="46">
        <f>G14*H15</f>
        <v>1267.1843175712804</v>
      </c>
      <c r="H15" s="47">
        <f>H14</f>
        <v>0.99820334673063615</v>
      </c>
      <c r="I15" s="45"/>
      <c r="J15" s="45">
        <f>J14+1</f>
        <v>2027</v>
      </c>
      <c r="K15" s="46">
        <f>K14*L15</f>
        <v>132.82113074501257</v>
      </c>
      <c r="L15" s="47">
        <f>L14</f>
        <v>0.98915344404943684</v>
      </c>
      <c r="M15" s="45"/>
      <c r="N15" s="45">
        <f>N14+1</f>
        <v>2027</v>
      </c>
      <c r="O15" s="46">
        <f>O14*P15</f>
        <v>2948.3054296821992</v>
      </c>
      <c r="P15" s="47">
        <f>P14</f>
        <v>1.0040045346488096</v>
      </c>
      <c r="Q15" s="45"/>
      <c r="R15" s="45">
        <f>R14+1</f>
        <v>2027</v>
      </c>
      <c r="S15" s="46">
        <f>S14*T15</f>
        <v>175.8540267425343</v>
      </c>
      <c r="T15" s="47">
        <f>T14</f>
        <v>0.99675753060439831</v>
      </c>
      <c r="U15" s="45"/>
      <c r="V15" s="45">
        <f>V14+1</f>
        <v>2027</v>
      </c>
      <c r="W15" s="46">
        <f>W14*X15</f>
        <v>19</v>
      </c>
      <c r="X15" s="47">
        <f>X14</f>
        <v>1</v>
      </c>
    </row>
    <row r="17" spans="1:49">
      <c r="A17" t="s">
        <v>413</v>
      </c>
      <c r="K17" s="30"/>
    </row>
    <row r="18" spans="1:49">
      <c r="B18" s="45">
        <v>2026</v>
      </c>
      <c r="C18" s="46">
        <f>AVERAGE(C36:C47)</f>
        <v>10495.129042232138</v>
      </c>
      <c r="D18" s="47">
        <f>C18/C13</f>
        <v>1.0099481841106781</v>
      </c>
      <c r="E18" s="45"/>
      <c r="F18" s="45">
        <f>F14</f>
        <v>2026</v>
      </c>
      <c r="G18" s="46">
        <f>AVERAGE(G36:G47)</f>
        <v>1269.4661548068505</v>
      </c>
      <c r="H18" s="47">
        <f>G18/G13</f>
        <v>0.99820417126546135</v>
      </c>
      <c r="I18" s="45"/>
      <c r="J18" s="45">
        <f>J14</f>
        <v>2026</v>
      </c>
      <c r="K18" s="46">
        <f>AVERAGE(K36:K47)</f>
        <v>134.27880455069922</v>
      </c>
      <c r="L18" s="47">
        <f>K18/K13</f>
        <v>0.98916246446187273</v>
      </c>
      <c r="M18" s="45"/>
      <c r="N18" s="45">
        <f>N14</f>
        <v>2026</v>
      </c>
      <c r="O18" s="46">
        <f>AVERAGE(O36:O47)</f>
        <v>2936.5433529136408</v>
      </c>
      <c r="P18" s="47">
        <f>O18/O13</f>
        <v>1.0040036536259527</v>
      </c>
      <c r="Q18" s="45"/>
      <c r="R18" s="45">
        <f>R14</f>
        <v>2026</v>
      </c>
      <c r="S18" s="46">
        <f>AVERAGE(S36:S47)</f>
        <v>176.4263804778202</v>
      </c>
      <c r="T18" s="47">
        <f>S18/S13</f>
        <v>0.99675921173909721</v>
      </c>
      <c r="U18" s="45"/>
      <c r="V18" s="45">
        <f>V14</f>
        <v>2026</v>
      </c>
      <c r="W18" s="46">
        <f>AVERAGE(W36:W47)</f>
        <v>19</v>
      </c>
      <c r="X18" s="47">
        <f>W18/W13</f>
        <v>1</v>
      </c>
    </row>
    <row r="19" spans="1:49">
      <c r="B19" s="45">
        <v>2027</v>
      </c>
      <c r="C19" s="46">
        <f>AVERAGE(C48:C59)</f>
        <v>10599.533931725675</v>
      </c>
      <c r="D19" s="47">
        <f>C19/C18</f>
        <v>1.0099479376645504</v>
      </c>
      <c r="E19" s="45"/>
      <c r="F19" s="45">
        <f>F15</f>
        <v>2027</v>
      </c>
      <c r="G19" s="46">
        <f>AVERAGE(G48:G59)</f>
        <v>1267.18536428947</v>
      </c>
      <c r="H19" s="47">
        <f>G19/G18</f>
        <v>0.99820334673063615</v>
      </c>
      <c r="I19" s="45"/>
      <c r="J19" s="45">
        <f>J15</f>
        <v>2027</v>
      </c>
      <c r="K19" s="46">
        <f>AVERAGE(K48:K59)</f>
        <v>132.82234198416529</v>
      </c>
      <c r="L19" s="47">
        <f>K19/K18</f>
        <v>0.98915344404943661</v>
      </c>
      <c r="M19" s="45"/>
      <c r="N19" s="45">
        <f>N15</f>
        <v>2027</v>
      </c>
      <c r="O19" s="46">
        <f>AVERAGE(O48:O59)</f>
        <v>2948.3028425181169</v>
      </c>
      <c r="P19" s="47">
        <f>O19/O18</f>
        <v>1.0040045346488102</v>
      </c>
      <c r="Q19" s="45"/>
      <c r="R19" s="45">
        <f>R15</f>
        <v>2027</v>
      </c>
      <c r="S19" s="46">
        <f>AVERAGE(S48:S59)</f>
        <v>175.85432333854411</v>
      </c>
      <c r="T19" s="47">
        <f>S19/S18</f>
        <v>0.99675753060439842</v>
      </c>
      <c r="U19" s="45"/>
      <c r="V19" s="45">
        <f>V15</f>
        <v>2027</v>
      </c>
      <c r="W19" s="46">
        <f>AVERAGE(W48:W59)</f>
        <v>19</v>
      </c>
      <c r="X19" s="47">
        <f>W19/W18</f>
        <v>1</v>
      </c>
    </row>
    <row r="20" spans="1:49">
      <c r="H20" s="75"/>
      <c r="L20" s="75"/>
    </row>
    <row r="21" spans="1:49" ht="14.45">
      <c r="A21" s="114" t="s">
        <v>414</v>
      </c>
      <c r="C21" s="115" t="str">
        <f>IF(ROUND(C18,0)=ROUND(C14,0),IF(ROUND(C19,0)=ROUND(C15,0),"Match","Check"),"Check")</f>
        <v>Match</v>
      </c>
      <c r="G21" s="115" t="str">
        <f>IF(ROUND(G18,0)=ROUND(G14,0),IF(ROUND(G19,0)=ROUND(G15,0),"Match","Check"),"Check")</f>
        <v>Match</v>
      </c>
      <c r="K21" s="115" t="str">
        <f>IF(ROUND(K18,0)=ROUND(K14,0),IF(ROUND(K19,0)=ROUND(K15,0),"Match","Check"),"Check")</f>
        <v>Match</v>
      </c>
      <c r="O21" s="115" t="str">
        <f>IF(ROUND(O18,0)=ROUND(O14,0),IF(ROUND(O19,0)=ROUND(O15,0),"Match","Check"),"Check")</f>
        <v>Match</v>
      </c>
      <c r="S21" s="115" t="str">
        <f>IF(ROUND(S18,0)=ROUND(S14,0),IF(ROUND(S19,0)=ROUND(S15,0),"Match","Check"),"Check")</f>
        <v>Match</v>
      </c>
      <c r="W21" s="115" t="str">
        <f>IF(ROUND(W18,0)=ROUND(W14,0),IF(ROUND(W19,0)=ROUND(W15,0),"Match","Check"),"Check")</f>
        <v>Match</v>
      </c>
    </row>
    <row r="22" spans="1:49" ht="14.45">
      <c r="A22" s="37"/>
      <c r="C22" s="115"/>
      <c r="G22" s="115"/>
      <c r="H22" s="35"/>
      <c r="K22" s="115"/>
      <c r="O22" s="115"/>
      <c r="S22" s="115"/>
      <c r="W22" s="115"/>
      <c r="AA22" s="115"/>
      <c r="AE22" s="37"/>
      <c r="AG22" s="115"/>
      <c r="AK22" s="115"/>
      <c r="AO22" s="115"/>
      <c r="AP22" s="115"/>
      <c r="AS22" s="115"/>
      <c r="AW22" s="115"/>
    </row>
    <row r="24" spans="1:49">
      <c r="A24">
        <v>2025</v>
      </c>
      <c r="B24" t="s">
        <v>82</v>
      </c>
      <c r="C24" s="20">
        <f>'Monthly Data'!G110</f>
        <v>10366</v>
      </c>
      <c r="G24" s="20">
        <f>'Monthly Data'!K110</f>
        <v>1271</v>
      </c>
      <c r="K24" s="20">
        <f>'Monthly Data'!P110</f>
        <v>137</v>
      </c>
      <c r="O24" s="18">
        <f>'Monthly Data'!S110</f>
        <v>2906</v>
      </c>
      <c r="S24" s="18">
        <f>'Monthly Data'!V110</f>
        <v>177</v>
      </c>
      <c r="W24" s="18">
        <f>'Monthly Data'!X110</f>
        <v>19</v>
      </c>
    </row>
    <row r="25" spans="1:49">
      <c r="B25" t="s">
        <v>83</v>
      </c>
      <c r="C25" s="20">
        <f>'Monthly Data'!G111</f>
        <v>10371</v>
      </c>
      <c r="D25" s="73">
        <f>C25/C24</f>
        <v>1.0004823461315839</v>
      </c>
      <c r="G25" s="20">
        <f>'Monthly Data'!K111</f>
        <v>1272</v>
      </c>
      <c r="H25" s="73">
        <f>G25/G24</f>
        <v>1.000786782061369</v>
      </c>
      <c r="K25" s="20">
        <f>'Monthly Data'!P111</f>
        <v>137</v>
      </c>
      <c r="L25" s="73">
        <f>K25/K24</f>
        <v>1</v>
      </c>
      <c r="O25" s="18">
        <f>'Monthly Data'!S111</f>
        <v>2906</v>
      </c>
      <c r="P25" s="35">
        <f>O25/O24</f>
        <v>1</v>
      </c>
      <c r="S25" s="18">
        <f>'Monthly Data'!V111</f>
        <v>177</v>
      </c>
      <c r="T25" s="35">
        <f>S25/S24</f>
        <v>1</v>
      </c>
      <c r="W25" s="18">
        <f>'Monthly Data'!X111</f>
        <v>19</v>
      </c>
      <c r="X25" s="35">
        <f>W25/W24</f>
        <v>1</v>
      </c>
    </row>
    <row r="26" spans="1:49">
      <c r="B26" t="s">
        <v>84</v>
      </c>
      <c r="C26" s="20">
        <f>'Monthly Data'!G112</f>
        <v>10390</v>
      </c>
      <c r="D26" s="73">
        <f t="shared" ref="D26:D35" si="16">C26/C25</f>
        <v>1.0018320316266511</v>
      </c>
      <c r="G26" s="20">
        <f>'Monthly Data'!K112</f>
        <v>1273</v>
      </c>
      <c r="H26" s="73">
        <f t="shared" ref="H26:H35" si="17">G26/G25</f>
        <v>1.0007861635220126</v>
      </c>
      <c r="K26" s="20">
        <f>'Monthly Data'!P112</f>
        <v>137</v>
      </c>
      <c r="L26" s="73">
        <f t="shared" ref="L26:L35" si="18">K26/K25</f>
        <v>1</v>
      </c>
      <c r="O26" s="18">
        <f>'Monthly Data'!S112</f>
        <v>2906</v>
      </c>
      <c r="P26" s="35">
        <f t="shared" ref="P26:P35" si="19">O26/O25</f>
        <v>1</v>
      </c>
      <c r="S26" s="18">
        <f>'Monthly Data'!V112</f>
        <v>177</v>
      </c>
      <c r="T26" s="35">
        <f t="shared" ref="T26:T35" si="20">S26/S25</f>
        <v>1</v>
      </c>
      <c r="W26" s="18">
        <f>'Monthly Data'!X112</f>
        <v>19</v>
      </c>
      <c r="X26" s="35">
        <f t="shared" ref="X26:X35" si="21">W26/W25</f>
        <v>1</v>
      </c>
    </row>
    <row r="27" spans="1:49">
      <c r="B27" t="s">
        <v>85</v>
      </c>
      <c r="C27" s="20">
        <f>'Monthly Data'!G113</f>
        <v>10390</v>
      </c>
      <c r="D27" s="73">
        <f t="shared" si="16"/>
        <v>1</v>
      </c>
      <c r="G27" s="20">
        <f>'Monthly Data'!K113</f>
        <v>1268</v>
      </c>
      <c r="H27" s="73">
        <f t="shared" si="17"/>
        <v>0.99607227022780831</v>
      </c>
      <c r="K27" s="20">
        <f>'Monthly Data'!P113</f>
        <v>136</v>
      </c>
      <c r="L27" s="73">
        <f t="shared" si="18"/>
        <v>0.99270072992700731</v>
      </c>
      <c r="O27" s="18">
        <f>'Monthly Data'!S113</f>
        <v>2906</v>
      </c>
      <c r="P27" s="35">
        <f t="shared" si="19"/>
        <v>1</v>
      </c>
      <c r="S27" s="18">
        <f>'Monthly Data'!V113</f>
        <v>177</v>
      </c>
      <c r="T27" s="35">
        <f t="shared" si="20"/>
        <v>1</v>
      </c>
      <c r="W27" s="18">
        <f>'Monthly Data'!X113</f>
        <v>19</v>
      </c>
      <c r="X27" s="35">
        <f t="shared" si="21"/>
        <v>1</v>
      </c>
    </row>
    <row r="28" spans="1:49">
      <c r="B28" t="s">
        <v>86</v>
      </c>
      <c r="C28" s="20">
        <f>'Monthly Data'!G114</f>
        <v>10389</v>
      </c>
      <c r="D28" s="73">
        <f t="shared" si="16"/>
        <v>0.99990375360923966</v>
      </c>
      <c r="G28" s="20">
        <f>'Monthly Data'!K114</f>
        <v>1271</v>
      </c>
      <c r="H28" s="73">
        <f t="shared" si="17"/>
        <v>1.0023659305993691</v>
      </c>
      <c r="K28" s="20">
        <f>'Monthly Data'!P114</f>
        <v>136</v>
      </c>
      <c r="L28" s="73">
        <f t="shared" si="18"/>
        <v>1</v>
      </c>
      <c r="O28" s="18">
        <f>'Monthly Data'!S114</f>
        <v>2906</v>
      </c>
      <c r="P28" s="35">
        <f t="shared" si="19"/>
        <v>1</v>
      </c>
      <c r="S28" s="18">
        <f>'Monthly Data'!V114</f>
        <v>177</v>
      </c>
      <c r="T28" s="35">
        <f t="shared" si="20"/>
        <v>1</v>
      </c>
      <c r="W28" s="18">
        <f>'Monthly Data'!X114</f>
        <v>19</v>
      </c>
      <c r="X28" s="35">
        <f t="shared" si="21"/>
        <v>1</v>
      </c>
    </row>
    <row r="29" spans="1:49">
      <c r="B29" t="s">
        <v>87</v>
      </c>
      <c r="C29" s="20">
        <f>'Monthly Data'!G115</f>
        <v>10389</v>
      </c>
      <c r="D29" s="73">
        <f t="shared" si="16"/>
        <v>1</v>
      </c>
      <c r="G29" s="20">
        <f>'Monthly Data'!K115</f>
        <v>1271</v>
      </c>
      <c r="H29" s="73">
        <f t="shared" si="17"/>
        <v>1</v>
      </c>
      <c r="K29" s="20">
        <f>'Monthly Data'!P115</f>
        <v>136</v>
      </c>
      <c r="L29" s="73">
        <f t="shared" si="18"/>
        <v>1</v>
      </c>
      <c r="O29" s="18">
        <f>'Monthly Data'!S115</f>
        <v>2906</v>
      </c>
      <c r="P29" s="35">
        <f t="shared" si="19"/>
        <v>1</v>
      </c>
      <c r="S29" s="18">
        <f>'Monthly Data'!V115</f>
        <v>177</v>
      </c>
      <c r="T29" s="35">
        <f t="shared" si="20"/>
        <v>1</v>
      </c>
      <c r="W29" s="18">
        <f>'Monthly Data'!X115</f>
        <v>19</v>
      </c>
      <c r="X29" s="35">
        <f t="shared" si="21"/>
        <v>1</v>
      </c>
    </row>
    <row r="30" spans="1:49">
      <c r="B30" t="s">
        <v>88</v>
      </c>
      <c r="C30" s="20">
        <f>'Monthly Data'!G116</f>
        <v>10393</v>
      </c>
      <c r="D30" s="73">
        <f t="shared" si="16"/>
        <v>1.000385022620079</v>
      </c>
      <c r="G30" s="20">
        <f>'Monthly Data'!K116</f>
        <v>1270</v>
      </c>
      <c r="H30" s="73">
        <f t="shared" si="17"/>
        <v>0.99921321793863105</v>
      </c>
      <c r="K30" s="20">
        <f>'Monthly Data'!P116</f>
        <v>135</v>
      </c>
      <c r="L30" s="73">
        <f t="shared" si="18"/>
        <v>0.99264705882352944</v>
      </c>
      <c r="O30" s="18">
        <f>'Monthly Data'!S116</f>
        <v>2906</v>
      </c>
      <c r="P30" s="35">
        <f t="shared" si="19"/>
        <v>1</v>
      </c>
      <c r="S30" s="18">
        <f>'Monthly Data'!V116</f>
        <v>177</v>
      </c>
      <c r="T30" s="35">
        <f t="shared" si="20"/>
        <v>1</v>
      </c>
      <c r="W30" s="18">
        <f>'Monthly Data'!X116</f>
        <v>19</v>
      </c>
      <c r="X30" s="35">
        <f t="shared" si="21"/>
        <v>1</v>
      </c>
    </row>
    <row r="31" spans="1:49">
      <c r="B31" t="s">
        <v>89</v>
      </c>
      <c r="C31" s="20">
        <f>'Monthly Data'!G117</f>
        <v>10396</v>
      </c>
      <c r="D31" s="73">
        <f t="shared" si="16"/>
        <v>1.0002886558260367</v>
      </c>
      <c r="E31" s="86"/>
      <c r="F31" s="86"/>
      <c r="G31" s="20">
        <f>'Monthly Data'!K117</f>
        <v>1272</v>
      </c>
      <c r="H31" s="73">
        <f t="shared" si="17"/>
        <v>1.0015748031496063</v>
      </c>
      <c r="I31" s="86"/>
      <c r="J31" s="86"/>
      <c r="K31" s="20">
        <f>'Monthly Data'!P117</f>
        <v>135</v>
      </c>
      <c r="L31" s="73">
        <f t="shared" si="18"/>
        <v>1</v>
      </c>
      <c r="M31" s="86"/>
      <c r="N31" s="86"/>
      <c r="O31" s="18">
        <f>'Monthly Data'!S117</f>
        <v>2906</v>
      </c>
      <c r="P31" s="35">
        <f t="shared" si="19"/>
        <v>1</v>
      </c>
      <c r="Q31" s="86"/>
      <c r="R31" s="86"/>
      <c r="S31" s="18">
        <f>'Monthly Data'!V117</f>
        <v>177</v>
      </c>
      <c r="T31" s="35">
        <f t="shared" si="20"/>
        <v>1</v>
      </c>
      <c r="U31" s="86"/>
      <c r="V31" s="86"/>
      <c r="W31" s="18">
        <f>'Monthly Data'!X117</f>
        <v>19</v>
      </c>
      <c r="X31" s="35">
        <f t="shared" si="21"/>
        <v>1</v>
      </c>
    </row>
    <row r="32" spans="1:49">
      <c r="B32" t="s">
        <v>415</v>
      </c>
      <c r="C32" s="20">
        <f>'Monthly Data'!G118</f>
        <v>10397</v>
      </c>
      <c r="D32" s="73">
        <f t="shared" si="16"/>
        <v>1.0000961908426318</v>
      </c>
      <c r="E32" s="86"/>
      <c r="F32" s="86"/>
      <c r="G32" s="20">
        <f>'Monthly Data'!K118</f>
        <v>1274</v>
      </c>
      <c r="H32" s="73">
        <f t="shared" si="17"/>
        <v>1.0015723270440251</v>
      </c>
      <c r="I32" s="86"/>
      <c r="J32" s="86"/>
      <c r="K32" s="20">
        <f>'Monthly Data'!P118</f>
        <v>135</v>
      </c>
      <c r="L32" s="73">
        <f t="shared" si="18"/>
        <v>1</v>
      </c>
      <c r="M32" s="86"/>
      <c r="N32" s="86"/>
      <c r="O32" s="18">
        <f>'Monthly Data'!S118</f>
        <v>2906</v>
      </c>
      <c r="P32" s="35">
        <f t="shared" si="19"/>
        <v>1</v>
      </c>
      <c r="Q32" s="86"/>
      <c r="R32" s="86"/>
      <c r="S32" s="18">
        <f>'Monthly Data'!V118</f>
        <v>177</v>
      </c>
      <c r="T32" s="35">
        <f t="shared" si="20"/>
        <v>1</v>
      </c>
      <c r="U32" s="86"/>
      <c r="V32" s="86"/>
      <c r="W32" s="18">
        <f>'Monthly Data'!X118</f>
        <v>19</v>
      </c>
      <c r="X32" s="35">
        <f t="shared" si="21"/>
        <v>1</v>
      </c>
    </row>
    <row r="33" spans="1:24">
      <c r="B33" t="s">
        <v>91</v>
      </c>
      <c r="C33" s="20">
        <f>'Monthly Data'!G119</f>
        <v>10402</v>
      </c>
      <c r="D33" s="73">
        <f t="shared" si="16"/>
        <v>1.0004809079542176</v>
      </c>
      <c r="E33" s="86"/>
      <c r="F33" s="86"/>
      <c r="G33" s="20">
        <f>'Monthly Data'!K119</f>
        <v>1274</v>
      </c>
      <c r="H33" s="73">
        <f t="shared" si="17"/>
        <v>1</v>
      </c>
      <c r="I33" s="86"/>
      <c r="J33" s="86"/>
      <c r="K33" s="20">
        <f>'Monthly Data'!P119</f>
        <v>135</v>
      </c>
      <c r="L33" s="73">
        <f t="shared" si="18"/>
        <v>1</v>
      </c>
      <c r="M33" s="86"/>
      <c r="N33" s="86"/>
      <c r="O33" s="18">
        <f>'Monthly Data'!S119</f>
        <v>2988</v>
      </c>
      <c r="P33" s="35">
        <f t="shared" si="19"/>
        <v>1.0282174810736406</v>
      </c>
      <c r="Q33" s="86"/>
      <c r="R33" s="86"/>
      <c r="S33" s="18">
        <f>'Monthly Data'!V119</f>
        <v>177</v>
      </c>
      <c r="T33" s="35">
        <f t="shared" si="20"/>
        <v>1</v>
      </c>
      <c r="U33" s="86"/>
      <c r="V33" s="86"/>
      <c r="W33" s="18">
        <f>'Monthly Data'!X119</f>
        <v>19</v>
      </c>
      <c r="X33" s="35">
        <f t="shared" si="21"/>
        <v>1</v>
      </c>
    </row>
    <row r="34" spans="1:24">
      <c r="B34" t="s">
        <v>92</v>
      </c>
      <c r="C34" s="20">
        <f>'Monthly Data'!G120</f>
        <v>10407</v>
      </c>
      <c r="D34" s="73">
        <f t="shared" si="16"/>
        <v>1.0004806767929244</v>
      </c>
      <c r="E34" s="86"/>
      <c r="F34" s="86"/>
      <c r="G34" s="20">
        <f>'Monthly Data'!K120</f>
        <v>1272</v>
      </c>
      <c r="H34" s="73">
        <f t="shared" si="17"/>
        <v>0.99843014128728413</v>
      </c>
      <c r="I34" s="86"/>
      <c r="J34" s="300"/>
      <c r="K34" s="20">
        <f>'Monthly Data'!P120</f>
        <v>135</v>
      </c>
      <c r="L34" s="73">
        <f t="shared" si="18"/>
        <v>1</v>
      </c>
      <c r="M34" s="86"/>
      <c r="N34" s="86"/>
      <c r="O34" s="18">
        <f>'Monthly Data'!S120</f>
        <v>2973</v>
      </c>
      <c r="P34" s="35">
        <f t="shared" si="19"/>
        <v>0.99497991967871491</v>
      </c>
      <c r="Q34" s="86"/>
      <c r="R34" s="86"/>
      <c r="S34" s="18">
        <f>'Monthly Data'!V120</f>
        <v>177</v>
      </c>
      <c r="T34" s="35">
        <f t="shared" si="20"/>
        <v>1</v>
      </c>
      <c r="U34" s="86"/>
      <c r="V34" s="86"/>
      <c r="W34" s="18">
        <f>'Monthly Data'!X120</f>
        <v>19</v>
      </c>
      <c r="X34" s="35">
        <f t="shared" si="21"/>
        <v>1</v>
      </c>
    </row>
    <row r="35" spans="1:24">
      <c r="B35" t="s">
        <v>93</v>
      </c>
      <c r="C35" s="20">
        <f>'Monthly Data'!G121</f>
        <v>10411</v>
      </c>
      <c r="D35" s="73">
        <f t="shared" si="16"/>
        <v>1.0003843566830017</v>
      </c>
      <c r="E35" s="86"/>
      <c r="F35" s="86"/>
      <c r="G35" s="20">
        <f>'Monthly Data'!K121</f>
        <v>1273</v>
      </c>
      <c r="H35" s="73">
        <f t="shared" si="17"/>
        <v>1.0007861635220126</v>
      </c>
      <c r="I35" s="86"/>
      <c r="J35" s="86"/>
      <c r="K35" s="20">
        <f>'Monthly Data'!P121</f>
        <v>135</v>
      </c>
      <c r="L35" s="73">
        <f t="shared" si="18"/>
        <v>1</v>
      </c>
      <c r="M35" s="86"/>
      <c r="N35" s="86"/>
      <c r="O35" s="18">
        <f>'Monthly Data'!S121</f>
        <v>2983</v>
      </c>
      <c r="P35" s="35">
        <f t="shared" si="19"/>
        <v>1.0033636057854018</v>
      </c>
      <c r="Q35" s="86"/>
      <c r="R35" s="86"/>
      <c r="S35" s="18">
        <f>'Monthly Data'!V121</f>
        <v>177</v>
      </c>
      <c r="T35" s="35">
        <f t="shared" si="20"/>
        <v>1</v>
      </c>
      <c r="U35" s="86"/>
      <c r="V35" s="86"/>
      <c r="W35" s="18">
        <f>'Monthly Data'!X121</f>
        <v>19</v>
      </c>
      <c r="X35" s="35">
        <f t="shared" si="21"/>
        <v>1</v>
      </c>
    </row>
    <row r="36" spans="1:24">
      <c r="A36">
        <v>2026</v>
      </c>
      <c r="B36" t="s">
        <v>82</v>
      </c>
      <c r="C36" s="84">
        <f>C14/D14^(5.5046192/12)</f>
        <v>10447.578743177361</v>
      </c>
      <c r="D36" s="85">
        <f>C36/C35</f>
        <v>1.0035134706730728</v>
      </c>
      <c r="E36" s="86"/>
      <c r="F36" s="86"/>
      <c r="G36" s="84">
        <f>G14/H14^(5.5046192/12)</f>
        <v>1270.5127186330001</v>
      </c>
      <c r="H36" s="85">
        <f>G36/G35</f>
        <v>0.99804612618460331</v>
      </c>
      <c r="I36" s="86"/>
      <c r="J36" s="86"/>
      <c r="K36" s="84">
        <f>K14/L14^(5.5046192/12)</f>
        <v>134.95101271186746</v>
      </c>
      <c r="L36" s="85">
        <f>K36/K35</f>
        <v>0.9996371311990182</v>
      </c>
      <c r="M36" s="86"/>
      <c r="N36" s="86"/>
      <c r="O36" s="84">
        <f>O14/P14^(5.5046192/12)</f>
        <v>2931.167336167468</v>
      </c>
      <c r="P36" s="85">
        <f>O36/O35</f>
        <v>0.98262398128309347</v>
      </c>
      <c r="Q36" s="86"/>
      <c r="R36" s="86"/>
      <c r="S36" s="84">
        <f>S14/T14^(5.5046192/12)</f>
        <v>176.68911777363334</v>
      </c>
      <c r="T36" s="85">
        <f>S36/S35</f>
        <v>0.99824360324086636</v>
      </c>
      <c r="U36" s="86"/>
      <c r="V36" s="86"/>
      <c r="W36" s="84">
        <f>W14/X14^(5.5046192/12)</f>
        <v>19</v>
      </c>
      <c r="X36" s="85">
        <f>W36/W35</f>
        <v>1</v>
      </c>
    </row>
    <row r="37" spans="1:24">
      <c r="B37" t="s">
        <v>83</v>
      </c>
      <c r="C37" s="84">
        <f>C36*D$14^(1/12)</f>
        <v>10456.200491328842</v>
      </c>
      <c r="D37" s="85">
        <f>C37/C36</f>
        <v>1.0008252388772003</v>
      </c>
      <c r="E37" s="86"/>
      <c r="F37" s="86"/>
      <c r="G37" s="84">
        <f>G36*H$14^(1/12)</f>
        <v>1270.3223392419857</v>
      </c>
      <c r="H37" s="85">
        <f>G37/G36</f>
        <v>0.99985015546226153</v>
      </c>
      <c r="I37" s="86"/>
      <c r="J37" s="86"/>
      <c r="K37" s="84">
        <f>K36*L$14^(1/12)</f>
        <v>134.82842259909091</v>
      </c>
      <c r="L37" s="85">
        <f t="shared" ref="L37:L54" si="22">K37/K36</f>
        <v>0.99909159545887738</v>
      </c>
      <c r="M37" s="86"/>
      <c r="N37" s="86"/>
      <c r="O37" s="84">
        <f t="shared" ref="O37:O54" si="23">O36*P$14^(1/12)</f>
        <v>2932.1437088446824</v>
      </c>
      <c r="P37" s="85">
        <f t="shared" ref="P37:P54" si="24">O37/O36</f>
        <v>1.000333100285735</v>
      </c>
      <c r="Q37" s="86"/>
      <c r="R37" s="86"/>
      <c r="S37" s="84">
        <f t="shared" ref="S37:S59" si="25">S36*T$14^(1/12)</f>
        <v>176.64130425336265</v>
      </c>
      <c r="T37" s="85">
        <f t="shared" ref="T37:T59" si="26">S37/S36</f>
        <v>0.99972939182178755</v>
      </c>
      <c r="U37" s="86"/>
      <c r="V37" s="86"/>
      <c r="W37" s="84">
        <f t="shared" ref="W37:W54" si="27">W36*X$14^(1/12)</f>
        <v>19</v>
      </c>
      <c r="X37" s="85">
        <f t="shared" ref="X37:X54" si="28">W37/W36</f>
        <v>1</v>
      </c>
    </row>
    <row r="38" spans="1:24">
      <c r="B38" t="s">
        <v>84</v>
      </c>
      <c r="C38" s="84">
        <f t="shared" ref="C38:C54" si="29">C37*D$14^(1/12)</f>
        <v>10464.829354482088</v>
      </c>
      <c r="D38" s="85">
        <f t="shared" ref="D38:D54" si="30">C38/C37</f>
        <v>1.0008252388772003</v>
      </c>
      <c r="E38" s="86"/>
      <c r="F38" s="86"/>
      <c r="G38" s="84">
        <f t="shared" ref="G38:G59" si="31">G37*H$14^(1/12)</f>
        <v>1270.131988378283</v>
      </c>
      <c r="H38" s="85">
        <f t="shared" ref="H38:H54" si="32">G38/G37</f>
        <v>0.99985015546226153</v>
      </c>
      <c r="I38" s="86"/>
      <c r="J38" s="86"/>
      <c r="K38" s="84">
        <f t="shared" ref="K38:K59" si="33">K37*L$14^(1/12)</f>
        <v>134.70594384772949</v>
      </c>
      <c r="L38" s="85">
        <f t="shared" si="22"/>
        <v>0.99909159545887727</v>
      </c>
      <c r="M38" s="86"/>
      <c r="N38" s="86"/>
      <c r="O38" s="84">
        <f t="shared" si="23"/>
        <v>2933.1204067519143</v>
      </c>
      <c r="P38" s="85">
        <f t="shared" si="24"/>
        <v>1.000333100285735</v>
      </c>
      <c r="Q38" s="86"/>
      <c r="R38" s="86"/>
      <c r="S38" s="84">
        <f t="shared" si="25"/>
        <v>176.59350367182157</v>
      </c>
      <c r="T38" s="85">
        <f t="shared" si="26"/>
        <v>0.99972939182178755</v>
      </c>
      <c r="U38" s="86"/>
      <c r="V38" s="86"/>
      <c r="W38" s="84">
        <f t="shared" si="27"/>
        <v>19</v>
      </c>
      <c r="X38" s="85">
        <f t="shared" si="28"/>
        <v>1</v>
      </c>
    </row>
    <row r="39" spans="1:24">
      <c r="B39" t="s">
        <v>85</v>
      </c>
      <c r="C39" s="84">
        <f t="shared" si="29"/>
        <v>10473.465338508673</v>
      </c>
      <c r="D39" s="85">
        <f t="shared" si="30"/>
        <v>1.0008252388772003</v>
      </c>
      <c r="E39" s="86"/>
      <c r="F39" s="86"/>
      <c r="G39" s="84">
        <f t="shared" si="31"/>
        <v>1269.9416660376176</v>
      </c>
      <c r="H39" s="85">
        <f t="shared" si="32"/>
        <v>0.99985015546226141</v>
      </c>
      <c r="I39" s="86"/>
      <c r="J39" s="86"/>
      <c r="K39" s="84">
        <f t="shared" si="33"/>
        <v>134.58357635662199</v>
      </c>
      <c r="L39" s="85">
        <f t="shared" si="22"/>
        <v>0.99909159545887727</v>
      </c>
      <c r="M39" s="86"/>
      <c r="N39" s="86"/>
      <c r="O39" s="84">
        <f t="shared" si="23"/>
        <v>2934.0974299974982</v>
      </c>
      <c r="P39" s="85">
        <f t="shared" si="24"/>
        <v>1.000333100285735</v>
      </c>
      <c r="Q39" s="86"/>
      <c r="R39" s="86"/>
      <c r="S39" s="84">
        <f t="shared" si="25"/>
        <v>176.54571602550877</v>
      </c>
      <c r="T39" s="85">
        <f t="shared" si="26"/>
        <v>0.99972939182178744</v>
      </c>
      <c r="U39" s="86"/>
      <c r="V39" s="86"/>
      <c r="W39" s="84">
        <f t="shared" si="27"/>
        <v>19</v>
      </c>
      <c r="X39" s="85">
        <f t="shared" si="28"/>
        <v>1</v>
      </c>
    </row>
    <row r="40" spans="1:24">
      <c r="B40" t="s">
        <v>86</v>
      </c>
      <c r="C40" s="84">
        <f t="shared" si="29"/>
        <v>10482.10844928502</v>
      </c>
      <c r="D40" s="85">
        <f t="shared" si="30"/>
        <v>1.0008252388772003</v>
      </c>
      <c r="E40" s="86"/>
      <c r="F40" s="86"/>
      <c r="G40" s="84">
        <f t="shared" si="31"/>
        <v>1269.7513722157153</v>
      </c>
      <c r="H40" s="85">
        <f t="shared" si="32"/>
        <v>0.99985015546226153</v>
      </c>
      <c r="I40" s="86"/>
      <c r="J40" s="86"/>
      <c r="K40" s="84">
        <f t="shared" si="33"/>
        <v>134.46132002469912</v>
      </c>
      <c r="L40" s="85">
        <f t="shared" si="22"/>
        <v>0.99909159545887749</v>
      </c>
      <c r="M40" s="86"/>
      <c r="N40" s="86"/>
      <c r="O40" s="84">
        <f t="shared" si="23"/>
        <v>2935.0747786898046</v>
      </c>
      <c r="P40" s="85">
        <f t="shared" si="24"/>
        <v>1.000333100285735</v>
      </c>
      <c r="Q40" s="86"/>
      <c r="R40" s="86"/>
      <c r="S40" s="84">
        <f t="shared" si="25"/>
        <v>176.49794131092386</v>
      </c>
      <c r="T40" s="85">
        <f t="shared" si="26"/>
        <v>0.99972939182178744</v>
      </c>
      <c r="U40" s="86"/>
      <c r="V40" s="86"/>
      <c r="W40" s="84">
        <f t="shared" si="27"/>
        <v>19</v>
      </c>
      <c r="X40" s="85">
        <f t="shared" si="28"/>
        <v>1</v>
      </c>
    </row>
    <row r="41" spans="1:24">
      <c r="B41" t="s">
        <v>87</v>
      </c>
      <c r="C41" s="84">
        <f t="shared" si="29"/>
        <v>10490.7586926924</v>
      </c>
      <c r="D41" s="85">
        <f t="shared" si="30"/>
        <v>1.0008252388772003</v>
      </c>
      <c r="E41" s="86"/>
      <c r="F41" s="86"/>
      <c r="G41" s="84">
        <f t="shared" si="31"/>
        <v>1269.5611069083029</v>
      </c>
      <c r="H41" s="85">
        <f t="shared" si="32"/>
        <v>0.99985015546226164</v>
      </c>
      <c r="I41" s="86"/>
      <c r="J41" s="86"/>
      <c r="K41" s="84">
        <f t="shared" si="33"/>
        <v>134.33917475098335</v>
      </c>
      <c r="L41" s="85">
        <f t="shared" si="22"/>
        <v>0.99909159545887738</v>
      </c>
      <c r="M41" s="86"/>
      <c r="N41" s="86"/>
      <c r="O41" s="84">
        <f t="shared" si="23"/>
        <v>2936.0524529372397</v>
      </c>
      <c r="P41" s="85">
        <f t="shared" si="24"/>
        <v>1.000333100285735</v>
      </c>
      <c r="Q41" s="86"/>
      <c r="R41" s="86"/>
      <c r="S41" s="84">
        <f t="shared" si="25"/>
        <v>176.45017952456746</v>
      </c>
      <c r="T41" s="85">
        <f t="shared" si="26"/>
        <v>0.99972939182178755</v>
      </c>
      <c r="U41" s="86"/>
      <c r="V41" s="86"/>
      <c r="W41" s="84">
        <f t="shared" si="27"/>
        <v>19</v>
      </c>
      <c r="X41" s="85">
        <f t="shared" si="28"/>
        <v>1</v>
      </c>
    </row>
    <row r="42" spans="1:24">
      <c r="B42" t="s">
        <v>88</v>
      </c>
      <c r="C42" s="84">
        <f t="shared" si="29"/>
        <v>10499.416074616936</v>
      </c>
      <c r="D42" s="85">
        <f t="shared" si="30"/>
        <v>1.0008252388772003</v>
      </c>
      <c r="E42" s="86"/>
      <c r="F42" s="86"/>
      <c r="G42" s="84">
        <f t="shared" si="31"/>
        <v>1269.3708701111075</v>
      </c>
      <c r="H42" s="85">
        <f t="shared" si="32"/>
        <v>0.99985015546226153</v>
      </c>
      <c r="I42" s="86"/>
      <c r="J42" s="86"/>
      <c r="K42" s="84">
        <f t="shared" si="33"/>
        <v>134.21714043458888</v>
      </c>
      <c r="L42" s="85">
        <f t="shared" si="22"/>
        <v>0.99909159545887738</v>
      </c>
      <c r="M42" s="86"/>
      <c r="N42" s="86"/>
      <c r="O42" s="84">
        <f t="shared" si="23"/>
        <v>2937.0304528482461</v>
      </c>
      <c r="P42" s="85">
        <f t="shared" si="24"/>
        <v>1.000333100285735</v>
      </c>
      <c r="Q42" s="86"/>
      <c r="R42" s="86"/>
      <c r="S42" s="84">
        <f t="shared" si="25"/>
        <v>176.40243066294104</v>
      </c>
      <c r="T42" s="85">
        <f t="shared" si="26"/>
        <v>0.99972939182178744</v>
      </c>
      <c r="U42" s="86"/>
      <c r="V42" s="86"/>
      <c r="W42" s="84">
        <f t="shared" si="27"/>
        <v>19</v>
      </c>
      <c r="X42" s="85">
        <f t="shared" si="28"/>
        <v>1</v>
      </c>
    </row>
    <row r="43" spans="1:24">
      <c r="B43" t="s">
        <v>89</v>
      </c>
      <c r="C43" s="84">
        <f t="shared" si="29"/>
        <v>10508.080600949612</v>
      </c>
      <c r="D43" s="85">
        <f t="shared" si="30"/>
        <v>1.0008252388772003</v>
      </c>
      <c r="E43" s="86"/>
      <c r="F43" s="86"/>
      <c r="G43" s="84">
        <f t="shared" si="31"/>
        <v>1269.1806618198571</v>
      </c>
      <c r="H43" s="85">
        <f t="shared" si="32"/>
        <v>0.99985015546226153</v>
      </c>
      <c r="I43" s="86"/>
      <c r="J43" s="86"/>
      <c r="K43" s="84">
        <f t="shared" si="33"/>
        <v>134.09521697472161</v>
      </c>
      <c r="L43" s="85">
        <f t="shared" si="22"/>
        <v>0.99909159545887738</v>
      </c>
      <c r="M43" s="86"/>
      <c r="N43" s="86"/>
      <c r="O43" s="84">
        <f t="shared" si="23"/>
        <v>2938.0087785313021</v>
      </c>
      <c r="P43" s="85">
        <f t="shared" si="24"/>
        <v>1.000333100285735</v>
      </c>
      <c r="Q43" s="86"/>
      <c r="R43" s="86"/>
      <c r="S43" s="84">
        <f t="shared" si="25"/>
        <v>176.35469472254707</v>
      </c>
      <c r="T43" s="85">
        <f t="shared" si="26"/>
        <v>0.99972939182178733</v>
      </c>
      <c r="U43" s="86"/>
      <c r="V43" s="86"/>
      <c r="W43" s="84">
        <f t="shared" si="27"/>
        <v>19</v>
      </c>
      <c r="X43" s="85">
        <f t="shared" si="28"/>
        <v>1</v>
      </c>
    </row>
    <row r="44" spans="1:24">
      <c r="B44" t="s">
        <v>415</v>
      </c>
      <c r="C44" s="84">
        <f t="shared" si="29"/>
        <v>10516.752277586271</v>
      </c>
      <c r="D44" s="85">
        <f t="shared" si="30"/>
        <v>1.0008252388772003</v>
      </c>
      <c r="E44" s="86"/>
      <c r="F44" s="86"/>
      <c r="G44" s="84">
        <f t="shared" si="31"/>
        <v>1268.99048203028</v>
      </c>
      <c r="H44" s="85">
        <f t="shared" si="32"/>
        <v>0.99985015546226141</v>
      </c>
      <c r="I44" s="86"/>
      <c r="J44" s="86"/>
      <c r="K44" s="84">
        <f t="shared" si="33"/>
        <v>133.97340427067894</v>
      </c>
      <c r="L44" s="85">
        <f t="shared" si="22"/>
        <v>0.99909159545887727</v>
      </c>
      <c r="M44" s="86"/>
      <c r="N44" s="86"/>
      <c r="O44" s="84">
        <f t="shared" si="23"/>
        <v>2938.9874300949227</v>
      </c>
      <c r="P44" s="85">
        <f t="shared" si="24"/>
        <v>1.000333100285735</v>
      </c>
      <c r="Q44" s="86"/>
      <c r="R44" s="86"/>
      <c r="S44" s="84">
        <f t="shared" si="25"/>
        <v>176.30697169988898</v>
      </c>
      <c r="T44" s="85">
        <f t="shared" si="26"/>
        <v>0.99972939182178755</v>
      </c>
      <c r="U44" s="86"/>
      <c r="V44" s="86"/>
      <c r="W44" s="84">
        <f t="shared" si="27"/>
        <v>19</v>
      </c>
      <c r="X44" s="85">
        <f t="shared" si="28"/>
        <v>1</v>
      </c>
    </row>
    <row r="45" spans="1:24">
      <c r="B45" t="s">
        <v>91</v>
      </c>
      <c r="C45" s="84">
        <f t="shared" si="29"/>
        <v>10525.43111042762</v>
      </c>
      <c r="D45" s="85">
        <f t="shared" si="30"/>
        <v>1.0008252388772003</v>
      </c>
      <c r="E45" s="86"/>
      <c r="F45" s="86"/>
      <c r="G45" s="84">
        <f t="shared" si="31"/>
        <v>1268.8003307381057</v>
      </c>
      <c r="H45" s="85">
        <f t="shared" si="32"/>
        <v>0.99985015546226164</v>
      </c>
      <c r="I45" s="86"/>
      <c r="J45" s="86"/>
      <c r="K45" s="84">
        <f t="shared" si="33"/>
        <v>133.85170222184979</v>
      </c>
      <c r="L45" s="85">
        <f t="shared" si="22"/>
        <v>0.99909159545887727</v>
      </c>
      <c r="M45" s="86"/>
      <c r="N45" s="86"/>
      <c r="O45" s="84">
        <f t="shared" si="23"/>
        <v>2939.9664076476588</v>
      </c>
      <c r="P45" s="85">
        <f t="shared" si="24"/>
        <v>1.000333100285735</v>
      </c>
      <c r="Q45" s="86"/>
      <c r="R45" s="86"/>
      <c r="S45" s="84">
        <f t="shared" si="25"/>
        <v>176.2592615914711</v>
      </c>
      <c r="T45" s="85">
        <f t="shared" si="26"/>
        <v>0.99972939182178744</v>
      </c>
      <c r="U45" s="86"/>
      <c r="V45" s="86"/>
      <c r="W45" s="84">
        <f t="shared" si="27"/>
        <v>19</v>
      </c>
      <c r="X45" s="85">
        <f t="shared" si="28"/>
        <v>1</v>
      </c>
    </row>
    <row r="46" spans="1:24">
      <c r="B46" t="s">
        <v>92</v>
      </c>
      <c r="C46" s="84">
        <f t="shared" si="29"/>
        <v>10534.117105379239</v>
      </c>
      <c r="D46" s="85">
        <f t="shared" si="30"/>
        <v>1.0008252388772003</v>
      </c>
      <c r="E46" s="86"/>
      <c r="F46" s="86"/>
      <c r="G46" s="84">
        <f t="shared" si="31"/>
        <v>1268.6102079390639</v>
      </c>
      <c r="H46" s="85">
        <f t="shared" si="32"/>
        <v>0.99985015546226164</v>
      </c>
      <c r="I46" s="86"/>
      <c r="J46" s="86"/>
      <c r="K46" s="84">
        <f t="shared" si="33"/>
        <v>133.73011072771448</v>
      </c>
      <c r="L46" s="85">
        <f t="shared" si="22"/>
        <v>0.99909159545887738</v>
      </c>
      <c r="M46" s="86"/>
      <c r="N46" s="86"/>
      <c r="O46" s="84">
        <f t="shared" si="23"/>
        <v>2940.9457112980976</v>
      </c>
      <c r="P46" s="85">
        <f t="shared" si="24"/>
        <v>1.000333100285735</v>
      </c>
      <c r="Q46" s="86"/>
      <c r="R46" s="86"/>
      <c r="S46" s="84">
        <f t="shared" si="25"/>
        <v>176.21156439379874</v>
      </c>
      <c r="T46" s="85">
        <f t="shared" si="26"/>
        <v>0.99972939182178744</v>
      </c>
      <c r="U46" s="86"/>
      <c r="V46" s="86"/>
      <c r="W46" s="84">
        <f t="shared" si="27"/>
        <v>19</v>
      </c>
      <c r="X46" s="85">
        <f t="shared" si="28"/>
        <v>1</v>
      </c>
    </row>
    <row r="47" spans="1:24">
      <c r="B47" t="s">
        <v>93</v>
      </c>
      <c r="C47" s="84">
        <f t="shared" si="29"/>
        <v>10542.810268351579</v>
      </c>
      <c r="D47" s="85">
        <f t="shared" si="30"/>
        <v>1.0008252388772003</v>
      </c>
      <c r="E47" s="86"/>
      <c r="F47" s="86"/>
      <c r="G47" s="84">
        <f t="shared" si="31"/>
        <v>1268.420113628885</v>
      </c>
      <c r="H47" s="85">
        <f t="shared" si="32"/>
        <v>0.99985015546226153</v>
      </c>
      <c r="I47" s="86"/>
      <c r="J47" s="86"/>
      <c r="K47" s="84">
        <f t="shared" si="33"/>
        <v>133.6086296878446</v>
      </c>
      <c r="L47" s="85">
        <f t="shared" si="22"/>
        <v>0.99909159545887749</v>
      </c>
      <c r="M47" s="86"/>
      <c r="N47" s="86"/>
      <c r="O47" s="84">
        <f t="shared" si="23"/>
        <v>2941.9253411548621</v>
      </c>
      <c r="P47" s="85">
        <f t="shared" si="24"/>
        <v>1.000333100285735</v>
      </c>
      <c r="Q47" s="86"/>
      <c r="R47" s="86"/>
      <c r="S47" s="84">
        <f t="shared" si="25"/>
        <v>176.16388010337815</v>
      </c>
      <c r="T47" s="85">
        <f t="shared" si="26"/>
        <v>0.99972939182178744</v>
      </c>
      <c r="U47" s="86"/>
      <c r="V47" s="86"/>
      <c r="W47" s="84">
        <f t="shared" si="27"/>
        <v>19</v>
      </c>
      <c r="X47" s="85">
        <f t="shared" si="28"/>
        <v>1</v>
      </c>
    </row>
    <row r="48" spans="1:24">
      <c r="A48">
        <v>2027</v>
      </c>
      <c r="B48" t="s">
        <v>82</v>
      </c>
      <c r="C48" s="84">
        <f t="shared" si="29"/>
        <v>10551.510605259969</v>
      </c>
      <c r="D48" s="85">
        <f t="shared" si="30"/>
        <v>1.0008252388772003</v>
      </c>
      <c r="E48" s="86"/>
      <c r="F48" s="86"/>
      <c r="G48" s="84">
        <f t="shared" si="31"/>
        <v>1268.2300478033001</v>
      </c>
      <c r="H48" s="85">
        <f t="shared" si="32"/>
        <v>0.99985015546226153</v>
      </c>
      <c r="I48" s="86"/>
      <c r="J48" s="86"/>
      <c r="K48" s="84">
        <f t="shared" si="33"/>
        <v>133.487259001903</v>
      </c>
      <c r="L48" s="85">
        <f t="shared" si="22"/>
        <v>0.99909159545887749</v>
      </c>
      <c r="M48" s="86"/>
      <c r="N48" s="86"/>
      <c r="O48" s="84">
        <f t="shared" si="23"/>
        <v>2942.9052973266116</v>
      </c>
      <c r="P48" s="85">
        <f t="shared" si="24"/>
        <v>1.000333100285735</v>
      </c>
      <c r="Q48" s="86"/>
      <c r="R48" s="86"/>
      <c r="S48" s="84">
        <f t="shared" si="25"/>
        <v>176.11620871671653</v>
      </c>
      <c r="T48" s="85">
        <f t="shared" si="26"/>
        <v>0.99972939182178755</v>
      </c>
      <c r="U48" s="86"/>
      <c r="V48" s="86"/>
      <c r="W48" s="84">
        <f t="shared" si="27"/>
        <v>19</v>
      </c>
      <c r="X48" s="85">
        <f t="shared" si="28"/>
        <v>1</v>
      </c>
    </row>
    <row r="49" spans="2:24">
      <c r="B49" t="s">
        <v>83</v>
      </c>
      <c r="C49" s="84">
        <f t="shared" si="29"/>
        <v>10560.218122024622</v>
      </c>
      <c r="D49" s="85">
        <f t="shared" si="30"/>
        <v>1.0008252388772003</v>
      </c>
      <c r="E49" s="86"/>
      <c r="F49" s="86"/>
      <c r="G49" s="84">
        <f t="shared" si="31"/>
        <v>1268.040010458041</v>
      </c>
      <c r="H49" s="85">
        <f t="shared" si="32"/>
        <v>0.99985015546226164</v>
      </c>
      <c r="I49" s="86"/>
      <c r="J49" s="86"/>
      <c r="K49" s="84">
        <f t="shared" si="33"/>
        <v>133.36599856964366</v>
      </c>
      <c r="L49" s="85">
        <f t="shared" si="22"/>
        <v>0.99909159545887738</v>
      </c>
      <c r="M49" s="86"/>
      <c r="N49" s="86"/>
      <c r="O49" s="84">
        <f t="shared" si="23"/>
        <v>2943.8855799220419</v>
      </c>
      <c r="P49" s="85">
        <f t="shared" si="24"/>
        <v>1.000333100285735</v>
      </c>
      <c r="Q49" s="86"/>
      <c r="R49" s="86"/>
      <c r="S49" s="84">
        <f t="shared" si="25"/>
        <v>176.06855023032199</v>
      </c>
      <c r="T49" s="85">
        <f t="shared" si="26"/>
        <v>0.99972939182178744</v>
      </c>
      <c r="U49" s="86"/>
      <c r="V49" s="86"/>
      <c r="W49" s="84">
        <f t="shared" si="27"/>
        <v>19</v>
      </c>
      <c r="X49" s="85">
        <f t="shared" si="28"/>
        <v>1</v>
      </c>
    </row>
    <row r="50" spans="2:24">
      <c r="B50" t="s">
        <v>84</v>
      </c>
      <c r="C50" s="84">
        <f t="shared" si="29"/>
        <v>10568.932824570633</v>
      </c>
      <c r="D50" s="85">
        <f t="shared" si="30"/>
        <v>1.0008252388772003</v>
      </c>
      <c r="E50" s="86"/>
      <c r="F50" s="86"/>
      <c r="G50" s="84">
        <f t="shared" si="31"/>
        <v>1267.8500015888401</v>
      </c>
      <c r="H50" s="85">
        <f t="shared" si="32"/>
        <v>0.99985015546226153</v>
      </c>
      <c r="I50" s="86"/>
      <c r="J50" s="86"/>
      <c r="K50" s="84">
        <f t="shared" si="33"/>
        <v>133.24484829091165</v>
      </c>
      <c r="L50" s="85">
        <f t="shared" si="22"/>
        <v>0.99909159545887738</v>
      </c>
      <c r="M50" s="86"/>
      <c r="N50" s="86"/>
      <c r="O50" s="84">
        <f t="shared" si="23"/>
        <v>2944.8661890498847</v>
      </c>
      <c r="P50" s="85">
        <f t="shared" si="24"/>
        <v>1.000333100285735</v>
      </c>
      <c r="Q50" s="86"/>
      <c r="R50" s="86"/>
      <c r="S50" s="84">
        <f t="shared" si="25"/>
        <v>176.02090464070363</v>
      </c>
      <c r="T50" s="85">
        <f t="shared" si="26"/>
        <v>0.99972939182178744</v>
      </c>
      <c r="U50" s="86"/>
      <c r="V50" s="86"/>
      <c r="W50" s="84">
        <f t="shared" si="27"/>
        <v>19</v>
      </c>
      <c r="X50" s="85">
        <f t="shared" si="28"/>
        <v>1</v>
      </c>
    </row>
    <row r="51" spans="2:24">
      <c r="B51" t="s">
        <v>85</v>
      </c>
      <c r="C51" s="84">
        <f t="shared" si="29"/>
        <v>10577.654718827987</v>
      </c>
      <c r="D51" s="85">
        <f t="shared" si="30"/>
        <v>1.0008252388772003</v>
      </c>
      <c r="E51" s="86"/>
      <c r="F51" s="86"/>
      <c r="G51" s="84">
        <f t="shared" si="31"/>
        <v>1267.6600211914304</v>
      </c>
      <c r="H51" s="85">
        <f t="shared" si="32"/>
        <v>0.99985015546226164</v>
      </c>
      <c r="I51" s="86"/>
      <c r="J51" s="86"/>
      <c r="K51" s="84">
        <f t="shared" si="33"/>
        <v>133.12380806564298</v>
      </c>
      <c r="L51" s="85">
        <f t="shared" si="22"/>
        <v>0.99909159545887727</v>
      </c>
      <c r="M51" s="86"/>
      <c r="N51" s="86"/>
      <c r="O51" s="84">
        <f t="shared" si="23"/>
        <v>2945.8471248189085</v>
      </c>
      <c r="P51" s="85">
        <f t="shared" si="24"/>
        <v>1.000333100285735</v>
      </c>
      <c r="Q51" s="86"/>
      <c r="R51" s="86"/>
      <c r="S51" s="84">
        <f t="shared" si="25"/>
        <v>175.97327194437148</v>
      </c>
      <c r="T51" s="85">
        <f t="shared" si="26"/>
        <v>0.99972939182178733</v>
      </c>
      <c r="U51" s="86"/>
      <c r="V51" s="86"/>
      <c r="W51" s="84">
        <f t="shared" si="27"/>
        <v>19</v>
      </c>
      <c r="X51" s="85">
        <f t="shared" si="28"/>
        <v>1</v>
      </c>
    </row>
    <row r="52" spans="2:24">
      <c r="B52" t="s">
        <v>86</v>
      </c>
      <c r="C52" s="84">
        <f t="shared" si="29"/>
        <v>10586.383810731566</v>
      </c>
      <c r="D52" s="85">
        <f t="shared" si="30"/>
        <v>1.0008252388772003</v>
      </c>
      <c r="E52" s="86"/>
      <c r="F52" s="86"/>
      <c r="G52" s="84">
        <f t="shared" si="31"/>
        <v>1267.4700692615454</v>
      </c>
      <c r="H52" s="85">
        <f t="shared" si="32"/>
        <v>0.99985015546226153</v>
      </c>
      <c r="I52" s="86"/>
      <c r="J52" s="86"/>
      <c r="K52" s="84">
        <f t="shared" si="33"/>
        <v>133.0028777938646</v>
      </c>
      <c r="L52" s="85">
        <f t="shared" si="22"/>
        <v>0.99909159545887727</v>
      </c>
      <c r="M52" s="86"/>
      <c r="N52" s="86"/>
      <c r="O52" s="84">
        <f t="shared" si="23"/>
        <v>2946.8283873379173</v>
      </c>
      <c r="P52" s="85">
        <f t="shared" si="24"/>
        <v>1.000333100285735</v>
      </c>
      <c r="Q52" s="86"/>
      <c r="R52" s="86"/>
      <c r="S52" s="84">
        <f t="shared" si="25"/>
        <v>175.92565213783649</v>
      </c>
      <c r="T52" s="85">
        <f t="shared" si="26"/>
        <v>0.99972939182178733</v>
      </c>
      <c r="U52" s="86"/>
      <c r="V52" s="86"/>
      <c r="W52" s="84">
        <f t="shared" si="27"/>
        <v>19</v>
      </c>
      <c r="X52" s="85">
        <f t="shared" si="28"/>
        <v>1</v>
      </c>
    </row>
    <row r="53" spans="2:24">
      <c r="B53" t="s">
        <v>87</v>
      </c>
      <c r="C53" s="84">
        <f t="shared" si="29"/>
        <v>10595.120106221146</v>
      </c>
      <c r="D53" s="85">
        <f t="shared" si="30"/>
        <v>1.0008252388772003</v>
      </c>
      <c r="E53" s="86"/>
      <c r="F53" s="86"/>
      <c r="G53" s="84">
        <f t="shared" si="31"/>
        <v>1267.2801457949195</v>
      </c>
      <c r="H53" s="85">
        <f t="shared" si="32"/>
        <v>0.99985015546226141</v>
      </c>
      <c r="I53" s="86"/>
      <c r="J53" s="86"/>
      <c r="K53" s="84">
        <f t="shared" si="33"/>
        <v>132.88205737569427</v>
      </c>
      <c r="L53" s="85">
        <f t="shared" si="22"/>
        <v>0.99909159545887738</v>
      </c>
      <c r="M53" s="86"/>
      <c r="N53" s="86"/>
      <c r="O53" s="84">
        <f t="shared" si="23"/>
        <v>2947.8099767157514</v>
      </c>
      <c r="P53" s="85">
        <f t="shared" si="24"/>
        <v>1.000333100285735</v>
      </c>
      <c r="Q53" s="86"/>
      <c r="R53" s="86"/>
      <c r="S53" s="84">
        <f t="shared" si="25"/>
        <v>175.87804521761061</v>
      </c>
      <c r="T53" s="85">
        <f t="shared" si="26"/>
        <v>0.99972939182178733</v>
      </c>
      <c r="U53" s="86"/>
      <c r="V53" s="86"/>
      <c r="W53" s="84">
        <f t="shared" si="27"/>
        <v>19</v>
      </c>
      <c r="X53" s="85">
        <f t="shared" si="28"/>
        <v>1</v>
      </c>
    </row>
    <row r="54" spans="2:24">
      <c r="B54" t="s">
        <v>88</v>
      </c>
      <c r="C54" s="84">
        <f t="shared" si="29"/>
        <v>10603.863611241406</v>
      </c>
      <c r="D54" s="85">
        <f t="shared" si="30"/>
        <v>1.0008252388772003</v>
      </c>
      <c r="E54" s="86"/>
      <c r="F54" s="86"/>
      <c r="G54" s="84">
        <f t="shared" si="31"/>
        <v>1267.0902507872877</v>
      </c>
      <c r="H54" s="85">
        <f t="shared" si="32"/>
        <v>0.99985015546226153</v>
      </c>
      <c r="I54" s="86"/>
      <c r="J54" s="86"/>
      <c r="K54" s="84">
        <f t="shared" si="33"/>
        <v>132.76134671134048</v>
      </c>
      <c r="L54" s="85">
        <f t="shared" si="22"/>
        <v>0.99909159545887738</v>
      </c>
      <c r="M54" s="86"/>
      <c r="N54" s="86"/>
      <c r="O54" s="84">
        <f t="shared" si="23"/>
        <v>2948.7918930612877</v>
      </c>
      <c r="P54" s="85">
        <f t="shared" si="24"/>
        <v>1.000333100285735</v>
      </c>
      <c r="Q54" s="86"/>
      <c r="R54" s="86"/>
      <c r="S54" s="84">
        <f t="shared" si="25"/>
        <v>175.83045118020669</v>
      </c>
      <c r="T54" s="85">
        <f t="shared" si="26"/>
        <v>0.99972939182178755</v>
      </c>
      <c r="U54" s="86"/>
      <c r="V54" s="86"/>
      <c r="W54" s="84">
        <f t="shared" si="27"/>
        <v>19</v>
      </c>
      <c r="X54" s="85">
        <f t="shared" si="28"/>
        <v>1</v>
      </c>
    </row>
    <row r="55" spans="2:24">
      <c r="B55" t="s">
        <v>89</v>
      </c>
      <c r="C55" s="84">
        <f>C54*D$14^(1/12)</f>
        <v>10612.614331741932</v>
      </c>
      <c r="D55" s="85">
        <f>C55/C54</f>
        <v>1.0008252388772003</v>
      </c>
      <c r="E55" s="86"/>
      <c r="F55" s="86"/>
      <c r="G55" s="84">
        <f t="shared" si="31"/>
        <v>1266.9003842343855</v>
      </c>
      <c r="H55" s="85">
        <f>G55/G54</f>
        <v>0.99985015546226141</v>
      </c>
      <c r="I55" s="86"/>
      <c r="J55" s="86"/>
      <c r="K55" s="84">
        <f t="shared" si="33"/>
        <v>132.64074570110233</v>
      </c>
      <c r="L55" s="85">
        <f>K55/K54</f>
        <v>0.99909159545887727</v>
      </c>
      <c r="M55" s="86"/>
      <c r="N55" s="86"/>
      <c r="O55" s="84">
        <f>O54*P$14^(1/12)</f>
        <v>2949.7741364834392</v>
      </c>
      <c r="P55" s="85">
        <f>O55/O54</f>
        <v>1.000333100285735</v>
      </c>
      <c r="Q55" s="86"/>
      <c r="R55" s="86"/>
      <c r="S55" s="84">
        <f t="shared" si="25"/>
        <v>175.78287002213852</v>
      </c>
      <c r="T55" s="85">
        <f t="shared" si="26"/>
        <v>0.99972939182178744</v>
      </c>
      <c r="U55" s="86"/>
      <c r="V55" s="86"/>
      <c r="W55" s="84">
        <f>W54*X$14^(1/12)</f>
        <v>19</v>
      </c>
      <c r="X55" s="85">
        <f>W55/W54</f>
        <v>1</v>
      </c>
    </row>
    <row r="56" spans="2:24">
      <c r="B56" t="s">
        <v>415</v>
      </c>
      <c r="C56" s="84">
        <f>C55*D$14^(1/12)</f>
        <v>10621.372273677218</v>
      </c>
      <c r="D56" s="85">
        <f>C56/C55</f>
        <v>1.0008252388772003</v>
      </c>
      <c r="E56" s="86"/>
      <c r="F56" s="86"/>
      <c r="G56" s="84">
        <f t="shared" si="31"/>
        <v>1266.7105461319491</v>
      </c>
      <c r="H56" s="85">
        <f>G56/G55</f>
        <v>0.99985015546226141</v>
      </c>
      <c r="I56" s="86"/>
      <c r="J56" s="86"/>
      <c r="K56" s="84">
        <f t="shared" si="33"/>
        <v>132.52025424536956</v>
      </c>
      <c r="L56" s="85">
        <f>K56/K55</f>
        <v>0.99909159545887738</v>
      </c>
      <c r="M56" s="86"/>
      <c r="N56" s="86"/>
      <c r="O56" s="84">
        <f>O55*P$14^(1/12)</f>
        <v>2950.7567070911555</v>
      </c>
      <c r="P56" s="85">
        <f>O56/O55</f>
        <v>1.000333100285735</v>
      </c>
      <c r="Q56" s="86"/>
      <c r="R56" s="86"/>
      <c r="S56" s="84">
        <f t="shared" si="25"/>
        <v>175.73530173992086</v>
      </c>
      <c r="T56" s="85">
        <f t="shared" si="26"/>
        <v>0.99972939182178744</v>
      </c>
      <c r="U56" s="86"/>
      <c r="V56" s="86"/>
      <c r="W56" s="84">
        <f>W55*X$14^(1/12)</f>
        <v>19</v>
      </c>
      <c r="X56" s="85">
        <f>W56/W55</f>
        <v>1</v>
      </c>
    </row>
    <row r="57" spans="2:24">
      <c r="B57" t="s">
        <v>91</v>
      </c>
      <c r="C57" s="84">
        <f>C56*D$14^(1/12)</f>
        <v>10630.137443006673</v>
      </c>
      <c r="D57" s="85">
        <f>C57/C56</f>
        <v>1.0008252388772003</v>
      </c>
      <c r="E57" s="86"/>
      <c r="F57" s="86"/>
      <c r="G57" s="84">
        <f t="shared" si="31"/>
        <v>1266.5207364757155</v>
      </c>
      <c r="H57" s="85">
        <f>G57/G56</f>
        <v>0.99985015546226153</v>
      </c>
      <c r="I57" s="86"/>
      <c r="J57" s="86"/>
      <c r="K57" s="84">
        <f t="shared" si="33"/>
        <v>132.39987224462234</v>
      </c>
      <c r="L57" s="85">
        <f>K57/K56</f>
        <v>0.99909159545887738</v>
      </c>
      <c r="M57" s="86"/>
      <c r="N57" s="86"/>
      <c r="O57" s="84">
        <f>O56*P$14^(1/12)</f>
        <v>2951.7396049934218</v>
      </c>
      <c r="P57" s="85">
        <f>O57/O56</f>
        <v>1.000333100285735</v>
      </c>
      <c r="Q57" s="86"/>
      <c r="R57" s="86"/>
      <c r="S57" s="84">
        <f t="shared" si="25"/>
        <v>175.68774633006939</v>
      </c>
      <c r="T57" s="85">
        <f t="shared" si="26"/>
        <v>0.99972939182178744</v>
      </c>
      <c r="U57" s="86"/>
      <c r="V57" s="86"/>
      <c r="W57" s="84">
        <f>W56*X$14^(1/12)</f>
        <v>19</v>
      </c>
      <c r="X57" s="85">
        <f>W57/W56</f>
        <v>1</v>
      </c>
    </row>
    <row r="58" spans="2:24">
      <c r="B58" t="s">
        <v>92</v>
      </c>
      <c r="C58" s="84">
        <f>C57*D$14^(1/12)</f>
        <v>10638.909845694625</v>
      </c>
      <c r="D58" s="85">
        <f>C58/C57</f>
        <v>1.0008252388772003</v>
      </c>
      <c r="E58" s="86"/>
      <c r="F58" s="86"/>
      <c r="G58" s="84">
        <f t="shared" si="31"/>
        <v>1266.3309552614221</v>
      </c>
      <c r="H58" s="85">
        <f>G58/G57</f>
        <v>0.99985015546226153</v>
      </c>
      <c r="I58" s="86"/>
      <c r="J58" s="86"/>
      <c r="K58" s="84">
        <f t="shared" si="33"/>
        <v>132.27959959943126</v>
      </c>
      <c r="L58" s="85">
        <f>K58/K57</f>
        <v>0.99909159545887727</v>
      </c>
      <c r="M58" s="86"/>
      <c r="N58" s="86"/>
      <c r="O58" s="84">
        <f>O57*P$14^(1/12)</f>
        <v>2952.7228302992603</v>
      </c>
      <c r="P58" s="85">
        <f>O58/O57</f>
        <v>1.000333100285735</v>
      </c>
      <c r="Q58" s="86"/>
      <c r="R58" s="86"/>
      <c r="S58" s="84">
        <f t="shared" si="25"/>
        <v>175.64020378910072</v>
      </c>
      <c r="T58" s="85">
        <f t="shared" si="26"/>
        <v>0.99972939182178733</v>
      </c>
      <c r="U58" s="86"/>
      <c r="V58" s="86"/>
      <c r="W58" s="84">
        <f>W57*X$14^(1/12)</f>
        <v>19</v>
      </c>
      <c r="X58" s="85">
        <f>W58/W57</f>
        <v>1</v>
      </c>
    </row>
    <row r="59" spans="2:24">
      <c r="B59" t="s">
        <v>93</v>
      </c>
      <c r="C59" s="84">
        <f>C58*D$14^(1/12)</f>
        <v>10647.68948771032</v>
      </c>
      <c r="D59" s="85">
        <f>C59/C58</f>
        <v>1.0008252388772003</v>
      </c>
      <c r="E59" s="86"/>
      <c r="F59" s="86"/>
      <c r="G59" s="84">
        <f t="shared" si="31"/>
        <v>1266.1412024848071</v>
      </c>
      <c r="H59" s="85">
        <f>G59/G58</f>
        <v>0.99985015546226153</v>
      </c>
      <c r="I59" s="86"/>
      <c r="J59" s="86"/>
      <c r="K59" s="84">
        <f t="shared" si="33"/>
        <v>132.15943621045727</v>
      </c>
      <c r="L59" s="85">
        <f>K59/K58</f>
        <v>0.99909159545887749</v>
      </c>
      <c r="M59" s="86"/>
      <c r="N59" s="86"/>
      <c r="O59" s="84">
        <f>O58*P$14^(1/12)</f>
        <v>2953.7063831177293</v>
      </c>
      <c r="P59" s="85">
        <f>O59/O58</f>
        <v>1.000333100285735</v>
      </c>
      <c r="Q59" s="86"/>
      <c r="R59" s="86"/>
      <c r="S59" s="84">
        <f t="shared" si="25"/>
        <v>175.59267411353247</v>
      </c>
      <c r="T59" s="85">
        <f t="shared" si="26"/>
        <v>0.99972939182178744</v>
      </c>
      <c r="U59" s="86"/>
      <c r="V59" s="86"/>
      <c r="W59" s="84">
        <f>W58*X$14^(1/12)</f>
        <v>19</v>
      </c>
      <c r="X59" s="85">
        <f>W59/W58</f>
        <v>1</v>
      </c>
    </row>
  </sheetData>
  <mergeCells count="12">
    <mergeCell ref="V2:W2"/>
    <mergeCell ref="X2:X3"/>
    <mergeCell ref="N2:O2"/>
    <mergeCell ref="P2:P3"/>
    <mergeCell ref="B2:C2"/>
    <mergeCell ref="D2:D3"/>
    <mergeCell ref="F2:G2"/>
    <mergeCell ref="H2:H3"/>
    <mergeCell ref="J2:K2"/>
    <mergeCell ref="L2:L3"/>
    <mergeCell ref="R2:S2"/>
    <mergeCell ref="T2:T3"/>
  </mergeCells>
  <phoneticPr fontId="40" type="noConversion"/>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35"/>
  <dimension ref="A2:Y49"/>
  <sheetViews>
    <sheetView zoomScale="115" zoomScaleNormal="115" workbookViewId="0">
      <selection activeCell="P22" sqref="P22"/>
    </sheetView>
  </sheetViews>
  <sheetFormatPr defaultRowHeight="13.15"/>
  <cols>
    <col min="3" max="3" width="17.5" bestFit="1" customWidth="1"/>
    <col min="4" max="4" width="15.33203125" customWidth="1"/>
    <col min="5" max="5" width="12.83203125" customWidth="1"/>
    <col min="6" max="6" width="11.33203125" bestFit="1" customWidth="1"/>
    <col min="7" max="7" width="11.33203125" customWidth="1"/>
    <col min="8" max="8" width="12.1640625" customWidth="1"/>
    <col min="11" max="11" width="14.6640625" customWidth="1"/>
    <col min="12" max="12" width="16.1640625" customWidth="1"/>
    <col min="13" max="13" width="15.83203125" customWidth="1"/>
    <col min="14" max="14" width="11" customWidth="1"/>
    <col min="16" max="16" width="9.33203125" customWidth="1"/>
    <col min="17" max="17" width="10.6640625" bestFit="1" customWidth="1"/>
    <col min="19" max="19" width="14.6640625" customWidth="1"/>
    <col min="20" max="20" width="16.1640625" customWidth="1"/>
    <col min="21" max="21" width="15.83203125" customWidth="1"/>
    <col min="22" max="22" width="11" customWidth="1"/>
    <col min="24" max="24" width="9.33203125" customWidth="1"/>
    <col min="25" max="25" width="10.6640625" bestFit="1" customWidth="1"/>
  </cols>
  <sheetData>
    <row r="2" spans="1:25">
      <c r="C2" s="606" t="s">
        <v>20</v>
      </c>
      <c r="D2" s="606"/>
      <c r="E2" s="606"/>
      <c r="F2" s="258"/>
      <c r="K2" s="606" t="s">
        <v>416</v>
      </c>
      <c r="L2" s="606"/>
      <c r="M2" s="606"/>
      <c r="N2" s="258"/>
      <c r="S2" s="606" t="s">
        <v>185</v>
      </c>
      <c r="T2" s="606"/>
      <c r="U2" s="606"/>
      <c r="V2" s="258"/>
    </row>
    <row r="3" spans="1:25">
      <c r="A3" s="49"/>
      <c r="B3" s="49"/>
      <c r="C3" s="256" t="s">
        <v>1</v>
      </c>
      <c r="D3" s="256" t="s">
        <v>2</v>
      </c>
      <c r="E3" s="256" t="s">
        <v>417</v>
      </c>
      <c r="F3" s="256" t="s">
        <v>418</v>
      </c>
      <c r="G3" s="48"/>
      <c r="H3" s="48"/>
      <c r="J3" s="49"/>
      <c r="K3" s="256" t="s">
        <v>1</v>
      </c>
      <c r="L3" s="256" t="s">
        <v>2</v>
      </c>
      <c r="M3" s="256" t="s">
        <v>417</v>
      </c>
      <c r="N3" s="256" t="s">
        <v>418</v>
      </c>
      <c r="P3" s="49"/>
      <c r="Q3" s="48"/>
      <c r="R3" s="49"/>
      <c r="S3" s="256" t="s">
        <v>1</v>
      </c>
      <c r="T3" s="256" t="s">
        <v>2</v>
      </c>
      <c r="U3" s="256" t="s">
        <v>417</v>
      </c>
      <c r="V3" s="256" t="s">
        <v>418</v>
      </c>
      <c r="X3" s="49"/>
      <c r="Y3" s="48"/>
    </row>
    <row r="4" spans="1:25">
      <c r="A4" s="49"/>
      <c r="B4" s="49"/>
      <c r="C4" s="256" t="s">
        <v>400</v>
      </c>
      <c r="D4" s="256" t="s">
        <v>401</v>
      </c>
      <c r="E4" s="256" t="s">
        <v>419</v>
      </c>
      <c r="F4" s="256"/>
      <c r="G4" s="48"/>
      <c r="H4" s="48"/>
      <c r="J4" s="49"/>
      <c r="K4" s="256" t="s">
        <v>400</v>
      </c>
      <c r="L4" s="256" t="s">
        <v>401</v>
      </c>
      <c r="M4" s="256" t="s">
        <v>419</v>
      </c>
      <c r="N4" s="256"/>
      <c r="P4" s="49"/>
      <c r="Q4" s="48"/>
      <c r="R4" s="49"/>
      <c r="S4" s="256" t="s">
        <v>400</v>
      </c>
      <c r="T4" s="256" t="s">
        <v>401</v>
      </c>
      <c r="U4" s="256" t="s">
        <v>419</v>
      </c>
      <c r="V4" s="256"/>
      <c r="X4" s="49"/>
      <c r="Y4" s="48"/>
    </row>
    <row r="5" spans="1:25">
      <c r="A5" s="10"/>
      <c r="B5" s="10">
        <v>2016</v>
      </c>
      <c r="C5" s="43">
        <f>'Normalized Annual Summary'!W5</f>
        <v>75048053</v>
      </c>
      <c r="D5" s="43">
        <f>SUMIF('Monthly Data'!B:B,B5,'Monthly Data'!O:O)</f>
        <v>223174</v>
      </c>
      <c r="E5" s="50">
        <f t="shared" ref="E5:E14" si="0">D5/C5</f>
        <v>2.9737480331435114E-3</v>
      </c>
      <c r="F5" s="19"/>
      <c r="G5" s="19"/>
      <c r="H5" s="19"/>
      <c r="J5" s="10">
        <v>2016</v>
      </c>
      <c r="K5" s="43">
        <f>'Normalized Annual Summary'!AG5</f>
        <v>1307703</v>
      </c>
      <c r="L5" s="43">
        <f>SUMIF('Monthly Data'!$B:$B,J5,'Monthly Data'!R:R)</f>
        <v>3918</v>
      </c>
      <c r="M5" s="50">
        <f t="shared" ref="M5:M14" si="1">L5/K5</f>
        <v>2.9960931495913064E-3</v>
      </c>
      <c r="N5" s="19"/>
      <c r="O5" s="19"/>
      <c r="P5" s="10"/>
      <c r="Q5" s="43"/>
      <c r="R5" s="10">
        <v>2016</v>
      </c>
      <c r="S5" s="43">
        <f>'Normalized Annual Summary'!AN5</f>
        <v>217806</v>
      </c>
      <c r="T5" s="43">
        <f>SUMIF('Monthly Data'!$B:$B,J5,'Monthly Data'!U:U)</f>
        <v>629</v>
      </c>
      <c r="U5" s="50">
        <f t="shared" ref="U5:U14" si="2">T5/S5</f>
        <v>2.8878910590158214E-3</v>
      </c>
      <c r="V5" s="19"/>
      <c r="W5" s="19"/>
      <c r="X5" s="10"/>
      <c r="Y5" s="43"/>
    </row>
    <row r="6" spans="1:25">
      <c r="A6" s="10"/>
      <c r="B6" s="10">
        <f t="shared" ref="B6:B14" si="3">B5+1</f>
        <v>2017</v>
      </c>
      <c r="C6" s="43">
        <f>'Normalized Annual Summary'!W6</f>
        <v>70829349</v>
      </c>
      <c r="D6" s="43">
        <f>SUMIF('Monthly Data'!B:B,B6,'Monthly Data'!O:O)</f>
        <v>218669</v>
      </c>
      <c r="E6" s="50">
        <f t="shared" si="0"/>
        <v>3.0872654215698073E-3</v>
      </c>
      <c r="F6" s="19"/>
      <c r="G6" s="19"/>
      <c r="H6" s="19"/>
      <c r="J6" s="10">
        <f t="shared" ref="J6:J14" si="4">J5+1</f>
        <v>2017</v>
      </c>
      <c r="K6" s="43">
        <f>'Normalized Annual Summary'!AG6</f>
        <v>1297582</v>
      </c>
      <c r="L6" s="43">
        <f>SUMIF('Monthly Data'!$B:$B,J6,'Monthly Data'!R:R)</f>
        <v>3609</v>
      </c>
      <c r="M6" s="50">
        <f t="shared" si="1"/>
        <v>2.781327114586978E-3</v>
      </c>
      <c r="N6" s="19"/>
      <c r="O6" s="19"/>
      <c r="P6" s="10"/>
      <c r="Q6" s="43"/>
      <c r="R6" s="10">
        <f t="shared" ref="R6:R14" si="5">R5+1</f>
        <v>2017</v>
      </c>
      <c r="S6" s="43">
        <f>'Normalized Annual Summary'!AN6</f>
        <v>203681</v>
      </c>
      <c r="T6" s="43">
        <f>SUMIF('Monthly Data'!$B:$B,J6,'Monthly Data'!U:U)</f>
        <v>546</v>
      </c>
      <c r="U6" s="50">
        <f t="shared" si="2"/>
        <v>2.6806624083738789E-3</v>
      </c>
      <c r="V6" s="19"/>
      <c r="W6" s="19"/>
      <c r="X6" s="10"/>
      <c r="Y6" s="43"/>
    </row>
    <row r="7" spans="1:25">
      <c r="A7" s="10"/>
      <c r="B7" s="10">
        <f t="shared" si="3"/>
        <v>2018</v>
      </c>
      <c r="C7" s="43">
        <f>'Normalized Annual Summary'!W7</f>
        <v>71502339</v>
      </c>
      <c r="D7" s="43">
        <f>SUMIF('Monthly Data'!B:B,B7,'Monthly Data'!O:O)</f>
        <v>229114</v>
      </c>
      <c r="E7" s="50">
        <f t="shared" si="0"/>
        <v>3.2042867856392782E-3</v>
      </c>
      <c r="F7" s="19">
        <f t="shared" ref="F7:F14" si="6">AVERAGE(E5:E7)</f>
        <v>3.0884334134508654E-3</v>
      </c>
      <c r="G7" s="19"/>
      <c r="H7" s="19"/>
      <c r="J7" s="10">
        <f t="shared" si="4"/>
        <v>2018</v>
      </c>
      <c r="K7" s="43">
        <f>'Normalized Annual Summary'!AG7</f>
        <v>1110658</v>
      </c>
      <c r="L7" s="43">
        <f>SUMIF('Monthly Data'!$B:$B,J7,'Monthly Data'!R:R)</f>
        <v>3152</v>
      </c>
      <c r="M7" s="50">
        <f t="shared" si="1"/>
        <v>2.837957318994686E-3</v>
      </c>
      <c r="N7" s="19">
        <f t="shared" ref="N7:N13" si="7">AVERAGE(M5:M7)</f>
        <v>2.8717925277243236E-3</v>
      </c>
      <c r="O7" s="19"/>
      <c r="P7" s="10"/>
      <c r="Q7" s="43"/>
      <c r="R7" s="10">
        <f t="shared" si="5"/>
        <v>2018</v>
      </c>
      <c r="S7" s="43">
        <f>'Normalized Annual Summary'!AN7</f>
        <v>203849</v>
      </c>
      <c r="T7" s="43">
        <f>SUMIF('Monthly Data'!$B:$B,J7,'Monthly Data'!U:U)</f>
        <v>529</v>
      </c>
      <c r="U7" s="50">
        <f t="shared" si="2"/>
        <v>2.5950581067358683E-3</v>
      </c>
      <c r="V7" s="19">
        <f t="shared" ref="V7:V13" si="8">AVERAGE(U5:U7)</f>
        <v>2.721203858041856E-3</v>
      </c>
      <c r="W7" s="19"/>
      <c r="X7" s="10"/>
      <c r="Y7" s="43"/>
    </row>
    <row r="8" spans="1:25">
      <c r="A8" s="10"/>
      <c r="B8" s="10">
        <f t="shared" si="3"/>
        <v>2019</v>
      </c>
      <c r="C8" s="43">
        <f>'Normalized Annual Summary'!W8</f>
        <v>73532152</v>
      </c>
      <c r="D8" s="43">
        <f>SUMIF('Monthly Data'!B:B,B8,'Monthly Data'!O:O)</f>
        <v>230501</v>
      </c>
      <c r="E8" s="50">
        <f t="shared" si="0"/>
        <v>3.1346967786282116E-3</v>
      </c>
      <c r="F8" s="19">
        <f t="shared" si="6"/>
        <v>3.1420829952790992E-3</v>
      </c>
      <c r="G8" s="19"/>
      <c r="H8" s="19"/>
      <c r="J8" s="10">
        <f t="shared" si="4"/>
        <v>2019</v>
      </c>
      <c r="K8" s="43">
        <f>'Normalized Annual Summary'!AG8</f>
        <v>1053969</v>
      </c>
      <c r="L8" s="43">
        <f>SUMIF('Monthly Data'!$B:$B,J8,'Monthly Data'!R:R)</f>
        <v>2923</v>
      </c>
      <c r="M8" s="50">
        <f t="shared" si="1"/>
        <v>2.7733263502057459E-3</v>
      </c>
      <c r="N8" s="19">
        <f t="shared" si="7"/>
        <v>2.7975369279291365E-3</v>
      </c>
      <c r="O8" s="19"/>
      <c r="P8" s="10"/>
      <c r="Q8" s="43"/>
      <c r="R8" s="10">
        <f t="shared" si="5"/>
        <v>2019</v>
      </c>
      <c r="S8" s="43">
        <f>'Normalized Annual Summary'!AN8</f>
        <v>211785</v>
      </c>
      <c r="T8" s="43">
        <f>SUMIF('Monthly Data'!$B:$B,J8,'Monthly Data'!U:U)</f>
        <v>517</v>
      </c>
      <c r="U8" s="50">
        <f t="shared" si="2"/>
        <v>2.4411549448733385E-3</v>
      </c>
      <c r="V8" s="19">
        <f t="shared" si="8"/>
        <v>2.5722918199943619E-3</v>
      </c>
      <c r="W8" s="19"/>
      <c r="X8" s="10"/>
      <c r="Y8" s="43"/>
    </row>
    <row r="9" spans="1:25">
      <c r="A9" s="10"/>
      <c r="B9" s="10">
        <f t="shared" si="3"/>
        <v>2020</v>
      </c>
      <c r="C9" s="43">
        <f>'Normalized Annual Summary'!W9</f>
        <v>65161090</v>
      </c>
      <c r="D9" s="43">
        <f>SUMIF('Monthly Data'!B:B,B9,'Monthly Data'!O:O)</f>
        <v>193232.87873661672</v>
      </c>
      <c r="E9" s="50">
        <f t="shared" si="0"/>
        <v>2.9654641863206513E-3</v>
      </c>
      <c r="F9" s="19">
        <f t="shared" si="6"/>
        <v>3.1014825835293802E-3</v>
      </c>
      <c r="G9" s="19"/>
      <c r="H9" s="19"/>
      <c r="J9" s="10">
        <f t="shared" si="4"/>
        <v>2020</v>
      </c>
      <c r="K9" s="43">
        <f>'Normalized Annual Summary'!AG9</f>
        <v>1015667</v>
      </c>
      <c r="L9" s="43">
        <f>SUMIF('Monthly Data'!$B:$B,J9,'Monthly Data'!R:R)</f>
        <v>2832</v>
      </c>
      <c r="M9" s="50">
        <f t="shared" si="1"/>
        <v>2.7883154616621391E-3</v>
      </c>
      <c r="N9" s="19">
        <f t="shared" si="7"/>
        <v>2.7998663769541903E-3</v>
      </c>
      <c r="O9" s="19"/>
      <c r="P9" s="10"/>
      <c r="Q9" s="43"/>
      <c r="R9" s="10">
        <f t="shared" si="5"/>
        <v>2020</v>
      </c>
      <c r="S9" s="43">
        <f>'Normalized Annual Summary'!AN9</f>
        <v>199124</v>
      </c>
      <c r="T9" s="43">
        <f>SUMIF('Monthly Data'!$B:$B,J9,'Monthly Data'!U:U)</f>
        <v>516</v>
      </c>
      <c r="U9" s="50">
        <f t="shared" si="2"/>
        <v>2.5913501134971172E-3</v>
      </c>
      <c r="V9" s="19">
        <f t="shared" si="8"/>
        <v>2.5425210550354413E-3</v>
      </c>
      <c r="W9" s="19"/>
      <c r="X9" s="10"/>
      <c r="Y9" s="43"/>
    </row>
    <row r="10" spans="1:25">
      <c r="A10" s="10"/>
      <c r="B10" s="10">
        <f t="shared" si="3"/>
        <v>2021</v>
      </c>
      <c r="C10" s="43">
        <f>'Normalized Annual Summary'!W10</f>
        <v>67961293.822997034</v>
      </c>
      <c r="D10" s="43">
        <f>SUMIF('Monthly Data'!B:B,B10,'Monthly Data'!O:O)</f>
        <v>184340.4</v>
      </c>
      <c r="E10" s="50">
        <f t="shared" si="0"/>
        <v>2.7124321747038619E-3</v>
      </c>
      <c r="F10" s="19">
        <f t="shared" si="6"/>
        <v>2.9375310465509078E-3</v>
      </c>
      <c r="G10" s="19"/>
      <c r="H10" s="19"/>
      <c r="J10" s="10">
        <f t="shared" si="4"/>
        <v>2021</v>
      </c>
      <c r="K10" s="43">
        <f>'Normalized Annual Summary'!AG10</f>
        <v>1011635.55</v>
      </c>
      <c r="L10" s="43">
        <f>SUMIF('Monthly Data'!$B:$B,J10,'Monthly Data'!R:R)</f>
        <v>2822.6999999999994</v>
      </c>
      <c r="M10" s="50">
        <f t="shared" si="1"/>
        <v>2.7902340917141544E-3</v>
      </c>
      <c r="N10" s="19">
        <f t="shared" si="7"/>
        <v>2.7839586345273465E-3</v>
      </c>
      <c r="O10" s="19"/>
      <c r="P10" s="10"/>
      <c r="Q10" s="43"/>
      <c r="R10" s="10">
        <f t="shared" si="5"/>
        <v>2021</v>
      </c>
      <c r="S10" s="43">
        <f>'Normalized Annual Summary'!AN10</f>
        <v>189809.41692454813</v>
      </c>
      <c r="T10" s="43">
        <f>SUMIF('Monthly Data'!$B:$B,J10,'Monthly Data'!U:U)</f>
        <v>512</v>
      </c>
      <c r="U10" s="50">
        <f t="shared" si="2"/>
        <v>2.6974425626286342E-3</v>
      </c>
      <c r="V10" s="19">
        <f t="shared" si="8"/>
        <v>2.5766492069996968E-3</v>
      </c>
      <c r="W10" s="19"/>
      <c r="X10" s="10"/>
      <c r="Y10" s="43"/>
    </row>
    <row r="11" spans="1:25">
      <c r="A11" s="10"/>
      <c r="B11" s="10">
        <f t="shared" si="3"/>
        <v>2022</v>
      </c>
      <c r="C11" s="43">
        <f>'Normalized Annual Summary'!W11</f>
        <v>68211369.280000001</v>
      </c>
      <c r="D11" s="43">
        <f>SUMIF('Monthly Data'!B:B,B11,'Monthly Data'!O:O)</f>
        <v>204528.16000000006</v>
      </c>
      <c r="E11" s="50">
        <f t="shared" si="0"/>
        <v>2.998446771540899E-3</v>
      </c>
      <c r="F11" s="19">
        <f t="shared" si="6"/>
        <v>2.8921143775218045E-3</v>
      </c>
      <c r="G11" s="19"/>
      <c r="H11" s="19"/>
      <c r="J11" s="10">
        <f t="shared" si="4"/>
        <v>2022</v>
      </c>
      <c r="K11" s="43">
        <f>'Normalized Annual Summary'!AG11</f>
        <v>1002092</v>
      </c>
      <c r="L11" s="43">
        <f>SUMIF('Monthly Data'!$B:$B,J11,'Monthly Data'!R:R)</f>
        <v>2822.2</v>
      </c>
      <c r="M11" s="50">
        <f t="shared" si="1"/>
        <v>2.8163082830718134E-3</v>
      </c>
      <c r="N11" s="19">
        <f t="shared" si="7"/>
        <v>2.7982859454827023E-3</v>
      </c>
      <c r="O11" s="19"/>
      <c r="P11" s="10"/>
      <c r="Q11" s="43"/>
      <c r="R11" s="10">
        <f t="shared" si="5"/>
        <v>2022</v>
      </c>
      <c r="S11" s="43">
        <f>'Normalized Annual Summary'!AN11</f>
        <v>190718</v>
      </c>
      <c r="T11" s="43">
        <f>SUMIF('Monthly Data'!$B:$B,J11,'Monthly Data'!U:U)</f>
        <v>528.29999999999995</v>
      </c>
      <c r="U11" s="50">
        <f t="shared" si="2"/>
        <v>2.7700584108474291E-3</v>
      </c>
      <c r="V11" s="19">
        <f t="shared" si="8"/>
        <v>2.686283695657727E-3</v>
      </c>
      <c r="W11" s="19"/>
      <c r="X11" s="10"/>
      <c r="Y11" s="43"/>
    </row>
    <row r="12" spans="1:25">
      <c r="A12" s="10"/>
      <c r="B12" s="10">
        <f t="shared" si="3"/>
        <v>2023</v>
      </c>
      <c r="C12" s="43">
        <f>'Normalized Annual Summary'!W12</f>
        <v>64679344</v>
      </c>
      <c r="D12" s="43">
        <f>SUMIF('Monthly Data'!B:B,B12,'Monthly Data'!O:O)</f>
        <v>205270.34</v>
      </c>
      <c r="E12" s="50">
        <f t="shared" si="0"/>
        <v>3.1736614397325984E-3</v>
      </c>
      <c r="F12" s="19">
        <f t="shared" si="6"/>
        <v>2.9615134619924532E-3</v>
      </c>
      <c r="G12" s="19"/>
      <c r="H12" s="19"/>
      <c r="J12" s="10">
        <f t="shared" si="4"/>
        <v>2023</v>
      </c>
      <c r="K12" s="43">
        <f>'Normalized Annual Summary'!AG12</f>
        <v>998543</v>
      </c>
      <c r="L12" s="43">
        <f>SUMIF('Monthly Data'!$B:$B,J12,'Monthly Data'!R:R)</f>
        <v>2784.2999999999997</v>
      </c>
      <c r="M12" s="50">
        <f t="shared" si="1"/>
        <v>2.788362644372851E-3</v>
      </c>
      <c r="N12" s="19">
        <f t="shared" si="7"/>
        <v>2.7983016730529393E-3</v>
      </c>
      <c r="O12" s="19"/>
      <c r="P12" s="10"/>
      <c r="Q12" s="43"/>
      <c r="R12" s="10">
        <f t="shared" si="5"/>
        <v>2023</v>
      </c>
      <c r="S12" s="43">
        <f>'Normalized Annual Summary'!AN12</f>
        <v>175555</v>
      </c>
      <c r="T12" s="43">
        <f>SUMIF('Monthly Data'!$B:$B,J12,'Monthly Data'!U:U)</f>
        <v>479</v>
      </c>
      <c r="U12" s="50">
        <f t="shared" si="2"/>
        <v>2.7284896471191367E-3</v>
      </c>
      <c r="V12" s="19">
        <f t="shared" si="8"/>
        <v>2.7319968735317335E-3</v>
      </c>
      <c r="W12" s="19"/>
      <c r="X12" s="10"/>
      <c r="Y12" s="43"/>
    </row>
    <row r="13" spans="1:25">
      <c r="A13" s="10"/>
      <c r="B13" s="10">
        <f t="shared" si="3"/>
        <v>2024</v>
      </c>
      <c r="C13" s="43">
        <f>'Normalized Annual Summary'!W13</f>
        <v>64215692</v>
      </c>
      <c r="D13" s="43">
        <f>SUMIF('Monthly Data'!B:B,B13,'Monthly Data'!O:O)</f>
        <v>189967.22000000003</v>
      </c>
      <c r="E13" s="50">
        <f t="shared" si="0"/>
        <v>2.9582678950185576E-3</v>
      </c>
      <c r="F13" s="19">
        <f t="shared" si="6"/>
        <v>3.0434587020973518E-3</v>
      </c>
      <c r="G13" s="19"/>
      <c r="H13" s="19"/>
      <c r="J13" s="10">
        <f t="shared" si="4"/>
        <v>2024</v>
      </c>
      <c r="K13" s="43">
        <f>'Normalized Annual Summary'!AG13</f>
        <v>996845</v>
      </c>
      <c r="L13" s="43">
        <f>SUMIF('Monthly Data'!$B:$B,J13,'Monthly Data'!R:R)</f>
        <v>2773.7</v>
      </c>
      <c r="M13" s="50">
        <f t="shared" si="1"/>
        <v>2.7824787203627444E-3</v>
      </c>
      <c r="N13" s="19">
        <f t="shared" si="7"/>
        <v>2.795716549269136E-3</v>
      </c>
      <c r="O13" s="19"/>
      <c r="P13" s="10"/>
      <c r="Q13" s="43"/>
      <c r="R13" s="10">
        <f t="shared" si="5"/>
        <v>2024</v>
      </c>
      <c r="S13" s="43">
        <f>'Normalized Annual Summary'!AN13</f>
        <v>164745</v>
      </c>
      <c r="T13" s="43">
        <f>SUMIF('Monthly Data'!$B:$B,J13,'Monthly Data'!U:U)</f>
        <v>480.5</v>
      </c>
      <c r="U13" s="50">
        <f t="shared" si="2"/>
        <v>2.9166287292482322E-3</v>
      </c>
      <c r="V13" s="19">
        <f t="shared" si="8"/>
        <v>2.8050589290715996E-3</v>
      </c>
      <c r="W13" s="19"/>
      <c r="X13" s="10"/>
      <c r="Y13" s="43"/>
    </row>
    <row r="14" spans="1:25">
      <c r="A14" s="10"/>
      <c r="B14" s="10">
        <f t="shared" si="3"/>
        <v>2025</v>
      </c>
      <c r="C14" s="43">
        <f>'Normalized Annual Summary'!W14</f>
        <v>72102178</v>
      </c>
      <c r="D14" s="43">
        <f>SUMIF('Monthly Data'!B:B,B14,'Monthly Data'!O:O)</f>
        <v>214176.6</v>
      </c>
      <c r="E14" s="50">
        <f t="shared" si="0"/>
        <v>2.9704595053980203E-3</v>
      </c>
      <c r="F14" s="19">
        <f t="shared" si="6"/>
        <v>3.0341296133830583E-3</v>
      </c>
      <c r="G14" s="19"/>
      <c r="H14" s="19"/>
      <c r="J14" s="10">
        <f t="shared" si="4"/>
        <v>2025</v>
      </c>
      <c r="K14" s="43">
        <f>'Normalized Annual Summary'!AG14</f>
        <v>1016652</v>
      </c>
      <c r="L14" s="43">
        <f>SUMIF('Monthly Data'!$B:$B,J14,'Monthly Data'!R:R)</f>
        <v>2824</v>
      </c>
      <c r="M14" s="50">
        <f t="shared" si="1"/>
        <v>2.7777449904195341E-3</v>
      </c>
      <c r="N14" s="19">
        <f>AVERAGE(M12:M14)</f>
        <v>2.7828621183850432E-3</v>
      </c>
      <c r="O14" s="19"/>
      <c r="P14" s="10"/>
      <c r="Q14" s="43"/>
      <c r="R14" s="10">
        <f t="shared" si="5"/>
        <v>2025</v>
      </c>
      <c r="S14" s="43">
        <f>'Normalized Annual Summary'!AN14</f>
        <v>162265</v>
      </c>
      <c r="T14" s="43">
        <f>SUMIF('Monthly Data'!$B:$B,J14,'Monthly Data'!U:U)</f>
        <v>443.59999999999997</v>
      </c>
      <c r="U14" s="50">
        <f t="shared" si="2"/>
        <v>2.7337996487227681E-3</v>
      </c>
      <c r="V14" s="19">
        <f>AVERAGE(U12:U14)</f>
        <v>2.7929726750300457E-3</v>
      </c>
      <c r="W14" s="19"/>
      <c r="X14" s="10"/>
      <c r="Y14" s="43"/>
    </row>
    <row r="15" spans="1:25">
      <c r="A15" s="10"/>
      <c r="B15" s="10"/>
      <c r="C15" s="43"/>
      <c r="D15" s="43"/>
      <c r="E15" s="50"/>
      <c r="F15" s="19"/>
      <c r="G15" s="19"/>
      <c r="H15" s="19"/>
      <c r="J15" s="10"/>
      <c r="K15" s="43"/>
      <c r="L15" s="43"/>
      <c r="M15" s="50"/>
      <c r="N15" s="19"/>
      <c r="O15" s="19"/>
      <c r="P15" s="10"/>
      <c r="Q15" s="43"/>
      <c r="R15" s="10"/>
      <c r="S15" s="43"/>
      <c r="T15" s="43"/>
      <c r="U15" s="50"/>
      <c r="V15" s="19"/>
      <c r="W15" s="19"/>
      <c r="X15" s="10"/>
      <c r="Y15" s="43"/>
    </row>
    <row r="16" spans="1:25">
      <c r="B16" s="10"/>
      <c r="C16" s="10" t="s">
        <v>420</v>
      </c>
      <c r="D16" s="51" t="s">
        <v>421</v>
      </c>
      <c r="E16" t="s">
        <v>422</v>
      </c>
      <c r="F16" t="s">
        <v>423</v>
      </c>
      <c r="G16" t="s">
        <v>395</v>
      </c>
      <c r="H16" t="s">
        <v>424</v>
      </c>
      <c r="J16" s="10"/>
      <c r="K16" s="10" t="s">
        <v>420</v>
      </c>
      <c r="L16" s="51" t="s">
        <v>421</v>
      </c>
      <c r="M16" t="s">
        <v>422</v>
      </c>
      <c r="N16" t="s">
        <v>425</v>
      </c>
      <c r="P16" s="10"/>
      <c r="Q16" s="10"/>
      <c r="R16" s="10"/>
      <c r="S16" s="10" t="s">
        <v>420</v>
      </c>
      <c r="T16" s="51" t="s">
        <v>421</v>
      </c>
      <c r="U16" t="s">
        <v>422</v>
      </c>
      <c r="V16" t="s">
        <v>425</v>
      </c>
      <c r="X16" s="10"/>
      <c r="Y16" s="10"/>
    </row>
    <row r="17" spans="1:25">
      <c r="B17" s="49"/>
      <c r="C17" s="49" t="s">
        <v>403</v>
      </c>
      <c r="D17" s="52" t="s">
        <v>426</v>
      </c>
      <c r="E17" s="53" t="s">
        <v>427</v>
      </c>
      <c r="F17" s="223" t="s">
        <v>406</v>
      </c>
      <c r="G17" s="223" t="s">
        <v>428</v>
      </c>
      <c r="H17" s="223" t="s">
        <v>429</v>
      </c>
      <c r="J17" s="49"/>
      <c r="K17" s="49" t="s">
        <v>403</v>
      </c>
      <c r="L17" s="52" t="s">
        <v>430</v>
      </c>
      <c r="M17" s="53" t="s">
        <v>427</v>
      </c>
      <c r="N17" s="223" t="s">
        <v>406</v>
      </c>
      <c r="P17" s="49"/>
      <c r="Q17" s="49"/>
      <c r="R17" s="49"/>
      <c r="S17" s="49" t="s">
        <v>403</v>
      </c>
      <c r="T17" s="52" t="s">
        <v>430</v>
      </c>
      <c r="U17" s="53" t="s">
        <v>427</v>
      </c>
      <c r="V17" s="223" t="s">
        <v>406</v>
      </c>
      <c r="X17" s="49"/>
      <c r="Y17" s="49"/>
    </row>
    <row r="18" spans="1:25">
      <c r="B18" s="45">
        <v>2025</v>
      </c>
      <c r="C18" s="46">
        <f ca="1">'Normalized Annual Summary'!AB14</f>
        <v>71912498.571687207</v>
      </c>
      <c r="D18" s="54">
        <f ca="1">C18*E18</f>
        <v>217022.78055106304</v>
      </c>
      <c r="E18" s="74">
        <f>AVERAGE(E5:E14)</f>
        <v>3.0178728991695396E-3</v>
      </c>
      <c r="F18" s="224">
        <f>TREND($E$6:$E$14,$B$6:$B$14,B18)</f>
        <v>2.9498177667866346E-3</v>
      </c>
      <c r="G18" s="221"/>
      <c r="H18" s="220">
        <f ca="1">D18+G18</f>
        <v>217022.78055106304</v>
      </c>
      <c r="J18" s="45">
        <v>2025</v>
      </c>
      <c r="K18" s="46">
        <f>'Normalized Annual Summary'!AJ14</f>
        <v>1016652</v>
      </c>
      <c r="L18" s="54">
        <f>K18*M18</f>
        <v>2837.5019067104154</v>
      </c>
      <c r="M18" s="74">
        <f>AVERAGE(M10:M14)</f>
        <v>2.7910257459882195E-3</v>
      </c>
      <c r="N18" s="55">
        <f>TREND($N$7:$N$14,$J$7:$J$14,J18)</f>
        <v>2.7776241958562941E-3</v>
      </c>
      <c r="P18" s="45"/>
      <c r="Q18" s="46"/>
      <c r="R18" s="45">
        <v>2025</v>
      </c>
      <c r="S18" s="46">
        <f>'Normalized Annual Summary'!AQ14</f>
        <v>162265</v>
      </c>
      <c r="T18" s="54">
        <f>S18*U18</f>
        <v>449.3578357604689</v>
      </c>
      <c r="U18" s="74">
        <f>AVERAGE(U10:U14)</f>
        <v>2.7692837997132401E-3</v>
      </c>
      <c r="V18" s="55">
        <f>TREND($N$7:$N$14,$J$7:$J$14,R18)</f>
        <v>2.7776241958562941E-3</v>
      </c>
      <c r="X18" s="45"/>
      <c r="Y18" s="46"/>
    </row>
    <row r="19" spans="1:25">
      <c r="B19" s="45">
        <v>2026</v>
      </c>
      <c r="C19" s="46">
        <f ca="1">'Normalized Annual Summary'!AB15</f>
        <v>65633524.381128609</v>
      </c>
      <c r="D19" s="54">
        <f ca="1">C19*E19</f>
        <v>198073.63450679125</v>
      </c>
      <c r="E19" s="74">
        <f>E18</f>
        <v>3.0178728991695396E-3</v>
      </c>
      <c r="F19" s="224">
        <f>TREND($E$6:$E$14,$B$6:$B$14,B19)</f>
        <v>2.9315782929679665E-3</v>
      </c>
      <c r="G19" s="221">
        <f>'Total Additional-Lost Loads'!G20</f>
        <v>78.26777459069902</v>
      </c>
      <c r="H19" s="220">
        <f ca="1">D19+G19</f>
        <v>198151.90228138195</v>
      </c>
      <c r="J19" s="45">
        <v>2026</v>
      </c>
      <c r="K19" s="46">
        <f>'Normalized Annual Summary'!AJ15</f>
        <v>1012496.4456910954</v>
      </c>
      <c r="L19" s="54">
        <f>K19*M19</f>
        <v>2825.9036476454103</v>
      </c>
      <c r="M19" s="74">
        <f>M18</f>
        <v>2.7910257459882195E-3</v>
      </c>
      <c r="N19" s="55">
        <f>TREND($N$7:$N$14,$J$7:$J$14,J19)</f>
        <v>2.7702196534822067E-3</v>
      </c>
      <c r="P19" s="45"/>
      <c r="Q19" s="46"/>
      <c r="R19" s="45">
        <v>2026</v>
      </c>
      <c r="S19" s="46">
        <f>'Normalized Annual Summary'!AQ15</f>
        <v>157402.60281308927</v>
      </c>
      <c r="T19" s="54">
        <f>S19*U19</f>
        <v>435.8924780029858</v>
      </c>
      <c r="U19" s="74">
        <f>U18</f>
        <v>2.7692837997132401E-3</v>
      </c>
      <c r="V19" s="55">
        <f>TREND($N$7:$N$14,$J$7:$J$14,R19)</f>
        <v>2.7702196534822067E-3</v>
      </c>
      <c r="X19" s="45"/>
      <c r="Y19" s="46"/>
    </row>
    <row r="20" spans="1:25">
      <c r="B20" s="45">
        <v>2027</v>
      </c>
      <c r="C20" s="46">
        <f ca="1">'Normalized Annual Summary'!AB16</f>
        <v>65682697.262035765</v>
      </c>
      <c r="D20" s="54">
        <f ca="1">C20*E20</f>
        <v>198222.03201145504</v>
      </c>
      <c r="E20" s="74">
        <f>E19</f>
        <v>3.0178728991695396E-3</v>
      </c>
      <c r="F20" s="224">
        <f>TREND($E$6:$E$14,$B$6:$B$14,B20)</f>
        <v>2.9133388191492915E-3</v>
      </c>
      <c r="G20" s="221">
        <f>'Total Additional-Lost Loads'!H20</f>
        <v>162.08614890230803</v>
      </c>
      <c r="H20" s="220">
        <f ca="1">D20+G20</f>
        <v>198384.11816035735</v>
      </c>
      <c r="J20" s="45">
        <v>2027</v>
      </c>
      <c r="K20" s="46">
        <f>'Normalized Annual Summary'!AJ16</f>
        <v>1016551.0227896626</v>
      </c>
      <c r="L20" s="54">
        <f>K20*M20</f>
        <v>2837.2200767166055</v>
      </c>
      <c r="M20" s="74">
        <f>M19</f>
        <v>2.7910257459882195E-3</v>
      </c>
      <c r="N20" s="55">
        <f>TREND($N$7:$N$14,$J$7:$J$14,J20)</f>
        <v>2.7628151111081193E-3</v>
      </c>
      <c r="P20" s="45"/>
      <c r="Q20" s="46"/>
      <c r="R20" s="45">
        <v>2027</v>
      </c>
      <c r="S20" s="46">
        <f>'Normalized Annual Summary'!AQ16</f>
        <v>149812.20333023078</v>
      </c>
      <c r="T20" s="54">
        <f>S20*U20</f>
        <v>414.87250768175403</v>
      </c>
      <c r="U20" s="74">
        <f>U19</f>
        <v>2.7692837997132401E-3</v>
      </c>
      <c r="V20" s="55">
        <f>TREND($N$7:$N$14,$J$7:$J$14,R20)</f>
        <v>2.7628151111081193E-3</v>
      </c>
      <c r="X20" s="45"/>
      <c r="Y20" s="46"/>
    </row>
    <row r="22" spans="1:25">
      <c r="A22" s="10"/>
      <c r="B22" s="10"/>
      <c r="C22" s="64" t="s">
        <v>1</v>
      </c>
      <c r="D22" s="65" t="s">
        <v>2</v>
      </c>
      <c r="E22" s="50" t="s">
        <v>431</v>
      </c>
      <c r="F22" s="10"/>
      <c r="G22" s="10"/>
      <c r="H22" s="10"/>
      <c r="I22" s="10"/>
      <c r="J22" s="10"/>
      <c r="K22" s="64" t="s">
        <v>1</v>
      </c>
      <c r="L22" s="65" t="s">
        <v>2</v>
      </c>
      <c r="M22" s="50" t="s">
        <v>431</v>
      </c>
      <c r="R22" s="10"/>
      <c r="S22" s="64" t="s">
        <v>1</v>
      </c>
      <c r="T22" s="65" t="s">
        <v>2</v>
      </c>
      <c r="U22" s="50" t="s">
        <v>431</v>
      </c>
    </row>
    <row r="23" spans="1:25">
      <c r="A23" s="10" t="s">
        <v>432</v>
      </c>
      <c r="B23" s="10"/>
      <c r="C23" s="66">
        <f>C14/C9-1</f>
        <v>0.10652197500072513</v>
      </c>
      <c r="D23" s="66">
        <f>D14/D9-1</f>
        <v>0.10838590927339187</v>
      </c>
      <c r="E23" s="67">
        <f>D23-C23</f>
        <v>1.8639342726667341E-3</v>
      </c>
      <c r="F23" s="10"/>
      <c r="G23" s="10"/>
      <c r="H23" s="10"/>
      <c r="I23" s="10"/>
      <c r="J23" s="10"/>
      <c r="K23" s="66">
        <f>K14/K9-1</f>
        <v>9.6980604863605713E-4</v>
      </c>
      <c r="L23" s="66">
        <f>L14/L9-1</f>
        <v>-2.8248587570621764E-3</v>
      </c>
      <c r="M23" s="67">
        <f>L23-K23</f>
        <v>-3.7946648056982335E-3</v>
      </c>
      <c r="R23" s="10"/>
      <c r="S23" s="66">
        <f>S14/S9-1</f>
        <v>-0.18510576324300432</v>
      </c>
      <c r="T23" s="66">
        <f>T14/T9-1</f>
        <v>-0.14031007751937996</v>
      </c>
      <c r="U23" s="67">
        <f>T23-S23</f>
        <v>4.4795685723624357E-2</v>
      </c>
    </row>
    <row r="24" spans="1:25">
      <c r="A24" s="10" t="s">
        <v>433</v>
      </c>
      <c r="B24" s="10"/>
      <c r="C24" s="66">
        <f>C14/C5-1</f>
        <v>-3.9253183556940519E-2</v>
      </c>
      <c r="D24" s="66">
        <f>D14/D5-1</f>
        <v>-4.0315628164571127E-2</v>
      </c>
      <c r="E24" s="67">
        <f>D24-C24</f>
        <v>-1.0624446076306082E-3</v>
      </c>
      <c r="F24" s="10"/>
      <c r="G24" s="10"/>
      <c r="H24" s="10"/>
      <c r="I24" s="10"/>
      <c r="J24" s="10"/>
      <c r="K24" s="66">
        <f>K14/K5-1</f>
        <v>-0.22256659195551287</v>
      </c>
      <c r="L24" s="66">
        <f>L14/L5-1</f>
        <v>-0.27922409392547221</v>
      </c>
      <c r="M24" s="67">
        <f>L24-K24</f>
        <v>-5.6657501969959334E-2</v>
      </c>
      <c r="R24" s="10"/>
      <c r="S24" s="66">
        <f>S14/S5-1</f>
        <v>-0.25500215788362124</v>
      </c>
      <c r="T24" s="66">
        <f>T14/T5-1</f>
        <v>-0.29475357710651828</v>
      </c>
      <c r="U24" s="67">
        <f>T24-S24</f>
        <v>-3.9751419222897044E-2</v>
      </c>
    </row>
    <row r="25" spans="1:25">
      <c r="A25" s="10"/>
      <c r="B25" s="10"/>
      <c r="C25" s="10"/>
      <c r="D25" s="10"/>
      <c r="E25" s="10"/>
      <c r="F25" s="10"/>
      <c r="G25" s="10"/>
      <c r="H25" s="10"/>
      <c r="I25" s="10"/>
      <c r="J25" s="10"/>
      <c r="K25" s="10"/>
      <c r="L25" s="10"/>
      <c r="M25" s="10"/>
      <c r="R25" s="10"/>
      <c r="S25" s="10"/>
      <c r="T25" s="10"/>
      <c r="U25" s="10"/>
    </row>
    <row r="26" spans="1:25">
      <c r="A26" s="10"/>
      <c r="B26" s="10"/>
      <c r="C26" s="10"/>
      <c r="D26" s="10" t="s">
        <v>434</v>
      </c>
      <c r="E26" s="10"/>
      <c r="F26" s="10"/>
      <c r="G26" s="10"/>
      <c r="H26" s="10"/>
      <c r="I26" s="10"/>
      <c r="J26" s="10"/>
      <c r="K26" s="10"/>
      <c r="L26" s="10" t="s">
        <v>435</v>
      </c>
      <c r="M26" s="10"/>
      <c r="R26" s="10"/>
      <c r="S26" s="10"/>
      <c r="T26" s="10" t="s">
        <v>435</v>
      </c>
      <c r="U26" s="10"/>
    </row>
    <row r="49" spans="5:5">
      <c r="E49" s="30"/>
    </row>
  </sheetData>
  <mergeCells count="3">
    <mergeCell ref="C2:E2"/>
    <mergeCell ref="K2:M2"/>
    <mergeCell ref="S2:U2"/>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6"/>
  <dimension ref="A2:AA36"/>
  <sheetViews>
    <sheetView workbookViewId="0">
      <selection activeCell="T19" sqref="T19"/>
    </sheetView>
  </sheetViews>
  <sheetFormatPr defaultColWidth="9.33203125" defaultRowHeight="13.15"/>
  <cols>
    <col min="3" max="3" width="17.5" bestFit="1" customWidth="1"/>
    <col min="4" max="4" width="15.33203125" customWidth="1"/>
    <col min="5" max="5" width="12.83203125" customWidth="1"/>
    <col min="6" max="6" width="11.33203125" bestFit="1" customWidth="1"/>
    <col min="7" max="8" width="11.33203125" customWidth="1"/>
    <col min="11" max="11" width="14.6640625" customWidth="1"/>
    <col min="12" max="12" width="16.1640625" customWidth="1"/>
    <col min="13" max="13" width="15.83203125" customWidth="1"/>
    <col min="14" max="14" width="11" customWidth="1"/>
    <col min="16" max="16" width="9.33203125" customWidth="1"/>
    <col min="18" max="18" width="14.6640625" customWidth="1"/>
    <col min="19" max="19" width="16.1640625" customWidth="1"/>
    <col min="20" max="20" width="15.83203125" customWidth="1"/>
    <col min="21" max="21" width="11" customWidth="1"/>
  </cols>
  <sheetData>
    <row r="2" spans="1:27">
      <c r="C2" s="608" t="s">
        <v>20</v>
      </c>
      <c r="D2" s="608"/>
      <c r="E2" s="608"/>
      <c r="K2" s="608" t="s">
        <v>416</v>
      </c>
      <c r="L2" s="608"/>
      <c r="M2" s="608"/>
      <c r="R2" s="608" t="s">
        <v>185</v>
      </c>
      <c r="S2" s="608"/>
      <c r="T2" s="608"/>
    </row>
    <row r="3" spans="1:27">
      <c r="A3" s="49"/>
      <c r="B3" s="49"/>
      <c r="C3" s="48" t="s">
        <v>1</v>
      </c>
      <c r="D3" s="48" t="s">
        <v>2</v>
      </c>
      <c r="E3" s="48" t="s">
        <v>417</v>
      </c>
      <c r="F3" s="48" t="s">
        <v>418</v>
      </c>
      <c r="G3" s="48"/>
      <c r="H3" s="48"/>
      <c r="J3" s="49"/>
      <c r="K3" s="48" t="s">
        <v>1</v>
      </c>
      <c r="L3" s="48" t="s">
        <v>2</v>
      </c>
      <c r="M3" s="48" t="s">
        <v>417</v>
      </c>
      <c r="N3" s="48" t="s">
        <v>418</v>
      </c>
      <c r="P3" s="49"/>
      <c r="Q3" s="49"/>
      <c r="R3" s="48" t="s">
        <v>1</v>
      </c>
      <c r="S3" s="48" t="s">
        <v>2</v>
      </c>
      <c r="T3" s="48" t="s">
        <v>417</v>
      </c>
      <c r="U3" s="48" t="s">
        <v>418</v>
      </c>
      <c r="W3" s="49"/>
      <c r="X3" s="48"/>
      <c r="Y3" s="48"/>
      <c r="Z3" s="49"/>
    </row>
    <row r="4" spans="1:27">
      <c r="A4" s="49"/>
      <c r="B4" s="49"/>
      <c r="C4" s="49" t="s">
        <v>400</v>
      </c>
      <c r="D4" s="49" t="s">
        <v>401</v>
      </c>
      <c r="E4" s="49" t="s">
        <v>419</v>
      </c>
      <c r="F4" s="48"/>
      <c r="G4" s="48"/>
      <c r="H4" s="48"/>
      <c r="J4" s="49"/>
      <c r="K4" s="49" t="s">
        <v>400</v>
      </c>
      <c r="L4" s="49" t="s">
        <v>401</v>
      </c>
      <c r="M4" s="49" t="s">
        <v>419</v>
      </c>
      <c r="N4" s="48"/>
      <c r="P4" s="49"/>
      <c r="Q4" s="49"/>
      <c r="R4" s="49" t="s">
        <v>400</v>
      </c>
      <c r="S4" s="49" t="s">
        <v>401</v>
      </c>
      <c r="T4" s="49" t="s">
        <v>419</v>
      </c>
      <c r="U4" s="48"/>
      <c r="W4" s="49"/>
      <c r="X4" s="48"/>
      <c r="Y4" s="48"/>
      <c r="Z4" s="49"/>
    </row>
    <row r="5" spans="1:27">
      <c r="A5" s="10"/>
      <c r="B5" s="10">
        <v>2016</v>
      </c>
      <c r="C5" s="43">
        <f ca="1">'Normalized Annual Summary'!AB6</f>
        <v>67889334.630251586</v>
      </c>
      <c r="D5" s="43">
        <f t="shared" ref="D5:D14" ca="1" si="0">C5*E5</f>
        <v>201885.77532813232</v>
      </c>
      <c r="E5" s="50">
        <f>'kW Forecast'!E5</f>
        <v>2.9737480331435114E-3</v>
      </c>
      <c r="F5" s="19"/>
      <c r="G5" s="19"/>
      <c r="H5" s="19"/>
      <c r="J5" s="10">
        <f>B5</f>
        <v>2016</v>
      </c>
      <c r="K5" s="43">
        <f>'Normalized Annual Summary'!AG5</f>
        <v>1307703</v>
      </c>
      <c r="L5" s="43">
        <f>SUMIF('Monthly Data'!$B:$B,J5,'Monthly Data'!R:R)</f>
        <v>3918</v>
      </c>
      <c r="M5" s="50">
        <f t="shared" ref="M5:M13" si="1">L5/K5</f>
        <v>2.9960931495913064E-3</v>
      </c>
      <c r="N5" s="19"/>
      <c r="O5" s="19"/>
      <c r="P5" s="10"/>
      <c r="Q5" s="10">
        <f>J5</f>
        <v>2016</v>
      </c>
      <c r="R5" s="43">
        <f>'Normalized Annual Summary'!AN5</f>
        <v>217806</v>
      </c>
      <c r="S5" s="43">
        <f>SUMIF('Monthly Data'!$B:$B,J5,'Monthly Data'!U:U)</f>
        <v>629</v>
      </c>
      <c r="T5" s="50">
        <f t="shared" ref="T5:T14" si="2">S5/R5</f>
        <v>2.8878910590158214E-3</v>
      </c>
      <c r="U5" s="19"/>
      <c r="V5" s="19"/>
      <c r="W5" s="10"/>
      <c r="X5" s="43"/>
      <c r="Y5" s="43"/>
      <c r="Z5" s="50"/>
      <c r="AA5" s="19"/>
    </row>
    <row r="6" spans="1:27">
      <c r="A6" s="10"/>
      <c r="B6" s="10">
        <f t="shared" ref="B6:B14" si="3">B5+1</f>
        <v>2017</v>
      </c>
      <c r="C6" s="43">
        <f ca="1">'Normalized Annual Summary'!AB7</f>
        <v>67397362.026449889</v>
      </c>
      <c r="D6" s="43">
        <f t="shared" ca="1" si="0"/>
        <v>208073.54528928074</v>
      </c>
      <c r="E6" s="50">
        <f>'kW Forecast'!E6</f>
        <v>3.0872654215698073E-3</v>
      </c>
      <c r="F6" s="19"/>
      <c r="G6" s="19"/>
      <c r="H6" s="19"/>
      <c r="J6" s="10">
        <f t="shared" ref="J6:J14" si="4">J5+1</f>
        <v>2017</v>
      </c>
      <c r="K6" s="43">
        <f>'Normalized Annual Summary'!AG6</f>
        <v>1297582</v>
      </c>
      <c r="L6" s="43">
        <f>SUMIF('Monthly Data'!$B:$B,J6,'Monthly Data'!R:R)</f>
        <v>3609</v>
      </c>
      <c r="M6" s="50">
        <f t="shared" si="1"/>
        <v>2.781327114586978E-3</v>
      </c>
      <c r="N6" s="19"/>
      <c r="O6" s="19"/>
      <c r="P6" s="10"/>
      <c r="Q6" s="10">
        <f t="shared" ref="Q6:Q14" si="5">Q5+1</f>
        <v>2017</v>
      </c>
      <c r="R6" s="43">
        <f>'Normalized Annual Summary'!AN6</f>
        <v>203681</v>
      </c>
      <c r="S6" s="43">
        <f>SUMIF('Monthly Data'!$B:$B,J6,'Monthly Data'!U:U)</f>
        <v>546</v>
      </c>
      <c r="T6" s="50">
        <f t="shared" si="2"/>
        <v>2.6806624083738789E-3</v>
      </c>
      <c r="U6" s="19"/>
      <c r="V6" s="19"/>
      <c r="W6" s="10"/>
      <c r="X6" s="43"/>
      <c r="Y6" s="43"/>
      <c r="Z6" s="50"/>
      <c r="AA6" s="19"/>
    </row>
    <row r="7" spans="1:27">
      <c r="A7" s="10"/>
      <c r="B7" s="10">
        <f t="shared" si="3"/>
        <v>2018</v>
      </c>
      <c r="C7" s="43">
        <f ca="1">'Normalized Annual Summary'!AB8</f>
        <v>67160439.402271122</v>
      </c>
      <c r="D7" s="43">
        <f t="shared" ca="1" si="0"/>
        <v>215201.30849442485</v>
      </c>
      <c r="E7" s="50">
        <f>'kW Forecast'!E7</f>
        <v>3.2042867856392782E-3</v>
      </c>
      <c r="F7" s="19">
        <f t="shared" ref="F7:F14" si="6">AVERAGE(E5:E7)</f>
        <v>3.0884334134508654E-3</v>
      </c>
      <c r="G7" s="19"/>
      <c r="H7" s="19"/>
      <c r="J7" s="10">
        <f t="shared" si="4"/>
        <v>2018</v>
      </c>
      <c r="K7" s="43">
        <f>'Normalized Annual Summary'!AG7</f>
        <v>1110658</v>
      </c>
      <c r="L7" s="43">
        <f>SUMIF('Monthly Data'!$B:$B,J7,'Monthly Data'!R:R)</f>
        <v>3152</v>
      </c>
      <c r="M7" s="50">
        <f t="shared" si="1"/>
        <v>2.837957318994686E-3</v>
      </c>
      <c r="N7" s="19">
        <f t="shared" ref="N7:N12" si="7">AVERAGE(M5:M7)</f>
        <v>2.8717925277243236E-3</v>
      </c>
      <c r="O7" s="19"/>
      <c r="P7" s="10"/>
      <c r="Q7" s="10">
        <f t="shared" si="5"/>
        <v>2018</v>
      </c>
      <c r="R7" s="43">
        <f>'Normalized Annual Summary'!AN7</f>
        <v>203849</v>
      </c>
      <c r="S7" s="43">
        <f>SUMIF('Monthly Data'!$B:$B,J7,'Monthly Data'!U:U)</f>
        <v>529</v>
      </c>
      <c r="T7" s="50">
        <f t="shared" si="2"/>
        <v>2.5950581067358683E-3</v>
      </c>
      <c r="U7" s="19">
        <f t="shared" ref="U7:U12" si="8">AVERAGE(T5:T7)</f>
        <v>2.721203858041856E-3</v>
      </c>
      <c r="V7" s="19"/>
      <c r="W7" s="10"/>
      <c r="X7" s="43"/>
      <c r="Y7" s="43"/>
      <c r="Z7" s="50"/>
      <c r="AA7" s="19"/>
    </row>
    <row r="8" spans="1:27">
      <c r="A8" s="10"/>
      <c r="B8" s="10">
        <f t="shared" si="3"/>
        <v>2019</v>
      </c>
      <c r="C8" s="43">
        <f ca="1">'Normalized Annual Summary'!AB9</f>
        <v>67180779.072462842</v>
      </c>
      <c r="D8" s="43">
        <f t="shared" ca="1" si="0"/>
        <v>210591.37174418283</v>
      </c>
      <c r="E8" s="50">
        <f>'kW Forecast'!E8</f>
        <v>3.1346967786282116E-3</v>
      </c>
      <c r="F8" s="19">
        <f t="shared" si="6"/>
        <v>3.1420829952790992E-3</v>
      </c>
      <c r="G8" s="19"/>
      <c r="H8" s="19"/>
      <c r="J8" s="10">
        <f t="shared" si="4"/>
        <v>2019</v>
      </c>
      <c r="K8" s="43">
        <f>'Normalized Annual Summary'!AG8</f>
        <v>1053969</v>
      </c>
      <c r="L8" s="43">
        <f>SUMIF('Monthly Data'!$B:$B,J8,'Monthly Data'!R:R)</f>
        <v>2923</v>
      </c>
      <c r="M8" s="50">
        <f t="shared" si="1"/>
        <v>2.7733263502057459E-3</v>
      </c>
      <c r="N8" s="19">
        <f t="shared" si="7"/>
        <v>2.7975369279291365E-3</v>
      </c>
      <c r="O8" s="19"/>
      <c r="P8" s="10"/>
      <c r="Q8" s="10">
        <f t="shared" si="5"/>
        <v>2019</v>
      </c>
      <c r="R8" s="43">
        <f>'Normalized Annual Summary'!AN8</f>
        <v>211785</v>
      </c>
      <c r="S8" s="43">
        <f>SUMIF('Monthly Data'!$B:$B,J8,'Monthly Data'!U:U)</f>
        <v>517</v>
      </c>
      <c r="T8" s="50">
        <f t="shared" si="2"/>
        <v>2.4411549448733385E-3</v>
      </c>
      <c r="U8" s="19">
        <f t="shared" si="8"/>
        <v>2.5722918199943619E-3</v>
      </c>
      <c r="V8" s="19"/>
      <c r="W8" s="10"/>
      <c r="X8" s="43"/>
      <c r="Y8" s="43"/>
      <c r="Z8" s="50"/>
      <c r="AA8" s="19"/>
    </row>
    <row r="9" spans="1:27">
      <c r="A9" s="10"/>
      <c r="B9" s="10">
        <f t="shared" si="3"/>
        <v>2020</v>
      </c>
      <c r="C9" s="43">
        <f ca="1">'Normalized Annual Summary'!AB10</f>
        <v>67024061.63602291</v>
      </c>
      <c r="D9" s="43">
        <f t="shared" ca="1" si="0"/>
        <v>198757.45440337385</v>
      </c>
      <c r="E9" s="50">
        <f>'kW Forecast'!E9</f>
        <v>2.9654641863206513E-3</v>
      </c>
      <c r="F9" s="19">
        <f t="shared" si="6"/>
        <v>3.1014825835293802E-3</v>
      </c>
      <c r="G9" s="19"/>
      <c r="H9" s="19"/>
      <c r="J9" s="10">
        <f t="shared" si="4"/>
        <v>2020</v>
      </c>
      <c r="K9" s="43">
        <f>'Normalized Annual Summary'!AG9</f>
        <v>1015667</v>
      </c>
      <c r="L9" s="43">
        <f>SUMIF('Monthly Data'!$B:$B,J9,'Monthly Data'!R:R)</f>
        <v>2832</v>
      </c>
      <c r="M9" s="50">
        <f t="shared" si="1"/>
        <v>2.7883154616621391E-3</v>
      </c>
      <c r="N9" s="19">
        <f t="shared" si="7"/>
        <v>2.7998663769541903E-3</v>
      </c>
      <c r="O9" s="19"/>
      <c r="P9" s="10"/>
      <c r="Q9" s="10">
        <f t="shared" si="5"/>
        <v>2020</v>
      </c>
      <c r="R9" s="43">
        <f>'Normalized Annual Summary'!AN9</f>
        <v>199124</v>
      </c>
      <c r="S9" s="43">
        <f>SUMIF('Monthly Data'!$B:$B,J9,'Monthly Data'!U:U)</f>
        <v>516</v>
      </c>
      <c r="T9" s="50">
        <f t="shared" si="2"/>
        <v>2.5913501134971172E-3</v>
      </c>
      <c r="U9" s="19">
        <f t="shared" si="8"/>
        <v>2.5425210550354413E-3</v>
      </c>
      <c r="V9" s="19"/>
      <c r="W9" s="10"/>
      <c r="X9" s="43"/>
      <c r="Y9" s="43"/>
      <c r="Z9" s="50"/>
      <c r="AA9" s="19"/>
    </row>
    <row r="10" spans="1:27">
      <c r="A10" s="10"/>
      <c r="B10" s="10">
        <f t="shared" si="3"/>
        <v>2021</v>
      </c>
      <c r="C10" s="43">
        <f ca="1">'Normalized Annual Summary'!AB11</f>
        <v>66588739.154020928</v>
      </c>
      <c r="D10" s="43">
        <f t="shared" ca="1" si="0"/>
        <v>180617.43855432919</v>
      </c>
      <c r="E10" s="50">
        <f>'kW Forecast'!E10</f>
        <v>2.7124321747038619E-3</v>
      </c>
      <c r="F10" s="19">
        <f t="shared" si="6"/>
        <v>2.9375310465509078E-3</v>
      </c>
      <c r="G10" s="19"/>
      <c r="H10" s="19"/>
      <c r="J10" s="10">
        <f t="shared" si="4"/>
        <v>2021</v>
      </c>
      <c r="K10" s="43">
        <f>'Normalized Annual Summary'!AG10</f>
        <v>1011635.55</v>
      </c>
      <c r="L10" s="43">
        <f>SUMIF('Monthly Data'!$B:$B,J10,'Monthly Data'!R:R)</f>
        <v>2822.6999999999994</v>
      </c>
      <c r="M10" s="50">
        <f t="shared" si="1"/>
        <v>2.7902340917141544E-3</v>
      </c>
      <c r="N10" s="19">
        <f t="shared" si="7"/>
        <v>2.7839586345273465E-3</v>
      </c>
      <c r="O10" s="19"/>
      <c r="P10" s="10"/>
      <c r="Q10" s="10">
        <f t="shared" si="5"/>
        <v>2021</v>
      </c>
      <c r="R10" s="43">
        <f>'Normalized Annual Summary'!AN10</f>
        <v>189809.41692454813</v>
      </c>
      <c r="S10" s="43">
        <f>SUMIF('Monthly Data'!$B:$B,J10,'Monthly Data'!U:U)</f>
        <v>512</v>
      </c>
      <c r="T10" s="50">
        <f t="shared" si="2"/>
        <v>2.6974425626286342E-3</v>
      </c>
      <c r="U10" s="19">
        <f t="shared" si="8"/>
        <v>2.5766492069996968E-3</v>
      </c>
      <c r="V10" s="19"/>
      <c r="W10" s="10"/>
      <c r="X10" s="43"/>
      <c r="Y10" s="43"/>
      <c r="Z10" s="50"/>
      <c r="AA10" s="19"/>
    </row>
    <row r="11" spans="1:27">
      <c r="A11" s="10"/>
      <c r="B11" s="10">
        <f t="shared" si="3"/>
        <v>2022</v>
      </c>
      <c r="C11" s="43">
        <f ca="1">'Normalized Annual Summary'!AB12</f>
        <v>66281772.785867624</v>
      </c>
      <c r="D11" s="43">
        <f t="shared" ca="1" si="0"/>
        <v>198742.36762179219</v>
      </c>
      <c r="E11" s="50">
        <f>'kW Forecast'!E11</f>
        <v>2.998446771540899E-3</v>
      </c>
      <c r="F11" s="19">
        <f t="shared" si="6"/>
        <v>2.8921143775218045E-3</v>
      </c>
      <c r="G11" s="19"/>
      <c r="H11" s="19"/>
      <c r="J11" s="10">
        <f t="shared" si="4"/>
        <v>2022</v>
      </c>
      <c r="K11" s="43">
        <f>'Normalized Annual Summary'!AG11</f>
        <v>1002092</v>
      </c>
      <c r="L11" s="43">
        <f>SUMIF('Monthly Data'!$B:$B,J11,'Monthly Data'!R:R)</f>
        <v>2822.2</v>
      </c>
      <c r="M11" s="50">
        <f t="shared" si="1"/>
        <v>2.8163082830718134E-3</v>
      </c>
      <c r="N11" s="19">
        <f t="shared" si="7"/>
        <v>2.7982859454827023E-3</v>
      </c>
      <c r="O11" s="19"/>
      <c r="P11" s="10"/>
      <c r="Q11" s="10">
        <f t="shared" si="5"/>
        <v>2022</v>
      </c>
      <c r="R11" s="43">
        <f>'Normalized Annual Summary'!AN11</f>
        <v>190718</v>
      </c>
      <c r="S11" s="43">
        <f>SUMIF('Monthly Data'!$B:$B,J11,'Monthly Data'!U:U)</f>
        <v>528.29999999999995</v>
      </c>
      <c r="T11" s="50">
        <f t="shared" si="2"/>
        <v>2.7700584108474291E-3</v>
      </c>
      <c r="U11" s="19">
        <f t="shared" si="8"/>
        <v>2.686283695657727E-3</v>
      </c>
      <c r="V11" s="19"/>
      <c r="W11" s="10"/>
      <c r="X11" s="43"/>
      <c r="Y11" s="43"/>
      <c r="Z11" s="50"/>
      <c r="AA11" s="19"/>
    </row>
    <row r="12" spans="1:27">
      <c r="A12" s="10"/>
      <c r="B12" s="10">
        <f t="shared" si="3"/>
        <v>2023</v>
      </c>
      <c r="C12" s="43">
        <f ca="1">'Normalized Annual Summary'!AB13</f>
        <v>65934352.275235496</v>
      </c>
      <c r="D12" s="43">
        <f t="shared" ca="1" si="0"/>
        <v>209253.31136966019</v>
      </c>
      <c r="E12" s="50">
        <f>'kW Forecast'!E12</f>
        <v>3.1736614397325984E-3</v>
      </c>
      <c r="F12" s="19">
        <f t="shared" si="6"/>
        <v>2.9615134619924532E-3</v>
      </c>
      <c r="G12" s="19"/>
      <c r="H12" s="19"/>
      <c r="J12" s="10">
        <f t="shared" si="4"/>
        <v>2023</v>
      </c>
      <c r="K12" s="43">
        <f>'Normalized Annual Summary'!AG12</f>
        <v>998543</v>
      </c>
      <c r="L12" s="43">
        <f>SUMIF('Monthly Data'!$B:$B,J12,'Monthly Data'!R:R)</f>
        <v>2784.2999999999997</v>
      </c>
      <c r="M12" s="50">
        <f t="shared" si="1"/>
        <v>2.788362644372851E-3</v>
      </c>
      <c r="N12" s="19">
        <f t="shared" si="7"/>
        <v>2.7983016730529393E-3</v>
      </c>
      <c r="O12" s="19"/>
      <c r="P12" s="10"/>
      <c r="Q12" s="10">
        <f t="shared" si="5"/>
        <v>2023</v>
      </c>
      <c r="R12" s="43">
        <f>'Normalized Annual Summary'!AN12</f>
        <v>175555</v>
      </c>
      <c r="S12" s="43">
        <f>SUMIF('Monthly Data'!$B:$B,J12,'Monthly Data'!U:U)</f>
        <v>479</v>
      </c>
      <c r="T12" s="50">
        <f t="shared" si="2"/>
        <v>2.7284896471191367E-3</v>
      </c>
      <c r="U12" s="19">
        <f t="shared" si="8"/>
        <v>2.7319968735317335E-3</v>
      </c>
      <c r="V12" s="19"/>
      <c r="W12" s="10"/>
      <c r="X12" s="43"/>
      <c r="Y12" s="43"/>
      <c r="Z12" s="50"/>
      <c r="AA12" s="19"/>
    </row>
    <row r="13" spans="1:27">
      <c r="A13" s="10"/>
      <c r="B13" s="10">
        <f t="shared" si="3"/>
        <v>2024</v>
      </c>
      <c r="C13" s="43">
        <f ca="1">'Normalized Annual Summary'!AB14</f>
        <v>71912498.571687207</v>
      </c>
      <c r="D13" s="43">
        <f t="shared" ca="1" si="0"/>
        <v>212736.43577519016</v>
      </c>
      <c r="E13" s="50">
        <f>'kW Forecast'!E13</f>
        <v>2.9582678950185576E-3</v>
      </c>
      <c r="F13" s="19">
        <f t="shared" si="6"/>
        <v>3.0434587020973518E-3</v>
      </c>
      <c r="G13" s="19"/>
      <c r="H13" s="19"/>
      <c r="J13" s="10">
        <f t="shared" si="4"/>
        <v>2024</v>
      </c>
      <c r="K13" s="43">
        <f>'Normalized Annual Summary'!AG13</f>
        <v>996845</v>
      </c>
      <c r="L13" s="43">
        <f>SUMIF('Monthly Data'!$B:$B,J13,'Monthly Data'!R:R)</f>
        <v>2773.7</v>
      </c>
      <c r="M13" s="50">
        <f t="shared" si="1"/>
        <v>2.7824787203627444E-3</v>
      </c>
      <c r="N13" s="19">
        <f>AVERAGE(M11:M13)</f>
        <v>2.795716549269136E-3</v>
      </c>
      <c r="O13" s="19"/>
      <c r="P13" s="10"/>
      <c r="Q13" s="10">
        <f t="shared" si="5"/>
        <v>2024</v>
      </c>
      <c r="R13" s="43">
        <f>'Normalized Annual Summary'!AN13</f>
        <v>164745</v>
      </c>
      <c r="S13" s="43">
        <f>SUMIF('Monthly Data'!$B:$B,J13,'Monthly Data'!U:U)</f>
        <v>480.5</v>
      </c>
      <c r="T13" s="50">
        <f t="shared" si="2"/>
        <v>2.9166287292482322E-3</v>
      </c>
      <c r="U13" s="19">
        <f>AVERAGE(T11:T13)</f>
        <v>2.8050589290715996E-3</v>
      </c>
      <c r="V13" s="19"/>
      <c r="W13" s="10"/>
      <c r="X13" s="43"/>
      <c r="Y13" s="43"/>
      <c r="Z13" s="50"/>
      <c r="AA13" s="19"/>
    </row>
    <row r="14" spans="1:27">
      <c r="A14" s="10"/>
      <c r="B14" s="10">
        <f t="shared" si="3"/>
        <v>2025</v>
      </c>
      <c r="C14" s="43">
        <f ca="1">'Normalized Annual Summary'!AB15</f>
        <v>65633524.381128609</v>
      </c>
      <c r="D14" s="43">
        <f t="shared" ca="1" si="0"/>
        <v>194961.72637069618</v>
      </c>
      <c r="E14" s="50">
        <f>'kW Forecast'!E14</f>
        <v>2.9704595053980203E-3</v>
      </c>
      <c r="F14" s="19">
        <f t="shared" si="6"/>
        <v>3.0341296133830583E-3</v>
      </c>
      <c r="G14" s="19"/>
      <c r="H14" s="19"/>
      <c r="J14" s="10">
        <f t="shared" si="4"/>
        <v>2025</v>
      </c>
      <c r="K14" s="43">
        <f>'Normalized Annual Summary'!AG14</f>
        <v>1016652</v>
      </c>
      <c r="L14" s="43">
        <f>SUMIF('Monthly Data'!$B:$B,J14,'Monthly Data'!R:R)</f>
        <v>2824</v>
      </c>
      <c r="M14" s="50">
        <f>L14/K14</f>
        <v>2.7777449904195341E-3</v>
      </c>
      <c r="N14" s="19">
        <f>AVERAGE(M12:M14)</f>
        <v>2.7828621183850432E-3</v>
      </c>
      <c r="O14" s="19"/>
      <c r="P14" s="10"/>
      <c r="Q14" s="10">
        <f t="shared" si="5"/>
        <v>2025</v>
      </c>
      <c r="R14" s="43">
        <f>'Normalized Annual Summary'!AN14</f>
        <v>162265</v>
      </c>
      <c r="S14" s="43">
        <f>SUMIF('Monthly Data'!$B:$B,J14,'Monthly Data'!U:U)</f>
        <v>443.59999999999997</v>
      </c>
      <c r="T14" s="50">
        <f t="shared" si="2"/>
        <v>2.7337996487227681E-3</v>
      </c>
      <c r="U14" s="19">
        <f>AVERAGE(T12:T14)</f>
        <v>2.7929726750300457E-3</v>
      </c>
      <c r="V14" s="19"/>
      <c r="W14" s="10"/>
      <c r="X14" s="43"/>
      <c r="Y14" s="43"/>
      <c r="Z14" s="50"/>
      <c r="AA14" s="19"/>
    </row>
    <row r="16" spans="1:27">
      <c r="B16" s="10"/>
      <c r="C16" s="10" t="s">
        <v>420</v>
      </c>
      <c r="D16" s="51" t="s">
        <v>421</v>
      </c>
      <c r="E16" t="s">
        <v>422</v>
      </c>
      <c r="F16" t="s">
        <v>436</v>
      </c>
      <c r="G16" t="s">
        <v>392</v>
      </c>
      <c r="H16" t="s">
        <v>424</v>
      </c>
      <c r="J16" s="10"/>
      <c r="K16" s="10" t="s">
        <v>420</v>
      </c>
      <c r="L16" s="51" t="s">
        <v>421</v>
      </c>
      <c r="M16" t="s">
        <v>422</v>
      </c>
      <c r="N16" t="s">
        <v>425</v>
      </c>
      <c r="P16" s="10"/>
      <c r="Q16" s="10"/>
      <c r="R16" s="10" t="s">
        <v>420</v>
      </c>
      <c r="S16" s="51" t="s">
        <v>421</v>
      </c>
      <c r="T16" t="s">
        <v>422</v>
      </c>
      <c r="U16" t="s">
        <v>425</v>
      </c>
      <c r="W16" s="10"/>
      <c r="X16" s="10"/>
      <c r="Y16" s="50"/>
      <c r="Z16" s="51"/>
    </row>
    <row r="17" spans="1:26">
      <c r="B17" s="49"/>
      <c r="C17" s="49" t="s">
        <v>403</v>
      </c>
      <c r="D17" s="52" t="s">
        <v>426</v>
      </c>
      <c r="E17" s="53" t="s">
        <v>427</v>
      </c>
      <c r="F17" s="53" t="s">
        <v>406</v>
      </c>
      <c r="G17" s="53"/>
      <c r="H17" s="53"/>
      <c r="J17" s="49"/>
      <c r="K17" s="49" t="s">
        <v>403</v>
      </c>
      <c r="L17" s="52" t="s">
        <v>430</v>
      </c>
      <c r="M17" s="53" t="s">
        <v>427</v>
      </c>
      <c r="N17" t="s">
        <v>406</v>
      </c>
      <c r="P17" s="49"/>
      <c r="Q17" s="49"/>
      <c r="R17" s="49" t="s">
        <v>403</v>
      </c>
      <c r="S17" s="52" t="s">
        <v>430</v>
      </c>
      <c r="T17" s="53" t="s">
        <v>427</v>
      </c>
      <c r="U17" t="s">
        <v>406</v>
      </c>
      <c r="W17" s="49"/>
      <c r="X17" s="49"/>
      <c r="Y17" s="52"/>
      <c r="Z17" s="53"/>
    </row>
    <row r="18" spans="1:26">
      <c r="B18" s="45">
        <v>2016</v>
      </c>
      <c r="C18" s="46">
        <f ca="1">'Normalized Annual Summary'!AB5</f>
        <v>68475088.880251586</v>
      </c>
      <c r="D18" s="54">
        <f t="shared" ref="D18:D29" ca="1" si="9">C18*E18</f>
        <v>206649.11499993675</v>
      </c>
      <c r="E18" s="74">
        <f>AVERAGE(E5:E14)</f>
        <v>3.0178728991695396E-3</v>
      </c>
      <c r="F18" s="224">
        <f>TREND($F$7:$F$14,$B$7:$B$14,B18)</f>
        <v>3.1127378760128499E-3</v>
      </c>
      <c r="G18" s="91"/>
      <c r="H18" s="220">
        <f t="shared" ref="H18:H26" ca="1" si="10">D18+G18</f>
        <v>206649.11499993675</v>
      </c>
      <c r="J18" s="45">
        <v>2015</v>
      </c>
      <c r="K18" s="46">
        <f>'Normalized Annual Summary'!AJ5</f>
        <v>1307703</v>
      </c>
      <c r="L18" s="54">
        <f t="shared" ref="L18:L29" si="11">K18*M18</f>
        <v>3649.8327411060327</v>
      </c>
      <c r="M18" s="74">
        <f>AVERAGE(M10:M14)</f>
        <v>2.7910257459882195E-3</v>
      </c>
      <c r="N18" s="55">
        <f>TREND($N$7:$N$13,$J$7:$J$13,J18)</f>
        <v>2.8554109928319929E-3</v>
      </c>
      <c r="P18" s="49"/>
      <c r="Q18" s="45">
        <v>2015</v>
      </c>
      <c r="R18" s="46">
        <f>'Normalized Annual Summary'!AQ5</f>
        <v>217806</v>
      </c>
      <c r="S18" s="54">
        <f>R18*T18</f>
        <v>603.16662728034191</v>
      </c>
      <c r="T18" s="74">
        <f>AVERAGE(T10:T14)</f>
        <v>2.7692837997132401E-3</v>
      </c>
      <c r="U18" s="55">
        <f>TREND($N$7:$N$13,$J$7:$J$13,Q18)</f>
        <v>2.8554109928319929E-3</v>
      </c>
      <c r="W18" s="49"/>
      <c r="X18" s="49"/>
      <c r="Y18" s="52"/>
      <c r="Z18" s="53"/>
    </row>
    <row r="19" spans="1:26">
      <c r="B19" s="45">
        <f>B18+1</f>
        <v>2017</v>
      </c>
      <c r="C19" s="46">
        <f ca="1">'Normalized Annual Summary'!AB6</f>
        <v>67889334.630251586</v>
      </c>
      <c r="D19" s="54">
        <f t="shared" ca="1" si="9"/>
        <v>204881.38312328837</v>
      </c>
      <c r="E19" s="74">
        <f t="shared" ref="E19:E26" si="12">E18</f>
        <v>3.0178728991695396E-3</v>
      </c>
      <c r="F19" s="224">
        <f t="shared" ref="F19:F29" si="13">TREND($F$7:$F$14,$B$7:$B$14,B19)</f>
        <v>3.0968024938697186E-3</v>
      </c>
      <c r="G19" s="91"/>
      <c r="H19" s="220">
        <f t="shared" ca="1" si="10"/>
        <v>204881.38312328837</v>
      </c>
      <c r="J19" s="45">
        <v>2016</v>
      </c>
      <c r="K19" s="46">
        <f>'Normalized Annual Summary'!AJ6</f>
        <v>1297582</v>
      </c>
      <c r="L19" s="54">
        <f t="shared" si="11"/>
        <v>3621.5847695308858</v>
      </c>
      <c r="M19" s="74">
        <f t="shared" ref="M19:M29" si="14">M18</f>
        <v>2.7910257459882195E-3</v>
      </c>
      <c r="N19" s="55">
        <f t="shared" ref="N19:N29" si="15">TREND($N$7:$N$13,$J$7:$J$13,J19)</f>
        <v>2.8472581758109405E-3</v>
      </c>
      <c r="P19" s="49"/>
      <c r="Q19" s="45">
        <v>2016</v>
      </c>
      <c r="R19" s="46">
        <f>'Normalized Annual Summary'!AQ6</f>
        <v>203681</v>
      </c>
      <c r="S19" s="54">
        <f>R19*T19</f>
        <v>564.05049360939245</v>
      </c>
      <c r="T19" s="74">
        <f t="shared" ref="T19:T29" si="16">T18</f>
        <v>2.7692837997132401E-3</v>
      </c>
      <c r="U19" s="55">
        <f t="shared" ref="U19:U29" si="17">TREND($N$7:$N$13,$J$7:$J$13,Q19)</f>
        <v>2.8472581758109405E-3</v>
      </c>
      <c r="W19" s="49"/>
      <c r="X19" s="49"/>
      <c r="Y19" s="52"/>
      <c r="Z19" s="53"/>
    </row>
    <row r="20" spans="1:26">
      <c r="B20" s="45">
        <f t="shared" ref="B20:B29" si="18">B19+1</f>
        <v>2018</v>
      </c>
      <c r="C20" s="46">
        <f ca="1">'Normalized Annual Summary'!AB7</f>
        <v>67397362.026449889</v>
      </c>
      <c r="D20" s="54">
        <f t="shared" ca="1" si="9"/>
        <v>203396.67233514137</v>
      </c>
      <c r="E20" s="74">
        <f t="shared" si="12"/>
        <v>3.0178728991695396E-3</v>
      </c>
      <c r="F20" s="224">
        <f t="shared" si="13"/>
        <v>3.0808671117265873E-3</v>
      </c>
      <c r="G20" s="91"/>
      <c r="H20" s="220">
        <f t="shared" ca="1" si="10"/>
        <v>203396.67233514137</v>
      </c>
      <c r="J20" s="45">
        <v>2017</v>
      </c>
      <c r="K20" s="46">
        <f>'Normalized Annual Summary'!AJ7</f>
        <v>1110658</v>
      </c>
      <c r="L20" s="54">
        <f t="shared" si="11"/>
        <v>3099.8750729877838</v>
      </c>
      <c r="M20" s="74">
        <f t="shared" si="14"/>
        <v>2.7910257459882195E-3</v>
      </c>
      <c r="N20" s="55">
        <f t="shared" si="15"/>
        <v>2.8391053587898882E-3</v>
      </c>
      <c r="P20" s="49"/>
      <c r="Q20" s="45">
        <v>2017</v>
      </c>
      <c r="R20" s="46">
        <f>'Normalized Annual Summary'!AQ7</f>
        <v>203849</v>
      </c>
      <c r="S20" s="54">
        <f>R20*T20</f>
        <v>564.5157332877443</v>
      </c>
      <c r="T20" s="74">
        <f t="shared" si="16"/>
        <v>2.7692837997132401E-3</v>
      </c>
      <c r="U20" s="55">
        <f t="shared" si="17"/>
        <v>2.8391053587898882E-3</v>
      </c>
      <c r="W20" s="49"/>
      <c r="X20" s="49"/>
      <c r="Y20" s="52"/>
      <c r="Z20" s="53"/>
    </row>
    <row r="21" spans="1:26">
      <c r="B21" s="45">
        <f t="shared" si="18"/>
        <v>2019</v>
      </c>
      <c r="C21" s="46">
        <f ca="1">'Normalized Annual Summary'!AB8</f>
        <v>67160439.402271122</v>
      </c>
      <c r="D21" s="54">
        <f ca="1">C21*E21</f>
        <v>202681.66996843214</v>
      </c>
      <c r="E21" s="74">
        <f t="shared" si="12"/>
        <v>3.0178728991695396E-3</v>
      </c>
      <c r="F21" s="224">
        <f t="shared" si="13"/>
        <v>3.0649317295834491E-3</v>
      </c>
      <c r="G21" s="91"/>
      <c r="H21" s="220">
        <f t="shared" ca="1" si="10"/>
        <v>202681.66996843214</v>
      </c>
      <c r="J21" s="45">
        <v>2018</v>
      </c>
      <c r="K21" s="46">
        <f>'Normalized Annual Summary'!AJ8</f>
        <v>1053969</v>
      </c>
      <c r="L21" s="54">
        <f t="shared" si="11"/>
        <v>2941.6546144734575</v>
      </c>
      <c r="M21" s="74">
        <f t="shared" si="14"/>
        <v>2.7910257459882195E-3</v>
      </c>
      <c r="N21" s="55">
        <f t="shared" si="15"/>
        <v>2.8309525417688393E-3</v>
      </c>
      <c r="P21" s="49"/>
      <c r="Q21" s="45">
        <v>2018</v>
      </c>
      <c r="R21" s="46">
        <f>'Normalized Annual Summary'!AQ8</f>
        <v>211785</v>
      </c>
      <c r="S21" s="54">
        <f>R21*T21</f>
        <v>586.49276952226853</v>
      </c>
      <c r="T21" s="74">
        <f t="shared" si="16"/>
        <v>2.7692837997132401E-3</v>
      </c>
      <c r="U21" s="55">
        <f t="shared" si="17"/>
        <v>2.8309525417688393E-3</v>
      </c>
      <c r="W21" s="49"/>
      <c r="X21" s="49"/>
      <c r="Y21" s="52"/>
      <c r="Z21" s="53"/>
    </row>
    <row r="22" spans="1:26">
      <c r="B22" s="45">
        <f t="shared" si="18"/>
        <v>2020</v>
      </c>
      <c r="C22" s="46">
        <f ca="1">'Normalized Annual Summary'!AB9</f>
        <v>67180779.072462842</v>
      </c>
      <c r="D22" s="54">
        <f t="shared" ca="1" si="9"/>
        <v>202743.05250788177</v>
      </c>
      <c r="E22" s="74">
        <f t="shared" si="12"/>
        <v>3.0178728991695396E-3</v>
      </c>
      <c r="F22" s="224">
        <f t="shared" si="13"/>
        <v>3.0489963474403178E-3</v>
      </c>
      <c r="G22" s="91"/>
      <c r="H22" s="220">
        <f t="shared" ca="1" si="10"/>
        <v>202743.05250788177</v>
      </c>
      <c r="J22" s="45">
        <v>2019</v>
      </c>
      <c r="K22" s="46">
        <f>'Normalized Annual Summary'!AJ9</f>
        <v>1015667</v>
      </c>
      <c r="L22" s="54">
        <f t="shared" si="11"/>
        <v>2834.7527463506167</v>
      </c>
      <c r="M22" s="74">
        <f t="shared" si="14"/>
        <v>2.7910257459882195E-3</v>
      </c>
      <c r="N22" s="55">
        <f t="shared" si="15"/>
        <v>2.8227997247477869E-3</v>
      </c>
      <c r="P22" s="45"/>
      <c r="Q22" s="45">
        <v>2019</v>
      </c>
      <c r="R22" s="46">
        <f>'Normalized Annual Summary'!AQ9</f>
        <v>199124</v>
      </c>
      <c r="S22" s="54">
        <f t="shared" ref="S22:S29" si="19">R22*T22</f>
        <v>551.43086733409916</v>
      </c>
      <c r="T22" s="74">
        <f t="shared" si="16"/>
        <v>2.7692837997132401E-3</v>
      </c>
      <c r="U22" s="55">
        <f t="shared" si="17"/>
        <v>2.8227997247477869E-3</v>
      </c>
      <c r="W22" s="45"/>
      <c r="X22" s="46"/>
      <c r="Y22" s="54"/>
      <c r="Z22" s="55"/>
    </row>
    <row r="23" spans="1:26">
      <c r="B23" s="45">
        <f t="shared" si="18"/>
        <v>2021</v>
      </c>
      <c r="C23" s="46">
        <f ca="1">'Normalized Annual Summary'!AB10</f>
        <v>67024061.63602291</v>
      </c>
      <c r="D23" s="54">
        <f t="shared" ca="1" si="9"/>
        <v>202270.09920362238</v>
      </c>
      <c r="E23" s="74">
        <f t="shared" si="12"/>
        <v>3.0178728991695396E-3</v>
      </c>
      <c r="F23" s="224">
        <f t="shared" si="13"/>
        <v>3.0330609652971796E-3</v>
      </c>
      <c r="G23" s="91"/>
      <c r="H23" s="220">
        <f t="shared" ca="1" si="10"/>
        <v>202270.09920362238</v>
      </c>
      <c r="J23" s="45">
        <v>2020</v>
      </c>
      <c r="K23" s="46">
        <f>'Normalized Annual Summary'!AJ10</f>
        <v>1011635.55</v>
      </c>
      <c r="L23" s="54">
        <f t="shared" si="11"/>
        <v>2823.5008656069526</v>
      </c>
      <c r="M23" s="74">
        <f t="shared" si="14"/>
        <v>2.7910257459882195E-3</v>
      </c>
      <c r="N23" s="55">
        <f t="shared" si="15"/>
        <v>2.8146469077267346E-3</v>
      </c>
      <c r="P23" s="45"/>
      <c r="Q23" s="45">
        <v>2020</v>
      </c>
      <c r="R23" s="46">
        <f>'Normalized Annual Summary'!AQ10</f>
        <v>189809.41692454813</v>
      </c>
      <c r="S23" s="54">
        <f t="shared" si="19"/>
        <v>525.63614332216719</v>
      </c>
      <c r="T23" s="74">
        <f t="shared" si="16"/>
        <v>2.7692837997132401E-3</v>
      </c>
      <c r="U23" s="55">
        <f t="shared" si="17"/>
        <v>2.8146469077267346E-3</v>
      </c>
      <c r="W23" s="45"/>
      <c r="X23" s="46"/>
      <c r="Y23" s="54"/>
      <c r="Z23" s="55"/>
    </row>
    <row r="24" spans="1:26">
      <c r="B24" s="45">
        <f t="shared" si="18"/>
        <v>2022</v>
      </c>
      <c r="C24" s="46">
        <f ca="1">'Normalized Annual Summary'!AB11</f>
        <v>66588739.154020928</v>
      </c>
      <c r="D24" s="54">
        <f t="shared" ca="1" si="9"/>
        <v>200956.35128278937</v>
      </c>
      <c r="E24" s="74">
        <f t="shared" si="12"/>
        <v>3.0178728991695396E-3</v>
      </c>
      <c r="F24" s="224">
        <f t="shared" si="13"/>
        <v>3.0171255831540483E-3</v>
      </c>
      <c r="G24" s="91"/>
      <c r="H24" s="220">
        <f t="shared" ca="1" si="10"/>
        <v>200956.35128278937</v>
      </c>
      <c r="J24" s="45">
        <v>2021</v>
      </c>
      <c r="K24" s="46">
        <f>'Normalized Annual Summary'!AJ11</f>
        <v>1002092.0000000001</v>
      </c>
      <c r="L24" s="54">
        <f t="shared" si="11"/>
        <v>2796.8645718488274</v>
      </c>
      <c r="M24" s="74">
        <f t="shared" si="14"/>
        <v>2.7910257459882195E-3</v>
      </c>
      <c r="N24" s="55">
        <f t="shared" si="15"/>
        <v>2.8064940907056822E-3</v>
      </c>
      <c r="P24" s="45"/>
      <c r="Q24" s="45">
        <v>2021</v>
      </c>
      <c r="R24" s="46">
        <f>'Normalized Annual Summary'!AQ11</f>
        <v>190718</v>
      </c>
      <c r="S24" s="54">
        <f t="shared" si="19"/>
        <v>528.15226771370976</v>
      </c>
      <c r="T24" s="74">
        <f t="shared" si="16"/>
        <v>2.7692837997132401E-3</v>
      </c>
      <c r="U24" s="55">
        <f t="shared" si="17"/>
        <v>2.8064940907056822E-3</v>
      </c>
      <c r="W24" s="45"/>
      <c r="X24" s="46"/>
      <c r="Y24" s="54"/>
      <c r="Z24" s="55"/>
    </row>
    <row r="25" spans="1:26">
      <c r="B25" s="45">
        <f t="shared" si="18"/>
        <v>2023</v>
      </c>
      <c r="C25" s="46">
        <f ca="1">'Normalized Annual Summary'!AB12</f>
        <v>66281772.785867624</v>
      </c>
      <c r="D25" s="54">
        <f t="shared" ca="1" si="9"/>
        <v>200029.965799383</v>
      </c>
      <c r="E25" s="74">
        <f t="shared" si="12"/>
        <v>3.0178728991695396E-3</v>
      </c>
      <c r="F25" s="224">
        <f t="shared" si="13"/>
        <v>3.0011902010109101E-3</v>
      </c>
      <c r="G25" s="91"/>
      <c r="H25" s="220">
        <f t="shared" ca="1" si="10"/>
        <v>200029.965799383</v>
      </c>
      <c r="J25" s="45">
        <v>2022</v>
      </c>
      <c r="K25" s="46">
        <f>'Normalized Annual Summary'!AJ12</f>
        <v>998543.00000000012</v>
      </c>
      <c r="L25" s="54">
        <f t="shared" si="11"/>
        <v>2786.9592214763152</v>
      </c>
      <c r="M25" s="74">
        <f t="shared" si="14"/>
        <v>2.7910257459882195E-3</v>
      </c>
      <c r="N25" s="55">
        <f t="shared" si="15"/>
        <v>2.7983412736846298E-3</v>
      </c>
      <c r="P25" s="45"/>
      <c r="Q25" s="45">
        <v>2022</v>
      </c>
      <c r="R25" s="46">
        <f>'Normalized Annual Summary'!AQ12</f>
        <v>175555</v>
      </c>
      <c r="S25" s="54">
        <f t="shared" si="19"/>
        <v>486.16161745865787</v>
      </c>
      <c r="T25" s="74">
        <f t="shared" si="16"/>
        <v>2.7692837997132401E-3</v>
      </c>
      <c r="U25" s="55">
        <f t="shared" si="17"/>
        <v>2.7983412736846298E-3</v>
      </c>
      <c r="W25" s="45"/>
      <c r="X25" s="46"/>
      <c r="Y25" s="54"/>
      <c r="Z25" s="55"/>
    </row>
    <row r="26" spans="1:26">
      <c r="B26" s="45">
        <f t="shared" si="18"/>
        <v>2024</v>
      </c>
      <c r="C26" s="46">
        <f ca="1">'Normalized Annual Summary'!AB13</f>
        <v>65934352.275235496</v>
      </c>
      <c r="D26" s="54">
        <f t="shared" ca="1" si="9"/>
        <v>198981.49485573068</v>
      </c>
      <c r="E26" s="74">
        <f t="shared" si="12"/>
        <v>3.0178728991695396E-3</v>
      </c>
      <c r="F26" s="224">
        <f t="shared" si="13"/>
        <v>2.9852548188677788E-3</v>
      </c>
      <c r="G26" s="91"/>
      <c r="H26" s="220">
        <f t="shared" ca="1" si="10"/>
        <v>198981.49485573068</v>
      </c>
      <c r="J26" s="45">
        <v>2023</v>
      </c>
      <c r="K26" s="46">
        <f>'Normalized Annual Summary'!AJ13</f>
        <v>996845</v>
      </c>
      <c r="L26" s="54">
        <f t="shared" si="11"/>
        <v>2782.2200597596266</v>
      </c>
      <c r="M26" s="74">
        <f t="shared" si="14"/>
        <v>2.7910257459882195E-3</v>
      </c>
      <c r="N26" s="55">
        <f t="shared" si="15"/>
        <v>2.790188456663581E-3</v>
      </c>
      <c r="P26" s="45"/>
      <c r="Q26" s="45">
        <v>2023</v>
      </c>
      <c r="R26" s="46">
        <f>'Normalized Annual Summary'!AQ13</f>
        <v>164745</v>
      </c>
      <c r="S26" s="54">
        <f t="shared" si="19"/>
        <v>456.22565958375776</v>
      </c>
      <c r="T26" s="74">
        <f t="shared" si="16"/>
        <v>2.7692837997132401E-3</v>
      </c>
      <c r="U26" s="55">
        <f t="shared" si="17"/>
        <v>2.790188456663581E-3</v>
      </c>
      <c r="W26" s="45"/>
      <c r="X26" s="46"/>
      <c r="Y26" s="54"/>
      <c r="Z26" s="55"/>
    </row>
    <row r="27" spans="1:26">
      <c r="B27" s="45">
        <f t="shared" si="18"/>
        <v>2025</v>
      </c>
      <c r="C27" s="46">
        <f ca="1">'Normalized Annual Summary'!AB14</f>
        <v>71912498.571687207</v>
      </c>
      <c r="D27" s="54">
        <f t="shared" ca="1" si="9"/>
        <v>217022.78055106304</v>
      </c>
      <c r="E27" s="74">
        <f>E26</f>
        <v>3.0178728991695396E-3</v>
      </c>
      <c r="F27" s="224">
        <f t="shared" si="13"/>
        <v>2.9693194367246475E-3</v>
      </c>
      <c r="G27" s="221"/>
      <c r="H27" s="220">
        <f ca="1">D27+G27</f>
        <v>217022.78055106304</v>
      </c>
      <c r="J27" s="45">
        <v>2024</v>
      </c>
      <c r="K27" s="46">
        <f>'Normalized Annual Summary'!AJ14</f>
        <v>1016652</v>
      </c>
      <c r="L27" s="54">
        <f t="shared" si="11"/>
        <v>2837.5019067104154</v>
      </c>
      <c r="M27" s="74">
        <f t="shared" si="14"/>
        <v>2.7910257459882195E-3</v>
      </c>
      <c r="N27" s="55">
        <f t="shared" si="15"/>
        <v>2.7820356396425286E-3</v>
      </c>
      <c r="P27" s="45"/>
      <c r="Q27" s="45">
        <v>2024</v>
      </c>
      <c r="R27" s="46">
        <f>'Normalized Annual Summary'!AQ14</f>
        <v>162265</v>
      </c>
      <c r="S27" s="54">
        <f t="shared" si="19"/>
        <v>449.3578357604689</v>
      </c>
      <c r="T27" s="74">
        <f t="shared" si="16"/>
        <v>2.7692837997132401E-3</v>
      </c>
      <c r="U27" s="55">
        <f t="shared" si="17"/>
        <v>2.7820356396425286E-3</v>
      </c>
      <c r="W27" s="45"/>
      <c r="X27" s="46"/>
      <c r="Y27" s="54"/>
      <c r="Z27" s="55"/>
    </row>
    <row r="28" spans="1:26">
      <c r="B28" s="45">
        <f t="shared" si="18"/>
        <v>2026</v>
      </c>
      <c r="C28" s="46">
        <f ca="1">'Normalized Annual Summary'!AB15</f>
        <v>65633524.381128609</v>
      </c>
      <c r="D28" s="54">
        <f t="shared" ca="1" si="9"/>
        <v>198073.63450679125</v>
      </c>
      <c r="E28" s="74">
        <f>E27</f>
        <v>3.0178728991695396E-3</v>
      </c>
      <c r="F28" s="224">
        <f t="shared" si="13"/>
        <v>2.9533840545815093E-3</v>
      </c>
      <c r="G28" s="221">
        <f>'kW Forecast'!G19</f>
        <v>78.26777459069902</v>
      </c>
      <c r="H28" s="220">
        <f ca="1">D28+G28</f>
        <v>198151.90228138195</v>
      </c>
      <c r="J28" s="45">
        <v>2025</v>
      </c>
      <c r="K28" s="46">
        <f>'Normalized Annual Summary'!AJ15</f>
        <v>1012496.4456910954</v>
      </c>
      <c r="L28" s="54">
        <f t="shared" si="11"/>
        <v>2825.9036476454103</v>
      </c>
      <c r="M28" s="74">
        <f t="shared" si="14"/>
        <v>2.7910257459882195E-3</v>
      </c>
      <c r="N28" s="55">
        <f t="shared" si="15"/>
        <v>2.7738828226214762E-3</v>
      </c>
      <c r="P28" s="45"/>
      <c r="Q28" s="45">
        <v>2025</v>
      </c>
      <c r="R28" s="46">
        <f>'Normalized Annual Summary'!AQ15</f>
        <v>157402.60281308927</v>
      </c>
      <c r="S28" s="54">
        <f t="shared" si="19"/>
        <v>435.8924780029858</v>
      </c>
      <c r="T28" s="74">
        <f t="shared" si="16"/>
        <v>2.7692837997132401E-3</v>
      </c>
      <c r="U28" s="55">
        <f t="shared" si="17"/>
        <v>2.7738828226214762E-3</v>
      </c>
      <c r="W28" s="45"/>
      <c r="X28" s="46"/>
      <c r="Y28" s="54"/>
      <c r="Z28" s="55"/>
    </row>
    <row r="29" spans="1:26">
      <c r="B29" s="45">
        <f t="shared" si="18"/>
        <v>2027</v>
      </c>
      <c r="C29" s="46">
        <f ca="1">'Normalized Annual Summary'!AB16</f>
        <v>65682697.262035765</v>
      </c>
      <c r="D29" s="54">
        <f t="shared" ca="1" si="9"/>
        <v>198222.03201145504</v>
      </c>
      <c r="E29" s="74">
        <f>E28</f>
        <v>3.0178728991695396E-3</v>
      </c>
      <c r="F29" s="224">
        <f t="shared" si="13"/>
        <v>2.937448672438378E-3</v>
      </c>
      <c r="G29" s="221">
        <f>'kW Forecast'!G20</f>
        <v>162.08614890230803</v>
      </c>
      <c r="H29" s="220">
        <f ca="1">D29+G29</f>
        <v>198384.11816035735</v>
      </c>
      <c r="J29" s="45">
        <v>2026</v>
      </c>
      <c r="K29" s="46">
        <f>'Normalized Annual Summary'!AJ16</f>
        <v>1016551.0227896626</v>
      </c>
      <c r="L29" s="54">
        <f t="shared" si="11"/>
        <v>2837.2200767166055</v>
      </c>
      <c r="M29" s="74">
        <f t="shared" si="14"/>
        <v>2.7910257459882195E-3</v>
      </c>
      <c r="N29" s="55">
        <f t="shared" si="15"/>
        <v>2.7657300056004239E-3</v>
      </c>
      <c r="P29" s="45"/>
      <c r="Q29" s="45">
        <v>2026</v>
      </c>
      <c r="R29" s="46">
        <f>'Normalized Annual Summary'!AQ16</f>
        <v>149812.20333023078</v>
      </c>
      <c r="S29" s="54">
        <f t="shared" si="19"/>
        <v>414.87250768175403</v>
      </c>
      <c r="T29" s="74">
        <f t="shared" si="16"/>
        <v>2.7692837997132401E-3</v>
      </c>
      <c r="U29" s="55">
        <f t="shared" si="17"/>
        <v>2.7657300056004239E-3</v>
      </c>
      <c r="W29" s="45"/>
      <c r="X29" s="46"/>
      <c r="Y29" s="54"/>
      <c r="Z29" s="55"/>
    </row>
    <row r="30" spans="1:26">
      <c r="B30" s="45"/>
      <c r="C30" s="46"/>
      <c r="D30" s="54"/>
      <c r="E30" s="55"/>
      <c r="F30" s="91"/>
      <c r="G30" s="91"/>
      <c r="H30" s="91"/>
      <c r="J30" s="45"/>
      <c r="K30" s="46"/>
      <c r="L30" s="54"/>
      <c r="M30" s="74"/>
      <c r="N30" s="55"/>
      <c r="P30" s="45"/>
      <c r="Q30" s="45"/>
      <c r="R30" s="46"/>
      <c r="S30" s="54"/>
      <c r="T30" s="74"/>
      <c r="U30" s="55"/>
      <c r="W30" s="45"/>
      <c r="X30" s="46"/>
      <c r="Y30" s="54"/>
      <c r="Z30" s="55"/>
    </row>
    <row r="32" spans="1:26">
      <c r="A32" s="10"/>
      <c r="B32" s="10"/>
      <c r="C32" s="64" t="s">
        <v>1</v>
      </c>
      <c r="D32" s="65" t="s">
        <v>2</v>
      </c>
      <c r="E32" s="50" t="s">
        <v>431</v>
      </c>
      <c r="F32" s="10"/>
      <c r="G32" s="10"/>
      <c r="H32" s="10"/>
      <c r="I32" s="10"/>
      <c r="J32" s="10"/>
      <c r="K32" s="64" t="s">
        <v>1</v>
      </c>
      <c r="L32" s="65" t="s">
        <v>2</v>
      </c>
      <c r="M32" s="50" t="s">
        <v>431</v>
      </c>
      <c r="Q32" s="10"/>
      <c r="R32" s="64" t="s">
        <v>1</v>
      </c>
      <c r="S32" s="65" t="s">
        <v>2</v>
      </c>
      <c r="T32" s="50" t="s">
        <v>431</v>
      </c>
    </row>
    <row r="33" spans="1:20">
      <c r="A33" s="10" t="s">
        <v>432</v>
      </c>
      <c r="B33" s="10"/>
      <c r="C33" s="66">
        <f ca="1">C14/C9-1</f>
        <v>-2.0746836597962059E-2</v>
      </c>
      <c r="D33" s="66">
        <f ca="1">D14/D9-1</f>
        <v>-1.9097286409063829E-2</v>
      </c>
      <c r="E33" s="67">
        <f ca="1">D33-C33</f>
        <v>1.64955018889823E-3</v>
      </c>
      <c r="F33" s="10"/>
      <c r="G33" s="10"/>
      <c r="H33" s="10"/>
      <c r="I33" s="10"/>
      <c r="J33" s="10"/>
      <c r="K33" s="66">
        <f>K14/K9-1</f>
        <v>9.6980604863605713E-4</v>
      </c>
      <c r="L33" s="66">
        <f>L14/L9-1</f>
        <v>-2.8248587570621764E-3</v>
      </c>
      <c r="M33" s="68">
        <f>L33-K33</f>
        <v>-3.7946648056982335E-3</v>
      </c>
      <c r="Q33" s="10"/>
      <c r="R33" s="66">
        <f>R14/R9-1</f>
        <v>-0.18510576324300432</v>
      </c>
      <c r="S33" s="66">
        <f>S14/S9-1</f>
        <v>-0.14031007751937996</v>
      </c>
      <c r="T33" s="68">
        <f>S33-R33</f>
        <v>4.4795685723624357E-2</v>
      </c>
    </row>
    <row r="34" spans="1:20">
      <c r="A34" s="10" t="s">
        <v>433</v>
      </c>
      <c r="B34" s="10"/>
      <c r="C34" s="66">
        <f ca="1">C14/C5-1</f>
        <v>-3.3227756044581724E-2</v>
      </c>
      <c r="D34" s="66">
        <f ca="1">D14/D5-1</f>
        <v>-3.4296863888415241E-2</v>
      </c>
      <c r="E34" s="67">
        <f ca="1">D34-C34</f>
        <v>-1.0691078438335166E-3</v>
      </c>
      <c r="F34" s="10"/>
      <c r="G34" s="10"/>
      <c r="H34" s="10"/>
      <c r="I34" s="10"/>
      <c r="J34" s="10"/>
      <c r="K34" s="66">
        <f>K14/K5-1</f>
        <v>-0.22256659195551287</v>
      </c>
      <c r="L34" s="66">
        <f>L14/L5-1</f>
        <v>-0.27922409392547221</v>
      </c>
      <c r="M34" s="68">
        <f>L34-K34</f>
        <v>-5.6657501969959334E-2</v>
      </c>
      <c r="Q34" s="10"/>
      <c r="R34" s="66">
        <f>R14/R5-1</f>
        <v>-0.25500215788362124</v>
      </c>
      <c r="S34" s="66">
        <f>S14/S5-1</f>
        <v>-0.29475357710651828</v>
      </c>
      <c r="T34" s="68">
        <f>S34-R34</f>
        <v>-3.9751419222897044E-2</v>
      </c>
    </row>
    <row r="35" spans="1:20">
      <c r="A35" s="10"/>
      <c r="B35" s="10"/>
      <c r="C35" s="10"/>
      <c r="D35" s="10"/>
      <c r="E35" s="10"/>
      <c r="F35" s="10"/>
      <c r="G35" s="10"/>
      <c r="H35" s="10"/>
      <c r="I35" s="10"/>
      <c r="J35" s="10"/>
      <c r="K35" s="10"/>
      <c r="L35" s="10"/>
      <c r="M35" s="10"/>
      <c r="Q35" s="10"/>
      <c r="R35" s="10"/>
      <c r="S35" s="10"/>
      <c r="T35" s="10"/>
    </row>
    <row r="36" spans="1:20">
      <c r="A36" s="10"/>
      <c r="B36" s="10"/>
      <c r="C36" s="10"/>
      <c r="D36" s="10" t="s">
        <v>434</v>
      </c>
      <c r="E36" s="10"/>
      <c r="F36" s="10"/>
      <c r="G36" s="10"/>
      <c r="H36" s="10"/>
      <c r="I36" s="10"/>
      <c r="J36" s="10"/>
      <c r="K36" s="10"/>
      <c r="L36" s="10" t="s">
        <v>435</v>
      </c>
      <c r="M36" s="10"/>
      <c r="Q36" s="10"/>
      <c r="R36" s="10"/>
      <c r="S36" s="10" t="s">
        <v>435</v>
      </c>
      <c r="T36" s="10"/>
    </row>
  </sheetData>
  <mergeCells count="3">
    <mergeCell ref="C2:E2"/>
    <mergeCell ref="K2:M2"/>
    <mergeCell ref="R2:T2"/>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C8F7E-C8BA-4B0B-9382-9E9E0A0E9050}">
  <sheetPr codeName="Sheet33"/>
  <dimension ref="B1:AN135"/>
  <sheetViews>
    <sheetView workbookViewId="0">
      <selection activeCell="K15" sqref="K15"/>
    </sheetView>
  </sheetViews>
  <sheetFormatPr defaultColWidth="8.83203125" defaultRowHeight="13.15"/>
  <cols>
    <col min="1" max="1" width="8.83203125" style="334"/>
    <col min="2" max="2" width="28.6640625" style="334" bestFit="1" customWidth="1"/>
    <col min="3" max="3" width="17.6640625" style="334" customWidth="1"/>
    <col min="4" max="4" width="21" style="334" bestFit="1" customWidth="1"/>
    <col min="5" max="5" width="18.6640625" style="334" bestFit="1" customWidth="1"/>
    <col min="6" max="7" width="17.6640625" style="334" bestFit="1" customWidth="1"/>
    <col min="8" max="8" width="17.83203125" style="334" bestFit="1" customWidth="1"/>
    <col min="9" max="9" width="16.5" style="334" customWidth="1"/>
    <col min="10" max="10" width="15.1640625" style="334" customWidth="1"/>
    <col min="11" max="12" width="10" style="334" customWidth="1"/>
    <col min="13" max="13" width="19.5" style="334" bestFit="1" customWidth="1"/>
    <col min="14" max="14" width="16.6640625" style="334" bestFit="1" customWidth="1"/>
    <col min="15" max="15" width="28.6640625" style="334" bestFit="1" customWidth="1"/>
    <col min="16" max="16" width="14.1640625" style="334" customWidth="1"/>
    <col min="17" max="17" width="17.83203125" style="334" customWidth="1"/>
    <col min="18" max="18" width="14.33203125" style="334" bestFit="1" customWidth="1"/>
    <col min="19" max="19" width="14.33203125" style="334" customWidth="1"/>
    <col min="20" max="20" width="13.6640625" style="334" bestFit="1" customWidth="1"/>
    <col min="21" max="22" width="13.1640625" style="334" customWidth="1"/>
    <col min="23" max="23" width="8.83203125" style="334" customWidth="1"/>
    <col min="24" max="25" width="8.83203125" style="334"/>
    <col min="26" max="26" width="35.1640625" style="334" bestFit="1" customWidth="1"/>
    <col min="27" max="16384" width="8.83203125" style="334"/>
  </cols>
  <sheetData>
    <row r="1" spans="2:40" ht="13.9">
      <c r="R1" s="164"/>
      <c r="Y1" s="378"/>
      <c r="Z1" s="379"/>
      <c r="AA1" s="379"/>
      <c r="AB1" s="379"/>
      <c r="AC1" s="379"/>
      <c r="AD1" s="379"/>
      <c r="AE1" s="380" t="s">
        <v>437</v>
      </c>
      <c r="AF1" s="379"/>
      <c r="AG1" s="379"/>
      <c r="AH1" s="379"/>
      <c r="AI1" s="379"/>
      <c r="AJ1" s="379"/>
      <c r="AK1" s="379"/>
      <c r="AL1" s="379"/>
      <c r="AM1" s="379"/>
      <c r="AN1" s="381"/>
    </row>
    <row r="2" spans="2:40" ht="13.9">
      <c r="B2" s="163"/>
      <c r="C2" s="164" t="s">
        <v>438</v>
      </c>
      <c r="D2" s="164"/>
      <c r="E2" s="164"/>
      <c r="F2" s="164"/>
      <c r="G2" s="163"/>
      <c r="H2" s="163"/>
      <c r="P2" s="164" t="s">
        <v>439</v>
      </c>
      <c r="Q2" s="164"/>
      <c r="R2" s="164"/>
      <c r="S2" s="164"/>
      <c r="Y2" s="382"/>
      <c r="Z2" s="609" t="s">
        <v>440</v>
      </c>
      <c r="AA2" s="609"/>
      <c r="AB2" s="609"/>
      <c r="AC2" s="609"/>
      <c r="AD2" s="609"/>
      <c r="AE2" s="384"/>
      <c r="AF2" s="384"/>
      <c r="AG2" s="384"/>
      <c r="AH2" s="384"/>
      <c r="AI2" s="384"/>
      <c r="AJ2" s="384"/>
      <c r="AK2" s="384"/>
      <c r="AL2" s="384"/>
      <c r="AM2" s="384"/>
      <c r="AN2" s="385"/>
    </row>
    <row r="3" spans="2:40" ht="13.9">
      <c r="B3" s="163"/>
      <c r="C3" s="165">
        <v>2021</v>
      </c>
      <c r="D3" s="165">
        <v>2022</v>
      </c>
      <c r="E3" s="165">
        <v>2023</v>
      </c>
      <c r="F3" s="165">
        <v>2024</v>
      </c>
      <c r="G3" s="166">
        <v>2025</v>
      </c>
      <c r="H3" s="165">
        <v>2026</v>
      </c>
      <c r="I3" s="165">
        <v>2027</v>
      </c>
      <c r="J3" s="165">
        <v>2028</v>
      </c>
      <c r="K3" s="163" t="s">
        <v>441</v>
      </c>
      <c r="L3" s="163"/>
      <c r="P3" s="164">
        <v>2021</v>
      </c>
      <c r="Q3" s="164">
        <v>2022</v>
      </c>
      <c r="R3" s="164">
        <v>2023</v>
      </c>
      <c r="S3" s="164">
        <v>2024</v>
      </c>
      <c r="T3" s="164">
        <v>2025</v>
      </c>
      <c r="U3" s="164">
        <v>2026</v>
      </c>
      <c r="V3" s="164">
        <v>2027</v>
      </c>
      <c r="Y3" s="382"/>
      <c r="Z3" s="384"/>
      <c r="AA3" s="386">
        <v>2021</v>
      </c>
      <c r="AB3" s="386">
        <v>2022</v>
      </c>
      <c r="AC3" s="386">
        <v>2023</v>
      </c>
      <c r="AD3" s="386">
        <v>2024</v>
      </c>
      <c r="AE3" s="384"/>
      <c r="AF3" s="387" t="s">
        <v>442</v>
      </c>
      <c r="AG3" s="388" t="s">
        <v>443</v>
      </c>
      <c r="AH3" s="388" t="s">
        <v>444</v>
      </c>
      <c r="AI3" s="388" t="s">
        <v>445</v>
      </c>
      <c r="AJ3" s="388"/>
      <c r="AK3" s="387" t="s">
        <v>446</v>
      </c>
      <c r="AL3" s="387" t="s">
        <v>447</v>
      </c>
      <c r="AM3" s="384"/>
      <c r="AN3" s="385"/>
    </row>
    <row r="4" spans="2:40" ht="13.9">
      <c r="B4" s="163" t="s">
        <v>448</v>
      </c>
      <c r="C4" s="167">
        <f>AF4</f>
        <v>416.5</v>
      </c>
      <c r="D4" s="167">
        <f>AG4-AF4</f>
        <v>624.29999999999995</v>
      </c>
      <c r="E4" s="167">
        <f>AH4-AG4</f>
        <v>162.20000000000005</v>
      </c>
      <c r="F4" s="167">
        <f>AI4-AH4</f>
        <v>686.5</v>
      </c>
      <c r="G4" s="335">
        <v>446</v>
      </c>
      <c r="H4" s="336">
        <v>519</v>
      </c>
      <c r="I4" s="336">
        <v>476</v>
      </c>
      <c r="J4" s="336">
        <v>480.33333333333331</v>
      </c>
      <c r="K4" s="168">
        <f>$H$84*P54+$H$88*Q54</f>
        <v>1.7206666648577969E-3</v>
      </c>
      <c r="L4" s="337" t="s">
        <v>449</v>
      </c>
      <c r="N4" s="169"/>
      <c r="O4" s="163" t="s">
        <v>448</v>
      </c>
      <c r="P4" s="338">
        <f>C4*$K4*1000000</f>
        <v>716657.66591327242</v>
      </c>
      <c r="Q4" s="338">
        <f t="shared" ref="P4:V17" si="0">D4*$K4*1000000</f>
        <v>1074212.1988707224</v>
      </c>
      <c r="R4" s="338">
        <f t="shared" si="0"/>
        <v>279092.13303993474</v>
      </c>
      <c r="S4" s="338">
        <f t="shared" si="0"/>
        <v>1181237.6654248775</v>
      </c>
      <c r="T4" s="517">
        <f>G4*$K4*1000000/2</f>
        <v>383708.6662632887</v>
      </c>
      <c r="U4" s="338">
        <f t="shared" si="0"/>
        <v>893025.99906119658</v>
      </c>
      <c r="V4" s="338">
        <f t="shared" si="0"/>
        <v>819037.33247231133</v>
      </c>
      <c r="Y4" s="382"/>
      <c r="Z4" s="389" t="s">
        <v>448</v>
      </c>
      <c r="AA4" s="390">
        <v>322</v>
      </c>
      <c r="AB4" s="390">
        <v>570</v>
      </c>
      <c r="AC4" s="390">
        <v>359</v>
      </c>
      <c r="AD4" s="390">
        <v>560</v>
      </c>
      <c r="AE4" s="384"/>
      <c r="AF4" s="384">
        <v>416.5</v>
      </c>
      <c r="AG4" s="384">
        <f>1040.8</f>
        <v>1040.8</v>
      </c>
      <c r="AH4" s="391">
        <f>1014.8+188.2</f>
        <v>1203</v>
      </c>
      <c r="AI4" s="391">
        <v>1889.5</v>
      </c>
      <c r="AJ4" s="391"/>
      <c r="AK4" s="392">
        <f>SUM(AA4:AD4)</f>
        <v>1811</v>
      </c>
      <c r="AL4" s="393">
        <f>AI4/AK4</f>
        <v>1.0433462175593595</v>
      </c>
      <c r="AM4" s="384"/>
      <c r="AN4" s="385"/>
    </row>
    <row r="5" spans="2:40" ht="13.9">
      <c r="B5" s="170" t="s">
        <v>324</v>
      </c>
      <c r="C5" s="167">
        <f t="shared" ref="C5:C17" si="1">AF5</f>
        <v>11.6</v>
      </c>
      <c r="D5" s="167">
        <f t="shared" ref="D5:D17" si="2">AG5-AF5</f>
        <v>5.0999999999999996</v>
      </c>
      <c r="E5" s="167">
        <f t="shared" ref="E5:E17" si="3">AH5-AG5</f>
        <v>7.1999999999999993</v>
      </c>
      <c r="F5" s="167">
        <f t="shared" ref="F5:F17" si="4">AI5-AH5</f>
        <v>12.300000000000004</v>
      </c>
      <c r="G5" s="335">
        <v>14</v>
      </c>
      <c r="H5" s="336">
        <v>15</v>
      </c>
      <c r="I5" s="336">
        <v>16</v>
      </c>
      <c r="J5" s="336">
        <v>17</v>
      </c>
      <c r="K5" s="168">
        <f>$H$84*P55+$H$88*Q55</f>
        <v>1.9111282565736924E-3</v>
      </c>
      <c r="L5" s="337" t="str">
        <f t="shared" ref="L5:L10" si="5">L4</f>
        <v>% of provincial kWh</v>
      </c>
      <c r="N5" s="337"/>
      <c r="O5" s="170" t="s">
        <v>324</v>
      </c>
      <c r="P5" s="338">
        <f t="shared" si="0"/>
        <v>22169.087776254833</v>
      </c>
      <c r="Q5" s="338">
        <f t="shared" si="0"/>
        <v>9746.7541085258308</v>
      </c>
      <c r="R5" s="338">
        <f t="shared" si="0"/>
        <v>13760.123447330585</v>
      </c>
      <c r="S5" s="338">
        <f t="shared" si="0"/>
        <v>23506.877555856427</v>
      </c>
      <c r="T5" s="338">
        <f t="shared" si="0"/>
        <v>26755.795592031693</v>
      </c>
      <c r="U5" s="338">
        <f t="shared" si="0"/>
        <v>28666.923848605387</v>
      </c>
      <c r="V5" s="338">
        <f t="shared" si="0"/>
        <v>30578.052105179078</v>
      </c>
      <c r="Y5" s="382"/>
      <c r="Z5" s="389" t="s">
        <v>324</v>
      </c>
      <c r="AA5" s="390">
        <v>10</v>
      </c>
      <c r="AB5" s="390">
        <v>4</v>
      </c>
      <c r="AC5" s="390">
        <v>20</v>
      </c>
      <c r="AD5" s="390">
        <v>65</v>
      </c>
      <c r="AE5" s="384"/>
      <c r="AF5" s="384">
        <v>11.6</v>
      </c>
      <c r="AG5" s="384">
        <v>16.7</v>
      </c>
      <c r="AH5" s="391">
        <v>23.9</v>
      </c>
      <c r="AI5" s="391">
        <v>36.200000000000003</v>
      </c>
      <c r="AJ5" s="391"/>
      <c r="AK5" s="392">
        <f>SUM(AA5:AD5)</f>
        <v>99</v>
      </c>
      <c r="AL5" s="393">
        <f>AI5/AK5</f>
        <v>0.36565656565656568</v>
      </c>
      <c r="AM5" s="384"/>
      <c r="AN5" s="385"/>
    </row>
    <row r="6" spans="2:40" ht="13.9">
      <c r="B6" s="163" t="s">
        <v>450</v>
      </c>
      <c r="C6" s="167">
        <f t="shared" si="1"/>
        <v>12.6</v>
      </c>
      <c r="D6" s="167">
        <f t="shared" si="2"/>
        <v>19.600000000000001</v>
      </c>
      <c r="E6" s="167">
        <f t="shared" si="3"/>
        <v>5.6999999999999957</v>
      </c>
      <c r="F6" s="167">
        <f t="shared" si="4"/>
        <v>22.4</v>
      </c>
      <c r="G6" s="335"/>
      <c r="H6" s="336"/>
      <c r="I6" s="336"/>
      <c r="J6" s="336"/>
      <c r="K6" s="168">
        <f>($H$84*P56+$H$88*Q56)*0.5</f>
        <v>6.6987174071300292E-4</v>
      </c>
      <c r="L6" s="337" t="str">
        <f t="shared" si="5"/>
        <v>% of provincial kWh</v>
      </c>
      <c r="N6" s="337"/>
      <c r="O6" s="163" t="s">
        <v>450</v>
      </c>
      <c r="P6" s="338">
        <f t="shared" si="0"/>
        <v>8440.3839329838374</v>
      </c>
      <c r="Q6" s="338">
        <f t="shared" si="0"/>
        <v>13129.486117974859</v>
      </c>
      <c r="R6" s="338">
        <f t="shared" si="0"/>
        <v>3818.2689220641141</v>
      </c>
      <c r="S6" s="338">
        <f t="shared" si="0"/>
        <v>15005.126991971265</v>
      </c>
      <c r="T6" s="338">
        <f t="shared" si="0"/>
        <v>0</v>
      </c>
      <c r="U6" s="338">
        <f t="shared" si="0"/>
        <v>0</v>
      </c>
      <c r="V6" s="338">
        <f t="shared" si="0"/>
        <v>0</v>
      </c>
      <c r="Y6" s="382"/>
      <c r="Z6" s="389" t="s">
        <v>450</v>
      </c>
      <c r="AA6" s="390">
        <v>16</v>
      </c>
      <c r="AB6" s="390">
        <v>20</v>
      </c>
      <c r="AC6" s="390">
        <v>50</v>
      </c>
      <c r="AD6" s="390">
        <v>54</v>
      </c>
      <c r="AE6" s="384"/>
      <c r="AF6" s="384">
        <v>12.6</v>
      </c>
      <c r="AG6" s="384">
        <v>32.200000000000003</v>
      </c>
      <c r="AH6" s="391">
        <v>37.9</v>
      </c>
      <c r="AI6" s="391">
        <v>60.3</v>
      </c>
      <c r="AJ6" s="391"/>
      <c r="AK6" s="392">
        <f>SUM(AA6:AD6)</f>
        <v>140</v>
      </c>
      <c r="AL6" s="393">
        <f>AI6/AK6</f>
        <v>0.43071428571428572</v>
      </c>
      <c r="AM6" s="384"/>
      <c r="AN6" s="385"/>
    </row>
    <row r="7" spans="2:40" ht="13.9">
      <c r="B7" s="170" t="s">
        <v>451</v>
      </c>
      <c r="C7" s="167">
        <f t="shared" si="1"/>
        <v>0.8</v>
      </c>
      <c r="D7" s="167">
        <f t="shared" si="2"/>
        <v>14.899999999999999</v>
      </c>
      <c r="E7" s="167">
        <f t="shared" si="3"/>
        <v>-5.7999999999999989</v>
      </c>
      <c r="F7" s="167">
        <f t="shared" si="4"/>
        <v>117.89999999999999</v>
      </c>
      <c r="G7" s="335">
        <v>52</v>
      </c>
      <c r="H7" s="336">
        <v>59</v>
      </c>
      <c r="I7" s="336">
        <v>64</v>
      </c>
      <c r="J7" s="336">
        <v>70.33333333333394</v>
      </c>
      <c r="K7" s="168">
        <f>($H$84*P57+$H$88*K6)*0</f>
        <v>0</v>
      </c>
      <c r="L7" s="337" t="str">
        <f t="shared" si="5"/>
        <v>% of provincial kWh</v>
      </c>
      <c r="N7" s="334" t="s">
        <v>452</v>
      </c>
      <c r="O7" s="170" t="s">
        <v>451</v>
      </c>
      <c r="P7" s="338">
        <f t="shared" si="0"/>
        <v>0</v>
      </c>
      <c r="Q7" s="338">
        <f t="shared" si="0"/>
        <v>0</v>
      </c>
      <c r="R7" s="338">
        <f t="shared" si="0"/>
        <v>0</v>
      </c>
      <c r="S7" s="338">
        <f t="shared" si="0"/>
        <v>0</v>
      </c>
      <c r="T7" s="338">
        <f t="shared" si="0"/>
        <v>0</v>
      </c>
      <c r="U7" s="338">
        <f t="shared" si="0"/>
        <v>0</v>
      </c>
      <c r="V7" s="338">
        <f t="shared" si="0"/>
        <v>0</v>
      </c>
      <c r="Y7" s="382"/>
      <c r="Z7" s="389" t="s">
        <v>451</v>
      </c>
      <c r="AA7" s="390">
        <v>1</v>
      </c>
      <c r="AB7" s="390">
        <v>15</v>
      </c>
      <c r="AC7" s="390">
        <v>29</v>
      </c>
      <c r="AD7" s="390">
        <v>96</v>
      </c>
      <c r="AE7" s="384"/>
      <c r="AF7" s="384">
        <v>0.8</v>
      </c>
      <c r="AG7" s="384">
        <v>15.7</v>
      </c>
      <c r="AH7" s="391">
        <v>9.9</v>
      </c>
      <c r="AI7" s="391">
        <v>127.8</v>
      </c>
      <c r="AJ7" s="391"/>
      <c r="AK7" s="392">
        <f>SUM(AA7:AD7)</f>
        <v>141</v>
      </c>
      <c r="AL7" s="393">
        <f>AI7/AK7</f>
        <v>0.90638297872340423</v>
      </c>
      <c r="AM7" s="384"/>
      <c r="AN7" s="385"/>
    </row>
    <row r="8" spans="2:40" ht="13.9">
      <c r="B8" s="163" t="s">
        <v>453</v>
      </c>
      <c r="C8" s="167">
        <f t="shared" si="1"/>
        <v>0</v>
      </c>
      <c r="D8" s="167">
        <f t="shared" si="2"/>
        <v>0</v>
      </c>
      <c r="E8" s="167">
        <f t="shared" si="3"/>
        <v>87.3</v>
      </c>
      <c r="F8" s="167">
        <f t="shared" si="4"/>
        <v>88.2</v>
      </c>
      <c r="G8" s="335">
        <v>133</v>
      </c>
      <c r="H8" s="336">
        <v>160</v>
      </c>
      <c r="I8" s="336">
        <v>195</v>
      </c>
      <c r="J8" s="336">
        <v>224.66666666666424</v>
      </c>
      <c r="K8" s="168">
        <f>($H$84*P58+$H$88*Q58)*0</f>
        <v>0</v>
      </c>
      <c r="L8" s="337" t="str">
        <f t="shared" si="5"/>
        <v>% of provincial kWh</v>
      </c>
      <c r="N8" s="337"/>
      <c r="O8" s="163" t="s">
        <v>453</v>
      </c>
      <c r="P8" s="338">
        <f t="shared" si="0"/>
        <v>0</v>
      </c>
      <c r="Q8" s="338">
        <f t="shared" si="0"/>
        <v>0</v>
      </c>
      <c r="R8" s="338">
        <f t="shared" si="0"/>
        <v>0</v>
      </c>
      <c r="S8" s="338">
        <f t="shared" si="0"/>
        <v>0</v>
      </c>
      <c r="T8" s="338">
        <f t="shared" si="0"/>
        <v>0</v>
      </c>
      <c r="U8" s="338">
        <f t="shared" si="0"/>
        <v>0</v>
      </c>
      <c r="V8" s="338">
        <f t="shared" si="0"/>
        <v>0</v>
      </c>
      <c r="Y8" s="382"/>
      <c r="Z8" s="389" t="str">
        <f>B8</f>
        <v>Industrial Energy Efficiency</v>
      </c>
      <c r="AA8" s="390">
        <v>0</v>
      </c>
      <c r="AB8" s="390">
        <v>0</v>
      </c>
      <c r="AC8" s="390">
        <v>165</v>
      </c>
      <c r="AD8" s="390">
        <v>165</v>
      </c>
      <c r="AE8" s="384"/>
      <c r="AF8" s="384">
        <v>0</v>
      </c>
      <c r="AG8" s="384">
        <v>0</v>
      </c>
      <c r="AH8" s="391">
        <v>87.3</v>
      </c>
      <c r="AI8" s="391">
        <v>175.5</v>
      </c>
      <c r="AJ8" s="391"/>
      <c r="AK8" s="392">
        <f>SUM(AA8:AD8)</f>
        <v>330</v>
      </c>
      <c r="AL8" s="393">
        <f>AI8/AK8</f>
        <v>0.53181818181818186</v>
      </c>
      <c r="AM8" s="384"/>
      <c r="AN8" s="385"/>
    </row>
    <row r="9" spans="2:40" ht="13.9">
      <c r="B9" s="170" t="s">
        <v>454</v>
      </c>
      <c r="C9" s="167">
        <f t="shared" si="1"/>
        <v>0</v>
      </c>
      <c r="D9" s="167">
        <f t="shared" si="2"/>
        <v>0</v>
      </c>
      <c r="E9" s="167">
        <f t="shared" si="3"/>
        <v>0</v>
      </c>
      <c r="F9" s="167">
        <f t="shared" si="4"/>
        <v>0</v>
      </c>
      <c r="G9" s="335"/>
      <c r="H9" s="336"/>
      <c r="I9" s="336">
        <v>106</v>
      </c>
      <c r="J9" s="336">
        <v>106</v>
      </c>
      <c r="K9" s="168">
        <f>($H$84*P59+$H$88*Q59)*0</f>
        <v>0</v>
      </c>
      <c r="L9" s="337" t="str">
        <f t="shared" si="5"/>
        <v>% of provincial kWh</v>
      </c>
      <c r="N9" s="337"/>
      <c r="O9" s="163" t="str">
        <f>B9</f>
        <v>New Construction</v>
      </c>
      <c r="P9" s="338">
        <f t="shared" si="0"/>
        <v>0</v>
      </c>
      <c r="Q9" s="338">
        <f t="shared" si="0"/>
        <v>0</v>
      </c>
      <c r="R9" s="338">
        <f t="shared" ref="R9:V13" si="6">E9*$K9*1000000</f>
        <v>0</v>
      </c>
      <c r="S9" s="338">
        <f t="shared" si="6"/>
        <v>0</v>
      </c>
      <c r="T9" s="338">
        <f t="shared" si="6"/>
        <v>0</v>
      </c>
      <c r="U9" s="338">
        <f t="shared" si="6"/>
        <v>0</v>
      </c>
      <c r="V9" s="338">
        <f t="shared" si="6"/>
        <v>0</v>
      </c>
      <c r="Y9" s="382"/>
      <c r="Z9" s="389" t="str">
        <f>B9</f>
        <v>New Construction</v>
      </c>
      <c r="AA9" s="390"/>
      <c r="AB9" s="390"/>
      <c r="AC9" s="390"/>
      <c r="AD9" s="390"/>
      <c r="AE9" s="384"/>
      <c r="AF9" s="384"/>
      <c r="AG9" s="384"/>
      <c r="AH9" s="391"/>
      <c r="AI9" s="391"/>
      <c r="AJ9" s="391"/>
      <c r="AK9" s="392"/>
      <c r="AL9" s="393"/>
      <c r="AM9" s="384"/>
      <c r="AN9" s="385"/>
    </row>
    <row r="10" spans="2:40" ht="13.9">
      <c r="B10" s="163" t="s">
        <v>455</v>
      </c>
      <c r="C10" s="167">
        <f t="shared" si="1"/>
        <v>0</v>
      </c>
      <c r="D10" s="167">
        <f t="shared" si="2"/>
        <v>0</v>
      </c>
      <c r="E10" s="167">
        <f t="shared" si="3"/>
        <v>0</v>
      </c>
      <c r="F10" s="167">
        <f t="shared" si="4"/>
        <v>0</v>
      </c>
      <c r="G10" s="335">
        <v>61</v>
      </c>
      <c r="H10" s="336">
        <v>66</v>
      </c>
      <c r="I10" s="336">
        <v>66</v>
      </c>
      <c r="J10" s="336">
        <v>69.33333333333303</v>
      </c>
      <c r="K10" s="168">
        <f>I29</f>
        <v>1.9750794395988376E-3</v>
      </c>
      <c r="L10" s="337" t="str">
        <f t="shared" si="5"/>
        <v>% of provincial kWh</v>
      </c>
      <c r="N10" s="337"/>
      <c r="O10" s="163" t="str">
        <f>B10</f>
        <v>Home Renovation Savings</v>
      </c>
      <c r="P10" s="338">
        <f t="shared" si="0"/>
        <v>0</v>
      </c>
      <c r="Q10" s="338">
        <f t="shared" si="0"/>
        <v>0</v>
      </c>
      <c r="R10" s="338">
        <f t="shared" si="6"/>
        <v>0</v>
      </c>
      <c r="S10" s="338">
        <f t="shared" si="6"/>
        <v>0</v>
      </c>
      <c r="T10" s="338">
        <f t="shared" si="6"/>
        <v>120479.84581552909</v>
      </c>
      <c r="U10" s="338">
        <f t="shared" si="6"/>
        <v>130355.24301352327</v>
      </c>
      <c r="V10" s="338">
        <f t="shared" si="6"/>
        <v>130355.24301352327</v>
      </c>
      <c r="Y10" s="382"/>
      <c r="Z10" s="389" t="str">
        <f>B10</f>
        <v>Home Renovation Savings</v>
      </c>
      <c r="AA10" s="390"/>
      <c r="AB10" s="390"/>
      <c r="AC10" s="390"/>
      <c r="AD10" s="390"/>
      <c r="AE10" s="384"/>
      <c r="AF10" s="384"/>
      <c r="AG10" s="384"/>
      <c r="AH10" s="391"/>
      <c r="AI10" s="391"/>
      <c r="AJ10" s="391"/>
      <c r="AK10" s="392"/>
      <c r="AL10" s="393"/>
      <c r="AM10" s="384"/>
      <c r="AN10" s="385"/>
    </row>
    <row r="11" spans="2:40" ht="13.9">
      <c r="B11" s="170" t="s">
        <v>456</v>
      </c>
      <c r="C11" s="167">
        <f t="shared" si="1"/>
        <v>0</v>
      </c>
      <c r="D11" s="167">
        <f t="shared" si="2"/>
        <v>0</v>
      </c>
      <c r="E11" s="167">
        <f t="shared" si="3"/>
        <v>0</v>
      </c>
      <c r="F11" s="167">
        <f t="shared" si="4"/>
        <v>0</v>
      </c>
      <c r="G11" s="335"/>
      <c r="H11" s="336"/>
      <c r="I11" s="336"/>
      <c r="J11" s="336"/>
      <c r="K11" s="168"/>
      <c r="L11" s="337"/>
      <c r="N11" s="337"/>
      <c r="O11" s="163" t="str">
        <f>B11</f>
        <v>Commercial HVAC DR</v>
      </c>
      <c r="P11" s="338"/>
      <c r="Q11" s="338"/>
      <c r="R11" s="338">
        <f t="shared" si="6"/>
        <v>0</v>
      </c>
      <c r="S11" s="338">
        <f t="shared" si="6"/>
        <v>0</v>
      </c>
      <c r="T11" s="338">
        <f t="shared" si="6"/>
        <v>0</v>
      </c>
      <c r="U11" s="338">
        <f t="shared" si="6"/>
        <v>0</v>
      </c>
      <c r="V11" s="338">
        <f t="shared" si="6"/>
        <v>0</v>
      </c>
      <c r="Y11" s="382"/>
      <c r="Z11" s="389" t="str">
        <f>B11</f>
        <v>Commercial HVAC DR</v>
      </c>
      <c r="AA11" s="390"/>
      <c r="AB11" s="390"/>
      <c r="AC11" s="390"/>
      <c r="AD11" s="390"/>
      <c r="AE11" s="384"/>
      <c r="AF11" s="384"/>
      <c r="AG11" s="384"/>
      <c r="AH11" s="391"/>
      <c r="AI11" s="391"/>
      <c r="AJ11" s="391"/>
      <c r="AK11" s="392"/>
      <c r="AL11" s="393"/>
      <c r="AM11" s="384"/>
      <c r="AN11" s="385"/>
    </row>
    <row r="12" spans="2:40" ht="13.9">
      <c r="B12" s="163" t="s">
        <v>457</v>
      </c>
      <c r="C12" s="167">
        <f t="shared" si="1"/>
        <v>0</v>
      </c>
      <c r="D12" s="167">
        <f t="shared" si="2"/>
        <v>0</v>
      </c>
      <c r="E12" s="167">
        <f t="shared" si="3"/>
        <v>23.7</v>
      </c>
      <c r="F12" s="167">
        <f t="shared" si="4"/>
        <v>-23.7</v>
      </c>
      <c r="G12" s="335"/>
      <c r="H12" s="336"/>
      <c r="I12" s="336"/>
      <c r="J12" s="336"/>
      <c r="K12" s="168"/>
      <c r="L12" s="337"/>
      <c r="N12" s="337"/>
      <c r="O12" s="163" t="str">
        <f>B12</f>
        <v>Peak Perks</v>
      </c>
      <c r="P12" s="338"/>
      <c r="Q12" s="338"/>
      <c r="R12" s="338">
        <f t="shared" si="6"/>
        <v>0</v>
      </c>
      <c r="S12" s="338">
        <f t="shared" si="6"/>
        <v>0</v>
      </c>
      <c r="T12" s="338">
        <f t="shared" si="6"/>
        <v>0</v>
      </c>
      <c r="U12" s="338">
        <f t="shared" si="6"/>
        <v>0</v>
      </c>
      <c r="V12" s="338">
        <f t="shared" si="6"/>
        <v>0</v>
      </c>
      <c r="Y12" s="382"/>
      <c r="Z12" s="389" t="s">
        <v>458</v>
      </c>
      <c r="AA12" s="390"/>
      <c r="AB12" s="390"/>
      <c r="AC12" s="390"/>
      <c r="AD12" s="390"/>
      <c r="AE12" s="384"/>
      <c r="AF12" s="384"/>
      <c r="AG12" s="384">
        <v>0</v>
      </c>
      <c r="AH12" s="391">
        <v>23.7</v>
      </c>
      <c r="AI12" s="391"/>
      <c r="AJ12" s="391"/>
      <c r="AK12" s="392">
        <f>SUM(AA12:AC12)</f>
        <v>0</v>
      </c>
      <c r="AL12" s="393"/>
      <c r="AM12" s="384"/>
      <c r="AN12" s="385"/>
    </row>
    <row r="13" spans="2:40" ht="13.9">
      <c r="B13" s="170" t="s">
        <v>459</v>
      </c>
      <c r="C13" s="167">
        <f t="shared" si="1"/>
        <v>0</v>
      </c>
      <c r="D13" s="167">
        <f t="shared" si="2"/>
        <v>0</v>
      </c>
      <c r="E13" s="167">
        <f t="shared" si="3"/>
        <v>242</v>
      </c>
      <c r="F13" s="167">
        <f t="shared" si="4"/>
        <v>487.20000000000005</v>
      </c>
      <c r="G13" s="335"/>
      <c r="H13" s="336"/>
      <c r="I13" s="336"/>
      <c r="J13" s="336"/>
      <c r="K13" s="168">
        <v>0</v>
      </c>
      <c r="L13" s="337"/>
      <c r="N13" s="337"/>
      <c r="O13" s="170" t="s">
        <v>459</v>
      </c>
      <c r="P13" s="338">
        <f t="shared" si="0"/>
        <v>0</v>
      </c>
      <c r="Q13" s="338">
        <f t="shared" si="0"/>
        <v>0</v>
      </c>
      <c r="R13" s="338">
        <f t="shared" si="6"/>
        <v>0</v>
      </c>
      <c r="S13" s="338">
        <f t="shared" si="6"/>
        <v>0</v>
      </c>
      <c r="T13" s="338">
        <f t="shared" si="6"/>
        <v>0</v>
      </c>
      <c r="U13" s="338">
        <f t="shared" si="6"/>
        <v>0</v>
      </c>
      <c r="V13" s="338">
        <f t="shared" si="6"/>
        <v>0</v>
      </c>
      <c r="Y13" s="382"/>
      <c r="Z13" s="389" t="s">
        <v>459</v>
      </c>
      <c r="AA13" s="390">
        <v>0</v>
      </c>
      <c r="AB13" s="390">
        <v>0</v>
      </c>
      <c r="AC13" s="390">
        <v>333</v>
      </c>
      <c r="AD13" s="390">
        <v>333</v>
      </c>
      <c r="AE13" s="384"/>
      <c r="AF13" s="384">
        <v>0</v>
      </c>
      <c r="AG13" s="384">
        <v>0</v>
      </c>
      <c r="AH13" s="391">
        <v>242</v>
      </c>
      <c r="AI13" s="391">
        <v>729.2</v>
      </c>
      <c r="AJ13" s="391"/>
      <c r="AK13" s="392">
        <f t="shared" ref="AK13:AK18" si="7">SUM(AA13:AD13)</f>
        <v>666</v>
      </c>
      <c r="AL13" s="393">
        <f t="shared" ref="AL13:AL18" si="8">AI13/AK13</f>
        <v>1.0948948948948949</v>
      </c>
      <c r="AM13" s="384"/>
      <c r="AN13" s="385"/>
    </row>
    <row r="14" spans="2:40" ht="13.9">
      <c r="B14" s="163" t="s">
        <v>460</v>
      </c>
      <c r="C14" s="167">
        <f t="shared" si="1"/>
        <v>0</v>
      </c>
      <c r="D14" s="167">
        <f t="shared" si="2"/>
        <v>0</v>
      </c>
      <c r="E14" s="167">
        <f t="shared" si="3"/>
        <v>39.799999999999997</v>
      </c>
      <c r="F14" s="167">
        <f t="shared" si="4"/>
        <v>423.2</v>
      </c>
      <c r="G14" s="335">
        <v>641</v>
      </c>
      <c r="H14" s="336">
        <v>693</v>
      </c>
      <c r="I14" s="336">
        <v>750</v>
      </c>
      <c r="J14" s="336">
        <v>803.66666666667152</v>
      </c>
      <c r="K14" s="168">
        <f>I27</f>
        <v>1.3935289390694201E-3</v>
      </c>
      <c r="N14" s="169"/>
      <c r="O14" s="163" t="s">
        <v>460</v>
      </c>
      <c r="P14" s="338">
        <f t="shared" si="0"/>
        <v>0</v>
      </c>
      <c r="Q14" s="338">
        <f t="shared" si="0"/>
        <v>0</v>
      </c>
      <c r="R14" s="338">
        <f t="shared" si="0"/>
        <v>55462.451774962916</v>
      </c>
      <c r="S14" s="338">
        <f t="shared" si="0"/>
        <v>589741.4470141785</v>
      </c>
      <c r="T14" s="338">
        <f t="shared" si="0"/>
        <v>893252.04994349822</v>
      </c>
      <c r="U14" s="338">
        <f t="shared" si="0"/>
        <v>965715.55477510823</v>
      </c>
      <c r="V14" s="338">
        <f t="shared" si="0"/>
        <v>1045146.7043020651</v>
      </c>
      <c r="Y14" s="382"/>
      <c r="Z14" s="389" t="s">
        <v>460</v>
      </c>
      <c r="AA14" s="390">
        <v>0</v>
      </c>
      <c r="AB14" s="390">
        <v>61</v>
      </c>
      <c r="AC14" s="390">
        <v>161</v>
      </c>
      <c r="AD14" s="390">
        <v>181</v>
      </c>
      <c r="AE14" s="384"/>
      <c r="AF14" s="384">
        <v>0</v>
      </c>
      <c r="AG14" s="384">
        <v>0</v>
      </c>
      <c r="AH14" s="391">
        <f>6.8+33</f>
        <v>39.799999999999997</v>
      </c>
      <c r="AI14" s="391">
        <v>463</v>
      </c>
      <c r="AJ14" s="391"/>
      <c r="AK14" s="392">
        <f t="shared" si="7"/>
        <v>403</v>
      </c>
      <c r="AL14" s="393">
        <f t="shared" si="8"/>
        <v>1.1488833746898264</v>
      </c>
      <c r="AM14" s="384"/>
      <c r="AN14" s="385"/>
    </row>
    <row r="15" spans="2:40" ht="13.9">
      <c r="B15" s="170" t="s">
        <v>461</v>
      </c>
      <c r="C15" s="167">
        <f t="shared" si="1"/>
        <v>0</v>
      </c>
      <c r="D15" s="167">
        <f t="shared" si="2"/>
        <v>0</v>
      </c>
      <c r="E15" s="167">
        <f t="shared" si="3"/>
        <v>0</v>
      </c>
      <c r="F15" s="167">
        <f t="shared" si="4"/>
        <v>0</v>
      </c>
      <c r="G15" s="335"/>
      <c r="H15" s="336"/>
      <c r="I15" s="336"/>
      <c r="J15" s="336">
        <v>0</v>
      </c>
      <c r="K15" s="168">
        <v>0</v>
      </c>
      <c r="L15" s="337"/>
      <c r="N15" s="337"/>
      <c r="O15" s="170" t="s">
        <v>461</v>
      </c>
      <c r="P15" s="338">
        <f t="shared" si="0"/>
        <v>0</v>
      </c>
      <c r="Q15" s="338">
        <f t="shared" si="0"/>
        <v>0</v>
      </c>
      <c r="R15" s="338">
        <f t="shared" si="0"/>
        <v>0</v>
      </c>
      <c r="S15" s="338">
        <f t="shared" si="0"/>
        <v>0</v>
      </c>
      <c r="T15" s="338">
        <f t="shared" si="0"/>
        <v>0</v>
      </c>
      <c r="U15" s="338">
        <f t="shared" si="0"/>
        <v>0</v>
      </c>
      <c r="V15" s="338">
        <f t="shared" si="0"/>
        <v>0</v>
      </c>
      <c r="Y15" s="382"/>
      <c r="Z15" s="389" t="s">
        <v>461</v>
      </c>
      <c r="AA15" s="390">
        <v>0</v>
      </c>
      <c r="AB15" s="390">
        <v>0</v>
      </c>
      <c r="AC15" s="390">
        <v>3</v>
      </c>
      <c r="AD15" s="390">
        <v>7</v>
      </c>
      <c r="AE15" s="384"/>
      <c r="AF15" s="384">
        <v>0</v>
      </c>
      <c r="AG15" s="384">
        <v>0</v>
      </c>
      <c r="AH15" s="391">
        <v>0</v>
      </c>
      <c r="AI15" s="391">
        <v>0</v>
      </c>
      <c r="AJ15" s="391"/>
      <c r="AK15" s="392">
        <f t="shared" si="7"/>
        <v>10</v>
      </c>
      <c r="AL15" s="393">
        <f t="shared" si="8"/>
        <v>0</v>
      </c>
      <c r="AM15" s="384"/>
      <c r="AN15" s="385"/>
    </row>
    <row r="16" spans="2:40" ht="13.9">
      <c r="B16" s="163" t="s">
        <v>462</v>
      </c>
      <c r="C16" s="167">
        <f t="shared" si="1"/>
        <v>8.8000000000000007</v>
      </c>
      <c r="D16" s="167">
        <f t="shared" si="2"/>
        <v>9.3000000000000007</v>
      </c>
      <c r="E16" s="167">
        <f t="shared" si="3"/>
        <v>10.599999999999998</v>
      </c>
      <c r="F16" s="167">
        <f t="shared" si="4"/>
        <v>53.7</v>
      </c>
      <c r="G16" s="335">
        <v>27</v>
      </c>
      <c r="H16" s="336">
        <v>30</v>
      </c>
      <c r="I16" s="336">
        <v>44</v>
      </c>
      <c r="J16" s="336">
        <v>50.666666666667879</v>
      </c>
      <c r="K16" s="168">
        <f>E41</f>
        <v>2.213970187078721E-3</v>
      </c>
      <c r="L16" s="169" t="s">
        <v>463</v>
      </c>
      <c r="N16" s="337"/>
      <c r="O16" s="163" t="s">
        <v>462</v>
      </c>
      <c r="P16" s="338">
        <f t="shared" si="0"/>
        <v>19482.937646292747</v>
      </c>
      <c r="Q16" s="338">
        <f t="shared" si="0"/>
        <v>20589.922739832105</v>
      </c>
      <c r="R16" s="338">
        <f t="shared" si="0"/>
        <v>23468.083983034438</v>
      </c>
      <c r="S16" s="338">
        <f t="shared" si="0"/>
        <v>118890.19904612732</v>
      </c>
      <c r="T16" s="338">
        <f t="shared" si="0"/>
        <v>59777.195051125469</v>
      </c>
      <c r="U16" s="338">
        <f t="shared" si="0"/>
        <v>66419.105612361629</v>
      </c>
      <c r="V16" s="338">
        <f t="shared" si="0"/>
        <v>97414.688231463719</v>
      </c>
      <c r="Y16" s="382"/>
      <c r="Z16" s="389" t="s">
        <v>462</v>
      </c>
      <c r="AA16" s="390">
        <v>7</v>
      </c>
      <c r="AB16" s="390">
        <v>14</v>
      </c>
      <c r="AC16" s="390">
        <v>49</v>
      </c>
      <c r="AD16" s="390">
        <v>97</v>
      </c>
      <c r="AE16" s="384"/>
      <c r="AF16" s="384">
        <v>8.8000000000000007</v>
      </c>
      <c r="AG16" s="384">
        <v>18.100000000000001</v>
      </c>
      <c r="AH16" s="391">
        <v>28.7</v>
      </c>
      <c r="AI16" s="391">
        <v>82.4</v>
      </c>
      <c r="AJ16" s="391"/>
      <c r="AK16" s="392">
        <f t="shared" si="7"/>
        <v>167</v>
      </c>
      <c r="AL16" s="393">
        <f t="shared" si="8"/>
        <v>0.49341317365269466</v>
      </c>
      <c r="AM16" s="384"/>
      <c r="AN16" s="385"/>
    </row>
    <row r="17" spans="2:40" ht="13.9">
      <c r="B17" s="170" t="s">
        <v>464</v>
      </c>
      <c r="C17" s="167">
        <f t="shared" si="1"/>
        <v>0.8</v>
      </c>
      <c r="D17" s="167">
        <f t="shared" si="2"/>
        <v>9.9999999999999978E-2</v>
      </c>
      <c r="E17" s="167">
        <f t="shared" si="3"/>
        <v>1.2000000000000002</v>
      </c>
      <c r="F17" s="167">
        <f t="shared" si="4"/>
        <v>3.9</v>
      </c>
      <c r="G17" s="335">
        <v>1</v>
      </c>
      <c r="H17" s="336">
        <v>1</v>
      </c>
      <c r="I17" s="336">
        <v>1</v>
      </c>
      <c r="J17" s="336">
        <v>1</v>
      </c>
      <c r="K17" s="337">
        <v>0</v>
      </c>
      <c r="N17" s="337"/>
      <c r="O17" s="170" t="s">
        <v>464</v>
      </c>
      <c r="P17" s="338">
        <f t="shared" si="0"/>
        <v>0</v>
      </c>
      <c r="Q17" s="338">
        <f t="shared" si="0"/>
        <v>0</v>
      </c>
      <c r="R17" s="338">
        <f t="shared" si="0"/>
        <v>0</v>
      </c>
      <c r="S17" s="338">
        <f t="shared" si="0"/>
        <v>0</v>
      </c>
      <c r="T17" s="338">
        <f t="shared" si="0"/>
        <v>0</v>
      </c>
      <c r="U17" s="338">
        <f t="shared" si="0"/>
        <v>0</v>
      </c>
      <c r="V17" s="338">
        <f t="shared" si="0"/>
        <v>0</v>
      </c>
      <c r="Y17" s="382"/>
      <c r="Z17" s="389" t="s">
        <v>464</v>
      </c>
      <c r="AA17" s="390">
        <v>1</v>
      </c>
      <c r="AB17" s="390">
        <v>0</v>
      </c>
      <c r="AC17" s="390">
        <v>15</v>
      </c>
      <c r="AD17" s="390">
        <v>16</v>
      </c>
      <c r="AE17" s="384"/>
      <c r="AF17" s="384">
        <v>0.8</v>
      </c>
      <c r="AG17" s="384">
        <v>0.9</v>
      </c>
      <c r="AH17" s="391">
        <v>2.1</v>
      </c>
      <c r="AI17" s="391">
        <v>6</v>
      </c>
      <c r="AJ17" s="391"/>
      <c r="AK17" s="392">
        <f t="shared" si="7"/>
        <v>32</v>
      </c>
      <c r="AL17" s="393">
        <f t="shared" si="8"/>
        <v>0.1875</v>
      </c>
      <c r="AM17" s="384"/>
      <c r="AN17" s="385"/>
    </row>
    <row r="18" spans="2:40" ht="13.9">
      <c r="B18" s="163"/>
      <c r="C18" s="171">
        <f t="shared" ref="C18:J18" si="9">SUM(C4:C17)</f>
        <v>451.10000000000008</v>
      </c>
      <c r="D18" s="171">
        <f t="shared" si="9"/>
        <v>673.3</v>
      </c>
      <c r="E18" s="171">
        <f t="shared" si="9"/>
        <v>573.9</v>
      </c>
      <c r="F18" s="171">
        <f t="shared" si="9"/>
        <v>1871.6000000000001</v>
      </c>
      <c r="G18" s="172">
        <f t="shared" si="9"/>
        <v>1375</v>
      </c>
      <c r="H18" s="172">
        <f t="shared" si="9"/>
        <v>1543</v>
      </c>
      <c r="I18" s="172">
        <f t="shared" si="9"/>
        <v>1718</v>
      </c>
      <c r="J18" s="172">
        <f t="shared" si="9"/>
        <v>1823.0000000000039</v>
      </c>
      <c r="K18" s="337"/>
      <c r="L18" s="337"/>
      <c r="O18" s="171"/>
      <c r="P18" s="173">
        <f t="shared" ref="P18:V18" si="10">SUM(P4:P17)</f>
        <v>766750.07526880386</v>
      </c>
      <c r="Q18" s="173">
        <f t="shared" si="10"/>
        <v>1117678.3618370553</v>
      </c>
      <c r="R18" s="173">
        <f t="shared" si="10"/>
        <v>375601.06116732681</v>
      </c>
      <c r="S18" s="173">
        <f t="shared" si="10"/>
        <v>1928381.3160330111</v>
      </c>
      <c r="T18" s="173">
        <f t="shared" si="10"/>
        <v>1483973.5526654732</v>
      </c>
      <c r="U18" s="173">
        <f t="shared" si="10"/>
        <v>2084182.826310795</v>
      </c>
      <c r="V18" s="173">
        <f t="shared" si="10"/>
        <v>2122532.0201245425</v>
      </c>
      <c r="Y18" s="382"/>
      <c r="Z18" s="384"/>
      <c r="AA18" s="394">
        <f>SUM(AA4:AA17)</f>
        <v>357</v>
      </c>
      <c r="AB18" s="394">
        <f>SUM(AB4:AB17)</f>
        <v>684</v>
      </c>
      <c r="AC18" s="394">
        <f>SUM(AC4:AC17)</f>
        <v>1184</v>
      </c>
      <c r="AD18" s="394">
        <f>SUM(AD4:AD17)</f>
        <v>1574</v>
      </c>
      <c r="AE18" s="384"/>
      <c r="AF18" s="395">
        <f>SUM(AF4:AF17)</f>
        <v>451.10000000000008</v>
      </c>
      <c r="AG18" s="395">
        <f>SUM(AG4:AG17)</f>
        <v>1124.4000000000001</v>
      </c>
      <c r="AH18" s="395">
        <f>SUM(AH4:AH17)</f>
        <v>1698.3000000000002</v>
      </c>
      <c r="AI18" s="395">
        <f>SUM(AI4:AI17)</f>
        <v>3569.9</v>
      </c>
      <c r="AJ18" s="395"/>
      <c r="AK18" s="396">
        <f t="shared" si="7"/>
        <v>3799</v>
      </c>
      <c r="AL18" s="397">
        <f t="shared" si="8"/>
        <v>0.93969465648854966</v>
      </c>
      <c r="AM18" s="384"/>
      <c r="AN18" s="385"/>
    </row>
    <row r="19" spans="2:40" ht="13.9">
      <c r="B19" s="163"/>
      <c r="C19" s="171"/>
      <c r="D19" s="174">
        <f>D18/C18</f>
        <v>1.492573708712037</v>
      </c>
      <c r="E19" s="174">
        <f>E18/D18</f>
        <v>0.85236892915490869</v>
      </c>
      <c r="F19" s="174">
        <f>F18/E18</f>
        <v>3.261195330196899</v>
      </c>
      <c r="G19" s="163"/>
      <c r="H19" s="337"/>
      <c r="O19" s="171"/>
      <c r="P19" s="173"/>
      <c r="Q19" s="173"/>
      <c r="R19" s="173"/>
      <c r="S19" s="173"/>
      <c r="T19" s="173"/>
      <c r="U19" s="173"/>
      <c r="Y19" s="382"/>
      <c r="Z19" s="384"/>
      <c r="AA19" s="384"/>
      <c r="AB19" s="384"/>
      <c r="AC19" s="384"/>
      <c r="AD19" s="384"/>
      <c r="AE19" s="398" t="s">
        <v>465</v>
      </c>
      <c r="AF19" s="384"/>
      <c r="AG19" s="384"/>
      <c r="AH19" s="384"/>
      <c r="AI19" s="384" t="s">
        <v>466</v>
      </c>
      <c r="AJ19" s="384"/>
      <c r="AK19" s="384"/>
      <c r="AL19" s="384"/>
      <c r="AM19" s="384"/>
      <c r="AN19" s="385"/>
    </row>
    <row r="20" spans="2:40" ht="13.9">
      <c r="B20" s="163" t="s">
        <v>467</v>
      </c>
      <c r="C20" s="163" t="s">
        <v>468</v>
      </c>
      <c r="D20" s="163"/>
      <c r="E20" s="163"/>
      <c r="F20" s="163"/>
      <c r="G20" s="163" t="s">
        <v>469</v>
      </c>
      <c r="H20" s="337"/>
      <c r="Y20" s="382"/>
      <c r="Z20" s="384"/>
      <c r="AA20" s="384"/>
      <c r="AB20" s="384"/>
      <c r="AC20" s="384"/>
      <c r="AD20" s="384"/>
      <c r="AE20" s="380" t="s">
        <v>437</v>
      </c>
      <c r="AF20" s="384"/>
      <c r="AG20" s="384"/>
      <c r="AH20" s="384"/>
      <c r="AI20" s="384" t="s">
        <v>470</v>
      </c>
      <c r="AJ20" s="384"/>
      <c r="AK20" s="384"/>
      <c r="AL20" s="384"/>
      <c r="AM20" s="384"/>
      <c r="AN20" s="385"/>
    </row>
    <row r="21" spans="2:40" ht="13.9">
      <c r="B21" s="163"/>
      <c r="C21" s="163"/>
      <c r="D21" s="163"/>
      <c r="E21" s="163"/>
      <c r="F21" s="163"/>
      <c r="G21" s="163" t="s">
        <v>471</v>
      </c>
      <c r="H21" s="163"/>
      <c r="I21" s="163"/>
      <c r="Y21" s="382"/>
      <c r="Z21" s="384"/>
      <c r="AA21" s="384"/>
      <c r="AB21" s="384"/>
      <c r="AC21" s="384"/>
      <c r="AD21" s="384"/>
      <c r="AE21" s="399" t="s">
        <v>472</v>
      </c>
      <c r="AF21" s="383" t="s">
        <v>473</v>
      </c>
      <c r="AG21" s="383" t="s">
        <v>474</v>
      </c>
      <c r="AH21" s="383" t="s">
        <v>475</v>
      </c>
      <c r="AI21" s="383" t="s">
        <v>474</v>
      </c>
      <c r="AJ21" s="384"/>
      <c r="AK21" s="384"/>
      <c r="AL21" s="384"/>
      <c r="AM21" s="384"/>
      <c r="AN21" s="385"/>
    </row>
    <row r="22" spans="2:40" ht="14.45" thickBot="1">
      <c r="B22" s="175"/>
      <c r="C22" s="176"/>
      <c r="D22" s="176"/>
      <c r="E22" s="176"/>
      <c r="F22" s="176"/>
      <c r="G22" s="176"/>
      <c r="H22" s="176"/>
      <c r="I22" s="177"/>
      <c r="N22" s="339"/>
      <c r="O22" s="340" t="str">
        <f t="shared" ref="O22:O35" si="11">O4</f>
        <v>Retrofit</v>
      </c>
      <c r="P22" s="341">
        <f t="shared" ref="P22:P35" si="12">P4/2</f>
        <v>358328.83295663621</v>
      </c>
      <c r="Q22" s="341">
        <f t="shared" ref="Q22:Q35" si="13">Q4/2+P4/2</f>
        <v>895434.93239199743</v>
      </c>
      <c r="R22" s="341">
        <f t="shared" ref="R22:R35" si="14">R4/2+Q4+$P4/2</f>
        <v>1572087.0983473258</v>
      </c>
      <c r="S22" s="341">
        <f>S4/2+SUM($Q4:R4)+$P4/2</f>
        <v>2302251.9975797324</v>
      </c>
      <c r="T22" s="341">
        <f>T4/2+SUM($Q4:S4)+$P4/2</f>
        <v>3084725.1634238153</v>
      </c>
      <c r="U22" s="341">
        <f>U4/2+SUM($Q4:T4)+$P4/2</f>
        <v>3723092.4960860582</v>
      </c>
      <c r="V22" s="342">
        <f>V4/2+SUM($Q4:U4)+$P4/2</f>
        <v>4579124.1618528124</v>
      </c>
      <c r="Y22" s="400"/>
      <c r="Z22" s="401"/>
      <c r="AA22" s="401"/>
      <c r="AB22" s="401"/>
      <c r="AC22" s="401"/>
      <c r="AD22" s="401"/>
      <c r="AE22" s="401"/>
      <c r="AF22" s="401"/>
      <c r="AG22" s="401"/>
      <c r="AH22" s="401"/>
      <c r="AI22" s="401"/>
      <c r="AJ22" s="401"/>
      <c r="AK22" s="401"/>
      <c r="AL22" s="401"/>
      <c r="AM22" s="401"/>
      <c r="AN22" s="402"/>
    </row>
    <row r="23" spans="2:40">
      <c r="B23" s="175"/>
      <c r="C23" s="176"/>
      <c r="D23" s="176"/>
      <c r="E23" s="176"/>
      <c r="F23" s="176"/>
      <c r="G23" s="176"/>
      <c r="H23" s="176"/>
      <c r="I23" s="177"/>
      <c r="N23" s="343"/>
      <c r="O23" s="334" t="str">
        <f t="shared" si="11"/>
        <v>Small Business</v>
      </c>
      <c r="P23" s="186">
        <f t="shared" si="12"/>
        <v>11084.543888127417</v>
      </c>
      <c r="Q23" s="186">
        <f t="shared" si="13"/>
        <v>15957.920942390332</v>
      </c>
      <c r="R23" s="186">
        <f t="shared" si="14"/>
        <v>27711.359720318542</v>
      </c>
      <c r="S23" s="186">
        <f>S5/2+SUM($Q5:R5)+$P5/2</f>
        <v>46344.860221912044</v>
      </c>
      <c r="T23" s="186">
        <f>T5/2+SUM($Q5:S5)+$P5/2</f>
        <v>71476.196795856114</v>
      </c>
      <c r="U23" s="186">
        <f>U5/2+SUM($Q5:T5)+$P5/2</f>
        <v>99187.556516174649</v>
      </c>
      <c r="V23" s="344">
        <f>V5/2+SUM($Q5:U5)+$P5/2</f>
        <v>128810.04449306687</v>
      </c>
    </row>
    <row r="24" spans="2:40">
      <c r="B24" s="178" t="s">
        <v>351</v>
      </c>
      <c r="C24" s="331">
        <f>C76</f>
        <v>2020</v>
      </c>
      <c r="D24" s="331">
        <f>D76</f>
        <v>2021</v>
      </c>
      <c r="E24" s="331">
        <f>E76</f>
        <v>2022</v>
      </c>
      <c r="F24" s="331">
        <f>F76</f>
        <v>2023</v>
      </c>
      <c r="G24" s="331">
        <f>G76</f>
        <v>2024</v>
      </c>
      <c r="H24" s="179"/>
      <c r="I24" s="180" t="s">
        <v>476</v>
      </c>
      <c r="J24" s="181"/>
      <c r="K24" s="181"/>
      <c r="L24" s="181"/>
      <c r="M24" s="181"/>
      <c r="N24" s="343"/>
      <c r="O24" s="334" t="str">
        <f t="shared" si="11"/>
        <v xml:space="preserve">Energy Performance </v>
      </c>
      <c r="P24" s="186">
        <f t="shared" si="12"/>
        <v>4220.1919664919187</v>
      </c>
      <c r="Q24" s="186">
        <f t="shared" si="13"/>
        <v>10784.935025479348</v>
      </c>
      <c r="R24" s="186">
        <f t="shared" si="14"/>
        <v>19258.812545498833</v>
      </c>
      <c r="S24" s="186">
        <f>S6/2+SUM($Q6:R6)+$P6/2</f>
        <v>28670.510502516525</v>
      </c>
      <c r="T24" s="186">
        <f>T6/2+SUM($Q6:S6)+$P6/2</f>
        <v>36173.073998502157</v>
      </c>
      <c r="U24" s="186">
        <f>U6/2+SUM($Q6:T6)+$P6/2</f>
        <v>36173.073998502157</v>
      </c>
      <c r="V24" s="344">
        <f>V6/2+SUM($Q6:U6)+$P6/2</f>
        <v>36173.073998502157</v>
      </c>
    </row>
    <row r="25" spans="2:40">
      <c r="B25" s="182" t="s">
        <v>477</v>
      </c>
      <c r="C25" s="183">
        <f>C91</f>
        <v>128180478159.41</v>
      </c>
      <c r="D25" s="183">
        <f>D91</f>
        <v>129127213477.88</v>
      </c>
      <c r="E25" s="183">
        <f>E91</f>
        <v>131017204694.14</v>
      </c>
      <c r="F25" s="183">
        <f>F91</f>
        <v>130343686842.80206</v>
      </c>
      <c r="G25" s="183">
        <f>G91</f>
        <v>133031849833.25131</v>
      </c>
      <c r="H25" s="183"/>
      <c r="I25" s="184">
        <f>AVERAGE(C25:G25)</f>
        <v>130340086601.49667</v>
      </c>
      <c r="J25" s="173"/>
      <c r="K25" s="173"/>
      <c r="L25" s="173"/>
      <c r="M25" s="173"/>
      <c r="N25" s="185" t="s">
        <v>478</v>
      </c>
      <c r="O25" s="334" t="str">
        <f t="shared" si="11"/>
        <v>Energy Management</v>
      </c>
      <c r="P25" s="186">
        <f t="shared" si="12"/>
        <v>0</v>
      </c>
      <c r="Q25" s="186">
        <f t="shared" si="13"/>
        <v>0</v>
      </c>
      <c r="R25" s="186">
        <f t="shared" si="14"/>
        <v>0</v>
      </c>
      <c r="S25" s="186">
        <f>S7/2+SUM($Q7:R7)+$P7/2</f>
        <v>0</v>
      </c>
      <c r="T25" s="186">
        <f>T7/2+SUM($Q7:S7)+$P7/2</f>
        <v>0</v>
      </c>
      <c r="U25" s="186">
        <f>U7/2+SUM($Q7:T7)+$P7/2</f>
        <v>0</v>
      </c>
      <c r="V25" s="344">
        <f>V7/2+SUM($Q7:U7)+$P7/2</f>
        <v>0</v>
      </c>
    </row>
    <row r="26" spans="2:40">
      <c r="B26" s="182" t="s">
        <v>290</v>
      </c>
      <c r="C26" s="186">
        <f>C90</f>
        <v>178353238</v>
      </c>
      <c r="D26" s="186">
        <f>D90</f>
        <v>182112496</v>
      </c>
      <c r="E26" s="186">
        <f>E90</f>
        <v>185090366</v>
      </c>
      <c r="F26" s="186">
        <f>F90</f>
        <v>180529177</v>
      </c>
      <c r="G26" s="186">
        <f>G90</f>
        <v>182078136</v>
      </c>
      <c r="H26" s="186"/>
      <c r="I26" s="184">
        <f>AVERAGE(C26:G26)</f>
        <v>181632682.59999999</v>
      </c>
      <c r="J26" s="173"/>
      <c r="K26" s="173"/>
      <c r="L26" s="173"/>
      <c r="M26" s="173"/>
      <c r="N26" s="345" t="s">
        <v>479</v>
      </c>
      <c r="O26" s="334" t="str">
        <f t="shared" si="11"/>
        <v>Industrial Energy Efficiency</v>
      </c>
      <c r="P26" s="186">
        <f t="shared" si="12"/>
        <v>0</v>
      </c>
      <c r="Q26" s="186">
        <f t="shared" si="13"/>
        <v>0</v>
      </c>
      <c r="R26" s="186">
        <f t="shared" si="14"/>
        <v>0</v>
      </c>
      <c r="S26" s="186">
        <f>S8/2+SUM($Q8:R8)+$P8/2</f>
        <v>0</v>
      </c>
      <c r="T26" s="186">
        <f>T8/2+SUM($Q8:S8)+$P8/2</f>
        <v>0</v>
      </c>
      <c r="U26" s="186">
        <f>U8/2+SUM($Q8:T8)+$P8/2</f>
        <v>0</v>
      </c>
      <c r="V26" s="344">
        <f>V8/2+SUM($Q8:U8)+$P8/2</f>
        <v>0</v>
      </c>
    </row>
    <row r="27" spans="2:40">
      <c r="B27" s="182" t="s">
        <v>480</v>
      </c>
      <c r="C27" s="187">
        <f>C26/C25</f>
        <v>1.3914227857552012E-3</v>
      </c>
      <c r="D27" s="187">
        <f>D26/D25</f>
        <v>1.4103339729482863E-3</v>
      </c>
      <c r="E27" s="187">
        <f>E26/E25</f>
        <v>1.4127180199890077E-3</v>
      </c>
      <c r="F27" s="187">
        <f>F26/F25</f>
        <v>1.3850243258633843E-3</v>
      </c>
      <c r="G27" s="187">
        <f>G26/G25</f>
        <v>1.3686807800404619E-3</v>
      </c>
      <c r="H27" s="187"/>
      <c r="I27" s="188">
        <f>I26/I25</f>
        <v>1.3935289390694201E-3</v>
      </c>
      <c r="J27" s="189"/>
      <c r="K27" s="189"/>
      <c r="L27" s="189"/>
      <c r="N27" s="343"/>
      <c r="O27" s="334" t="str">
        <f t="shared" si="11"/>
        <v>New Construction</v>
      </c>
      <c r="P27" s="186">
        <f t="shared" si="12"/>
        <v>0</v>
      </c>
      <c r="Q27" s="186">
        <f t="shared" si="13"/>
        <v>0</v>
      </c>
      <c r="R27" s="186">
        <f t="shared" si="14"/>
        <v>0</v>
      </c>
      <c r="S27" s="186">
        <f>S9/2+SUM($Q9:R9)+$P9/2</f>
        <v>0</v>
      </c>
      <c r="T27" s="186">
        <f>T9/2+SUM($Q9:S9)+$P9/2</f>
        <v>0</v>
      </c>
      <c r="U27" s="186">
        <f>U9/2+SUM($Q9:T9)+$P9/2</f>
        <v>0</v>
      </c>
      <c r="V27" s="344">
        <f>V9/2+SUM($Q9:U9)+$P9/2</f>
        <v>0</v>
      </c>
    </row>
    <row r="28" spans="2:40">
      <c r="B28" s="182"/>
      <c r="C28" s="163"/>
      <c r="D28" s="163"/>
      <c r="E28" s="163"/>
      <c r="F28" s="163"/>
      <c r="G28" s="163"/>
      <c r="H28" s="163"/>
      <c r="I28" s="190"/>
      <c r="J28" s="171"/>
      <c r="K28" s="171"/>
      <c r="L28" s="171"/>
      <c r="N28" s="343"/>
      <c r="O28" s="334" t="str">
        <f t="shared" si="11"/>
        <v>Home Renovation Savings</v>
      </c>
      <c r="P28" s="186">
        <f t="shared" si="12"/>
        <v>0</v>
      </c>
      <c r="Q28" s="186">
        <f t="shared" si="13"/>
        <v>0</v>
      </c>
      <c r="R28" s="186">
        <f t="shared" si="14"/>
        <v>0</v>
      </c>
      <c r="S28" s="186">
        <f>S10/2+SUM($Q10:R10)+$P10/2</f>
        <v>0</v>
      </c>
      <c r="T28" s="186">
        <f>T10/2+SUM($Q10:S10)+$P10/2</f>
        <v>60239.922907764543</v>
      </c>
      <c r="U28" s="186">
        <f>U10/2+SUM($Q10:T10)+$P10/2</f>
        <v>185657.46732229073</v>
      </c>
      <c r="V28" s="344">
        <f>V10/2+SUM($Q10:U10)+$P10/2</f>
        <v>316012.71033581399</v>
      </c>
    </row>
    <row r="29" spans="2:40">
      <c r="B29" s="182" t="s">
        <v>18</v>
      </c>
      <c r="C29" s="332">
        <f>C80</f>
        <v>1.9688249573621011E-3</v>
      </c>
      <c r="D29" s="332">
        <f>D80</f>
        <v>1.9674894836831111E-3</v>
      </c>
      <c r="E29" s="332">
        <f>E80</f>
        <v>1.9777390042646026E-3</v>
      </c>
      <c r="F29" s="332">
        <f>F80</f>
        <v>1.9908207988386388E-3</v>
      </c>
      <c r="G29" s="332">
        <f>G80</f>
        <v>1.970799250729125E-3</v>
      </c>
      <c r="I29" s="333">
        <f>H80</f>
        <v>1.9750794395988376E-3</v>
      </c>
      <c r="N29" s="343"/>
      <c r="O29" s="334" t="str">
        <f t="shared" si="11"/>
        <v>Commercial HVAC DR</v>
      </c>
      <c r="P29" s="186">
        <f t="shared" si="12"/>
        <v>0</v>
      </c>
      <c r="Q29" s="186">
        <f t="shared" si="13"/>
        <v>0</v>
      </c>
      <c r="R29" s="186">
        <f t="shared" si="14"/>
        <v>0</v>
      </c>
      <c r="S29" s="186">
        <f>S11/2+SUM($Q11:R11)+$P11/2</f>
        <v>0</v>
      </c>
      <c r="T29" s="186">
        <f>T11/2+SUM($Q11:S11)+$P11/2</f>
        <v>0</v>
      </c>
      <c r="U29" s="186">
        <f>U11/2+SUM($Q11:T11)+$P11/2</f>
        <v>0</v>
      </c>
      <c r="V29" s="344">
        <f>V11/2+SUM($Q11:U11)+$P11/2</f>
        <v>0</v>
      </c>
    </row>
    <row r="30" spans="2:40">
      <c r="B30" s="343" t="s">
        <v>481</v>
      </c>
      <c r="C30" s="346">
        <f>C84</f>
        <v>2.0936001750826044E-3</v>
      </c>
      <c r="D30" s="346">
        <f>D84</f>
        <v>2.1007536665490459E-3</v>
      </c>
      <c r="E30" s="346">
        <f>E84</f>
        <v>2.0871584562647074E-3</v>
      </c>
      <c r="F30" s="346">
        <f>F84</f>
        <v>2.1152444631979241E-3</v>
      </c>
      <c r="G30" s="346">
        <f>G84</f>
        <v>2.1103803698087975E-3</v>
      </c>
      <c r="I30" s="347">
        <f>H84</f>
        <v>2.1015898482895879E-3</v>
      </c>
      <c r="N30" s="343"/>
      <c r="O30" s="334" t="str">
        <f t="shared" si="11"/>
        <v>Peak Perks</v>
      </c>
      <c r="P30" s="186">
        <f t="shared" si="12"/>
        <v>0</v>
      </c>
      <c r="Q30" s="186">
        <f t="shared" si="13"/>
        <v>0</v>
      </c>
      <c r="R30" s="186">
        <f t="shared" si="14"/>
        <v>0</v>
      </c>
      <c r="S30" s="186">
        <f>S12/2+SUM($Q12:R12)+$P12/2</f>
        <v>0</v>
      </c>
      <c r="T30" s="186">
        <f>T12/2+SUM($Q12:S12)+$P12/2</f>
        <v>0</v>
      </c>
      <c r="U30" s="186">
        <f>U12/2+SUM($Q12:T12)+$P12/2</f>
        <v>0</v>
      </c>
      <c r="V30" s="344">
        <f>V12/2+SUM($Q12:U12)+$P12/2</f>
        <v>0</v>
      </c>
    </row>
    <row r="31" spans="2:40">
      <c r="B31" s="182" t="s">
        <v>482</v>
      </c>
      <c r="C31" s="346">
        <f>C88</f>
        <v>1.3508307090090905E-3</v>
      </c>
      <c r="D31" s="346">
        <f>D88</f>
        <v>1.3914144276954525E-3</v>
      </c>
      <c r="E31" s="346">
        <f>E88</f>
        <v>1.367984588231232E-3</v>
      </c>
      <c r="F31" s="346">
        <f>F88</f>
        <v>1.3079277659150984E-3</v>
      </c>
      <c r="G31" s="346">
        <f>G88</f>
        <v>1.2819806072602012E-3</v>
      </c>
      <c r="I31" s="347">
        <f>H88</f>
        <v>1.3397434814260058E-3</v>
      </c>
      <c r="J31" s="348"/>
      <c r="K31" s="349"/>
      <c r="M31" s="189"/>
      <c r="N31" s="343"/>
      <c r="O31" s="334" t="str">
        <f t="shared" si="11"/>
        <v>Targeted Greenhouse</v>
      </c>
      <c r="P31" s="186">
        <f t="shared" si="12"/>
        <v>0</v>
      </c>
      <c r="Q31" s="186">
        <f t="shared" si="13"/>
        <v>0</v>
      </c>
      <c r="R31" s="186">
        <f t="shared" si="14"/>
        <v>0</v>
      </c>
      <c r="S31" s="186">
        <f>S13/2+SUM($Q13:R13)+$P13/2</f>
        <v>0</v>
      </c>
      <c r="T31" s="186">
        <f>T13/2+SUM($Q13:S13)+$P13/2</f>
        <v>0</v>
      </c>
      <c r="U31" s="186">
        <f>U13/2+SUM($Q13:T13)+$P13/2</f>
        <v>0</v>
      </c>
      <c r="V31" s="344">
        <f>V13/2+SUM($Q13:U13)+$P13/2</f>
        <v>0</v>
      </c>
    </row>
    <row r="32" spans="2:40">
      <c r="B32" s="182" t="s">
        <v>467</v>
      </c>
      <c r="C32" s="163" t="s">
        <v>483</v>
      </c>
      <c r="D32" s="350"/>
      <c r="E32" s="350"/>
      <c r="F32" s="350"/>
      <c r="G32" s="350"/>
      <c r="I32" s="351"/>
      <c r="J32" s="348"/>
      <c r="K32" s="193"/>
      <c r="L32" s="171"/>
      <c r="M32" s="171"/>
      <c r="N32" s="343"/>
      <c r="O32" s="334" t="str">
        <f t="shared" si="11"/>
        <v>Local Initiatives</v>
      </c>
      <c r="P32" s="186">
        <f t="shared" si="12"/>
        <v>0</v>
      </c>
      <c r="Q32" s="186">
        <f t="shared" si="13"/>
        <v>0</v>
      </c>
      <c r="R32" s="186">
        <f t="shared" si="14"/>
        <v>27731.225887481458</v>
      </c>
      <c r="S32" s="186">
        <f>S14/2+SUM($Q14:R14)+$P14/2</f>
        <v>350333.17528205214</v>
      </c>
      <c r="T32" s="186">
        <f>T14/2+SUM($Q14:S14)+$P14/2</f>
        <v>1091829.9237608905</v>
      </c>
      <c r="U32" s="186">
        <f>U14/2+SUM($Q14:T14)+$P14/2</f>
        <v>2021313.7261201937</v>
      </c>
      <c r="V32" s="344">
        <f>V14/2+SUM($Q14:U14)+$P14/2</f>
        <v>3026744.8556587803</v>
      </c>
    </row>
    <row r="33" spans="2:22">
      <c r="B33" s="202"/>
      <c r="C33" s="203"/>
      <c r="D33" s="203"/>
      <c r="E33" s="203"/>
      <c r="F33" s="203"/>
      <c r="G33" s="203"/>
      <c r="H33" s="203"/>
      <c r="I33" s="204"/>
      <c r="K33" s="171"/>
      <c r="L33" s="171"/>
      <c r="N33" s="192"/>
      <c r="O33" s="334" t="str">
        <f t="shared" si="11"/>
        <v>Residential Demand Response</v>
      </c>
      <c r="P33" s="186">
        <f t="shared" si="12"/>
        <v>0</v>
      </c>
      <c r="Q33" s="186">
        <f t="shared" si="13"/>
        <v>0</v>
      </c>
      <c r="R33" s="186">
        <f t="shared" si="14"/>
        <v>0</v>
      </c>
      <c r="S33" s="186">
        <f>S15/2+SUM($Q15:R15)+$P15/2</f>
        <v>0</v>
      </c>
      <c r="T33" s="186">
        <f>T15/2+SUM($Q15:S15)+$P15/2</f>
        <v>0</v>
      </c>
      <c r="U33" s="186">
        <f>U15/2+SUM($Q15:T15)+$P15/2</f>
        <v>0</v>
      </c>
      <c r="V33" s="344">
        <f>V15/2+SUM($Q15:U15)+$P15/2</f>
        <v>0</v>
      </c>
    </row>
    <row r="34" spans="2:22">
      <c r="B34" s="175"/>
      <c r="C34" s="176"/>
      <c r="D34" s="176"/>
      <c r="E34" s="176"/>
      <c r="F34" s="176"/>
      <c r="G34" s="176"/>
      <c r="H34" s="176"/>
      <c r="I34" s="177"/>
      <c r="K34" s="171"/>
      <c r="L34" s="171"/>
      <c r="N34" s="343"/>
      <c r="O34" s="334" t="str">
        <f t="shared" si="11"/>
        <v>Energy Affordability Program</v>
      </c>
      <c r="P34" s="186">
        <f t="shared" si="12"/>
        <v>9741.4688231463733</v>
      </c>
      <c r="Q34" s="186">
        <f t="shared" si="13"/>
        <v>20036.430193062428</v>
      </c>
      <c r="R34" s="186">
        <f t="shared" si="14"/>
        <v>42065.433554495699</v>
      </c>
      <c r="S34" s="186">
        <f>S16/2+SUM($Q16:R16)+$P16/2</f>
        <v>113244.57506907659</v>
      </c>
      <c r="T34" s="186">
        <f>T16/2+SUM($Q16:S16)+$P16/2</f>
        <v>202578.27211770299</v>
      </c>
      <c r="U34" s="186">
        <f>U16/2+SUM($Q16:T16)+$P16/2</f>
        <v>265676.42244944657</v>
      </c>
      <c r="V34" s="344">
        <f>V16/2+SUM($Q16:U16)+$P16/2</f>
        <v>347593.31937135925</v>
      </c>
    </row>
    <row r="35" spans="2:22">
      <c r="B35" s="178" t="s">
        <v>484</v>
      </c>
      <c r="C35" s="171"/>
      <c r="D35" s="171"/>
      <c r="E35" s="171">
        <v>2020</v>
      </c>
      <c r="F35" s="171"/>
      <c r="G35" s="163"/>
      <c r="H35" s="163"/>
      <c r="I35" s="190"/>
      <c r="J35" s="171"/>
      <c r="K35" s="171"/>
      <c r="L35" s="171"/>
      <c r="N35" s="343"/>
      <c r="O35" s="334" t="str">
        <f t="shared" si="11"/>
        <v>First Nations Program</v>
      </c>
      <c r="P35" s="186">
        <f t="shared" si="12"/>
        <v>0</v>
      </c>
      <c r="Q35" s="186">
        <f t="shared" si="13"/>
        <v>0</v>
      </c>
      <c r="R35" s="186">
        <f t="shared" si="14"/>
        <v>0</v>
      </c>
      <c r="S35" s="186">
        <f>S17/2+SUM($Q17:R17)+$P17/2</f>
        <v>0</v>
      </c>
      <c r="T35" s="186">
        <f>T17/2+SUM($Q17:S17)+$P17/2</f>
        <v>0</v>
      </c>
      <c r="U35" s="186">
        <f>U17/2+SUM($Q17:T17)+$P17/2</f>
        <v>0</v>
      </c>
      <c r="V35" s="344">
        <f>V17/2+SUM($Q17:U17)+$P17/2</f>
        <v>0</v>
      </c>
    </row>
    <row r="36" spans="2:22">
      <c r="B36" s="182" t="s">
        <v>477</v>
      </c>
      <c r="C36" s="329"/>
      <c r="D36" s="329"/>
      <c r="E36" s="329">
        <v>1420525</v>
      </c>
      <c r="F36" s="329"/>
      <c r="G36" s="163"/>
      <c r="H36" s="163"/>
      <c r="I36" s="190"/>
      <c r="J36" s="171"/>
      <c r="K36" s="171"/>
      <c r="L36" s="171"/>
      <c r="M36" s="171"/>
      <c r="N36" s="194"/>
      <c r="O36" s="171" t="s">
        <v>4</v>
      </c>
      <c r="P36" s="173">
        <f t="shared" ref="P36:V36" si="15">SUM(P22:P33)</f>
        <v>373633.56881125557</v>
      </c>
      <c r="Q36" s="173">
        <f t="shared" si="15"/>
        <v>922177.78835986706</v>
      </c>
      <c r="R36" s="173">
        <f t="shared" si="15"/>
        <v>1646788.4965006246</v>
      </c>
      <c r="S36" s="173">
        <f t="shared" si="15"/>
        <v>2727600.5435862136</v>
      </c>
      <c r="T36" s="173">
        <f t="shared" si="15"/>
        <v>4344444.2808868289</v>
      </c>
      <c r="U36" s="173">
        <f t="shared" si="15"/>
        <v>6065424.3200432193</v>
      </c>
      <c r="V36" s="184">
        <f t="shared" si="15"/>
        <v>8086864.8463389762</v>
      </c>
    </row>
    <row r="37" spans="2:22">
      <c r="B37" s="343" t="s">
        <v>229</v>
      </c>
      <c r="E37" s="334">
        <v>2460</v>
      </c>
      <c r="I37" s="352"/>
      <c r="J37" s="171"/>
      <c r="K37" s="171"/>
      <c r="L37" s="171"/>
      <c r="M37" s="171"/>
      <c r="N37" s="194"/>
      <c r="V37" s="352"/>
    </row>
    <row r="38" spans="2:22">
      <c r="B38" s="343" t="s">
        <v>485</v>
      </c>
      <c r="E38" s="334">
        <v>495</v>
      </c>
      <c r="I38" s="352"/>
      <c r="J38" s="171"/>
      <c r="M38" s="171"/>
      <c r="N38" s="195"/>
      <c r="O38" s="334" t="s">
        <v>18</v>
      </c>
      <c r="P38" s="353">
        <f>SUMPRODUCT(P$22:P$35,$O$54:$O$67)</f>
        <v>9741.4688231463733</v>
      </c>
      <c r="Q38" s="353">
        <f t="shared" ref="Q38:V38" si="16">SUMPRODUCT(Q$22:Q$35,$O$54:$O$67)</f>
        <v>20036.430193062428</v>
      </c>
      <c r="R38" s="353">
        <f t="shared" si="16"/>
        <v>42065.433554495699</v>
      </c>
      <c r="S38" s="353">
        <f t="shared" si="16"/>
        <v>113244.57506907659</v>
      </c>
      <c r="T38" s="353">
        <f t="shared" si="16"/>
        <v>262818.19502546755</v>
      </c>
      <c r="U38" s="353">
        <f t="shared" si="16"/>
        <v>451333.88977173727</v>
      </c>
      <c r="V38" s="354">
        <f t="shared" si="16"/>
        <v>663606.02970717323</v>
      </c>
    </row>
    <row r="39" spans="2:22">
      <c r="B39" s="182" t="s">
        <v>486</v>
      </c>
      <c r="C39" s="329"/>
      <c r="D39" s="197"/>
      <c r="E39" s="329">
        <v>85</v>
      </c>
      <c r="F39" s="329"/>
      <c r="G39" s="163"/>
      <c r="H39" s="163"/>
      <c r="I39" s="216"/>
      <c r="M39" s="171"/>
      <c r="N39" s="185" t="s">
        <v>478</v>
      </c>
      <c r="O39" s="334" t="s">
        <v>19</v>
      </c>
      <c r="P39" s="353">
        <f>SUMPRODUCT(P$22:P$35,$P$54:$P$67)</f>
        <v>187477.82439441368</v>
      </c>
      <c r="Q39" s="353">
        <f t="shared" ref="Q39:V39" si="17">SUMPRODUCT(Q$22:Q$35,$P$54:$P$67)</f>
        <v>459685.90690279147</v>
      </c>
      <c r="R39" s="353">
        <f t="shared" si="17"/>
        <v>806827.06896390184</v>
      </c>
      <c r="S39" s="353">
        <f t="shared" si="17"/>
        <v>1185884.6439563003</v>
      </c>
      <c r="T39" s="353">
        <f t="shared" si="17"/>
        <v>1595969.7293087998</v>
      </c>
      <c r="U39" s="353">
        <f t="shared" si="17"/>
        <v>1935936.91543016</v>
      </c>
      <c r="V39" s="354">
        <f t="shared" si="17"/>
        <v>2386169.6142962063</v>
      </c>
    </row>
    <row r="40" spans="2:22">
      <c r="B40" s="343" t="s">
        <v>487</v>
      </c>
      <c r="E40" s="334">
        <v>105</v>
      </c>
      <c r="I40" s="352"/>
      <c r="M40" s="171"/>
      <c r="N40" s="345" t="s">
        <v>479</v>
      </c>
      <c r="O40" s="334" t="s">
        <v>20</v>
      </c>
      <c r="P40" s="353">
        <f t="shared" ref="P40:V40" si="18">SUMPRODUCT(P$22:P$35,$Q$54:$Q$67)</f>
        <v>186155.74441684189</v>
      </c>
      <c r="Q40" s="353">
        <f t="shared" si="18"/>
        <v>462491.88145707565</v>
      </c>
      <c r="R40" s="353">
        <f t="shared" si="18"/>
        <v>812230.20164924138</v>
      </c>
      <c r="S40" s="353">
        <f t="shared" si="18"/>
        <v>1191382.7243478608</v>
      </c>
      <c r="T40" s="353">
        <f t="shared" si="18"/>
        <v>1596404.7049093738</v>
      </c>
      <c r="U40" s="353">
        <f t="shared" si="18"/>
        <v>1922516.2111705749</v>
      </c>
      <c r="V40" s="354">
        <f t="shared" si="18"/>
        <v>2357937.6660481747</v>
      </c>
    </row>
    <row r="41" spans="2:22">
      <c r="B41" s="182" t="s">
        <v>488</v>
      </c>
      <c r="C41" s="198"/>
      <c r="D41" s="330"/>
      <c r="E41" s="198">
        <f>SUM(E37:E40)/E36</f>
        <v>2.213970187078721E-3</v>
      </c>
      <c r="F41" s="198"/>
      <c r="G41" s="163"/>
      <c r="H41" s="163"/>
      <c r="I41" s="188"/>
      <c r="M41" s="171"/>
      <c r="N41" s="343"/>
      <c r="P41" s="353"/>
      <c r="Q41" s="353"/>
      <c r="R41" s="353"/>
      <c r="S41" s="353"/>
      <c r="T41" s="353"/>
      <c r="U41" s="353"/>
      <c r="V41" s="354"/>
    </row>
    <row r="42" spans="2:22">
      <c r="B42" s="182"/>
      <c r="C42" s="163"/>
      <c r="D42" s="163"/>
      <c r="E42" s="163"/>
      <c r="F42" s="163"/>
      <c r="G42" s="163"/>
      <c r="H42" s="163"/>
      <c r="I42" s="191"/>
      <c r="N42" s="343"/>
      <c r="O42" s="171" t="s">
        <v>4</v>
      </c>
      <c r="P42" s="173">
        <f t="shared" ref="P42:U42" si="19">SUM(P38:P41)</f>
        <v>383375.03763440193</v>
      </c>
      <c r="Q42" s="173">
        <f t="shared" si="19"/>
        <v>942214.21855292958</v>
      </c>
      <c r="R42" s="173">
        <f t="shared" si="19"/>
        <v>1661122.7041676389</v>
      </c>
      <c r="S42" s="173">
        <f t="shared" si="19"/>
        <v>2490511.9433732377</v>
      </c>
      <c r="T42" s="173">
        <f t="shared" si="19"/>
        <v>3455192.6292436412</v>
      </c>
      <c r="U42" s="173">
        <f t="shared" si="19"/>
        <v>4309787.016372472</v>
      </c>
      <c r="V42" s="184">
        <f>SUM(V38:V41)</f>
        <v>5407713.3100515548</v>
      </c>
    </row>
    <row r="43" spans="2:22">
      <c r="B43" s="182" t="s">
        <v>467</v>
      </c>
      <c r="C43" s="163" t="s">
        <v>489</v>
      </c>
      <c r="D43" s="163"/>
      <c r="E43" s="163"/>
      <c r="F43" s="163"/>
      <c r="G43" s="163"/>
      <c r="H43" s="163"/>
      <c r="I43" s="191"/>
      <c r="N43" s="343"/>
      <c r="V43" s="352"/>
    </row>
    <row r="44" spans="2:22">
      <c r="B44" s="182"/>
      <c r="C44" s="163" t="s">
        <v>490</v>
      </c>
      <c r="D44" s="163"/>
      <c r="E44" s="163"/>
      <c r="F44" s="163"/>
      <c r="G44" s="163"/>
      <c r="H44" s="163"/>
      <c r="I44" s="191"/>
      <c r="N44" s="343"/>
      <c r="O44" s="334" t="str">
        <f>O38</f>
        <v>Residential</v>
      </c>
      <c r="P44" s="353">
        <f>SUMPRODUCT(P$4:P$17,$O$54:$O$67)</f>
        <v>19482.937646292747</v>
      </c>
      <c r="Q44" s="353">
        <f t="shared" ref="Q44:V44" si="20">SUMPRODUCT(Q$4:Q$17,$O$54:$O$67)</f>
        <v>20589.922739832105</v>
      </c>
      <c r="R44" s="353">
        <f t="shared" si="20"/>
        <v>23468.083983034438</v>
      </c>
      <c r="S44" s="353">
        <f t="shared" si="20"/>
        <v>118890.19904612732</v>
      </c>
      <c r="T44" s="353">
        <f t="shared" si="20"/>
        <v>180257.04086665454</v>
      </c>
      <c r="U44" s="353">
        <f t="shared" si="20"/>
        <v>196774.34862588492</v>
      </c>
      <c r="V44" s="354">
        <f t="shared" si="20"/>
        <v>227769.931244987</v>
      </c>
    </row>
    <row r="45" spans="2:22">
      <c r="B45" s="202"/>
      <c r="C45" s="203"/>
      <c r="D45" s="203"/>
      <c r="E45" s="203"/>
      <c r="F45" s="203"/>
      <c r="G45" s="203"/>
      <c r="H45" s="203"/>
      <c r="I45" s="204"/>
      <c r="N45" s="343"/>
      <c r="O45" s="334" t="str">
        <f>O39</f>
        <v>GS &lt; 50</v>
      </c>
      <c r="P45" s="353">
        <f>SUMPRODUCT(P$4:P$17,$P$54:$P$67)</f>
        <v>374955.64878882736</v>
      </c>
      <c r="Q45" s="353">
        <f t="shared" ref="Q45:V45" si="21">SUMPRODUCT(Q$4:Q$17,$P$54:$P$67)</f>
        <v>544416.16501675558</v>
      </c>
      <c r="R45" s="353">
        <f t="shared" si="21"/>
        <v>149866.15910546531</v>
      </c>
      <c r="S45" s="353">
        <f t="shared" si="21"/>
        <v>608248.99087933113</v>
      </c>
      <c r="T45" s="353">
        <f t="shared" si="21"/>
        <v>211921.17982566811</v>
      </c>
      <c r="U45" s="353">
        <f t="shared" si="21"/>
        <v>468013.19241705234</v>
      </c>
      <c r="V45" s="354">
        <f t="shared" si="21"/>
        <v>432452.20531503996</v>
      </c>
    </row>
    <row r="46" spans="2:22">
      <c r="N46" s="343" t="s">
        <v>452</v>
      </c>
      <c r="O46" s="334" t="str">
        <f>O40</f>
        <v>GS &gt; 50</v>
      </c>
      <c r="P46" s="353">
        <f>SUMPRODUCT(P$4:P$17,$Q$54:$Q$67)</f>
        <v>372311.48883368378</v>
      </c>
      <c r="Q46" s="353">
        <f t="shared" ref="Q46:V46" si="22">SUMPRODUCT(Q$4:Q$17,$Q$54:$Q$67)</f>
        <v>552672.27408046753</v>
      </c>
      <c r="R46" s="353">
        <f t="shared" si="22"/>
        <v>146804.36630386411</v>
      </c>
      <c r="S46" s="353">
        <f t="shared" si="22"/>
        <v>611500.67909337417</v>
      </c>
      <c r="T46" s="353">
        <f t="shared" si="22"/>
        <v>198543.28202965227</v>
      </c>
      <c r="U46" s="353">
        <f t="shared" si="22"/>
        <v>453679.73049274966</v>
      </c>
      <c r="V46" s="354">
        <f t="shared" si="22"/>
        <v>417163.17926245043</v>
      </c>
    </row>
    <row r="47" spans="2:22">
      <c r="N47" s="343"/>
      <c r="P47" s="353"/>
      <c r="Q47" s="353"/>
      <c r="R47" s="353"/>
      <c r="S47" s="353"/>
      <c r="T47" s="353"/>
      <c r="U47" s="353"/>
      <c r="V47" s="354"/>
    </row>
    <row r="48" spans="2:22">
      <c r="N48" s="355"/>
      <c r="O48" s="199" t="s">
        <v>4</v>
      </c>
      <c r="P48" s="200">
        <f t="shared" ref="P48:U48" si="23">SUM(P44:P47)</f>
        <v>766750.07526880386</v>
      </c>
      <c r="Q48" s="200">
        <f t="shared" si="23"/>
        <v>1117678.3618370551</v>
      </c>
      <c r="R48" s="200">
        <f t="shared" si="23"/>
        <v>320138.60939236387</v>
      </c>
      <c r="S48" s="200">
        <f t="shared" si="23"/>
        <v>1338639.8690188327</v>
      </c>
      <c r="T48" s="200">
        <f t="shared" si="23"/>
        <v>590721.50272197486</v>
      </c>
      <c r="U48" s="200">
        <f t="shared" si="23"/>
        <v>1118467.2715356869</v>
      </c>
      <c r="V48" s="201">
        <f>SUM(V44:V47)</f>
        <v>1077385.3158224775</v>
      </c>
    </row>
    <row r="50" spans="2:23">
      <c r="B50" s="175"/>
      <c r="C50" s="205" t="s">
        <v>438</v>
      </c>
      <c r="D50" s="205"/>
      <c r="E50" s="205"/>
      <c r="F50" s="205"/>
      <c r="G50" s="340"/>
      <c r="H50" s="340"/>
      <c r="I50" s="340"/>
      <c r="J50" s="356"/>
    </row>
    <row r="51" spans="2:23">
      <c r="B51" s="182"/>
      <c r="C51" s="165">
        <v>2021</v>
      </c>
      <c r="D51" s="165">
        <v>2023</v>
      </c>
      <c r="E51" s="165">
        <v>2024</v>
      </c>
      <c r="F51" s="165">
        <v>2025</v>
      </c>
      <c r="G51" s="165">
        <v>2026</v>
      </c>
      <c r="H51" s="165">
        <v>2027</v>
      </c>
      <c r="I51" s="165"/>
      <c r="J51" s="191" t="s">
        <v>491</v>
      </c>
      <c r="N51" s="339"/>
      <c r="O51" s="176" t="s">
        <v>18</v>
      </c>
      <c r="P51" s="176" t="s">
        <v>492</v>
      </c>
      <c r="Q51" s="176" t="s">
        <v>20</v>
      </c>
      <c r="R51" s="176"/>
      <c r="S51" s="176"/>
      <c r="T51" s="340"/>
      <c r="U51" s="356"/>
    </row>
    <row r="52" spans="2:23">
      <c r="B52" s="182" t="s">
        <v>493</v>
      </c>
      <c r="C52" s="206">
        <v>0</v>
      </c>
      <c r="D52" s="206">
        <v>0</v>
      </c>
      <c r="E52" s="206">
        <v>0</v>
      </c>
      <c r="F52" s="206">
        <v>0.5</v>
      </c>
      <c r="G52" s="206">
        <v>1</v>
      </c>
      <c r="H52" s="206">
        <v>0.5</v>
      </c>
      <c r="I52" s="206"/>
      <c r="J52" s="352"/>
      <c r="N52" s="343"/>
      <c r="U52" s="352"/>
    </row>
    <row r="53" spans="2:23">
      <c r="B53" s="182"/>
      <c r="C53" s="164"/>
      <c r="D53" s="164"/>
      <c r="E53" s="164"/>
      <c r="F53" s="164"/>
      <c r="G53" s="164"/>
      <c r="H53" s="164"/>
      <c r="I53" s="164"/>
      <c r="J53" s="352"/>
      <c r="N53" s="343"/>
      <c r="U53" s="352"/>
    </row>
    <row r="54" spans="2:23">
      <c r="B54" s="182" t="s">
        <v>448</v>
      </c>
      <c r="C54" s="207">
        <f>C$52*P4</f>
        <v>0</v>
      </c>
      <c r="D54" s="207">
        <f t="shared" ref="D54:H58" si="24">D$52*R4</f>
        <v>0</v>
      </c>
      <c r="E54" s="207">
        <f t="shared" si="24"/>
        <v>0</v>
      </c>
      <c r="F54" s="207">
        <f t="shared" si="24"/>
        <v>191854.33313164435</v>
      </c>
      <c r="G54" s="207">
        <f t="shared" si="24"/>
        <v>893025.99906119658</v>
      </c>
      <c r="H54" s="207">
        <f t="shared" si="24"/>
        <v>409518.66623615567</v>
      </c>
      <c r="I54" s="207"/>
      <c r="J54" s="354">
        <f>SUM(C54:I54)</f>
        <v>1494398.9984289967</v>
      </c>
      <c r="L54" s="334" t="str">
        <f t="shared" ref="L54:L67" si="25">L72</f>
        <v>Retrofit</v>
      </c>
      <c r="N54" s="343"/>
      <c r="P54" s="357">
        <v>0.5</v>
      </c>
      <c r="Q54" s="357">
        <v>0.5</v>
      </c>
      <c r="R54" s="357"/>
      <c r="S54" s="357"/>
      <c r="U54" s="358">
        <f>SUM(O54:S54)</f>
        <v>1</v>
      </c>
      <c r="V54" s="359"/>
    </row>
    <row r="55" spans="2:23">
      <c r="B55" s="208" t="s">
        <v>324</v>
      </c>
      <c r="C55" s="209">
        <f>C$52*P5</f>
        <v>0</v>
      </c>
      <c r="D55" s="209">
        <f t="shared" si="24"/>
        <v>0</v>
      </c>
      <c r="E55" s="209">
        <f t="shared" si="24"/>
        <v>0</v>
      </c>
      <c r="F55" s="209">
        <f t="shared" si="24"/>
        <v>13377.897796015846</v>
      </c>
      <c r="G55" s="209">
        <f t="shared" si="24"/>
        <v>28666.923848605387</v>
      </c>
      <c r="H55" s="209">
        <f t="shared" si="24"/>
        <v>15289.026052589539</v>
      </c>
      <c r="I55" s="209"/>
      <c r="J55" s="354">
        <f t="shared" ref="J55:J67" si="26">SUM(C55:I55)</f>
        <v>57333.847697210775</v>
      </c>
      <c r="L55" s="334" t="str">
        <f t="shared" si="25"/>
        <v>Small Business</v>
      </c>
      <c r="N55" s="343"/>
      <c r="P55" s="357">
        <v>0.75</v>
      </c>
      <c r="Q55" s="357">
        <v>0.25</v>
      </c>
      <c r="R55" s="357"/>
      <c r="S55" s="357"/>
      <c r="U55" s="358">
        <f t="shared" ref="U55:U66" si="27">SUM(O55:S55)</f>
        <v>1</v>
      </c>
      <c r="V55" s="359"/>
    </row>
    <row r="56" spans="2:23">
      <c r="B56" s="182" t="s">
        <v>450</v>
      </c>
      <c r="C56" s="207">
        <f>C$52*P6</f>
        <v>0</v>
      </c>
      <c r="D56" s="207">
        <f t="shared" si="24"/>
        <v>0</v>
      </c>
      <c r="E56" s="207">
        <f t="shared" si="24"/>
        <v>0</v>
      </c>
      <c r="F56" s="207">
        <f t="shared" si="24"/>
        <v>0</v>
      </c>
      <c r="G56" s="207">
        <f t="shared" si="24"/>
        <v>0</v>
      </c>
      <c r="H56" s="207">
        <f t="shared" si="24"/>
        <v>0</v>
      </c>
      <c r="I56" s="207"/>
      <c r="J56" s="354">
        <f t="shared" si="26"/>
        <v>0</v>
      </c>
      <c r="L56" s="334" t="str">
        <f t="shared" si="25"/>
        <v xml:space="preserve">Energy Performance </v>
      </c>
      <c r="N56" s="343"/>
      <c r="P56" s="357"/>
      <c r="Q56" s="357">
        <v>1</v>
      </c>
      <c r="R56" s="357"/>
      <c r="S56" s="357"/>
      <c r="U56" s="358">
        <f t="shared" si="27"/>
        <v>1</v>
      </c>
      <c r="V56" s="359"/>
    </row>
    <row r="57" spans="2:23">
      <c r="B57" s="208" t="s">
        <v>451</v>
      </c>
      <c r="C57" s="209">
        <f>C$52*P7</f>
        <v>0</v>
      </c>
      <c r="D57" s="209">
        <f t="shared" si="24"/>
        <v>0</v>
      </c>
      <c r="E57" s="209">
        <f t="shared" si="24"/>
        <v>0</v>
      </c>
      <c r="F57" s="209">
        <f t="shared" si="24"/>
        <v>0</v>
      </c>
      <c r="G57" s="209">
        <f t="shared" si="24"/>
        <v>0</v>
      </c>
      <c r="H57" s="209">
        <f t="shared" si="24"/>
        <v>0</v>
      </c>
      <c r="I57" s="209"/>
      <c r="J57" s="354">
        <f t="shared" si="26"/>
        <v>0</v>
      </c>
      <c r="L57" s="334" t="str">
        <f t="shared" si="25"/>
        <v>Energy Management</v>
      </c>
      <c r="N57" s="343"/>
      <c r="P57" s="357"/>
      <c r="Q57" s="357">
        <v>1</v>
      </c>
      <c r="R57" s="357"/>
      <c r="S57" s="357"/>
      <c r="U57" s="358">
        <f t="shared" si="27"/>
        <v>1</v>
      </c>
      <c r="V57" s="359"/>
      <c r="W57" s="334" t="s">
        <v>494</v>
      </c>
    </row>
    <row r="58" spans="2:23">
      <c r="B58" s="182" t="str">
        <f>B8</f>
        <v>Industrial Energy Efficiency</v>
      </c>
      <c r="C58" s="207">
        <f>C$52*P8</f>
        <v>0</v>
      </c>
      <c r="D58" s="207">
        <f t="shared" si="24"/>
        <v>0</v>
      </c>
      <c r="E58" s="207">
        <f t="shared" si="24"/>
        <v>0</v>
      </c>
      <c r="F58" s="207">
        <f t="shared" si="24"/>
        <v>0</v>
      </c>
      <c r="G58" s="207">
        <f t="shared" si="24"/>
        <v>0</v>
      </c>
      <c r="H58" s="207">
        <f t="shared" si="24"/>
        <v>0</v>
      </c>
      <c r="I58" s="207"/>
      <c r="J58" s="354">
        <f t="shared" si="26"/>
        <v>0</v>
      </c>
      <c r="L58" s="334" t="str">
        <f t="shared" si="25"/>
        <v>Industrial Energy Efficiency</v>
      </c>
      <c r="N58" s="343"/>
      <c r="P58" s="357"/>
      <c r="Q58" s="357">
        <v>1</v>
      </c>
      <c r="R58" s="357"/>
      <c r="S58" s="357"/>
      <c r="U58" s="358">
        <f t="shared" si="27"/>
        <v>1</v>
      </c>
      <c r="V58" s="359"/>
    </row>
    <row r="59" spans="2:23">
      <c r="B59" s="182" t="str">
        <f>B9</f>
        <v>New Construction</v>
      </c>
      <c r="C59" s="207"/>
      <c r="D59" s="207"/>
      <c r="E59" s="207"/>
      <c r="F59" s="207">
        <f t="shared" ref="F59:H62" si="28">F$52*T9</f>
        <v>0</v>
      </c>
      <c r="G59" s="207">
        <f t="shared" si="28"/>
        <v>0</v>
      </c>
      <c r="H59" s="207">
        <f t="shared" si="28"/>
        <v>0</v>
      </c>
      <c r="I59" s="207"/>
      <c r="J59" s="354">
        <f t="shared" si="26"/>
        <v>0</v>
      </c>
      <c r="L59" s="334" t="str">
        <f t="shared" si="25"/>
        <v>New Construction</v>
      </c>
      <c r="N59" s="343"/>
      <c r="P59" s="357">
        <v>0.25</v>
      </c>
      <c r="Q59" s="357">
        <v>0.75</v>
      </c>
      <c r="R59" s="357"/>
      <c r="S59" s="357"/>
      <c r="U59" s="358">
        <f t="shared" si="27"/>
        <v>1</v>
      </c>
      <c r="V59" s="359"/>
    </row>
    <row r="60" spans="2:23">
      <c r="B60" s="182" t="str">
        <f>B10</f>
        <v>Home Renovation Savings</v>
      </c>
      <c r="C60" s="207"/>
      <c r="D60" s="207"/>
      <c r="E60" s="207"/>
      <c r="F60" s="207">
        <f t="shared" si="28"/>
        <v>60239.922907764543</v>
      </c>
      <c r="G60" s="207">
        <f t="shared" si="28"/>
        <v>130355.24301352327</v>
      </c>
      <c r="H60" s="207">
        <f t="shared" si="28"/>
        <v>65177.621506761636</v>
      </c>
      <c r="I60" s="207"/>
      <c r="J60" s="354">
        <f t="shared" si="26"/>
        <v>255772.78742804946</v>
      </c>
      <c r="L60" s="334" t="str">
        <f t="shared" si="25"/>
        <v>Home Renovation Savings</v>
      </c>
      <c r="N60" s="343"/>
      <c r="O60" s="360">
        <v>1</v>
      </c>
      <c r="P60" s="357"/>
      <c r="Q60" s="357"/>
      <c r="R60" s="357"/>
      <c r="S60" s="357"/>
      <c r="U60" s="358">
        <f t="shared" si="27"/>
        <v>1</v>
      </c>
      <c r="V60" s="359"/>
    </row>
    <row r="61" spans="2:23">
      <c r="B61" s="182" t="str">
        <f>B11</f>
        <v>Commercial HVAC DR</v>
      </c>
      <c r="C61" s="207"/>
      <c r="D61" s="207"/>
      <c r="E61" s="207"/>
      <c r="F61" s="207">
        <f t="shared" si="28"/>
        <v>0</v>
      </c>
      <c r="G61" s="207">
        <f t="shared" si="28"/>
        <v>0</v>
      </c>
      <c r="H61" s="207">
        <f t="shared" si="28"/>
        <v>0</v>
      </c>
      <c r="I61" s="207"/>
      <c r="J61" s="354">
        <f t="shared" si="26"/>
        <v>0</v>
      </c>
      <c r="L61" s="334" t="str">
        <f t="shared" si="25"/>
        <v>Commercial HVAC DR</v>
      </c>
      <c r="N61" s="343"/>
      <c r="P61" s="357"/>
      <c r="Q61" s="357"/>
      <c r="R61" s="357"/>
      <c r="S61" s="357"/>
      <c r="U61" s="358">
        <f t="shared" si="27"/>
        <v>0</v>
      </c>
      <c r="V61" s="359"/>
    </row>
    <row r="62" spans="2:23">
      <c r="B62" s="182" t="str">
        <f>B12</f>
        <v>Peak Perks</v>
      </c>
      <c r="C62" s="207"/>
      <c r="D62" s="207"/>
      <c r="E62" s="207"/>
      <c r="F62" s="207">
        <f t="shared" si="28"/>
        <v>0</v>
      </c>
      <c r="G62" s="207">
        <f t="shared" si="28"/>
        <v>0</v>
      </c>
      <c r="H62" s="207">
        <f t="shared" si="28"/>
        <v>0</v>
      </c>
      <c r="I62" s="207"/>
      <c r="J62" s="354">
        <f t="shared" si="26"/>
        <v>0</v>
      </c>
      <c r="L62" s="334" t="str">
        <f t="shared" si="25"/>
        <v>Peak Perks</v>
      </c>
      <c r="N62" s="343"/>
      <c r="P62" s="357"/>
      <c r="Q62" s="357"/>
      <c r="R62" s="357"/>
      <c r="S62" s="357"/>
      <c r="U62" s="358">
        <f t="shared" si="27"/>
        <v>0</v>
      </c>
      <c r="V62" s="359"/>
    </row>
    <row r="63" spans="2:23">
      <c r="B63" s="208" t="s">
        <v>459</v>
      </c>
      <c r="C63" s="209">
        <f>C$52*P13</f>
        <v>0</v>
      </c>
      <c r="D63" s="209">
        <f t="shared" ref="D63:H67" si="29">D$52*R13</f>
        <v>0</v>
      </c>
      <c r="E63" s="209">
        <f t="shared" si="29"/>
        <v>0</v>
      </c>
      <c r="F63" s="209">
        <f t="shared" si="29"/>
        <v>0</v>
      </c>
      <c r="G63" s="209">
        <f t="shared" si="29"/>
        <v>0</v>
      </c>
      <c r="H63" s="209">
        <f t="shared" si="29"/>
        <v>0</v>
      </c>
      <c r="I63" s="209"/>
      <c r="J63" s="354">
        <f t="shared" si="26"/>
        <v>0</v>
      </c>
      <c r="L63" s="334" t="str">
        <f t="shared" si="25"/>
        <v>Targeted Greenhouse</v>
      </c>
      <c r="N63" s="343"/>
      <c r="P63" s="357"/>
      <c r="Q63" s="357"/>
      <c r="U63" s="358">
        <f t="shared" si="27"/>
        <v>0</v>
      </c>
      <c r="V63" s="359"/>
    </row>
    <row r="64" spans="2:23">
      <c r="B64" s="182" t="s">
        <v>460</v>
      </c>
      <c r="C64" s="207">
        <f>C$52*P14</f>
        <v>0</v>
      </c>
      <c r="D64" s="207">
        <f t="shared" si="29"/>
        <v>0</v>
      </c>
      <c r="E64" s="207">
        <f t="shared" si="29"/>
        <v>0</v>
      </c>
      <c r="F64" s="207">
        <f t="shared" si="29"/>
        <v>446626.02497174911</v>
      </c>
      <c r="G64" s="207">
        <f t="shared" si="29"/>
        <v>965715.55477510823</v>
      </c>
      <c r="H64" s="207">
        <f t="shared" si="29"/>
        <v>522573.35215103254</v>
      </c>
      <c r="I64" s="207"/>
      <c r="J64" s="354">
        <f t="shared" si="26"/>
        <v>1934914.9318978898</v>
      </c>
      <c r="L64" s="334" t="str">
        <f t="shared" si="25"/>
        <v>Local Initiatives</v>
      </c>
      <c r="N64" s="343"/>
      <c r="U64" s="358">
        <f t="shared" si="27"/>
        <v>0</v>
      </c>
      <c r="V64" s="359"/>
    </row>
    <row r="65" spans="2:22">
      <c r="B65" s="208" t="s">
        <v>461</v>
      </c>
      <c r="C65" s="209">
        <f>C$52*P15</f>
        <v>0</v>
      </c>
      <c r="D65" s="209">
        <f t="shared" si="29"/>
        <v>0</v>
      </c>
      <c r="E65" s="209">
        <f t="shared" si="29"/>
        <v>0</v>
      </c>
      <c r="F65" s="209">
        <f t="shared" si="29"/>
        <v>0</v>
      </c>
      <c r="G65" s="209">
        <f t="shared" si="29"/>
        <v>0</v>
      </c>
      <c r="H65" s="209">
        <f t="shared" si="29"/>
        <v>0</v>
      </c>
      <c r="I65" s="209"/>
      <c r="J65" s="354">
        <f t="shared" si="26"/>
        <v>0</v>
      </c>
      <c r="L65" s="334" t="str">
        <f t="shared" si="25"/>
        <v>Residential Demand Response</v>
      </c>
      <c r="N65" s="343"/>
      <c r="U65" s="358">
        <f t="shared" si="27"/>
        <v>0</v>
      </c>
      <c r="V65" s="359"/>
    </row>
    <row r="66" spans="2:22">
      <c r="B66" s="182" t="s">
        <v>462</v>
      </c>
      <c r="C66" s="207"/>
      <c r="D66" s="207">
        <f t="shared" si="29"/>
        <v>0</v>
      </c>
      <c r="E66" s="207">
        <f t="shared" si="29"/>
        <v>0</v>
      </c>
      <c r="F66" s="207">
        <f t="shared" si="29"/>
        <v>29888.597525562735</v>
      </c>
      <c r="G66" s="207">
        <f t="shared" si="29"/>
        <v>66419.105612361629</v>
      </c>
      <c r="H66" s="207">
        <f t="shared" si="29"/>
        <v>48707.344115731859</v>
      </c>
      <c r="I66" s="207"/>
      <c r="J66" s="354">
        <f t="shared" si="26"/>
        <v>145015.04725365623</v>
      </c>
      <c r="L66" s="334" t="str">
        <f t="shared" si="25"/>
        <v>Energy Affordability Program</v>
      </c>
      <c r="N66" s="343"/>
      <c r="O66" s="360">
        <v>1</v>
      </c>
      <c r="U66" s="358">
        <f t="shared" si="27"/>
        <v>1</v>
      </c>
      <c r="V66" s="359"/>
    </row>
    <row r="67" spans="2:22">
      <c r="B67" s="208" t="s">
        <v>464</v>
      </c>
      <c r="C67" s="209"/>
      <c r="D67" s="209">
        <f t="shared" si="29"/>
        <v>0</v>
      </c>
      <c r="E67" s="209">
        <f t="shared" si="29"/>
        <v>0</v>
      </c>
      <c r="F67" s="209">
        <f t="shared" si="29"/>
        <v>0</v>
      </c>
      <c r="G67" s="209">
        <f t="shared" si="29"/>
        <v>0</v>
      </c>
      <c r="H67" s="209">
        <f t="shared" si="29"/>
        <v>0</v>
      </c>
      <c r="I67" s="209"/>
      <c r="J67" s="354">
        <f t="shared" si="26"/>
        <v>0</v>
      </c>
      <c r="L67" s="334" t="str">
        <f t="shared" si="25"/>
        <v>First Nations Program</v>
      </c>
      <c r="N67" s="343"/>
      <c r="U67" s="352"/>
    </row>
    <row r="68" spans="2:22">
      <c r="B68" s="343"/>
      <c r="J68" s="352"/>
      <c r="N68" s="355"/>
      <c r="O68" s="361"/>
      <c r="P68" s="361"/>
      <c r="Q68" s="361"/>
      <c r="R68" s="361"/>
      <c r="S68" s="361"/>
      <c r="T68" s="361"/>
      <c r="U68" s="362"/>
    </row>
    <row r="69" spans="2:22">
      <c r="B69" s="343"/>
      <c r="C69" s="353">
        <f>SUM(C54:C65)</f>
        <v>0</v>
      </c>
      <c r="D69" s="353">
        <f>SUM(D54:D67)</f>
        <v>0</v>
      </c>
      <c r="E69" s="353">
        <f>SUM(E54:E67)</f>
        <v>0</v>
      </c>
      <c r="F69" s="353">
        <f>SUM(F54:F67)</f>
        <v>741986.7763327366</v>
      </c>
      <c r="G69" s="353">
        <f>SUM(G54:G67)</f>
        <v>2084182.826310795</v>
      </c>
      <c r="H69" s="353">
        <f>SUM(H54:H67)</f>
        <v>1061266.0100622713</v>
      </c>
      <c r="I69" s="353"/>
      <c r="J69" s="354">
        <f>SUM(J54:J68)</f>
        <v>3887435.6127058025</v>
      </c>
      <c r="N69" s="339"/>
      <c r="O69" s="340"/>
      <c r="P69" s="340"/>
      <c r="Q69" s="340"/>
      <c r="R69" s="340"/>
      <c r="S69" s="340"/>
      <c r="T69" s="340"/>
      <c r="U69" s="356"/>
    </row>
    <row r="70" spans="2:22">
      <c r="B70" s="355"/>
      <c r="C70" s="361"/>
      <c r="D70" s="361"/>
      <c r="E70" s="361"/>
      <c r="F70" s="361"/>
      <c r="G70" s="361"/>
      <c r="H70" s="361"/>
      <c r="I70" s="361"/>
      <c r="J70" s="362"/>
      <c r="N70" s="343"/>
      <c r="U70" s="352"/>
    </row>
    <row r="71" spans="2:22">
      <c r="N71" s="343"/>
      <c r="O71" s="334" t="str">
        <f>O51</f>
        <v>Residential</v>
      </c>
      <c r="P71" s="334" t="str">
        <f>P51</f>
        <v>GS&lt; 50</v>
      </c>
      <c r="Q71" s="334" t="str">
        <f>Q51</f>
        <v>GS &gt; 50</v>
      </c>
      <c r="U71" s="352"/>
    </row>
    <row r="72" spans="2:22">
      <c r="L72" s="334" t="str">
        <f t="shared" ref="L72:L85" si="30">B54</f>
        <v>Retrofit</v>
      </c>
      <c r="N72" s="343"/>
      <c r="O72" s="353">
        <f t="shared" ref="O72:Q76" si="31">O54*$J54</f>
        <v>0</v>
      </c>
      <c r="P72" s="353">
        <f t="shared" si="31"/>
        <v>747199.49921449833</v>
      </c>
      <c r="Q72" s="353">
        <f t="shared" si="31"/>
        <v>747199.49921449833</v>
      </c>
      <c r="R72" s="353"/>
      <c r="S72" s="353"/>
      <c r="U72" s="354">
        <f t="shared" ref="U72:U85" si="32">SUM(O72:S72)</f>
        <v>1494398.9984289967</v>
      </c>
      <c r="V72" s="353"/>
    </row>
    <row r="73" spans="2:22">
      <c r="L73" s="334" t="str">
        <f t="shared" si="30"/>
        <v>Small Business</v>
      </c>
      <c r="N73" s="343"/>
      <c r="O73" s="353">
        <f t="shared" si="31"/>
        <v>0</v>
      </c>
      <c r="P73" s="353">
        <f t="shared" si="31"/>
        <v>43000.385772908077</v>
      </c>
      <c r="Q73" s="353">
        <f t="shared" si="31"/>
        <v>14333.461924302694</v>
      </c>
      <c r="R73" s="353"/>
      <c r="S73" s="353"/>
      <c r="U73" s="354">
        <f t="shared" si="32"/>
        <v>57333.847697210775</v>
      </c>
      <c r="V73" s="353"/>
    </row>
    <row r="74" spans="2:22">
      <c r="L74" s="334" t="str">
        <f t="shared" si="30"/>
        <v xml:space="preserve">Energy Performance </v>
      </c>
      <c r="N74" s="343"/>
      <c r="O74" s="353">
        <f t="shared" si="31"/>
        <v>0</v>
      </c>
      <c r="P74" s="353">
        <f t="shared" si="31"/>
        <v>0</v>
      </c>
      <c r="Q74" s="353">
        <f t="shared" si="31"/>
        <v>0</v>
      </c>
      <c r="R74" s="353"/>
      <c r="S74" s="353"/>
      <c r="U74" s="354">
        <f t="shared" si="32"/>
        <v>0</v>
      </c>
      <c r="V74" s="353"/>
    </row>
    <row r="75" spans="2:22" ht="13.9" thickBot="1">
      <c r="L75" s="334" t="str">
        <f t="shared" si="30"/>
        <v>Energy Management</v>
      </c>
      <c r="N75" s="343"/>
      <c r="O75" s="353">
        <f t="shared" si="31"/>
        <v>0</v>
      </c>
      <c r="P75" s="353">
        <f t="shared" si="31"/>
        <v>0</v>
      </c>
      <c r="Q75" s="353">
        <f t="shared" si="31"/>
        <v>0</v>
      </c>
      <c r="R75" s="353"/>
      <c r="S75" s="353"/>
      <c r="U75" s="354">
        <f t="shared" si="32"/>
        <v>0</v>
      </c>
      <c r="V75" s="353"/>
    </row>
    <row r="76" spans="2:22" ht="13.9" thickBot="1">
      <c r="B76" s="363"/>
      <c r="C76" s="364">
        <f>D76-1</f>
        <v>2020</v>
      </c>
      <c r="D76" s="364">
        <f>E76-1</f>
        <v>2021</v>
      </c>
      <c r="E76" s="364">
        <f>F76-1</f>
        <v>2022</v>
      </c>
      <c r="F76" s="364">
        <f>G76-1</f>
        <v>2023</v>
      </c>
      <c r="G76" s="365">
        <v>2024</v>
      </c>
      <c r="H76" s="366" t="s">
        <v>4</v>
      </c>
      <c r="L76" s="334" t="str">
        <f t="shared" si="30"/>
        <v>Industrial Energy Efficiency</v>
      </c>
      <c r="N76" s="343"/>
      <c r="O76" s="353">
        <f t="shared" si="31"/>
        <v>0</v>
      </c>
      <c r="P76" s="353">
        <f t="shared" si="31"/>
        <v>0</v>
      </c>
      <c r="Q76" s="353">
        <f t="shared" si="31"/>
        <v>0</v>
      </c>
      <c r="R76" s="353"/>
      <c r="S76" s="353"/>
      <c r="U76" s="354">
        <f t="shared" si="32"/>
        <v>0</v>
      </c>
      <c r="V76" s="353"/>
    </row>
    <row r="77" spans="2:22">
      <c r="B77" s="367" t="s">
        <v>18</v>
      </c>
      <c r="C77" s="368"/>
      <c r="D77" s="368"/>
      <c r="E77" s="368"/>
      <c r="F77" s="368"/>
      <c r="G77" s="368"/>
      <c r="H77" s="369"/>
      <c r="L77" s="334" t="str">
        <f t="shared" si="30"/>
        <v>New Construction</v>
      </c>
      <c r="O77" s="353">
        <f t="shared" ref="O77:Q81" si="33">O59*$J59</f>
        <v>0</v>
      </c>
      <c r="P77" s="353">
        <f t="shared" si="33"/>
        <v>0</v>
      </c>
      <c r="Q77" s="353">
        <f t="shared" si="33"/>
        <v>0</v>
      </c>
      <c r="R77" s="353"/>
      <c r="S77" s="353"/>
      <c r="U77" s="354">
        <f t="shared" si="32"/>
        <v>0</v>
      </c>
    </row>
    <row r="78" spans="2:22">
      <c r="B78" s="370" t="s">
        <v>290</v>
      </c>
      <c r="C78" s="371">
        <v>85141857</v>
      </c>
      <c r="D78" s="371">
        <v>85333074</v>
      </c>
      <c r="E78" s="371">
        <v>86112039</v>
      </c>
      <c r="F78" s="371">
        <v>85022917</v>
      </c>
      <c r="G78" s="371">
        <v>86752528</v>
      </c>
      <c r="H78" s="372">
        <f>SUM(C78:G78)</f>
        <v>428362415</v>
      </c>
      <c r="L78" s="334" t="str">
        <f t="shared" si="30"/>
        <v>Home Renovation Savings</v>
      </c>
      <c r="O78" s="353">
        <f t="shared" si="33"/>
        <v>255772.78742804946</v>
      </c>
      <c r="P78" s="353">
        <f t="shared" si="33"/>
        <v>0</v>
      </c>
      <c r="Q78" s="353">
        <f t="shared" si="33"/>
        <v>0</v>
      </c>
      <c r="R78" s="353"/>
      <c r="S78" s="353"/>
      <c r="U78" s="354">
        <f t="shared" si="32"/>
        <v>255772.78742804946</v>
      </c>
    </row>
    <row r="79" spans="2:22">
      <c r="B79" s="370" t="s">
        <v>495</v>
      </c>
      <c r="C79" s="371">
        <v>43245011031.389999</v>
      </c>
      <c r="D79" s="371">
        <v>43371552787.290001</v>
      </c>
      <c r="E79" s="371">
        <v>43540648596.360001</v>
      </c>
      <c r="F79" s="371">
        <v>42707468723.251633</v>
      </c>
      <c r="G79" s="371">
        <v>44018957267.16188</v>
      </c>
      <c r="H79" s="372">
        <f t="shared" ref="H79:H87" si="34">SUM(C79:G79)</f>
        <v>216883638405.45349</v>
      </c>
      <c r="L79" s="334" t="str">
        <f t="shared" si="30"/>
        <v>Commercial HVAC DR</v>
      </c>
      <c r="O79" s="353">
        <f t="shared" si="33"/>
        <v>0</v>
      </c>
      <c r="P79" s="353">
        <f t="shared" si="33"/>
        <v>0</v>
      </c>
      <c r="Q79" s="353">
        <f t="shared" si="33"/>
        <v>0</v>
      </c>
      <c r="R79" s="353"/>
      <c r="S79" s="353"/>
      <c r="U79" s="354">
        <f t="shared" si="32"/>
        <v>0</v>
      </c>
    </row>
    <row r="80" spans="2:22" ht="13.9" thickBot="1">
      <c r="B80" s="373" t="s">
        <v>496</v>
      </c>
      <c r="C80" s="374">
        <f t="shared" ref="C80:H80" si="35">C78/C79</f>
        <v>1.9688249573621011E-3</v>
      </c>
      <c r="D80" s="374">
        <f t="shared" si="35"/>
        <v>1.9674894836831111E-3</v>
      </c>
      <c r="E80" s="374">
        <f t="shared" si="35"/>
        <v>1.9777390042646026E-3</v>
      </c>
      <c r="F80" s="374">
        <f t="shared" si="35"/>
        <v>1.9908207988386388E-3</v>
      </c>
      <c r="G80" s="374">
        <f t="shared" si="35"/>
        <v>1.970799250729125E-3</v>
      </c>
      <c r="H80" s="375">
        <f t="shared" si="35"/>
        <v>1.9750794395988376E-3</v>
      </c>
      <c r="L80" s="334" t="str">
        <f t="shared" si="30"/>
        <v>Peak Perks</v>
      </c>
      <c r="O80" s="353">
        <f t="shared" si="33"/>
        <v>0</v>
      </c>
      <c r="P80" s="353">
        <f t="shared" si="33"/>
        <v>0</v>
      </c>
      <c r="Q80" s="353">
        <f t="shared" si="33"/>
        <v>0</v>
      </c>
      <c r="R80" s="353"/>
      <c r="S80" s="353"/>
      <c r="U80" s="354">
        <f t="shared" si="32"/>
        <v>0</v>
      </c>
    </row>
    <row r="81" spans="2:22">
      <c r="B81" s="367" t="s">
        <v>19</v>
      </c>
      <c r="C81" s="368"/>
      <c r="D81" s="368"/>
      <c r="E81" s="368"/>
      <c r="F81" s="368"/>
      <c r="G81" s="368"/>
      <c r="H81" s="369"/>
      <c r="L81" s="334" t="str">
        <f t="shared" si="30"/>
        <v>Targeted Greenhouse</v>
      </c>
      <c r="N81" s="343"/>
      <c r="O81" s="353">
        <f t="shared" si="33"/>
        <v>0</v>
      </c>
      <c r="P81" s="353">
        <f t="shared" si="33"/>
        <v>0</v>
      </c>
      <c r="Q81" s="353">
        <f t="shared" si="33"/>
        <v>0</v>
      </c>
      <c r="R81" s="353"/>
      <c r="S81" s="353"/>
      <c r="U81" s="354">
        <f t="shared" si="32"/>
        <v>0</v>
      </c>
      <c r="V81" s="353"/>
    </row>
    <row r="82" spans="2:22">
      <c r="B82" s="370" t="s">
        <v>290</v>
      </c>
      <c r="C82" s="371">
        <v>26233400</v>
      </c>
      <c r="D82" s="371">
        <v>27003039</v>
      </c>
      <c r="E82" s="371">
        <v>28785366</v>
      </c>
      <c r="F82" s="371">
        <v>29063129</v>
      </c>
      <c r="G82" s="371">
        <v>29356697</v>
      </c>
      <c r="H82" s="372">
        <f t="shared" si="34"/>
        <v>140441631</v>
      </c>
      <c r="L82" s="334" t="str">
        <f t="shared" si="30"/>
        <v>Local Initiatives</v>
      </c>
      <c r="N82" s="343"/>
      <c r="O82" s="353">
        <f t="shared" ref="O82:Q83" si="36">O66*$J64</f>
        <v>1934914.9318978898</v>
      </c>
      <c r="P82" s="353">
        <f t="shared" si="36"/>
        <v>0</v>
      </c>
      <c r="Q82" s="353">
        <f t="shared" si="36"/>
        <v>0</v>
      </c>
      <c r="R82" s="353"/>
      <c r="S82" s="353"/>
      <c r="U82" s="354">
        <f t="shared" si="32"/>
        <v>1934914.9318978898</v>
      </c>
      <c r="V82" s="353"/>
    </row>
    <row r="83" spans="2:22">
      <c r="B83" s="370" t="s">
        <v>495</v>
      </c>
      <c r="C83" s="371">
        <v>12530281718.650002</v>
      </c>
      <c r="D83" s="371">
        <v>12853976851.250002</v>
      </c>
      <c r="E83" s="371">
        <v>13791653390.570002</v>
      </c>
      <c r="F83" s="371">
        <v>13739844025.43289</v>
      </c>
      <c r="G83" s="371">
        <v>13910618872.302979</v>
      </c>
      <c r="H83" s="372">
        <f t="shared" si="34"/>
        <v>66826374858.205872</v>
      </c>
      <c r="L83" s="334" t="str">
        <f t="shared" si="30"/>
        <v>Residential Demand Response</v>
      </c>
      <c r="N83" s="343"/>
      <c r="O83" s="353">
        <f t="shared" si="36"/>
        <v>0</v>
      </c>
      <c r="P83" s="353">
        <f t="shared" si="36"/>
        <v>0</v>
      </c>
      <c r="Q83" s="353">
        <f t="shared" si="36"/>
        <v>0</v>
      </c>
      <c r="R83" s="353"/>
      <c r="S83" s="353"/>
      <c r="U83" s="354">
        <f t="shared" si="32"/>
        <v>0</v>
      </c>
      <c r="V83" s="353"/>
    </row>
    <row r="84" spans="2:22" ht="13.9" thickBot="1">
      <c r="B84" s="373" t="s">
        <v>496</v>
      </c>
      <c r="C84" s="374">
        <f t="shared" ref="C84:H84" si="37">C82/C83</f>
        <v>2.0936001750826044E-3</v>
      </c>
      <c r="D84" s="374">
        <f t="shared" si="37"/>
        <v>2.1007536665490459E-3</v>
      </c>
      <c r="E84" s="374">
        <f t="shared" si="37"/>
        <v>2.0871584562647074E-3</v>
      </c>
      <c r="F84" s="374">
        <f t="shared" si="37"/>
        <v>2.1152444631979241E-3</v>
      </c>
      <c r="G84" s="374">
        <f t="shared" si="37"/>
        <v>2.1103803698087975E-3</v>
      </c>
      <c r="H84" s="375">
        <f t="shared" si="37"/>
        <v>2.1015898482895879E-3</v>
      </c>
      <c r="L84" s="334" t="str">
        <f t="shared" si="30"/>
        <v>Energy Affordability Program</v>
      </c>
      <c r="N84" s="343"/>
      <c r="O84" s="353">
        <f t="shared" ref="O84:Q85" si="38">O66*$J66</f>
        <v>145015.04725365623</v>
      </c>
      <c r="P84" s="353">
        <f t="shared" si="38"/>
        <v>0</v>
      </c>
      <c r="Q84" s="353">
        <f t="shared" si="38"/>
        <v>0</v>
      </c>
      <c r="R84" s="353"/>
      <c r="S84" s="353"/>
      <c r="U84" s="354">
        <f t="shared" si="32"/>
        <v>145015.04725365623</v>
      </c>
      <c r="V84" s="353"/>
    </row>
    <row r="85" spans="2:22">
      <c r="B85" s="367" t="s">
        <v>20</v>
      </c>
      <c r="C85" s="368"/>
      <c r="D85" s="368"/>
      <c r="E85" s="368"/>
      <c r="F85" s="368"/>
      <c r="G85" s="368"/>
      <c r="H85" s="369"/>
      <c r="L85" s="334" t="str">
        <f t="shared" si="30"/>
        <v>First Nations Program</v>
      </c>
      <c r="N85" s="343"/>
      <c r="O85" s="353">
        <f t="shared" si="38"/>
        <v>0</v>
      </c>
      <c r="P85" s="353">
        <f t="shared" si="38"/>
        <v>0</v>
      </c>
      <c r="Q85" s="353">
        <f t="shared" si="38"/>
        <v>0</v>
      </c>
      <c r="R85" s="353"/>
      <c r="S85" s="353"/>
      <c r="U85" s="354">
        <f t="shared" si="32"/>
        <v>0</v>
      </c>
      <c r="V85" s="353"/>
    </row>
    <row r="86" spans="2:22">
      <c r="B86" s="370" t="s">
        <v>290</v>
      </c>
      <c r="C86" s="371">
        <v>65161090</v>
      </c>
      <c r="D86" s="371">
        <v>67960294</v>
      </c>
      <c r="E86" s="371">
        <v>68211369</v>
      </c>
      <c r="F86" s="371">
        <v>64679344</v>
      </c>
      <c r="G86" s="371">
        <v>64215692</v>
      </c>
      <c r="H86" s="372">
        <f t="shared" si="34"/>
        <v>330227789</v>
      </c>
      <c r="N86" s="343"/>
      <c r="O86" s="353"/>
      <c r="P86" s="353"/>
      <c r="Q86" s="353"/>
      <c r="U86" s="352"/>
    </row>
    <row r="87" spans="2:22">
      <c r="B87" s="370" t="s">
        <v>495</v>
      </c>
      <c r="C87" s="371">
        <v>48237791431.169998</v>
      </c>
      <c r="D87" s="371">
        <v>48842596890.82</v>
      </c>
      <c r="E87" s="371">
        <v>49862673590.640007</v>
      </c>
      <c r="F87" s="371">
        <v>49451770721.2575</v>
      </c>
      <c r="G87" s="371">
        <v>50091001093.409103</v>
      </c>
      <c r="H87" s="372">
        <f t="shared" si="34"/>
        <v>246485833727.29663</v>
      </c>
      <c r="N87" s="343"/>
      <c r="O87" s="353">
        <f>SUM(O72:O85)</f>
        <v>2335702.7665795954</v>
      </c>
      <c r="P87" s="353">
        <f>SUM(P72:P85)</f>
        <v>790199.88498740643</v>
      </c>
      <c r="Q87" s="353">
        <f>SUM(Q72:Q85)</f>
        <v>761532.96113880107</v>
      </c>
      <c r="R87" s="353"/>
      <c r="S87" s="353"/>
      <c r="U87" s="354">
        <f>SUM(O87:S87)</f>
        <v>3887435.612705803</v>
      </c>
      <c r="V87" s="353"/>
    </row>
    <row r="88" spans="2:22" ht="13.9" thickBot="1">
      <c r="B88" s="373" t="s">
        <v>496</v>
      </c>
      <c r="C88" s="374">
        <f t="shared" ref="C88:H88" si="39">C86/C87</f>
        <v>1.3508307090090905E-3</v>
      </c>
      <c r="D88" s="374">
        <f t="shared" si="39"/>
        <v>1.3914144276954525E-3</v>
      </c>
      <c r="E88" s="374">
        <f t="shared" si="39"/>
        <v>1.367984588231232E-3</v>
      </c>
      <c r="F88" s="374">
        <f t="shared" si="39"/>
        <v>1.3079277659150984E-3</v>
      </c>
      <c r="G88" s="374">
        <f t="shared" si="39"/>
        <v>1.2819806072602012E-3</v>
      </c>
      <c r="H88" s="375">
        <f t="shared" si="39"/>
        <v>1.3397434814260058E-3</v>
      </c>
      <c r="N88" s="355"/>
      <c r="O88" s="376"/>
      <c r="P88" s="376"/>
      <c r="Q88" s="376"/>
      <c r="R88" s="361"/>
      <c r="S88" s="361"/>
      <c r="T88" s="361"/>
      <c r="U88" s="362"/>
    </row>
    <row r="89" spans="2:22">
      <c r="B89" s="367" t="s">
        <v>4</v>
      </c>
      <c r="C89" s="368"/>
      <c r="D89" s="368"/>
      <c r="E89" s="368"/>
      <c r="F89" s="368"/>
      <c r="G89" s="368"/>
      <c r="H89" s="369"/>
      <c r="O89" s="353"/>
      <c r="P89" s="353"/>
      <c r="Q89" s="353"/>
    </row>
    <row r="90" spans="2:22">
      <c r="B90" s="370" t="s">
        <v>290</v>
      </c>
      <c r="C90" s="371">
        <v>178353238</v>
      </c>
      <c r="D90" s="371">
        <v>182112496</v>
      </c>
      <c r="E90" s="371">
        <v>185090366</v>
      </c>
      <c r="F90" s="371">
        <v>180529177</v>
      </c>
      <c r="G90" s="371">
        <v>182078136</v>
      </c>
      <c r="H90" s="372">
        <f>SUM(C90:G90)</f>
        <v>908163413</v>
      </c>
    </row>
    <row r="91" spans="2:22">
      <c r="B91" s="370" t="s">
        <v>495</v>
      </c>
      <c r="C91" s="371">
        <v>128180478159.41</v>
      </c>
      <c r="D91" s="371">
        <v>129127213477.88</v>
      </c>
      <c r="E91" s="371">
        <v>131017204694.14</v>
      </c>
      <c r="F91" s="371">
        <v>130343686842.80206</v>
      </c>
      <c r="G91" s="371">
        <v>133031849833.25131</v>
      </c>
      <c r="H91" s="372">
        <f>SUM(C91:G91)</f>
        <v>651700433007.4834</v>
      </c>
    </row>
    <row r="92" spans="2:22" ht="13.9" thickBot="1">
      <c r="B92" s="373" t="s">
        <v>496</v>
      </c>
      <c r="C92" s="374">
        <f t="shared" ref="C92:H92" si="40">C90/C91</f>
        <v>1.3914227857552012E-3</v>
      </c>
      <c r="D92" s="374">
        <f t="shared" si="40"/>
        <v>1.4103339729482863E-3</v>
      </c>
      <c r="E92" s="374">
        <f t="shared" si="40"/>
        <v>1.4127180199890077E-3</v>
      </c>
      <c r="F92" s="374">
        <f t="shared" si="40"/>
        <v>1.3850243258633843E-3</v>
      </c>
      <c r="G92" s="374">
        <f t="shared" si="40"/>
        <v>1.3686807800404619E-3</v>
      </c>
      <c r="H92" s="375">
        <f t="shared" si="40"/>
        <v>1.3935289390694201E-3</v>
      </c>
    </row>
    <row r="109" spans="4:6">
      <c r="D109" s="377"/>
      <c r="E109" s="377"/>
      <c r="F109" s="349"/>
    </row>
    <row r="110" spans="4:6">
      <c r="D110" s="377"/>
      <c r="E110" s="377"/>
      <c r="F110" s="349"/>
    </row>
    <row r="111" spans="4:6">
      <c r="D111" s="377"/>
      <c r="E111" s="377"/>
      <c r="F111" s="349"/>
    </row>
    <row r="125" spans="15:18">
      <c r="O125" s="353"/>
      <c r="P125" s="353"/>
      <c r="Q125" s="353"/>
      <c r="R125" s="353"/>
    </row>
    <row r="126" spans="15:18">
      <c r="O126" s="353"/>
      <c r="P126" s="353"/>
      <c r="Q126" s="353"/>
      <c r="R126" s="353"/>
    </row>
    <row r="127" spans="15:18">
      <c r="O127" s="353"/>
      <c r="P127" s="353"/>
      <c r="Q127" s="353"/>
      <c r="R127" s="353"/>
    </row>
    <row r="128" spans="15:18">
      <c r="O128" s="353"/>
      <c r="P128" s="353"/>
      <c r="Q128" s="353"/>
      <c r="R128" s="353"/>
    </row>
    <row r="129" spans="15:18">
      <c r="O129" s="353"/>
      <c r="P129" s="353"/>
      <c r="Q129" s="353"/>
      <c r="R129" s="353"/>
    </row>
    <row r="130" spans="15:18">
      <c r="O130" s="353"/>
      <c r="P130" s="353"/>
      <c r="Q130" s="353"/>
      <c r="R130" s="353"/>
    </row>
    <row r="131" spans="15:18">
      <c r="O131" s="353"/>
      <c r="P131" s="353"/>
      <c r="Q131" s="353"/>
      <c r="R131" s="353"/>
    </row>
    <row r="132" spans="15:18">
      <c r="O132" s="353"/>
      <c r="P132" s="353"/>
      <c r="Q132" s="353"/>
    </row>
    <row r="133" spans="15:18">
      <c r="O133" s="353"/>
      <c r="P133" s="353"/>
      <c r="Q133" s="353"/>
      <c r="R133" s="353"/>
    </row>
    <row r="134" spans="15:18">
      <c r="O134" s="353"/>
      <c r="P134" s="353"/>
      <c r="Q134" s="353"/>
    </row>
    <row r="135" spans="15:18">
      <c r="O135" s="353"/>
      <c r="P135" s="353"/>
      <c r="Q135" s="353"/>
    </row>
  </sheetData>
  <mergeCells count="1">
    <mergeCell ref="Z2:AD2"/>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E081D-20E6-4B7D-A7A8-E69B5D625659}">
  <sheetPr codeName="Sheet34"/>
  <dimension ref="B1:X22"/>
  <sheetViews>
    <sheetView workbookViewId="0">
      <selection activeCell="N12" sqref="N12"/>
    </sheetView>
  </sheetViews>
  <sheetFormatPr defaultColWidth="8.83203125" defaultRowHeight="13.9"/>
  <cols>
    <col min="1" max="1" width="8.83203125" style="162"/>
    <col min="2" max="2" width="14.83203125" style="162" bestFit="1" customWidth="1"/>
    <col min="3" max="3" width="16.33203125" style="162" bestFit="1" customWidth="1"/>
    <col min="4" max="5" width="16.1640625" style="162" customWidth="1"/>
    <col min="6" max="6" width="16.33203125" style="162" bestFit="1" customWidth="1"/>
    <col min="7" max="7" width="13.33203125" style="162" customWidth="1"/>
    <col min="8" max="8" width="16.33203125" style="162" bestFit="1" customWidth="1"/>
    <col min="9" max="10" width="16.1640625" style="162" customWidth="1"/>
    <col min="11" max="11" width="15.33203125" style="162" customWidth="1"/>
    <col min="12" max="12" width="12" style="162" customWidth="1"/>
    <col min="13" max="15" width="12.33203125" style="162" bestFit="1" customWidth="1"/>
    <col min="16" max="18" width="9.1640625" style="162" bestFit="1" customWidth="1"/>
    <col min="19" max="19" width="13.83203125" style="162" customWidth="1"/>
    <col min="20" max="22" width="14" style="162" bestFit="1" customWidth="1"/>
    <col min="23" max="24" width="15.1640625" style="162" bestFit="1" customWidth="1"/>
    <col min="25" max="16384" width="8.83203125" style="162"/>
  </cols>
  <sheetData>
    <row r="1" spans="2:24" ht="14.45" thickBot="1"/>
    <row r="2" spans="2:24">
      <c r="B2" s="620"/>
      <c r="C2" s="621"/>
      <c r="D2" s="621"/>
      <c r="E2" s="621"/>
      <c r="F2" s="621"/>
      <c r="G2" s="621"/>
      <c r="H2" s="621"/>
      <c r="I2" s="621"/>
      <c r="J2" s="621"/>
      <c r="K2" s="622"/>
    </row>
    <row r="3" spans="2:24">
      <c r="B3" s="617" t="s">
        <v>497</v>
      </c>
      <c r="C3" s="618"/>
      <c r="D3" s="618"/>
      <c r="E3" s="618"/>
      <c r="F3" s="618"/>
      <c r="G3" s="618"/>
      <c r="H3" s="618"/>
      <c r="I3" s="618"/>
      <c r="J3" s="618"/>
      <c r="K3" s="619"/>
    </row>
    <row r="4" spans="2:24">
      <c r="B4" s="623" t="s">
        <v>498</v>
      </c>
      <c r="C4" s="624">
        <v>2025</v>
      </c>
      <c r="D4" s="625"/>
      <c r="E4" s="626"/>
      <c r="F4" s="627">
        <v>2026</v>
      </c>
      <c r="G4" s="628"/>
      <c r="H4" s="629"/>
      <c r="I4" s="627">
        <v>2027</v>
      </c>
      <c r="J4" s="628"/>
      <c r="K4" s="630"/>
      <c r="M4" s="162">
        <v>2025</v>
      </c>
      <c r="N4" s="162">
        <v>2026</v>
      </c>
      <c r="O4" s="162">
        <v>2027</v>
      </c>
    </row>
    <row r="5" spans="2:24" ht="27.6">
      <c r="B5" s="623"/>
      <c r="C5" s="245" t="s">
        <v>1</v>
      </c>
      <c r="D5" s="246" t="s">
        <v>499</v>
      </c>
      <c r="E5" s="245" t="s">
        <v>500</v>
      </c>
      <c r="F5" s="245" t="s">
        <v>1</v>
      </c>
      <c r="G5" s="246" t="s">
        <v>499</v>
      </c>
      <c r="H5" s="245" t="s">
        <v>500</v>
      </c>
      <c r="I5" s="245" t="s">
        <v>1</v>
      </c>
      <c r="J5" s="246" t="s">
        <v>499</v>
      </c>
      <c r="K5" s="247" t="s">
        <v>500</v>
      </c>
    </row>
    <row r="6" spans="2:24">
      <c r="B6" s="244"/>
      <c r="C6" s="248" t="s">
        <v>403</v>
      </c>
      <c r="D6" s="248" t="s">
        <v>501</v>
      </c>
      <c r="E6" s="248" t="s">
        <v>502</v>
      </c>
      <c r="F6" s="248" t="s">
        <v>406</v>
      </c>
      <c r="G6" s="248" t="s">
        <v>428</v>
      </c>
      <c r="H6" s="248" t="s">
        <v>503</v>
      </c>
      <c r="I6" s="248" t="s">
        <v>504</v>
      </c>
      <c r="J6" s="248" t="s">
        <v>505</v>
      </c>
      <c r="K6" s="249" t="s">
        <v>506</v>
      </c>
    </row>
    <row r="7" spans="2:24">
      <c r="B7" s="210" t="s">
        <v>18</v>
      </c>
      <c r="C7" s="211">
        <f>'CDM Framework'!T44</f>
        <v>180257.04086665454</v>
      </c>
      <c r="D7" s="302">
        <v>0.5</v>
      </c>
      <c r="E7" s="212">
        <f>C7*D7</f>
        <v>90128.52043332727</v>
      </c>
      <c r="F7" s="211">
        <f>'CDM Framework'!U44</f>
        <v>196774.34862588492</v>
      </c>
      <c r="G7" s="213">
        <v>0.5</v>
      </c>
      <c r="H7" s="214">
        <f t="shared" ref="H7:H12" si="0">F7*G7</f>
        <v>98387.174312942458</v>
      </c>
      <c r="I7" s="211">
        <f>'CDM Framework'!V44</f>
        <v>227769.931244987</v>
      </c>
      <c r="J7" s="213">
        <v>0.5</v>
      </c>
      <c r="K7" s="217">
        <f t="shared" ref="K7:K12" si="1">I7*J7</f>
        <v>113884.9656224935</v>
      </c>
      <c r="M7" s="303">
        <f>E7</f>
        <v>90128.52043332727</v>
      </c>
      <c r="N7" s="303">
        <f>E7+H7</f>
        <v>188515.69474626973</v>
      </c>
      <c r="O7" s="303">
        <f>E7+F7+K7</f>
        <v>400787.83468170569</v>
      </c>
      <c r="W7" s="303"/>
      <c r="X7" s="303"/>
    </row>
    <row r="8" spans="2:24">
      <c r="B8" s="215" t="s">
        <v>19</v>
      </c>
      <c r="C8" s="211">
        <f>'CDM Framework'!T45</f>
        <v>211921.17982566811</v>
      </c>
      <c r="D8" s="302">
        <f>D7</f>
        <v>0.5</v>
      </c>
      <c r="E8" s="212">
        <f>C8*D8</f>
        <v>105960.58991283405</v>
      </c>
      <c r="F8" s="211">
        <f>'CDM Framework'!U45</f>
        <v>468013.19241705234</v>
      </c>
      <c r="G8" s="213">
        <v>0.5</v>
      </c>
      <c r="H8" s="214">
        <f t="shared" si="0"/>
        <v>234006.59620852617</v>
      </c>
      <c r="I8" s="211">
        <f>'CDM Framework'!V45</f>
        <v>432452.20531503996</v>
      </c>
      <c r="J8" s="213">
        <v>0.5</v>
      </c>
      <c r="K8" s="217">
        <f t="shared" si="1"/>
        <v>216226.10265751998</v>
      </c>
      <c r="M8" s="303">
        <f>E8</f>
        <v>105960.58991283405</v>
      </c>
      <c r="N8" s="303">
        <f>E8+H8</f>
        <v>339967.18612136022</v>
      </c>
      <c r="O8" s="303">
        <f>E8+F8+K8</f>
        <v>790199.88498740643</v>
      </c>
      <c r="W8" s="303"/>
      <c r="X8" s="303"/>
    </row>
    <row r="9" spans="2:24">
      <c r="B9" s="210" t="s">
        <v>20</v>
      </c>
      <c r="C9" s="211">
        <f>'CDM Framework'!T46</f>
        <v>198543.28202965227</v>
      </c>
      <c r="D9" s="302">
        <f>D8</f>
        <v>0.5</v>
      </c>
      <c r="E9" s="212">
        <f>C9*D9</f>
        <v>99271.641014826135</v>
      </c>
      <c r="F9" s="211">
        <f>'CDM Framework'!U46</f>
        <v>453679.73049274966</v>
      </c>
      <c r="G9" s="213">
        <v>0.5</v>
      </c>
      <c r="H9" s="214">
        <f t="shared" si="0"/>
        <v>226839.86524637483</v>
      </c>
      <c r="I9" s="211">
        <f>'CDM Framework'!V46</f>
        <v>417163.17926245043</v>
      </c>
      <c r="J9" s="213">
        <v>0.5</v>
      </c>
      <c r="K9" s="217">
        <f t="shared" si="1"/>
        <v>208581.58963122522</v>
      </c>
      <c r="M9" s="303">
        <f>E9</f>
        <v>99271.641014826135</v>
      </c>
      <c r="N9" s="303">
        <f>E9+H9</f>
        <v>326111.50626120099</v>
      </c>
      <c r="O9" s="303">
        <f>E9+F9+K9</f>
        <v>761532.96113880095</v>
      </c>
      <c r="W9" s="303"/>
      <c r="X9" s="303"/>
    </row>
    <row r="10" spans="2:24">
      <c r="B10" s="215" t="s">
        <v>21</v>
      </c>
      <c r="C10" s="211"/>
      <c r="D10" s="302">
        <f>D9</f>
        <v>0.5</v>
      </c>
      <c r="E10" s="212">
        <f>C10*D10</f>
        <v>0</v>
      </c>
      <c r="F10" s="211"/>
      <c r="G10" s="213">
        <v>0.5</v>
      </c>
      <c r="H10" s="214">
        <f t="shared" si="0"/>
        <v>0</v>
      </c>
      <c r="I10" s="211"/>
      <c r="J10" s="213">
        <v>0.5</v>
      </c>
      <c r="K10" s="217">
        <f t="shared" si="1"/>
        <v>0</v>
      </c>
    </row>
    <row r="11" spans="2:24">
      <c r="B11" s="215" t="s">
        <v>23</v>
      </c>
      <c r="C11" s="211"/>
      <c r="D11" s="302">
        <f>D10</f>
        <v>0.5</v>
      </c>
      <c r="E11" s="212">
        <f>C11*D11</f>
        <v>0</v>
      </c>
      <c r="F11" s="211"/>
      <c r="G11" s="213">
        <v>0.5</v>
      </c>
      <c r="H11" s="214">
        <f t="shared" si="0"/>
        <v>0</v>
      </c>
      <c r="I11" s="211"/>
      <c r="J11" s="213">
        <v>0.5</v>
      </c>
      <c r="K11" s="217">
        <f t="shared" si="1"/>
        <v>0</v>
      </c>
    </row>
    <row r="12" spans="2:24" ht="14.45" thickBot="1">
      <c r="B12" s="250" t="s">
        <v>507</v>
      </c>
      <c r="C12" s="251">
        <f>SUM(C7:C11)</f>
        <v>590721.50272197486</v>
      </c>
      <c r="D12" s="251"/>
      <c r="E12" s="251">
        <f>SUM(E7:E11)</f>
        <v>295360.75136098743</v>
      </c>
      <c r="F12" s="251">
        <f>SUM(F7:F11)</f>
        <v>1118467.2715356869</v>
      </c>
      <c r="G12" s="252">
        <v>0.5</v>
      </c>
      <c r="H12" s="253">
        <f t="shared" si="0"/>
        <v>559233.63576784346</v>
      </c>
      <c r="I12" s="251">
        <f>SUM(I7:I11)</f>
        <v>1077385.3158224775</v>
      </c>
      <c r="J12" s="252">
        <v>0.5</v>
      </c>
      <c r="K12" s="254">
        <f t="shared" si="1"/>
        <v>538692.65791123873</v>
      </c>
      <c r="M12" s="548">
        <f>SUM(M7:M11)</f>
        <v>295360.75136098743</v>
      </c>
      <c r="N12" s="548">
        <f t="shared" ref="N12:O12" si="2">SUM(N7:N11)</f>
        <v>854594.387128831</v>
      </c>
      <c r="O12" s="548">
        <f t="shared" si="2"/>
        <v>1952520.680807913</v>
      </c>
    </row>
    <row r="13" spans="2:24">
      <c r="B13" s="10"/>
      <c r="C13" s="10"/>
      <c r="D13" s="10"/>
      <c r="E13" s="10"/>
      <c r="F13" s="10"/>
      <c r="G13" s="10"/>
      <c r="H13" s="10"/>
      <c r="I13" s="10"/>
      <c r="J13" s="10"/>
      <c r="K13" s="10"/>
      <c r="L13" s="10"/>
    </row>
    <row r="16" spans="2:24" ht="14.45" thickBot="1">
      <c r="B16" s="614" t="s">
        <v>508</v>
      </c>
      <c r="C16" s="615"/>
      <c r="D16" s="615"/>
      <c r="E16" s="615"/>
      <c r="F16" s="615"/>
      <c r="G16" s="615"/>
      <c r="H16" s="615"/>
      <c r="I16" s="615"/>
      <c r="J16" s="615"/>
      <c r="K16" s="615"/>
      <c r="L16" s="616"/>
    </row>
    <row r="17" spans="2:16" ht="14.65" customHeight="1">
      <c r="B17" s="316" t="s">
        <v>498</v>
      </c>
      <c r="C17" s="610" t="s">
        <v>16</v>
      </c>
      <c r="D17" s="611"/>
      <c r="E17" s="611"/>
      <c r="F17" s="611"/>
      <c r="G17" s="612"/>
      <c r="H17" s="610" t="s">
        <v>17</v>
      </c>
      <c r="I17" s="611"/>
      <c r="J17" s="611"/>
      <c r="K17" s="611"/>
      <c r="L17" s="613"/>
    </row>
    <row r="18" spans="2:16" ht="41.45">
      <c r="B18" s="317"/>
      <c r="C18" s="304" t="s">
        <v>509</v>
      </c>
      <c r="D18" s="246" t="s">
        <v>493</v>
      </c>
      <c r="E18" s="246" t="s">
        <v>510</v>
      </c>
      <c r="F18" s="246" t="s">
        <v>2</v>
      </c>
      <c r="G18" s="305" t="s">
        <v>493</v>
      </c>
      <c r="H18" s="306" t="s">
        <v>509</v>
      </c>
      <c r="I18" s="246" t="s">
        <v>493</v>
      </c>
      <c r="J18" s="246" t="s">
        <v>510</v>
      </c>
      <c r="K18" s="246" t="s">
        <v>2</v>
      </c>
      <c r="L18" s="246" t="s">
        <v>493</v>
      </c>
      <c r="M18" s="162">
        <v>2025</v>
      </c>
      <c r="N18" s="162">
        <f>N4</f>
        <v>2026</v>
      </c>
      <c r="O18" s="162">
        <f>O4</f>
        <v>2027</v>
      </c>
    </row>
    <row r="19" spans="2:16">
      <c r="B19" s="317"/>
      <c r="C19" s="304" t="s">
        <v>427</v>
      </c>
      <c r="D19" s="246" t="s">
        <v>406</v>
      </c>
      <c r="E19" s="246" t="s">
        <v>511</v>
      </c>
      <c r="F19" s="246" t="s">
        <v>512</v>
      </c>
      <c r="G19" s="305" t="s">
        <v>513</v>
      </c>
      <c r="H19" s="306" t="s">
        <v>505</v>
      </c>
      <c r="I19" s="246" t="s">
        <v>514</v>
      </c>
      <c r="J19" s="246" t="s">
        <v>515</v>
      </c>
      <c r="K19" s="246" t="s">
        <v>516</v>
      </c>
      <c r="L19" s="246" t="s">
        <v>517</v>
      </c>
    </row>
    <row r="20" spans="2:16">
      <c r="B20" s="318" t="s">
        <v>20</v>
      </c>
      <c r="C20" s="307">
        <f ca="1">'Normalized Annual Summary'!$AD$15</f>
        <v>65642348.581128612</v>
      </c>
      <c r="D20" s="308">
        <f>N9</f>
        <v>326111.50626120099</v>
      </c>
      <c r="E20" s="309">
        <f ca="1">D20/C20</f>
        <v>4.9680048522053356E-3</v>
      </c>
      <c r="F20" s="310">
        <f ca="1">'kW Forecast'!H19</f>
        <v>198151.90228138195</v>
      </c>
      <c r="G20" s="311">
        <f ca="1">E20*F20</f>
        <v>984.41961200762307</v>
      </c>
      <c r="H20" s="312">
        <f ca="1">'Normalized Annual Summary'!$AD$16</f>
        <v>65700091.783353448</v>
      </c>
      <c r="I20" s="308">
        <f>O9</f>
        <v>761532.96113880095</v>
      </c>
      <c r="J20" s="309">
        <f ca="1">I20/H20</f>
        <v>1.1591048664741012E-2</v>
      </c>
      <c r="K20" s="310">
        <f ca="1">'kW Forecast'!H20</f>
        <v>198384.11816035735</v>
      </c>
      <c r="L20" s="310">
        <f ca="1">J20*K20</f>
        <v>2299.4799679084331</v>
      </c>
      <c r="M20" s="549">
        <f ca="1">M9/'Normalized Annual Summary'!$AD$14*'kW Forecast'!D14</f>
        <v>295.6601838521986</v>
      </c>
      <c r="N20" s="196">
        <f ca="1">G20</f>
        <v>984.41961200762307</v>
      </c>
      <c r="O20" s="196">
        <f ca="1">L20</f>
        <v>2299.4799679084331</v>
      </c>
      <c r="P20" s="196"/>
    </row>
    <row r="21" spans="2:16">
      <c r="B21" s="319" t="s">
        <v>21</v>
      </c>
      <c r="C21" s="313">
        <f>'Normalized Annual Summary'!$AJ$15</f>
        <v>1012496.4456910954</v>
      </c>
      <c r="D21" s="308">
        <f>Y10</f>
        <v>0</v>
      </c>
      <c r="E21" s="309">
        <f>D21/C21</f>
        <v>0</v>
      </c>
      <c r="F21" s="314"/>
      <c r="G21" s="315"/>
      <c r="H21" s="313">
        <f>'Normalized Annual Summary'!$AJ$16</f>
        <v>1016551.0227896626</v>
      </c>
      <c r="I21" s="308">
        <f>AD10</f>
        <v>0</v>
      </c>
      <c r="J21" s="309">
        <f>I21/H21</f>
        <v>0</v>
      </c>
      <c r="K21" s="314"/>
      <c r="L21" s="314"/>
    </row>
    <row r="22" spans="2:16">
      <c r="B22" s="320" t="s">
        <v>507</v>
      </c>
      <c r="C22" s="321">
        <f t="shared" ref="C22:L22" ca="1" si="3">SUM(C20:C21)</f>
        <v>66654845.026819706</v>
      </c>
      <c r="D22" s="322">
        <f t="shared" si="3"/>
        <v>326111.50626120099</v>
      </c>
      <c r="E22" s="323">
        <f t="shared" ca="1" si="3"/>
        <v>4.9680048522053356E-3</v>
      </c>
      <c r="F22" s="324">
        <f t="shared" ca="1" si="3"/>
        <v>198151.90228138195</v>
      </c>
      <c r="G22" s="324">
        <f t="shared" ca="1" si="3"/>
        <v>984.41961200762307</v>
      </c>
      <c r="H22" s="325">
        <f t="shared" ca="1" si="3"/>
        <v>66716642.806143112</v>
      </c>
      <c r="I22" s="322">
        <f t="shared" si="3"/>
        <v>761532.96113880095</v>
      </c>
      <c r="J22" s="323">
        <f t="shared" ca="1" si="3"/>
        <v>1.1591048664741012E-2</v>
      </c>
      <c r="K22" s="324">
        <f t="shared" ca="1" si="3"/>
        <v>198384.11816035735</v>
      </c>
      <c r="L22" s="324">
        <f t="shared" ca="1" si="3"/>
        <v>2299.4799679084331</v>
      </c>
    </row>
  </sheetData>
  <mergeCells count="9">
    <mergeCell ref="C17:G17"/>
    <mergeCell ref="H17:L17"/>
    <mergeCell ref="B16:L16"/>
    <mergeCell ref="B3:K3"/>
    <mergeCell ref="B2:K2"/>
    <mergeCell ref="B4:B5"/>
    <mergeCell ref="C4:E4"/>
    <mergeCell ref="F4:H4"/>
    <mergeCell ref="I4:K4"/>
  </mergeCells>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8">
    <tabColor rgb="FFFF0000"/>
  </sheetPr>
  <dimension ref="B1:Y74"/>
  <sheetViews>
    <sheetView tabSelected="1" topLeftCell="C1" workbookViewId="0">
      <selection activeCell="Z6" sqref="Z6"/>
    </sheetView>
  </sheetViews>
  <sheetFormatPr defaultColWidth="9.1640625" defaultRowHeight="13.15"/>
  <cols>
    <col min="1" max="1" width="3" style="39" customWidth="1"/>
    <col min="2" max="2" width="25.5" style="39" bestFit="1" customWidth="1"/>
    <col min="3" max="3" width="16.83203125" style="39" bestFit="1" customWidth="1"/>
    <col min="4" max="4" width="13.83203125" style="39" bestFit="1" customWidth="1"/>
    <col min="5" max="5" width="15" style="39" bestFit="1" customWidth="1"/>
    <col min="6" max="6" width="13.83203125" style="39" bestFit="1" customWidth="1"/>
    <col min="7" max="7" width="16.1640625" style="39" bestFit="1" customWidth="1"/>
    <col min="8" max="8" width="15.6640625" style="39" bestFit="1" customWidth="1"/>
    <col min="9" max="9" width="13.83203125" style="39" bestFit="1" customWidth="1"/>
    <col min="10" max="10" width="14.33203125" style="39" bestFit="1" customWidth="1"/>
    <col min="11" max="11" width="14.33203125" style="39" customWidth="1"/>
    <col min="12" max="12" width="15" style="39" customWidth="1"/>
    <col min="13" max="13" width="14.5" style="39" customWidth="1"/>
    <col min="14" max="14" width="15.6640625" style="39" customWidth="1"/>
    <col min="15" max="15" width="15.83203125" style="39" customWidth="1"/>
    <col min="16" max="16" width="10.83203125" style="39" bestFit="1" customWidth="1"/>
    <col min="17" max="22" width="13.6640625" style="39" customWidth="1"/>
    <col min="23" max="23" width="17.33203125" style="39" customWidth="1"/>
    <col min="24" max="24" width="17" style="39" customWidth="1"/>
    <col min="25" max="25" width="17.6640625" style="39" customWidth="1"/>
    <col min="26" max="26" width="11.5" style="39" bestFit="1" customWidth="1"/>
    <col min="27" max="16384" width="9.1640625" style="39"/>
  </cols>
  <sheetData>
    <row r="1" spans="2:25" ht="16.149999999999999" thickBot="1">
      <c r="B1" s="57" t="s">
        <v>398</v>
      </c>
      <c r="C1" s="57"/>
    </row>
    <row r="2" spans="2:25" ht="13.9" thickBot="1">
      <c r="B2" s="236" t="s">
        <v>1</v>
      </c>
      <c r="C2" s="237" t="s">
        <v>6</v>
      </c>
      <c r="D2" s="237" t="s">
        <v>7</v>
      </c>
      <c r="E2" s="237" t="s">
        <v>8</v>
      </c>
      <c r="F2" s="237" t="s">
        <v>9</v>
      </c>
      <c r="G2" s="237" t="s">
        <v>10</v>
      </c>
      <c r="H2" s="237" t="s">
        <v>11</v>
      </c>
      <c r="I2" s="237" t="s">
        <v>12</v>
      </c>
      <c r="J2" s="237" t="s">
        <v>13</v>
      </c>
      <c r="K2" s="237" t="s">
        <v>14</v>
      </c>
      <c r="L2" s="237" t="s">
        <v>15</v>
      </c>
      <c r="M2" s="237" t="s">
        <v>518</v>
      </c>
      <c r="N2" s="237" t="s">
        <v>16</v>
      </c>
      <c r="O2" s="239" t="s">
        <v>17</v>
      </c>
      <c r="Q2" s="286"/>
      <c r="R2" s="287" t="str">
        <f>H2</f>
        <v>2021 Actual</v>
      </c>
      <c r="S2" s="287" t="str">
        <f>I2</f>
        <v>2022 Actual</v>
      </c>
      <c r="T2" s="287" t="str">
        <f>J2</f>
        <v>2023 Actual</v>
      </c>
      <c r="U2" s="287" t="str">
        <f>K2</f>
        <v>2024 Actual</v>
      </c>
      <c r="V2" s="287" t="str">
        <f>L2</f>
        <v>2025 Actual</v>
      </c>
      <c r="W2" s="287" t="str">
        <f>N2</f>
        <v>2026 Forecast</v>
      </c>
      <c r="X2" s="288" t="str">
        <f>O2</f>
        <v>2027 Forecast</v>
      </c>
    </row>
    <row r="3" spans="2:25">
      <c r="B3" s="58" t="s">
        <v>18</v>
      </c>
      <c r="C3" s="40">
        <f ca="1">OFFSET('Normalized Annual Summary'!$C$5,COLUMN(C3)-COLUMN($C3),0)</f>
        <v>76635115</v>
      </c>
      <c r="D3" s="40">
        <f ca="1">OFFSET('Normalized Annual Summary'!$C$5,COLUMN(D3)-COLUMN($C3),0)</f>
        <v>76119517.019999996</v>
      </c>
      <c r="E3" s="40">
        <f ca="1">OFFSET('Normalized Annual Summary'!$C$5,COLUMN(E3)-COLUMN($C3),0)</f>
        <v>81716499</v>
      </c>
      <c r="F3" s="40">
        <f ca="1">OFFSET('Normalized Annual Summary'!$C$5,COLUMN(F3)-COLUMN($C3),0)</f>
        <v>85932903</v>
      </c>
      <c r="G3" s="40">
        <f ca="1">OFFSET('Normalized Annual Summary'!$C$5,COLUMN(G3)-COLUMN($C3),0)</f>
        <v>85141857</v>
      </c>
      <c r="H3" s="40">
        <f ca="1">OFFSET('Normalized Annual Summary'!$C$5,COLUMN(H3)-COLUMN($C3),0)</f>
        <v>85333074.640000001</v>
      </c>
      <c r="I3" s="40">
        <f ca="1">OFFSET('Normalized Annual Summary'!$C$5,COLUMN(I3)-COLUMN($C3),0)</f>
        <v>86112039</v>
      </c>
      <c r="J3" s="40">
        <f ca="1">OFFSET('Normalized Annual Summary'!$C$5,COLUMN(J3)-COLUMN($C3),0)</f>
        <v>85022917</v>
      </c>
      <c r="K3" s="40">
        <f ca="1">OFFSET('Normalized Annual Summary'!$C$5,COLUMN(K3)-COLUMN($C3),0)</f>
        <v>86752528</v>
      </c>
      <c r="L3" s="40">
        <f ca="1">OFFSET('Normalized Annual Summary'!$C$5,COLUMN(L3)-COLUMN($C3),0)</f>
        <v>90973051</v>
      </c>
      <c r="M3" s="40">
        <f ca="1">OFFSET('Normalized Annual Summary'!$J$14,COLUMN(M3)-COLUMN($M3),0)</f>
        <v>89283258.359114304</v>
      </c>
      <c r="N3" s="40">
        <f ca="1">OFFSET('Normalized Annual Summary'!$J$14,COLUMN(N3)-COLUMN($M3),0)</f>
        <v>91407174.748566478</v>
      </c>
      <c r="O3" s="59">
        <f ca="1">OFFSET('Normalized Annual Summary'!$J$14,COLUMN(O3)-COLUMN($M3),0)</f>
        <v>93232928.198050857</v>
      </c>
      <c r="P3" s="40"/>
      <c r="Q3" s="565" t="s">
        <v>1</v>
      </c>
      <c r="R3" s="566"/>
      <c r="S3" s="566"/>
      <c r="T3" s="566"/>
      <c r="U3" s="566"/>
      <c r="V3" s="566"/>
      <c r="W3" s="567"/>
      <c r="X3" s="568"/>
    </row>
    <row r="4" spans="2:25">
      <c r="B4" s="60" t="s">
        <v>19</v>
      </c>
      <c r="C4" s="40">
        <f ca="1">OFFSET('Normalized Annual Summary'!$M$5,COLUMN(C4)-COLUMN($C4),0)</f>
        <v>29514061</v>
      </c>
      <c r="D4" s="40">
        <f ca="1">OFFSET('Normalized Annual Summary'!$M$5,COLUMN(D4)-COLUMN($C4),0)</f>
        <v>28872534</v>
      </c>
      <c r="E4" s="40">
        <f ca="1">OFFSET('Normalized Annual Summary'!$M$5,COLUMN(E4)-COLUMN($C4),0)</f>
        <v>30060062</v>
      </c>
      <c r="F4" s="40">
        <f ca="1">OFFSET('Normalized Annual Summary'!$M$5,COLUMN(F4)-COLUMN($C4),0)</f>
        <v>30767208</v>
      </c>
      <c r="G4" s="40">
        <f ca="1">OFFSET('Normalized Annual Summary'!$M$5,COLUMN(G4)-COLUMN($C4),0)</f>
        <v>26233400</v>
      </c>
      <c r="H4" s="40">
        <f ca="1">OFFSET('Normalized Annual Summary'!$M$5,COLUMN(H4)-COLUMN($C4),0)</f>
        <v>27003038.649999999</v>
      </c>
      <c r="I4" s="40">
        <f ca="1">OFFSET('Normalized Annual Summary'!$M$5,COLUMN(I4)-COLUMN($C4),0)</f>
        <v>28785066</v>
      </c>
      <c r="J4" s="40">
        <f ca="1">OFFSET('Normalized Annual Summary'!$M$5,COLUMN(J4)-COLUMN($C4),0)</f>
        <v>29063129</v>
      </c>
      <c r="K4" s="40">
        <f ca="1">OFFSET('Normalized Annual Summary'!$M$5,COLUMN(K4)-COLUMN($C4),0)</f>
        <v>29356697</v>
      </c>
      <c r="L4" s="40">
        <f ca="1">OFFSET('Normalized Annual Summary'!$M$5,COLUMN(L4)-COLUMN($C4),0)</f>
        <v>30749969</v>
      </c>
      <c r="M4" s="40">
        <f ca="1">OFFSET('Normalized Annual Summary'!$T$14,COLUMN(M4)-COLUMN($M4),0)</f>
        <v>30040019.365302023</v>
      </c>
      <c r="N4" s="40">
        <f ca="1">OFFSET('Normalized Annual Summary'!$T$14,COLUMN(N4)-COLUMN($M4),0)</f>
        <v>30478150.521457553</v>
      </c>
      <c r="O4" s="59">
        <f ca="1">OFFSET('Normalized Annual Summary'!$T$14,COLUMN(O4)-COLUMN($M4),0)</f>
        <v>31033620.084669221</v>
      </c>
      <c r="Q4" s="284" t="str">
        <f t="shared" ref="Q4:Q9" si="0">B3</f>
        <v>Residential</v>
      </c>
      <c r="R4" s="282">
        <f t="shared" ref="R4:S9" ca="1" si="1">H3</f>
        <v>85333074.640000001</v>
      </c>
      <c r="S4" s="282">
        <f t="shared" ca="1" si="1"/>
        <v>86112039</v>
      </c>
      <c r="T4" s="282">
        <f t="shared" ref="T4:V9" ca="1" si="2">J3</f>
        <v>85022917</v>
      </c>
      <c r="U4" s="282">
        <f t="shared" ca="1" si="2"/>
        <v>86752528</v>
      </c>
      <c r="V4" s="282">
        <f t="shared" ca="1" si="2"/>
        <v>90973051</v>
      </c>
      <c r="W4" s="282">
        <f ca="1">N3-'CDM Adjustment'!N7</f>
        <v>91218659.053820208</v>
      </c>
      <c r="X4" s="285">
        <f t="shared" ref="X4:X9" ca="1" si="3">H13</f>
        <v>92256254.464997321</v>
      </c>
    </row>
    <row r="5" spans="2:25">
      <c r="B5" s="60" t="s">
        <v>20</v>
      </c>
      <c r="C5" s="40">
        <f ca="1">OFFSET('Normalized Annual Summary'!$W$5,COLUMN(C5)-COLUMN($C5),0)</f>
        <v>75048053</v>
      </c>
      <c r="D5" s="40">
        <f ca="1">OFFSET('Normalized Annual Summary'!$W$5,COLUMN(D5)-COLUMN($C5),0)</f>
        <v>70829349</v>
      </c>
      <c r="E5" s="40">
        <f ca="1">OFFSET('Normalized Annual Summary'!$W$5,COLUMN(E5)-COLUMN($C5),0)</f>
        <v>71502339</v>
      </c>
      <c r="F5" s="40">
        <f ca="1">OFFSET('Normalized Annual Summary'!$W$5,COLUMN(F5)-COLUMN($C5),0)</f>
        <v>73532152</v>
      </c>
      <c r="G5" s="40">
        <f ca="1">OFFSET('Normalized Annual Summary'!$W$5,COLUMN(G5)-COLUMN($C5),0)</f>
        <v>65161090</v>
      </c>
      <c r="H5" s="40">
        <f ca="1">OFFSET('Normalized Annual Summary'!$W$5,COLUMN(H5)-COLUMN($C5),0)</f>
        <v>67961293.822997034</v>
      </c>
      <c r="I5" s="40">
        <f ca="1">OFFSET('Normalized Annual Summary'!$W$5,COLUMN(I5)-COLUMN($C5),0)</f>
        <v>68211369.280000001</v>
      </c>
      <c r="J5" s="40">
        <f ca="1">OFFSET('Normalized Annual Summary'!$W$5,COLUMN(J5)-COLUMN($C5),0)</f>
        <v>64679344</v>
      </c>
      <c r="K5" s="40">
        <f ca="1">OFFSET('Normalized Annual Summary'!$W$5,COLUMN(K5)-COLUMN($C5),0)</f>
        <v>64215692</v>
      </c>
      <c r="L5" s="40">
        <f ca="1">OFFSET('Normalized Annual Summary'!$W$5,COLUMN(L5)-COLUMN($C5),0)</f>
        <v>72102178</v>
      </c>
      <c r="M5" s="40">
        <f ca="1">OFFSET('Normalized Annual Summary'!$AD$14,COLUMN(M5)-COLUMN($M5),0)</f>
        <v>71912498.571687207</v>
      </c>
      <c r="N5" s="40">
        <f ca="1">OFFSET('Normalized Annual Summary'!$AD$14,COLUMN(N5)-COLUMN($M5),0)</f>
        <v>65642348.581128612</v>
      </c>
      <c r="O5" s="59">
        <f ca="1">OFFSET('Normalized Annual Summary'!$AD$14,COLUMN(O5)-COLUMN($M5),0)</f>
        <v>65700091.783353448</v>
      </c>
      <c r="Q5" s="284" t="str">
        <f t="shared" si="0"/>
        <v>GS &lt; 50</v>
      </c>
      <c r="R5" s="282">
        <f t="shared" ca="1" si="1"/>
        <v>27003038.649999999</v>
      </c>
      <c r="S5" s="282">
        <f t="shared" ca="1" si="1"/>
        <v>28785066</v>
      </c>
      <c r="T5" s="282">
        <f t="shared" ca="1" si="2"/>
        <v>29063129</v>
      </c>
      <c r="U5" s="282">
        <f t="shared" ca="1" si="2"/>
        <v>29356697</v>
      </c>
      <c r="V5" s="282">
        <f t="shared" ca="1" si="2"/>
        <v>30749969</v>
      </c>
      <c r="W5" s="282">
        <f ca="1">N4-'CDM Adjustment'!N8</f>
        <v>30138183.335336193</v>
      </c>
      <c r="X5" s="285">
        <f t="shared" ca="1" si="3"/>
        <v>30112270.08050023</v>
      </c>
    </row>
    <row r="6" spans="2:25">
      <c r="B6" s="60" t="s">
        <v>21</v>
      </c>
      <c r="C6" s="40">
        <f ca="1">OFFSET('Normalized Annual Summary'!$AG$5,COLUMN(C6)-COLUMN($C6),0)</f>
        <v>1307703</v>
      </c>
      <c r="D6" s="40">
        <f ca="1">OFFSET('Normalized Annual Summary'!$AG$5,COLUMN(D6)-COLUMN($C6),0)</f>
        <v>1297582</v>
      </c>
      <c r="E6" s="40">
        <f ca="1">OFFSET('Normalized Annual Summary'!$AG$5,COLUMN(E6)-COLUMN($C6),0)</f>
        <v>1110658</v>
      </c>
      <c r="F6" s="40">
        <f ca="1">OFFSET('Normalized Annual Summary'!$AG$5,COLUMN(F6)-COLUMN($C6),0)</f>
        <v>1053969</v>
      </c>
      <c r="G6" s="40">
        <f ca="1">OFFSET('Normalized Annual Summary'!$AG$5,COLUMN(G6)-COLUMN($C6),0)</f>
        <v>1015667</v>
      </c>
      <c r="H6" s="40">
        <f ca="1">OFFSET('Normalized Annual Summary'!$AG$5,COLUMN(H6)-COLUMN($C6),0)</f>
        <v>1011635.55</v>
      </c>
      <c r="I6" s="40">
        <f ca="1">OFFSET('Normalized Annual Summary'!$AG$5,COLUMN(I6)-COLUMN($C6),0)</f>
        <v>1002092</v>
      </c>
      <c r="J6" s="40">
        <f ca="1">OFFSET('Normalized Annual Summary'!$AG$5,COLUMN(J6)-COLUMN($C6),0)</f>
        <v>998543</v>
      </c>
      <c r="K6" s="40">
        <f ca="1">OFFSET('Normalized Annual Summary'!$AG$5,COLUMN(K6)-COLUMN($C6),0)</f>
        <v>996845</v>
      </c>
      <c r="L6" s="40">
        <f ca="1">OFFSET('Normalized Annual Summary'!$AG$5,COLUMN(L6)-COLUMN($C6),0)</f>
        <v>1016652</v>
      </c>
      <c r="M6" s="40">
        <f ca="1">OFFSET('Normalized Annual Summary'!$AJ$14,COLUMN(M6)-COLUMN($M6),0)</f>
        <v>1016652</v>
      </c>
      <c r="N6" s="40">
        <f ca="1">OFFSET('Normalized Annual Summary'!$AJ$14,COLUMN(N6)-COLUMN($M6),0)</f>
        <v>1012496.4456910954</v>
      </c>
      <c r="O6" s="59">
        <f ca="1">OFFSET('Normalized Annual Summary'!$AJ$14,COLUMN(O6)-COLUMN($M6),0)</f>
        <v>1016551.0227896626</v>
      </c>
      <c r="Q6" s="284" t="str">
        <f t="shared" si="0"/>
        <v>GS &gt; 50</v>
      </c>
      <c r="R6" s="282">
        <f t="shared" ca="1" si="1"/>
        <v>67961293.822997034</v>
      </c>
      <c r="S6" s="282">
        <f t="shared" ca="1" si="1"/>
        <v>68211369.280000001</v>
      </c>
      <c r="T6" s="282">
        <f t="shared" ca="1" si="2"/>
        <v>64679344</v>
      </c>
      <c r="U6" s="282">
        <f t="shared" ca="1" si="2"/>
        <v>64215692</v>
      </c>
      <c r="V6" s="282">
        <f t="shared" ca="1" si="2"/>
        <v>72102178</v>
      </c>
      <c r="W6" s="282">
        <f ca="1">N5-'CDM Adjustment'!N9</f>
        <v>65316237.074867412</v>
      </c>
      <c r="X6" s="285">
        <f t="shared" ca="1" si="3"/>
        <v>64921164.300896965</v>
      </c>
      <c r="Y6" s="40"/>
    </row>
    <row r="7" spans="2:25">
      <c r="B7" s="60" t="s">
        <v>22</v>
      </c>
      <c r="C7" s="40">
        <f ca="1">OFFSET('Normalized Annual Summary'!$AN$5,COLUMN(C7)-COLUMN($C7),0)</f>
        <v>217806</v>
      </c>
      <c r="D7" s="40">
        <f ca="1">OFFSET('Normalized Annual Summary'!$AN$5,COLUMN(D7)-COLUMN($C7),0)</f>
        <v>203681</v>
      </c>
      <c r="E7" s="40">
        <f ca="1">OFFSET('Normalized Annual Summary'!$AN$5,COLUMN(E7)-COLUMN($C7),0)</f>
        <v>203849</v>
      </c>
      <c r="F7" s="40">
        <f ca="1">OFFSET('Normalized Annual Summary'!$AN$5,COLUMN(F7)-COLUMN($C7),0)</f>
        <v>211785</v>
      </c>
      <c r="G7" s="40">
        <f ca="1">OFFSET('Normalized Annual Summary'!$AN$5,COLUMN(G7)-COLUMN($C7),0)</f>
        <v>199124</v>
      </c>
      <c r="H7" s="40">
        <f ca="1">OFFSET('Normalized Annual Summary'!$AN$5,COLUMN(H7)-COLUMN($C7),0)</f>
        <v>189809.41692454813</v>
      </c>
      <c r="I7" s="40">
        <f ca="1">OFFSET('Normalized Annual Summary'!$AN$5,COLUMN(I7)-COLUMN($C7),0)</f>
        <v>190718</v>
      </c>
      <c r="J7" s="40">
        <f ca="1">OFFSET('Normalized Annual Summary'!$AN$5,COLUMN(J7)-COLUMN($C7),0)</f>
        <v>175555</v>
      </c>
      <c r="K7" s="40">
        <f ca="1">OFFSET('Normalized Annual Summary'!$AN$5,COLUMN(K7)-COLUMN($C7),0)</f>
        <v>164745</v>
      </c>
      <c r="L7" s="40">
        <f ca="1">OFFSET('Normalized Annual Summary'!$AN$5,COLUMN(L7)-COLUMN($C7),0)</f>
        <v>162265</v>
      </c>
      <c r="M7" s="40">
        <f ca="1">OFFSET('Normalized Annual Summary'!$AQ$14,COLUMN(M7)-COLUMN($M7),0)</f>
        <v>162265</v>
      </c>
      <c r="N7" s="40">
        <f ca="1">OFFSET('Normalized Annual Summary'!$AQ$14,COLUMN(N7)-COLUMN($M7),0)</f>
        <v>157402.60281308927</v>
      </c>
      <c r="O7" s="59">
        <f ca="1">OFFSET('Normalized Annual Summary'!$AQ$14,COLUMN(O7)-COLUMN($M7),0)</f>
        <v>149812.20333023078</v>
      </c>
      <c r="Q7" s="284" t="str">
        <f t="shared" si="0"/>
        <v>Street Light</v>
      </c>
      <c r="R7" s="282">
        <f t="shared" ca="1" si="1"/>
        <v>1011635.55</v>
      </c>
      <c r="S7" s="282">
        <f ca="1">I6</f>
        <v>1002092</v>
      </c>
      <c r="T7" s="282">
        <f t="shared" ca="1" si="2"/>
        <v>998543</v>
      </c>
      <c r="U7" s="282">
        <f t="shared" ca="1" si="2"/>
        <v>996845</v>
      </c>
      <c r="V7" s="282">
        <f t="shared" ca="1" si="2"/>
        <v>1016652</v>
      </c>
      <c r="W7" s="282">
        <f ca="1">N6-'CDM Adjustment'!N10</f>
        <v>1012496.4456910954</v>
      </c>
      <c r="X7" s="285">
        <f t="shared" ca="1" si="3"/>
        <v>1016551.0227896626</v>
      </c>
      <c r="Y7" s="40"/>
    </row>
    <row r="8" spans="2:25">
      <c r="B8" s="60" t="s">
        <v>23</v>
      </c>
      <c r="C8" s="40">
        <f ca="1">OFFSET('Normalized Annual Summary'!$AV$5,COLUMN(C8)-COLUMN($C8),0)</f>
        <v>594265</v>
      </c>
      <c r="D8" s="40">
        <f ca="1">OFFSET('Normalized Annual Summary'!$AV$5,COLUMN(D8)-COLUMN($C8),0)</f>
        <v>606897.73</v>
      </c>
      <c r="E8" s="40">
        <f ca="1">OFFSET('Normalized Annual Summary'!$AV$5,COLUMN(E8)-COLUMN($C8),0)</f>
        <v>605298.17000000004</v>
      </c>
      <c r="F8" s="40">
        <f ca="1">OFFSET('Normalized Annual Summary'!$AV$5,COLUMN(F8)-COLUMN($C8),0)</f>
        <v>613238</v>
      </c>
      <c r="G8" s="40">
        <f ca="1">OFFSET('Normalized Annual Summary'!$AV$5,COLUMN(G8)-COLUMN($C8),0)</f>
        <v>602100</v>
      </c>
      <c r="H8" s="40">
        <f ca="1">OFFSET('Normalized Annual Summary'!$AV$5,COLUMN(H8)-COLUMN($C8),0)</f>
        <v>613643.61</v>
      </c>
      <c r="I8" s="40">
        <f ca="1">OFFSET('Normalized Annual Summary'!$AV$5,COLUMN(I8)-COLUMN($C8),0)</f>
        <v>588782</v>
      </c>
      <c r="J8" s="40">
        <f ca="1">OFFSET('Normalized Annual Summary'!$AV$5,COLUMN(J8)-COLUMN($C8),0)</f>
        <v>589689</v>
      </c>
      <c r="K8" s="40">
        <f ca="1">OFFSET('Normalized Annual Summary'!$AV$5,COLUMN(K8)-COLUMN($C8),0)</f>
        <v>591629</v>
      </c>
      <c r="L8" s="40">
        <f ca="1">OFFSET('Normalized Annual Summary'!$AV$5,COLUMN(L8)-COLUMN($C8),0)</f>
        <v>587172</v>
      </c>
      <c r="M8" s="40">
        <f ca="1">OFFSET('Normalized Annual Summary'!$AY$14,COLUMN(M8)-COLUMN($M8),0)</f>
        <v>587172</v>
      </c>
      <c r="N8" s="40">
        <f ca="1">OFFSET('Normalized Annual Summary'!$AY$14,COLUMN(N8)-COLUMN($M8),0)</f>
        <v>598467.08981554129</v>
      </c>
      <c r="O8" s="59">
        <f ca="1">OFFSET('Normalized Annual Summary'!$AY$14,COLUMN(O8)-COLUMN($M8),0)</f>
        <v>598467.08981554129</v>
      </c>
      <c r="Q8" s="284" t="str">
        <f t="shared" si="0"/>
        <v>Sentinel Light</v>
      </c>
      <c r="R8" s="282">
        <f t="shared" ca="1" si="1"/>
        <v>189809.41692454813</v>
      </c>
      <c r="S8" s="282">
        <f t="shared" ca="1" si="1"/>
        <v>190718</v>
      </c>
      <c r="T8" s="282">
        <f t="shared" ca="1" si="2"/>
        <v>175555</v>
      </c>
      <c r="U8" s="282">
        <f t="shared" ca="1" si="2"/>
        <v>164745</v>
      </c>
      <c r="V8" s="282">
        <f t="shared" ca="1" si="2"/>
        <v>162265</v>
      </c>
      <c r="W8" s="282">
        <f ca="1">N7</f>
        <v>157402.60281308927</v>
      </c>
      <c r="X8" s="285">
        <f t="shared" ca="1" si="3"/>
        <v>149812.20333023078</v>
      </c>
    </row>
    <row r="9" spans="2:25" ht="13.9" thickBot="1">
      <c r="B9" s="233" t="s">
        <v>4</v>
      </c>
      <c r="C9" s="234">
        <f ca="1">SUM(C3:C8)</f>
        <v>183317003</v>
      </c>
      <c r="D9" s="234">
        <f t="shared" ref="D9:L9" ca="1" si="4">SUM(D3:D8)</f>
        <v>177929560.74999997</v>
      </c>
      <c r="E9" s="234">
        <f t="shared" ca="1" si="4"/>
        <v>185198705.16999999</v>
      </c>
      <c r="F9" s="234">
        <f t="shared" ca="1" si="4"/>
        <v>192111255</v>
      </c>
      <c r="G9" s="234">
        <f t="shared" ca="1" si="4"/>
        <v>178353238</v>
      </c>
      <c r="H9" s="234">
        <f t="shared" ca="1" si="4"/>
        <v>182112495.68992159</v>
      </c>
      <c r="I9" s="234">
        <f t="shared" ca="1" si="4"/>
        <v>184890066.28</v>
      </c>
      <c r="J9" s="234">
        <f t="shared" ca="1" si="4"/>
        <v>180529177</v>
      </c>
      <c r="K9" s="234">
        <f t="shared" ca="1" si="4"/>
        <v>182078136</v>
      </c>
      <c r="L9" s="234">
        <f t="shared" ca="1" si="4"/>
        <v>195591287</v>
      </c>
      <c r="M9" s="234">
        <f ca="1">SUM(M3:M8)</f>
        <v>193001865.29610354</v>
      </c>
      <c r="N9" s="234">
        <f ca="1">SUM(N3:N8)</f>
        <v>189296039.98947239</v>
      </c>
      <c r="O9" s="235">
        <f ca="1">SUM(O3:O8)</f>
        <v>191731470.38200894</v>
      </c>
      <c r="Q9" s="284" t="str">
        <f t="shared" si="0"/>
        <v>USL</v>
      </c>
      <c r="R9" s="282">
        <f t="shared" ca="1" si="1"/>
        <v>613643.61</v>
      </c>
      <c r="S9" s="282">
        <f t="shared" ca="1" si="1"/>
        <v>588782</v>
      </c>
      <c r="T9" s="282">
        <f t="shared" ca="1" si="2"/>
        <v>589689</v>
      </c>
      <c r="U9" s="282">
        <f t="shared" ca="1" si="2"/>
        <v>591629</v>
      </c>
      <c r="V9" s="282">
        <f t="shared" ca="1" si="2"/>
        <v>587172</v>
      </c>
      <c r="W9" s="282">
        <f ca="1">N8-'CDM Adjustment'!N11</f>
        <v>598467.08981554129</v>
      </c>
      <c r="X9" s="285">
        <f t="shared" ca="1" si="3"/>
        <v>598467.08981554129</v>
      </c>
    </row>
    <row r="10" spans="2:25" ht="13.9" thickBot="1">
      <c r="Q10" s="289" t="s">
        <v>4</v>
      </c>
      <c r="R10" s="290">
        <f t="shared" ref="R10:X10" ca="1" si="5">SUM(R4:R9)</f>
        <v>182112495.68992159</v>
      </c>
      <c r="S10" s="290">
        <f t="shared" ca="1" si="5"/>
        <v>184890066.28</v>
      </c>
      <c r="T10" s="290">
        <f t="shared" ca="1" si="5"/>
        <v>180529177</v>
      </c>
      <c r="U10" s="290">
        <f t="shared" ca="1" si="5"/>
        <v>182078136</v>
      </c>
      <c r="V10" s="290">
        <f t="shared" ca="1" si="5"/>
        <v>195591287</v>
      </c>
      <c r="W10" s="290">
        <f t="shared" ca="1" si="5"/>
        <v>188441445.60234356</v>
      </c>
      <c r="X10" s="291">
        <f t="shared" ca="1" si="5"/>
        <v>189054519.16232991</v>
      </c>
    </row>
    <row r="11" spans="2:25" ht="16.149999999999999" thickBot="1">
      <c r="B11" s="57" t="s">
        <v>519</v>
      </c>
      <c r="C11" s="57"/>
      <c r="G11" s="40"/>
      <c r="H11" s="40"/>
      <c r="I11" s="40"/>
      <c r="J11" s="40"/>
      <c r="K11" s="40"/>
      <c r="L11" s="40"/>
      <c r="M11" s="40"/>
      <c r="Q11" s="569" t="s">
        <v>2</v>
      </c>
      <c r="R11" s="570"/>
      <c r="S11" s="570"/>
      <c r="T11" s="570"/>
      <c r="U11" s="570"/>
      <c r="V11" s="570"/>
      <c r="W11" s="571"/>
      <c r="X11" s="572"/>
    </row>
    <row r="12" spans="2:25" ht="55.15" customHeight="1">
      <c r="B12" s="230" t="s">
        <v>1</v>
      </c>
      <c r="C12" s="231" t="s">
        <v>520</v>
      </c>
      <c r="D12" s="231" t="s">
        <v>521</v>
      </c>
      <c r="E12" s="232" t="s">
        <v>522</v>
      </c>
      <c r="G12" s="240" t="s">
        <v>523</v>
      </c>
      <c r="H12" s="232" t="s">
        <v>524</v>
      </c>
      <c r="J12" s="240" t="s">
        <v>525</v>
      </c>
      <c r="K12" s="232" t="s">
        <v>526</v>
      </c>
      <c r="Q12" s="283" t="str">
        <f>Q6</f>
        <v>GS &gt; 50</v>
      </c>
      <c r="R12" s="292">
        <f t="shared" ref="R12:V14" ca="1" si="6">H23</f>
        <v>184340.4</v>
      </c>
      <c r="S12" s="292">
        <f t="shared" ca="1" si="6"/>
        <v>204528.16000000006</v>
      </c>
      <c r="T12" s="292">
        <f t="shared" ca="1" si="6"/>
        <v>205270.34</v>
      </c>
      <c r="U12" s="292">
        <f t="shared" ca="1" si="6"/>
        <v>189967.22000000003</v>
      </c>
      <c r="V12" s="292">
        <f t="shared" ca="1" si="6"/>
        <v>214176.6</v>
      </c>
      <c r="W12" s="292">
        <f ca="1">M23-'CDM Adjustment'!N20</f>
        <v>216038.36093905542</v>
      </c>
      <c r="X12" s="295">
        <f ca="1">E30</f>
        <v>196084.63819244891</v>
      </c>
      <c r="Y12" s="40"/>
    </row>
    <row r="13" spans="2:25">
      <c r="B13" s="58" t="str">
        <f t="shared" ref="B13:B18" si="7">B3</f>
        <v>Residential</v>
      </c>
      <c r="C13" s="40">
        <f t="shared" ref="C13:C18" ca="1" si="8">O3</f>
        <v>93232928.198050857</v>
      </c>
      <c r="D13" s="40">
        <f>'CDM Adjustment'!O7</f>
        <v>400787.83468170569</v>
      </c>
      <c r="E13" s="59">
        <f ca="1">C13-D13</f>
        <v>92832140.363369152</v>
      </c>
      <c r="F13" s="218"/>
      <c r="G13" s="219">
        <f ca="1">'Total Additional-Lost Loads'!E18</f>
        <v>575885.8983718378</v>
      </c>
      <c r="H13" s="59">
        <f t="shared" ref="H13:H18" ca="1" si="9">E13-G13</f>
        <v>92256254.464997321</v>
      </c>
      <c r="J13" s="226">
        <f t="shared" ref="J13:J18" ca="1" si="10">E13/L3-1</f>
        <v>2.0435605302158599E-2</v>
      </c>
      <c r="K13" s="227">
        <f t="shared" ref="K13:K18" ca="1" si="11">E13/M3-1</f>
        <v>3.9748571786891729E-2</v>
      </c>
      <c r="M13" s="522"/>
      <c r="Q13" s="284" t="str">
        <f>Q7</f>
        <v>Street Light</v>
      </c>
      <c r="R13" s="282">
        <f t="shared" ca="1" si="6"/>
        <v>2822.6999999999994</v>
      </c>
      <c r="S13" s="282">
        <f t="shared" ca="1" si="6"/>
        <v>2822.2</v>
      </c>
      <c r="T13" s="282">
        <f t="shared" ca="1" si="6"/>
        <v>2784.2999999999997</v>
      </c>
      <c r="U13" s="282">
        <f t="shared" ca="1" si="6"/>
        <v>2773.7</v>
      </c>
      <c r="V13" s="282">
        <f t="shared" ca="1" si="6"/>
        <v>2824</v>
      </c>
      <c r="W13" s="282">
        <f ca="1">M24</f>
        <v>2837.5019067104154</v>
      </c>
      <c r="X13" s="295">
        <f ca="1">E31</f>
        <v>2837.2200767166055</v>
      </c>
    </row>
    <row r="14" spans="2:25">
      <c r="B14" s="60" t="str">
        <f t="shared" si="7"/>
        <v>GS &lt; 50</v>
      </c>
      <c r="C14" s="40">
        <f t="shared" ca="1" si="8"/>
        <v>31033620.084669221</v>
      </c>
      <c r="D14" s="40">
        <f>'CDM Adjustment'!O8</f>
        <v>790199.88498740643</v>
      </c>
      <c r="E14" s="59">
        <f ca="1">C14-D14</f>
        <v>30243420.199681815</v>
      </c>
      <c r="G14" s="219">
        <f ca="1">'Total Additional-Lost Loads'!E19</f>
        <v>131150.11918158378</v>
      </c>
      <c r="H14" s="59">
        <f t="shared" ca="1" si="9"/>
        <v>30112270.08050023</v>
      </c>
      <c r="J14" s="226">
        <f t="shared" ca="1" si="10"/>
        <v>-1.6473148324740894E-2</v>
      </c>
      <c r="K14" s="227">
        <f t="shared" ca="1" si="11"/>
        <v>6.770995447983319E-3</v>
      </c>
      <c r="M14" s="522"/>
      <c r="Q14" s="284" t="str">
        <f>Q8</f>
        <v>Sentinel Light</v>
      </c>
      <c r="R14" s="282">
        <f t="shared" ca="1" si="6"/>
        <v>512</v>
      </c>
      <c r="S14" s="282">
        <f t="shared" ca="1" si="6"/>
        <v>528.29999999999995</v>
      </c>
      <c r="T14" s="282">
        <f t="shared" ca="1" si="6"/>
        <v>479</v>
      </c>
      <c r="U14" s="282">
        <f t="shared" ca="1" si="6"/>
        <v>480.5</v>
      </c>
      <c r="V14" s="282">
        <f t="shared" ca="1" si="6"/>
        <v>443.59999999999997</v>
      </c>
      <c r="W14" s="282">
        <f ca="1">M25</f>
        <v>449.3578357604689</v>
      </c>
      <c r="X14" s="295">
        <f ca="1">E32</f>
        <v>414.87250768175403</v>
      </c>
    </row>
    <row r="15" spans="2:25" ht="13.9" thickBot="1">
      <c r="B15" s="60" t="str">
        <f t="shared" si="7"/>
        <v>GS &gt; 50</v>
      </c>
      <c r="C15" s="40">
        <f t="shared" ca="1" si="8"/>
        <v>65700091.783353448</v>
      </c>
      <c r="D15" s="40">
        <f>'CDM Adjustment'!O9</f>
        <v>761532.96113880095</v>
      </c>
      <c r="E15" s="59">
        <f ca="1">C15-D15</f>
        <v>64938558.822214648</v>
      </c>
      <c r="G15" s="219">
        <f>'Total Additional-Lost Loads'!E20</f>
        <v>17394.521317681541</v>
      </c>
      <c r="H15" s="59">
        <f t="shared" ca="1" si="9"/>
        <v>64921164.300896965</v>
      </c>
      <c r="J15" s="226">
        <f t="shared" ca="1" si="10"/>
        <v>-9.9353714083163402E-2</v>
      </c>
      <c r="K15" s="227">
        <f t="shared" ca="1" si="11"/>
        <v>-9.6978131590302996E-2</v>
      </c>
      <c r="M15" s="522"/>
      <c r="Q15" s="289" t="s">
        <v>4</v>
      </c>
      <c r="R15" s="290">
        <f t="shared" ref="R15:X15" ca="1" si="12">SUM(R12:R14)</f>
        <v>187675.1</v>
      </c>
      <c r="S15" s="290">
        <f t="shared" ca="1" si="12"/>
        <v>207878.66000000006</v>
      </c>
      <c r="T15" s="290">
        <f t="shared" ca="1" si="12"/>
        <v>208533.63999999998</v>
      </c>
      <c r="U15" s="290">
        <f t="shared" ca="1" si="12"/>
        <v>193221.42000000004</v>
      </c>
      <c r="V15" s="290">
        <f t="shared" ca="1" si="12"/>
        <v>217444.2</v>
      </c>
      <c r="W15" s="290">
        <f t="shared" ca="1" si="12"/>
        <v>219325.22068152629</v>
      </c>
      <c r="X15" s="291">
        <f t="shared" ca="1" si="12"/>
        <v>199336.73077684725</v>
      </c>
    </row>
    <row r="16" spans="2:25" ht="13.9" thickBot="1">
      <c r="B16" s="60" t="str">
        <f t="shared" si="7"/>
        <v>Street Light</v>
      </c>
      <c r="C16" s="40">
        <f t="shared" ca="1" si="8"/>
        <v>1016551.0227896626</v>
      </c>
      <c r="D16" s="40"/>
      <c r="E16" s="59">
        <f ca="1">C16</f>
        <v>1016551.0227896626</v>
      </c>
      <c r="G16" s="219"/>
      <c r="H16" s="59">
        <f t="shared" ca="1" si="9"/>
        <v>1016551.0227896626</v>
      </c>
      <c r="J16" s="226">
        <f t="shared" ca="1" si="10"/>
        <v>-9.9323279093899153E-5</v>
      </c>
      <c r="K16" s="227">
        <f t="shared" ca="1" si="11"/>
        <v>-9.9323279093899153E-5</v>
      </c>
      <c r="Q16" s="573" t="s">
        <v>527</v>
      </c>
      <c r="R16" s="574"/>
      <c r="S16" s="574"/>
      <c r="T16" s="574"/>
      <c r="U16" s="574"/>
      <c r="V16" s="574"/>
      <c r="W16" s="575"/>
      <c r="X16" s="576"/>
    </row>
    <row r="17" spans="2:24">
      <c r="B17" s="60" t="str">
        <f t="shared" si="7"/>
        <v>Sentinel Light</v>
      </c>
      <c r="C17" s="40">
        <f t="shared" ca="1" si="8"/>
        <v>149812.20333023078</v>
      </c>
      <c r="D17" s="40"/>
      <c r="E17" s="59">
        <f ca="1">C17</f>
        <v>149812.20333023078</v>
      </c>
      <c r="G17" s="219"/>
      <c r="H17" s="59">
        <f t="shared" ca="1" si="9"/>
        <v>149812.20333023078</v>
      </c>
      <c r="J17" s="226">
        <f t="shared" ca="1" si="10"/>
        <v>-7.6743577911251415E-2</v>
      </c>
      <c r="K17" s="227">
        <f t="shared" ca="1" si="11"/>
        <v>-7.6743577911251415E-2</v>
      </c>
      <c r="Q17" s="293" t="str">
        <f t="shared" ref="Q17:Q23" si="13">Q4</f>
        <v>Residential</v>
      </c>
      <c r="R17" s="294">
        <f t="shared" ref="R17:S22" ca="1" si="14">H37</f>
        <v>10078.083333333334</v>
      </c>
      <c r="S17" s="294">
        <f t="shared" ca="1" si="14"/>
        <v>10168.75</v>
      </c>
      <c r="T17" s="294">
        <f t="shared" ref="T17:T23" ca="1" si="15">J37</f>
        <v>10282.666666666666</v>
      </c>
      <c r="U17" s="294">
        <f t="shared" ref="U17:X22" ca="1" si="16">K37</f>
        <v>10350.916666666666</v>
      </c>
      <c r="V17" s="294">
        <f t="shared" ca="1" si="16"/>
        <v>10391.75</v>
      </c>
      <c r="W17" s="294">
        <f t="shared" ca="1" si="16"/>
        <v>10495.129042232138</v>
      </c>
      <c r="X17" s="295">
        <f t="shared" ca="1" si="16"/>
        <v>10599.533931725675</v>
      </c>
    </row>
    <row r="18" spans="2:24">
      <c r="B18" s="60" t="str">
        <f t="shared" si="7"/>
        <v>USL</v>
      </c>
      <c r="C18" s="40">
        <f t="shared" ca="1" si="8"/>
        <v>598467.08981554129</v>
      </c>
      <c r="D18" s="40"/>
      <c r="E18" s="59">
        <f ca="1">C18-D18</f>
        <v>598467.08981554129</v>
      </c>
      <c r="G18" s="219"/>
      <c r="H18" s="59">
        <f t="shared" ca="1" si="9"/>
        <v>598467.08981554129</v>
      </c>
      <c r="J18" s="226">
        <f t="shared" ca="1" si="10"/>
        <v>1.9236424447250933E-2</v>
      </c>
      <c r="K18" s="227">
        <f t="shared" ca="1" si="11"/>
        <v>1.9236424447250933E-2</v>
      </c>
      <c r="Q18" s="284" t="str">
        <f t="shared" si="13"/>
        <v>GS &lt; 50</v>
      </c>
      <c r="R18" s="294">
        <f t="shared" ca="1" si="14"/>
        <v>1278.4166666666667</v>
      </c>
      <c r="S18" s="294">
        <f t="shared" ca="1" si="14"/>
        <v>1277.75</v>
      </c>
      <c r="T18" s="294">
        <f t="shared" ca="1" si="15"/>
        <v>1269.5833333333333</v>
      </c>
      <c r="U18" s="294">
        <f t="shared" ca="1" si="16"/>
        <v>1276.4166666666667</v>
      </c>
      <c r="V18" s="294">
        <f t="shared" ca="1" si="16"/>
        <v>1271.75</v>
      </c>
      <c r="W18" s="294">
        <f t="shared" ca="1" si="16"/>
        <v>1269.4661548068505</v>
      </c>
      <c r="X18" s="295">
        <f t="shared" ca="1" si="16"/>
        <v>1267.18536428947</v>
      </c>
    </row>
    <row r="19" spans="2:24" ht="13.9" thickBot="1">
      <c r="B19" s="233" t="s">
        <v>4</v>
      </c>
      <c r="C19" s="234">
        <f ca="1">SUM(C13:C18)</f>
        <v>191731470.38200894</v>
      </c>
      <c r="D19" s="234">
        <f>SUM(D13:D18)</f>
        <v>1952520.680807913</v>
      </c>
      <c r="E19" s="235">
        <f ca="1">SUM(E13:E18)</f>
        <v>189778949.70120102</v>
      </c>
      <c r="F19" s="228"/>
      <c r="G19" s="241">
        <f ca="1">SUM(G13:G18)</f>
        <v>724430.53887110308</v>
      </c>
      <c r="H19" s="235">
        <f ca="1">SUM(H13:H18)</f>
        <v>189054519.16232991</v>
      </c>
      <c r="I19" s="228"/>
      <c r="J19" s="242">
        <f ca="1">E19/M9-1</f>
        <v>-1.6698883142698739E-2</v>
      </c>
      <c r="K19" s="243">
        <f ca="1">E19/N9-1</f>
        <v>2.5510819547809316E-3</v>
      </c>
      <c r="Q19" s="284" t="str">
        <f t="shared" si="13"/>
        <v>GS &gt; 50</v>
      </c>
      <c r="R19" s="294">
        <f t="shared" ca="1" si="14"/>
        <v>144.58333333333334</v>
      </c>
      <c r="S19" s="294">
        <f t="shared" ca="1" si="14"/>
        <v>141.91666666666666</v>
      </c>
      <c r="T19" s="294">
        <f t="shared" ca="1" si="15"/>
        <v>139.33333333333334</v>
      </c>
      <c r="U19" s="294">
        <f t="shared" ca="1" si="16"/>
        <v>138.66666666666666</v>
      </c>
      <c r="V19" s="294">
        <f t="shared" ca="1" si="16"/>
        <v>135.75</v>
      </c>
      <c r="W19" s="294">
        <f t="shared" ca="1" si="16"/>
        <v>134.27880455069922</v>
      </c>
      <c r="X19" s="295">
        <f t="shared" ca="1" si="16"/>
        <v>132.82234198416529</v>
      </c>
    </row>
    <row r="20" spans="2:24">
      <c r="G20" s="225"/>
      <c r="Q20" s="284" t="str">
        <f t="shared" si="13"/>
        <v>Street Light</v>
      </c>
      <c r="R20" s="294">
        <f t="shared" ca="1" si="14"/>
        <v>2920</v>
      </c>
      <c r="S20" s="294">
        <f t="shared" ca="1" si="14"/>
        <v>2920</v>
      </c>
      <c r="T20" s="294">
        <f t="shared" ca="1" si="15"/>
        <v>2903.6666666666665</v>
      </c>
      <c r="U20" s="294">
        <f t="shared" ca="1" si="16"/>
        <v>2907.1666666666665</v>
      </c>
      <c r="V20" s="294">
        <f t="shared" ca="1" si="16"/>
        <v>2924.8333333333335</v>
      </c>
      <c r="W20" s="294">
        <f t="shared" ca="1" si="16"/>
        <v>2936.5433529136408</v>
      </c>
      <c r="X20" s="295">
        <f t="shared" ca="1" si="16"/>
        <v>2948.3028425181169</v>
      </c>
    </row>
    <row r="21" spans="2:24" ht="16.149999999999999" thickBot="1">
      <c r="B21" s="57" t="s">
        <v>398</v>
      </c>
      <c r="C21" s="57"/>
      <c r="Q21" s="284" t="str">
        <f t="shared" si="13"/>
        <v>Sentinel Light</v>
      </c>
      <c r="R21" s="294">
        <f t="shared" ca="1" si="14"/>
        <v>171</v>
      </c>
      <c r="S21" s="294">
        <f t="shared" ca="1" si="14"/>
        <v>177</v>
      </c>
      <c r="T21" s="294">
        <f t="shared" ca="1" si="15"/>
        <v>173.91666666666666</v>
      </c>
      <c r="U21" s="294">
        <f t="shared" ca="1" si="16"/>
        <v>172.83333333333334</v>
      </c>
      <c r="V21" s="294">
        <f t="shared" ca="1" si="16"/>
        <v>177</v>
      </c>
      <c r="W21" s="294">
        <f t="shared" ca="1" si="16"/>
        <v>176.4263804778202</v>
      </c>
      <c r="X21" s="295">
        <f t="shared" ca="1" si="16"/>
        <v>175.85432333854411</v>
      </c>
    </row>
    <row r="22" spans="2:24">
      <c r="B22" s="236" t="s">
        <v>2</v>
      </c>
      <c r="C22" s="237" t="s">
        <v>6</v>
      </c>
      <c r="D22" s="237" t="s">
        <v>7</v>
      </c>
      <c r="E22" s="237" t="s">
        <v>8</v>
      </c>
      <c r="F22" s="237" t="s">
        <v>9</v>
      </c>
      <c r="G22" s="237" t="s">
        <v>10</v>
      </c>
      <c r="H22" s="237" t="s">
        <v>11</v>
      </c>
      <c r="I22" s="237" t="s">
        <v>12</v>
      </c>
      <c r="J22" s="237" t="s">
        <v>13</v>
      </c>
      <c r="K22" s="237" t="s">
        <v>14</v>
      </c>
      <c r="L22" s="237" t="s">
        <v>15</v>
      </c>
      <c r="M22" s="237" t="s">
        <v>518</v>
      </c>
      <c r="N22" s="237" t="s">
        <v>16</v>
      </c>
      <c r="O22" s="239" t="s">
        <v>17</v>
      </c>
      <c r="Q22" s="284" t="str">
        <f t="shared" si="13"/>
        <v>USL</v>
      </c>
      <c r="R22" s="294">
        <f t="shared" ca="1" si="14"/>
        <v>19</v>
      </c>
      <c r="S22" s="294">
        <f t="shared" ca="1" si="14"/>
        <v>19</v>
      </c>
      <c r="T22" s="294">
        <f t="shared" ca="1" si="15"/>
        <v>18.916666666666668</v>
      </c>
      <c r="U22" s="294">
        <f t="shared" ca="1" si="16"/>
        <v>18.25</v>
      </c>
      <c r="V22" s="294">
        <f t="shared" ca="1" si="16"/>
        <v>19</v>
      </c>
      <c r="W22" s="294">
        <f t="shared" ca="1" si="16"/>
        <v>19</v>
      </c>
      <c r="X22" s="295">
        <f t="shared" ca="1" si="16"/>
        <v>19</v>
      </c>
    </row>
    <row r="23" spans="2:24" ht="13.9" thickBot="1">
      <c r="B23" s="60" t="s">
        <v>20</v>
      </c>
      <c r="C23" s="40">
        <f ca="1">OFFSET('kW Forecast'!$D$5,COLUMN()-COLUMN($C23),0)</f>
        <v>223174</v>
      </c>
      <c r="D23" s="40">
        <f ca="1">OFFSET('kW Forecast'!$D$5,COLUMN()-COLUMN($C23),0)</f>
        <v>218669</v>
      </c>
      <c r="E23" s="40">
        <f ca="1">OFFSET('kW Forecast'!$D$5,COLUMN()-COLUMN($C23),0)</f>
        <v>229114</v>
      </c>
      <c r="F23" s="40">
        <f ca="1">OFFSET('kW Forecast'!$D$5,COLUMN()-COLUMN($C23),0)</f>
        <v>230501</v>
      </c>
      <c r="G23" s="40">
        <f ca="1">OFFSET('kW Forecast'!$D$5,COLUMN()-COLUMN($C23),0)</f>
        <v>193232.87873661672</v>
      </c>
      <c r="H23" s="40">
        <f ca="1">OFFSET('kW Forecast'!$D$5,COLUMN()-COLUMN($C23),0)</f>
        <v>184340.4</v>
      </c>
      <c r="I23" s="40">
        <f ca="1">OFFSET('kW Forecast'!$D$5,COLUMN()-COLUMN($C23),0)</f>
        <v>204528.16000000006</v>
      </c>
      <c r="J23" s="40">
        <f ca="1">OFFSET('kW Forecast'!$D$5,COLUMN()-COLUMN($C23),0)</f>
        <v>205270.34</v>
      </c>
      <c r="K23" s="40">
        <f ca="1">OFFSET('kW Forecast'!$D$5,COLUMN()-COLUMN($C23),0)</f>
        <v>189967.22000000003</v>
      </c>
      <c r="L23" s="40">
        <f ca="1">OFFSET('kW Forecast'!$D$5,COLUMN()-COLUMN($C23),0)</f>
        <v>214176.6</v>
      </c>
      <c r="M23" s="40">
        <f ca="1">OFFSET('kW Forecast'!$H$18,COLUMN()-COLUMN($M23),0)</f>
        <v>217022.78055106304</v>
      </c>
      <c r="N23" s="40">
        <f ca="1">OFFSET('kW Forecast'!$H$18,COLUMN()-COLUMN($M23),0)</f>
        <v>198151.90228138195</v>
      </c>
      <c r="O23" s="59">
        <f ca="1">OFFSET('kW Forecast'!$H$18,COLUMN()-COLUMN($M23),0)</f>
        <v>198384.11816035735</v>
      </c>
      <c r="Q23" s="289" t="str">
        <f t="shared" si="13"/>
        <v>Total</v>
      </c>
      <c r="R23" s="290">
        <f ca="1">H43</f>
        <v>14611.083333333334</v>
      </c>
      <c r="S23" s="290">
        <f ca="1">I43</f>
        <v>14704.416666666666</v>
      </c>
      <c r="T23" s="290">
        <f t="shared" ca="1" si="15"/>
        <v>14788.083333333332</v>
      </c>
      <c r="U23" s="290">
        <f ca="1">K43</f>
        <v>14864.249999999998</v>
      </c>
      <c r="V23" s="290">
        <f ca="1">L43</f>
        <v>14920.083333333334</v>
      </c>
      <c r="W23" s="290">
        <f ca="1">M43</f>
        <v>15030.843734981148</v>
      </c>
      <c r="X23" s="291">
        <f ca="1">N43</f>
        <v>15142.69880385597</v>
      </c>
    </row>
    <row r="24" spans="2:24">
      <c r="B24" s="60" t="s">
        <v>21</v>
      </c>
      <c r="C24" s="40">
        <f ca="1">OFFSET('kW Forecast'!$L$5,COLUMN()-COLUMN($C24),0)</f>
        <v>3918</v>
      </c>
      <c r="D24" s="40">
        <f ca="1">OFFSET('kW Forecast'!$L$5,COLUMN()-COLUMN($C24),0)</f>
        <v>3609</v>
      </c>
      <c r="E24" s="40">
        <f ca="1">OFFSET('kW Forecast'!$L$5,COLUMN()-COLUMN($C24),0)</f>
        <v>3152</v>
      </c>
      <c r="F24" s="40">
        <f ca="1">OFFSET('kW Forecast'!$L$5,COLUMN()-COLUMN($C24),0)</f>
        <v>2923</v>
      </c>
      <c r="G24" s="40">
        <f ca="1">OFFSET('kW Forecast'!$L$5,COLUMN()-COLUMN($C24),0)</f>
        <v>2832</v>
      </c>
      <c r="H24" s="40">
        <f ca="1">OFFSET('kW Forecast'!$L$5,COLUMN()-COLUMN($C24),0)</f>
        <v>2822.6999999999994</v>
      </c>
      <c r="I24" s="40">
        <f ca="1">OFFSET('kW Forecast'!$L$5,COLUMN()-COLUMN($C24),0)</f>
        <v>2822.2</v>
      </c>
      <c r="J24" s="40">
        <f ca="1">OFFSET('kW Forecast'!$L$5,COLUMN()-COLUMN($C24),0)</f>
        <v>2784.2999999999997</v>
      </c>
      <c r="K24" s="40">
        <f ca="1">OFFSET('kW Forecast'!$L$5,COLUMN()-COLUMN($C24),0)</f>
        <v>2773.7</v>
      </c>
      <c r="L24" s="40">
        <f ca="1">OFFSET('kW Forecast'!$L$5,COLUMN()-COLUMN($C24),0)</f>
        <v>2824</v>
      </c>
      <c r="M24" s="40">
        <f ca="1">OFFSET('kW Forecast'!$L$18,COLUMN()-COLUMN($M24),0)</f>
        <v>2837.5019067104154</v>
      </c>
      <c r="N24" s="40">
        <f ca="1">OFFSET('kW Forecast'!$L$18,COLUMN()-COLUMN($M24),0)</f>
        <v>2825.9036476454103</v>
      </c>
      <c r="O24" s="59">
        <f ca="1">OFFSET('kW Forecast'!$L$18,COLUMN()-COLUMN($M24),0)</f>
        <v>2837.2200767166055</v>
      </c>
    </row>
    <row r="25" spans="2:24">
      <c r="B25" s="60" t="s">
        <v>22</v>
      </c>
      <c r="C25" s="40">
        <f ca="1">OFFSET('kW Forecast'!$T$5,COLUMN()-COLUMN($C25),0)</f>
        <v>629</v>
      </c>
      <c r="D25" s="40">
        <f ca="1">OFFSET('kW Forecast'!$T$5,COLUMN()-COLUMN($C25),0)</f>
        <v>546</v>
      </c>
      <c r="E25" s="40">
        <f ca="1">OFFSET('kW Forecast'!$T$5,COLUMN()-COLUMN($C25),0)</f>
        <v>529</v>
      </c>
      <c r="F25" s="40">
        <f ca="1">OFFSET('kW Forecast'!$T$5,COLUMN()-COLUMN($C25),0)</f>
        <v>517</v>
      </c>
      <c r="G25" s="40">
        <f ca="1">OFFSET('kW Forecast'!$T$5,COLUMN()-COLUMN($C25),0)</f>
        <v>516</v>
      </c>
      <c r="H25" s="40">
        <f ca="1">OFFSET('kW Forecast'!$T$5,COLUMN()-COLUMN($C25),0)</f>
        <v>512</v>
      </c>
      <c r="I25" s="40">
        <f ca="1">OFFSET('kW Forecast'!$T$5,COLUMN()-COLUMN($C25),0)</f>
        <v>528.29999999999995</v>
      </c>
      <c r="J25" s="40">
        <f ca="1">OFFSET('kW Forecast'!$T$5,COLUMN()-COLUMN($C25),0)</f>
        <v>479</v>
      </c>
      <c r="K25" s="40">
        <f ca="1">OFFSET('kW Forecast'!$T$5,COLUMN()-COLUMN($C25),0)</f>
        <v>480.5</v>
      </c>
      <c r="L25" s="40">
        <f ca="1">OFFSET('kW Forecast'!$T$5,COLUMN()-COLUMN($C25),0)</f>
        <v>443.59999999999997</v>
      </c>
      <c r="M25" s="40">
        <f ca="1">OFFSET('kW Forecast'!$T$18,COLUMN()-COLUMN($M25),0)</f>
        <v>449.3578357604689</v>
      </c>
      <c r="N25" s="40">
        <f ca="1">OFFSET('kW Forecast'!$T$18,COLUMN()-COLUMN($M25),0)</f>
        <v>435.8924780029858</v>
      </c>
      <c r="O25" s="59">
        <f ca="1">OFFSET('kW Forecast'!$T$18,COLUMN()-COLUMN($M25),0)</f>
        <v>414.87250768175403</v>
      </c>
    </row>
    <row r="26" spans="2:24" ht="13.9" thickBot="1">
      <c r="B26" s="233" t="s">
        <v>4</v>
      </c>
      <c r="C26" s="234">
        <f ca="1">SUM(C23:C25)</f>
        <v>227721</v>
      </c>
      <c r="D26" s="234">
        <f t="shared" ref="D26:O26" ca="1" si="17">SUM(D23:D25)</f>
        <v>222824</v>
      </c>
      <c r="E26" s="234">
        <f t="shared" ca="1" si="17"/>
        <v>232795</v>
      </c>
      <c r="F26" s="234">
        <f t="shared" ca="1" si="17"/>
        <v>233941</v>
      </c>
      <c r="G26" s="234">
        <f t="shared" ca="1" si="17"/>
        <v>196580.87873661672</v>
      </c>
      <c r="H26" s="234">
        <f t="shared" ca="1" si="17"/>
        <v>187675.1</v>
      </c>
      <c r="I26" s="234">
        <f t="shared" ca="1" si="17"/>
        <v>207878.66000000006</v>
      </c>
      <c r="J26" s="234">
        <f t="shared" ca="1" si="17"/>
        <v>208533.63999999998</v>
      </c>
      <c r="K26" s="234">
        <f t="shared" ca="1" si="17"/>
        <v>193221.42000000004</v>
      </c>
      <c r="L26" s="234">
        <f t="shared" ca="1" si="17"/>
        <v>217444.2</v>
      </c>
      <c r="M26" s="234">
        <f t="shared" ca="1" si="17"/>
        <v>220309.64029353391</v>
      </c>
      <c r="N26" s="234">
        <f t="shared" ca="1" si="17"/>
        <v>201413.69840703034</v>
      </c>
      <c r="O26" s="235">
        <f t="shared" ca="1" si="17"/>
        <v>201636.21074475569</v>
      </c>
    </row>
    <row r="28" spans="2:24" ht="16.149999999999999" thickBot="1">
      <c r="B28" s="57" t="s">
        <v>519</v>
      </c>
      <c r="C28" s="57"/>
    </row>
    <row r="29" spans="2:24" ht="39.6">
      <c r="B29" s="230" t="s">
        <v>2</v>
      </c>
      <c r="C29" s="231" t="s">
        <v>520</v>
      </c>
      <c r="D29" s="231" t="s">
        <v>521</v>
      </c>
      <c r="E29" s="232" t="s">
        <v>522</v>
      </c>
    </row>
    <row r="30" spans="2:24">
      <c r="B30" s="60" t="str">
        <f>B23</f>
        <v>GS &gt; 50</v>
      </c>
      <c r="C30" s="40">
        <f ca="1">O23</f>
        <v>198384.11816035735</v>
      </c>
      <c r="D30" s="40">
        <f ca="1">'CDM Adjustment'!O20</f>
        <v>2299.4799679084331</v>
      </c>
      <c r="E30" s="59">
        <f ca="1">C30-D30</f>
        <v>196084.63819244891</v>
      </c>
    </row>
    <row r="31" spans="2:24">
      <c r="B31" s="60" t="str">
        <f>B24</f>
        <v>Street Light</v>
      </c>
      <c r="C31" s="40">
        <f ca="1">O24</f>
        <v>2837.2200767166055</v>
      </c>
      <c r="D31" s="40"/>
      <c r="E31" s="59">
        <f ca="1">C31-D31</f>
        <v>2837.2200767166055</v>
      </c>
    </row>
    <row r="32" spans="2:24">
      <c r="B32" s="60" t="str">
        <f>B25</f>
        <v>Sentinel Light</v>
      </c>
      <c r="C32" s="40">
        <f ca="1">O25</f>
        <v>414.87250768175403</v>
      </c>
      <c r="D32" s="40"/>
      <c r="E32" s="59">
        <f ca="1">C32-D32</f>
        <v>414.87250768175403</v>
      </c>
    </row>
    <row r="33" spans="2:14" ht="13.9" thickBot="1">
      <c r="B33" s="233" t="s">
        <v>4</v>
      </c>
      <c r="C33" s="234">
        <f ca="1">SUM(C30:C32)</f>
        <v>201636.21074475569</v>
      </c>
      <c r="D33" s="234">
        <f ca="1">SUM(D30:D32)</f>
        <v>2299.4799679084331</v>
      </c>
      <c r="E33" s="235">
        <f ca="1">SUM(E30:E32)</f>
        <v>199336.73077684725</v>
      </c>
    </row>
    <row r="35" spans="2:14" ht="16.149999999999999" thickBot="1">
      <c r="B35" s="57" t="s">
        <v>3</v>
      </c>
      <c r="C35" s="57"/>
    </row>
    <row r="36" spans="2:14">
      <c r="B36" s="236" t="s">
        <v>25</v>
      </c>
      <c r="C36" s="237" t="s">
        <v>6</v>
      </c>
      <c r="D36" s="237" t="s">
        <v>7</v>
      </c>
      <c r="E36" s="237" t="s">
        <v>8</v>
      </c>
      <c r="F36" s="237" t="s">
        <v>9</v>
      </c>
      <c r="G36" s="237" t="s">
        <v>10</v>
      </c>
      <c r="H36" s="237" t="s">
        <v>11</v>
      </c>
      <c r="I36" s="237" t="s">
        <v>12</v>
      </c>
      <c r="J36" s="237" t="s">
        <v>13</v>
      </c>
      <c r="K36" s="237" t="s">
        <v>14</v>
      </c>
      <c r="L36" s="237" t="s">
        <v>15</v>
      </c>
      <c r="M36" s="237" t="s">
        <v>16</v>
      </c>
      <c r="N36" s="239" t="s">
        <v>17</v>
      </c>
    </row>
    <row r="37" spans="2:14">
      <c r="B37" s="58" t="str">
        <f t="shared" ref="B37:B42" si="18">B3</f>
        <v>Residential</v>
      </c>
      <c r="C37" s="40">
        <f ca="1">OFFSET('Customer Count'!$C$4,COLUMN()-COLUMN($C37),0)</f>
        <v>9506</v>
      </c>
      <c r="D37" s="40">
        <f ca="1">OFFSET('Customer Count'!$C$4,COLUMN()-COLUMN($C37),0)</f>
        <v>9600</v>
      </c>
      <c r="E37" s="40">
        <f ca="1">OFFSET('Customer Count'!$C$4,COLUMN()-COLUMN($C37),0)</f>
        <v>9740.8333333333339</v>
      </c>
      <c r="F37" s="40">
        <f ca="1">OFFSET('Customer Count'!$C$4,COLUMN()-COLUMN($C37),0)</f>
        <v>9857.25</v>
      </c>
      <c r="G37" s="40">
        <f ca="1">OFFSET('Customer Count'!$C$4,COLUMN()-COLUMN($C37),0)</f>
        <v>9959.0833333333339</v>
      </c>
      <c r="H37" s="40">
        <f ca="1">OFFSET('Customer Count'!$C$4,COLUMN()-COLUMN($C37),0)</f>
        <v>10078.083333333334</v>
      </c>
      <c r="I37" s="40">
        <f ca="1">OFFSET('Customer Count'!$C$4,COLUMN()-COLUMN($C37),0)</f>
        <v>10168.75</v>
      </c>
      <c r="J37" s="40">
        <f ca="1">OFFSET('Customer Count'!$C$4,COLUMN()-COLUMN($C37),0)</f>
        <v>10282.666666666666</v>
      </c>
      <c r="K37" s="40">
        <f ca="1">OFFSET('Customer Count'!$C$4,COLUMN()-COLUMN($C37),0)</f>
        <v>10350.916666666666</v>
      </c>
      <c r="L37" s="40">
        <f ca="1">OFFSET('Customer Count'!$C$4,COLUMN()-COLUMN($C37),0)</f>
        <v>10391.75</v>
      </c>
      <c r="M37" s="40">
        <f ca="1">OFFSET('Customer Count'!$C$18,COLUMN()-COLUMN($M37),0)</f>
        <v>10495.129042232138</v>
      </c>
      <c r="N37" s="59">
        <f ca="1">OFFSET('Customer Count'!$C$18,COLUMN()-COLUMN($M37),0)</f>
        <v>10599.533931725675</v>
      </c>
    </row>
    <row r="38" spans="2:14">
      <c r="B38" s="60" t="str">
        <f t="shared" si="18"/>
        <v>GS &lt; 50</v>
      </c>
      <c r="C38" s="40">
        <f ca="1">OFFSET('Customer Count'!$G$4,COLUMN()-COLUMN($C38),0)</f>
        <v>1292.5</v>
      </c>
      <c r="D38" s="40">
        <f ca="1">OFFSET('Customer Count'!$G$4,COLUMN()-COLUMN($C38),0)</f>
        <v>1282</v>
      </c>
      <c r="E38" s="40">
        <f ca="1">OFFSET('Customer Count'!$G$4,COLUMN()-COLUMN($C38),0)</f>
        <v>1287.4166666666667</v>
      </c>
      <c r="F38" s="40">
        <f ca="1">OFFSET('Customer Count'!$G$4,COLUMN()-COLUMN($C38),0)</f>
        <v>1285.75</v>
      </c>
      <c r="G38" s="40">
        <f ca="1">OFFSET('Customer Count'!$G$4,COLUMN()-COLUMN($C38),0)</f>
        <v>1276.9166666666667</v>
      </c>
      <c r="H38" s="40">
        <f ca="1">OFFSET('Customer Count'!$G$4,COLUMN()-COLUMN($C38),0)</f>
        <v>1278.4166666666667</v>
      </c>
      <c r="I38" s="40">
        <f ca="1">OFFSET('Customer Count'!$G$4,COLUMN()-COLUMN($C38),0)</f>
        <v>1277.75</v>
      </c>
      <c r="J38" s="40">
        <f ca="1">OFFSET('Customer Count'!$G$4,COLUMN()-COLUMN($C38),0)</f>
        <v>1269.5833333333333</v>
      </c>
      <c r="K38" s="40">
        <f ca="1">OFFSET('Customer Count'!$G$4,COLUMN()-COLUMN($C38),0)</f>
        <v>1276.4166666666667</v>
      </c>
      <c r="L38" s="40">
        <f ca="1">OFFSET('Customer Count'!$G$4,COLUMN()-COLUMN($C38),0)</f>
        <v>1271.75</v>
      </c>
      <c r="M38" s="40">
        <f ca="1">OFFSET('Customer Count'!$G$18,COLUMN()-COLUMN($M38),0)</f>
        <v>1269.4661548068505</v>
      </c>
      <c r="N38" s="59">
        <f ca="1">OFFSET('Customer Count'!$G$18,COLUMN()-COLUMN($M38),0)</f>
        <v>1267.18536428947</v>
      </c>
    </row>
    <row r="39" spans="2:14" ht="13.5" customHeight="1">
      <c r="B39" s="60" t="str">
        <f t="shared" si="18"/>
        <v>GS &gt; 50</v>
      </c>
      <c r="C39" s="40">
        <f ca="1">OFFSET('Customer Count'!$K$4,COLUMN()-COLUMN($C39),0)</f>
        <v>149.75</v>
      </c>
      <c r="D39" s="40">
        <f ca="1">OFFSET('Customer Count'!$K$4,COLUMN()-COLUMN($C39),0)</f>
        <v>151.25</v>
      </c>
      <c r="E39" s="40">
        <f ca="1">OFFSET('Customer Count'!$K$4,COLUMN()-COLUMN($C39),0)</f>
        <v>149.25</v>
      </c>
      <c r="F39" s="40">
        <f ca="1">OFFSET('Customer Count'!$K$4,COLUMN()-COLUMN($C39),0)</f>
        <v>149.33333333333334</v>
      </c>
      <c r="G39" s="40">
        <f ca="1">OFFSET('Customer Count'!$K$4,COLUMN()-COLUMN($C39),0)</f>
        <v>149.66666666666666</v>
      </c>
      <c r="H39" s="40">
        <f ca="1">OFFSET('Customer Count'!$K$4,COLUMN()-COLUMN($C39),0)</f>
        <v>144.58333333333334</v>
      </c>
      <c r="I39" s="40">
        <f ca="1">OFFSET('Customer Count'!$K$4,COLUMN()-COLUMN($C39),0)</f>
        <v>141.91666666666666</v>
      </c>
      <c r="J39" s="40">
        <f ca="1">OFFSET('Customer Count'!$K$4,COLUMN()-COLUMN($C39),0)</f>
        <v>139.33333333333334</v>
      </c>
      <c r="K39" s="40">
        <f ca="1">OFFSET('Customer Count'!$K$4,COLUMN()-COLUMN($C39),0)</f>
        <v>138.66666666666666</v>
      </c>
      <c r="L39" s="40">
        <f ca="1">OFFSET('Customer Count'!$K$4,COLUMN()-COLUMN($C39),0)</f>
        <v>135.75</v>
      </c>
      <c r="M39" s="40">
        <f ca="1">OFFSET('Customer Count'!$K$18,COLUMN()-COLUMN($M39),0)</f>
        <v>134.27880455069922</v>
      </c>
      <c r="N39" s="59">
        <f ca="1">OFFSET('Customer Count'!$K$18,COLUMN()-COLUMN($M39),0)</f>
        <v>132.82234198416529</v>
      </c>
    </row>
    <row r="40" spans="2:14">
      <c r="B40" s="60" t="str">
        <f t="shared" si="18"/>
        <v>Street Light</v>
      </c>
      <c r="C40" s="40">
        <f ca="1">OFFSET('Customer Count'!$O$4,COLUMN()-COLUMN($C40),0)</f>
        <v>2821.5</v>
      </c>
      <c r="D40" s="40">
        <f ca="1">OFFSET('Customer Count'!$O$4,COLUMN()-COLUMN($C40),0)</f>
        <v>2840</v>
      </c>
      <c r="E40" s="40">
        <f ca="1">OFFSET('Customer Count'!$O$4,COLUMN()-COLUMN($C40),0)</f>
        <v>2877.5</v>
      </c>
      <c r="F40" s="40">
        <f ca="1">OFFSET('Customer Count'!$O$4,COLUMN()-COLUMN($C40),0)</f>
        <v>2897</v>
      </c>
      <c r="G40" s="40">
        <f ca="1">OFFSET('Customer Count'!$O$4,COLUMN()-COLUMN($C40),0)</f>
        <v>2905</v>
      </c>
      <c r="H40" s="40">
        <f ca="1">OFFSET('Customer Count'!$O$4,COLUMN()-COLUMN($C40),0)</f>
        <v>2920</v>
      </c>
      <c r="I40" s="40">
        <f ca="1">OFFSET('Customer Count'!$O$4,COLUMN()-COLUMN($C40),0)</f>
        <v>2920</v>
      </c>
      <c r="J40" s="40">
        <f ca="1">OFFSET('Customer Count'!$O$4,COLUMN()-COLUMN($C40),0)</f>
        <v>2903.6666666666665</v>
      </c>
      <c r="K40" s="40">
        <f ca="1">OFFSET('Customer Count'!$O$4,COLUMN()-COLUMN($C40),0)</f>
        <v>2907.1666666666665</v>
      </c>
      <c r="L40" s="40">
        <f ca="1">OFFSET('Customer Count'!$O$4,COLUMN()-COLUMN($C40),0)</f>
        <v>2924.8333333333335</v>
      </c>
      <c r="M40" s="40">
        <f ca="1">OFFSET('Customer Count'!$O$18,COLUMN()-COLUMN($M40),0)</f>
        <v>2936.5433529136408</v>
      </c>
      <c r="N40" s="59">
        <f ca="1">OFFSET('Customer Count'!$O$18,COLUMN()-COLUMN($M40),0)</f>
        <v>2948.3028425181169</v>
      </c>
    </row>
    <row r="41" spans="2:14">
      <c r="B41" s="60" t="str">
        <f t="shared" si="18"/>
        <v>Sentinel Light</v>
      </c>
      <c r="C41" s="40">
        <f ca="1">OFFSET('Customer Count'!$S$4,COLUMN()-COLUMN($C41),0)</f>
        <v>182.25</v>
      </c>
      <c r="D41" s="40">
        <f ca="1">OFFSET('Customer Count'!$S$4,COLUMN()-COLUMN($C41),0)</f>
        <v>178</v>
      </c>
      <c r="E41" s="40">
        <f ca="1">OFFSET('Customer Count'!$S$4,COLUMN()-COLUMN($C41),0)</f>
        <v>178</v>
      </c>
      <c r="F41" s="40">
        <f ca="1">OFFSET('Customer Count'!$S$4,COLUMN()-COLUMN($C41),0)</f>
        <v>175</v>
      </c>
      <c r="G41" s="40">
        <f ca="1">OFFSET('Customer Count'!$S$4,COLUMN()-COLUMN($C41),0)</f>
        <v>171</v>
      </c>
      <c r="H41" s="40">
        <f ca="1">OFFSET('Customer Count'!$S$4,COLUMN()-COLUMN($C41),0)</f>
        <v>171</v>
      </c>
      <c r="I41" s="40">
        <f ca="1">OFFSET('Customer Count'!$S$4,COLUMN()-COLUMN($C41),0)</f>
        <v>177</v>
      </c>
      <c r="J41" s="40">
        <f ca="1">OFFSET('Customer Count'!$S$4,COLUMN()-COLUMN($C41),0)</f>
        <v>173.91666666666666</v>
      </c>
      <c r="K41" s="40">
        <f ca="1">OFFSET('Customer Count'!$S$4,COLUMN()-COLUMN($C41),0)</f>
        <v>172.83333333333334</v>
      </c>
      <c r="L41" s="40">
        <f ca="1">OFFSET('Customer Count'!$S$4,COLUMN()-COLUMN($C41),0)</f>
        <v>177</v>
      </c>
      <c r="M41" s="40">
        <f ca="1">OFFSET('Customer Count'!$S$18,COLUMN()-COLUMN($M41),0)</f>
        <v>176.4263804778202</v>
      </c>
      <c r="N41" s="59">
        <f ca="1">OFFSET('Customer Count'!$S$18,COLUMN()-COLUMN($M41),0)</f>
        <v>175.85432333854411</v>
      </c>
    </row>
    <row r="42" spans="2:14">
      <c r="B42" s="60" t="str">
        <f t="shared" si="18"/>
        <v>USL</v>
      </c>
      <c r="C42" s="40">
        <f ca="1">OFFSET('Customer Count'!$W$4,COLUMN()-COLUMN($C42),0)</f>
        <v>19</v>
      </c>
      <c r="D42" s="40">
        <f ca="1">OFFSET('Customer Count'!$W$4,COLUMN()-COLUMN($C42),0)</f>
        <v>19</v>
      </c>
      <c r="E42" s="40">
        <f ca="1">OFFSET('Customer Count'!$W$4,COLUMN()-COLUMN($C42),0)</f>
        <v>19</v>
      </c>
      <c r="F42" s="40">
        <f ca="1">OFFSET('Customer Count'!$W$4,COLUMN()-COLUMN($C42),0)</f>
        <v>19</v>
      </c>
      <c r="G42" s="40">
        <f ca="1">OFFSET('Customer Count'!$W$4,COLUMN()-COLUMN($C42),0)</f>
        <v>19</v>
      </c>
      <c r="H42" s="40">
        <f ca="1">OFFSET('Customer Count'!$W$4,COLUMN()-COLUMN($C42),0)</f>
        <v>19</v>
      </c>
      <c r="I42" s="40">
        <f ca="1">OFFSET('Customer Count'!$W$4,COLUMN()-COLUMN($C42),0)</f>
        <v>19</v>
      </c>
      <c r="J42" s="40">
        <f ca="1">OFFSET('Customer Count'!$W$4,COLUMN()-COLUMN($C42),0)</f>
        <v>18.916666666666668</v>
      </c>
      <c r="K42" s="40">
        <f ca="1">OFFSET('Customer Count'!$W$4,COLUMN()-COLUMN($C42),0)</f>
        <v>18.25</v>
      </c>
      <c r="L42" s="40">
        <f ca="1">OFFSET('Customer Count'!$W$4,COLUMN()-COLUMN($C42),0)</f>
        <v>19</v>
      </c>
      <c r="M42" s="40">
        <f ca="1">OFFSET('Customer Count'!$W$18,COLUMN()-COLUMN($M42),0)</f>
        <v>19</v>
      </c>
      <c r="N42" s="59">
        <f ca="1">OFFSET('Customer Count'!$W$18,COLUMN()-COLUMN($M42),0)</f>
        <v>19</v>
      </c>
    </row>
    <row r="43" spans="2:14" ht="13.9" thickBot="1">
      <c r="B43" s="233" t="s">
        <v>4</v>
      </c>
      <c r="C43" s="234">
        <f t="shared" ref="C43:N43" ca="1" si="19">SUM(C37:C42)</f>
        <v>13971</v>
      </c>
      <c r="D43" s="234">
        <f t="shared" ca="1" si="19"/>
        <v>14070.25</v>
      </c>
      <c r="E43" s="234">
        <f t="shared" ca="1" si="19"/>
        <v>14252</v>
      </c>
      <c r="F43" s="234">
        <f t="shared" ca="1" si="19"/>
        <v>14383.333333333334</v>
      </c>
      <c r="G43" s="234">
        <f t="shared" ca="1" si="19"/>
        <v>14480.666666666666</v>
      </c>
      <c r="H43" s="234">
        <f t="shared" ca="1" si="19"/>
        <v>14611.083333333334</v>
      </c>
      <c r="I43" s="234">
        <f t="shared" ca="1" si="19"/>
        <v>14704.416666666666</v>
      </c>
      <c r="J43" s="234">
        <f t="shared" ca="1" si="19"/>
        <v>14788.083333333332</v>
      </c>
      <c r="K43" s="234">
        <f t="shared" ca="1" si="19"/>
        <v>14864.249999999998</v>
      </c>
      <c r="L43" s="234">
        <f t="shared" ca="1" si="19"/>
        <v>14920.083333333334</v>
      </c>
      <c r="M43" s="238">
        <f t="shared" ca="1" si="19"/>
        <v>15030.843734981148</v>
      </c>
      <c r="N43" s="235">
        <f t="shared" ca="1" si="19"/>
        <v>15142.69880385597</v>
      </c>
    </row>
    <row r="45" spans="2:14" ht="16.149999999999999" thickBot="1">
      <c r="B45" s="57" t="s">
        <v>528</v>
      </c>
      <c r="C45" s="229"/>
    </row>
    <row r="46" spans="2:14" ht="26.45">
      <c r="B46" s="230">
        <v>2027</v>
      </c>
      <c r="C46" s="231" t="s">
        <v>1</v>
      </c>
      <c r="D46" s="231" t="s">
        <v>2</v>
      </c>
      <c r="E46" s="232" t="s">
        <v>3</v>
      </c>
    </row>
    <row r="47" spans="2:14">
      <c r="B47" s="60" t="str">
        <f t="shared" ref="B47:B52" si="20">B37</f>
        <v>Residential</v>
      </c>
      <c r="C47" s="40">
        <f t="shared" ref="C47:C52" ca="1" si="21">E13</f>
        <v>92832140.363369152</v>
      </c>
      <c r="D47" s="40"/>
      <c r="E47" s="59">
        <f t="shared" ref="E47:E52" ca="1" si="22">N37</f>
        <v>10599.533931725675</v>
      </c>
    </row>
    <row r="48" spans="2:14">
      <c r="B48" s="60" t="str">
        <f t="shared" si="20"/>
        <v>GS &lt; 50</v>
      </c>
      <c r="C48" s="40">
        <f t="shared" ca="1" si="21"/>
        <v>30243420.199681815</v>
      </c>
      <c r="D48" s="40"/>
      <c r="E48" s="59">
        <f t="shared" ca="1" si="22"/>
        <v>1267.18536428947</v>
      </c>
      <c r="G48" s="218"/>
      <c r="H48" s="218"/>
    </row>
    <row r="49" spans="2:7">
      <c r="B49" s="60" t="str">
        <f t="shared" si="20"/>
        <v>GS &gt; 50</v>
      </c>
      <c r="C49" s="40">
        <f t="shared" ca="1" si="21"/>
        <v>64938558.822214648</v>
      </c>
      <c r="D49" s="40">
        <f ca="1">E30</f>
        <v>196084.63819244891</v>
      </c>
      <c r="E49" s="59">
        <f t="shared" ca="1" si="22"/>
        <v>132.82234198416529</v>
      </c>
    </row>
    <row r="50" spans="2:7">
      <c r="B50" s="60" t="str">
        <f t="shared" si="20"/>
        <v>Street Light</v>
      </c>
      <c r="C50" s="40">
        <f t="shared" ca="1" si="21"/>
        <v>1016551.0227896626</v>
      </c>
      <c r="D50" s="40">
        <f ca="1">E31</f>
        <v>2837.2200767166055</v>
      </c>
      <c r="E50" s="59">
        <f t="shared" ca="1" si="22"/>
        <v>2948.3028425181169</v>
      </c>
    </row>
    <row r="51" spans="2:7">
      <c r="B51" s="60" t="str">
        <f t="shared" si="20"/>
        <v>Sentinel Light</v>
      </c>
      <c r="C51" s="40">
        <f t="shared" ca="1" si="21"/>
        <v>149812.20333023078</v>
      </c>
      <c r="D51" s="40">
        <f ca="1">E32</f>
        <v>414.87250768175403</v>
      </c>
      <c r="E51" s="59">
        <f t="shared" ca="1" si="22"/>
        <v>175.85432333854411</v>
      </c>
    </row>
    <row r="52" spans="2:7">
      <c r="B52" s="60" t="str">
        <f t="shared" si="20"/>
        <v>USL</v>
      </c>
      <c r="C52" s="40">
        <f t="shared" ca="1" si="21"/>
        <v>598467.08981554129</v>
      </c>
      <c r="D52" s="40"/>
      <c r="E52" s="59">
        <f t="shared" ca="1" si="22"/>
        <v>19</v>
      </c>
    </row>
    <row r="53" spans="2:7" ht="13.9" thickBot="1">
      <c r="B53" s="233" t="s">
        <v>4</v>
      </c>
      <c r="C53" s="234">
        <f ca="1">SUM(C47:C52)</f>
        <v>189778949.70120102</v>
      </c>
      <c r="D53" s="234">
        <f ca="1">SUM(D47:D52)</f>
        <v>199336.73077684725</v>
      </c>
      <c r="E53" s="235">
        <f ca="1">SUM(E47:E52)</f>
        <v>15142.69880385597</v>
      </c>
    </row>
    <row r="56" spans="2:7" ht="13.9" thickBot="1">
      <c r="B56" s="228" t="s">
        <v>310</v>
      </c>
    </row>
    <row r="57" spans="2:7" ht="26.45">
      <c r="B57" s="230">
        <v>2027</v>
      </c>
      <c r="C57" s="231" t="s">
        <v>1</v>
      </c>
      <c r="D57" s="231" t="s">
        <v>2</v>
      </c>
      <c r="E57" s="232" t="s">
        <v>3</v>
      </c>
    </row>
    <row r="58" spans="2:7">
      <c r="B58" s="60" t="str">
        <f>B47</f>
        <v>Residential</v>
      </c>
      <c r="C58" s="40">
        <f ca="1">C47+'Total Additional-Lost Loads'!E36-'Total Additional-Lost Loads'!E18+'Res Normalized Monthly'!AU148</f>
        <v>87006297.839799285</v>
      </c>
      <c r="D58" s="40"/>
      <c r="E58" s="59">
        <f t="shared" ref="D58:E58" ca="1" si="23">E47</f>
        <v>10599.533931725675</v>
      </c>
    </row>
    <row r="59" spans="2:7">
      <c r="B59" s="60" t="str">
        <f t="shared" ref="B59:B63" si="24">B48</f>
        <v>GS &lt; 50</v>
      </c>
      <c r="C59" s="40">
        <f ca="1">C48+'Total Additional-Lost Loads'!E37-'Total Additional-Lost Loads'!E19+'GS&lt;50 Normalized Monthly'!AT148</f>
        <v>28630204.737592127</v>
      </c>
      <c r="D59" s="40"/>
      <c r="E59" s="59">
        <f t="shared" ref="C59:E63" ca="1" si="25">E48</f>
        <v>1267.18536428947</v>
      </c>
    </row>
    <row r="60" spans="2:7">
      <c r="B60" s="60" t="str">
        <f t="shared" si="24"/>
        <v>GS &gt; 50</v>
      </c>
      <c r="C60" s="40">
        <f ca="1">C49+'Total Additional-Lost Loads'!E38-'Total Additional-Lost Loads'!E20+'GS&gt;50 (no LC) Norm Monthly'!BB148</f>
        <v>62581016.884304933</v>
      </c>
      <c r="D60" s="40">
        <f ca="1">D49+'Total Additional-Lost Loads'!H38-'Total Additional-Lost Loads'!H20</f>
        <v>196071.93530229933</v>
      </c>
      <c r="E60" s="59">
        <f t="shared" ca="1" si="25"/>
        <v>132.82234198416529</v>
      </c>
    </row>
    <row r="61" spans="2:7">
      <c r="B61" s="60" t="str">
        <f t="shared" si="24"/>
        <v>Street Light</v>
      </c>
      <c r="C61" s="40">
        <f t="shared" ca="1" si="25"/>
        <v>1016551.0227896626</v>
      </c>
      <c r="D61" s="40">
        <f t="shared" ca="1" si="25"/>
        <v>2837.2200767166055</v>
      </c>
      <c r="E61" s="59">
        <f t="shared" ca="1" si="25"/>
        <v>2948.3028425181169</v>
      </c>
    </row>
    <row r="62" spans="2:7">
      <c r="B62" s="60" t="str">
        <f t="shared" si="24"/>
        <v>Sentinel Light</v>
      </c>
      <c r="C62" s="40">
        <f t="shared" ca="1" si="25"/>
        <v>149812.20333023078</v>
      </c>
      <c r="D62" s="40">
        <f t="shared" ca="1" si="25"/>
        <v>414.87250768175403</v>
      </c>
      <c r="E62" s="59">
        <f t="shared" ca="1" si="25"/>
        <v>175.85432333854411</v>
      </c>
    </row>
    <row r="63" spans="2:7">
      <c r="B63" s="60" t="str">
        <f t="shared" si="24"/>
        <v>USL</v>
      </c>
      <c r="C63" s="40">
        <f t="shared" ca="1" si="25"/>
        <v>598467.08981554129</v>
      </c>
      <c r="D63" s="40"/>
      <c r="E63" s="59">
        <f t="shared" ca="1" si="25"/>
        <v>19</v>
      </c>
    </row>
    <row r="64" spans="2:7" ht="13.9" thickBot="1">
      <c r="B64" s="233" t="s">
        <v>4</v>
      </c>
      <c r="C64" s="234">
        <f ca="1">SUM(C58:C63)</f>
        <v>179982349.77763176</v>
      </c>
      <c r="D64" s="234">
        <f ca="1">SUM(D58:D63)</f>
        <v>199324.02788669767</v>
      </c>
      <c r="E64" s="235">
        <f ca="1">SUM(E58:E63)</f>
        <v>15142.69880385597</v>
      </c>
      <c r="G64" s="522"/>
    </row>
    <row r="66" spans="2:7" ht="13.9" thickBot="1">
      <c r="B66" s="228" t="s">
        <v>312</v>
      </c>
    </row>
    <row r="67" spans="2:7" ht="26.45">
      <c r="B67" s="230">
        <v>2027</v>
      </c>
      <c r="C67" s="231" t="s">
        <v>1</v>
      </c>
      <c r="D67" s="231" t="s">
        <v>2</v>
      </c>
      <c r="E67" s="232" t="s">
        <v>3</v>
      </c>
    </row>
    <row r="68" spans="2:7">
      <c r="B68" s="60" t="str">
        <f>B58</f>
        <v>Residential</v>
      </c>
      <c r="C68" s="40">
        <f ca="1">C47-'Total Additional-Lost Loads'!E18+'Total Additional-Lost Loads'!M36+'Res Normalized Monthly'!AV148</f>
        <v>97515030.499311015</v>
      </c>
      <c r="D68" s="40"/>
      <c r="E68" s="59">
        <f ca="1">E47</f>
        <v>10599.533931725675</v>
      </c>
    </row>
    <row r="69" spans="2:7">
      <c r="B69" s="60" t="str">
        <f t="shared" ref="B69:B73" si="26">B59</f>
        <v>GS &lt; 50</v>
      </c>
      <c r="C69" s="40">
        <f ca="1">C48-'Total Additional-Lost Loads'!E19+'Total Additional-Lost Loads'!M37+'GS&lt;50 Normalized Monthly'!AU148</f>
        <v>31577046.820493005</v>
      </c>
      <c r="D69" s="40"/>
      <c r="E69" s="59">
        <f t="shared" ref="E69:E73" ca="1" si="27">E48</f>
        <v>1267.18536428947</v>
      </c>
    </row>
    <row r="70" spans="2:7">
      <c r="B70" s="60" t="str">
        <f t="shared" si="26"/>
        <v>GS &gt; 50</v>
      </c>
      <c r="C70" s="40">
        <f ca="1">C49-'Total Additional-Lost Loads'!E20+'Total Additional-Lost Loads'!M38+'GS&gt;50 (no LC) Norm Monthly'!BC148</f>
        <v>66837455.197302125</v>
      </c>
      <c r="D70" s="40">
        <f ca="1">D49-'Total Additional-Lost Loads'!H20+'Total Additional-Lost Loads'!P38</f>
        <v>196132.2602564941</v>
      </c>
      <c r="E70" s="59">
        <f t="shared" ca="1" si="27"/>
        <v>132.82234198416529</v>
      </c>
    </row>
    <row r="71" spans="2:7">
      <c r="B71" s="60" t="str">
        <f t="shared" si="26"/>
        <v>Street Light</v>
      </c>
      <c r="C71" s="40">
        <f ca="1">C50</f>
        <v>1016551.0227896626</v>
      </c>
      <c r="D71" s="40">
        <f t="shared" ref="D71:E71" ca="1" si="28">D50</f>
        <v>2837.2200767166055</v>
      </c>
      <c r="E71" s="59">
        <f t="shared" ca="1" si="27"/>
        <v>2948.3028425181169</v>
      </c>
    </row>
    <row r="72" spans="2:7">
      <c r="B72" s="60" t="str">
        <f t="shared" si="26"/>
        <v>Sentinel Light</v>
      </c>
      <c r="C72" s="40">
        <f t="shared" ref="C72:E73" ca="1" si="29">C51</f>
        <v>149812.20333023078</v>
      </c>
      <c r="D72" s="40">
        <f t="shared" ca="1" si="29"/>
        <v>414.87250768175403</v>
      </c>
      <c r="E72" s="59">
        <f t="shared" ca="1" si="27"/>
        <v>175.85432333854411</v>
      </c>
    </row>
    <row r="73" spans="2:7">
      <c r="B73" s="60" t="str">
        <f t="shared" si="26"/>
        <v>USL</v>
      </c>
      <c r="C73" s="40">
        <f t="shared" ca="1" si="29"/>
        <v>598467.08981554129</v>
      </c>
      <c r="D73" s="40"/>
      <c r="E73" s="59">
        <f t="shared" ca="1" si="27"/>
        <v>19</v>
      </c>
    </row>
    <row r="74" spans="2:7" ht="13.9" thickBot="1">
      <c r="B74" s="233" t="s">
        <v>4</v>
      </c>
      <c r="C74" s="234">
        <f ca="1">SUM(C68:C73)</f>
        <v>197694362.83304155</v>
      </c>
      <c r="D74" s="234">
        <f ca="1">SUM(D68:D73)</f>
        <v>199384.35284089245</v>
      </c>
      <c r="E74" s="235">
        <f ca="1">SUM(E68:E73)</f>
        <v>15142.69880385597</v>
      </c>
      <c r="G74" s="522"/>
    </row>
  </sheetData>
  <mergeCells count="3">
    <mergeCell ref="Q3:X3"/>
    <mergeCell ref="Q11:X11"/>
    <mergeCell ref="Q16:X16"/>
  </mergeCells>
  <phoneticPr fontId="40" type="noConversion"/>
  <pageMargins left="0.7" right="0.7" top="0.75" bottom="0.75" header="0.3" footer="0.3"/>
  <pageSetup orientation="portrait" r:id="rId1"/>
  <ignoredErrors>
    <ignoredError sqref="E16" formula="1"/>
  </ignoredError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A69C8-7A56-45CA-A6DA-A8F8FDF94A24}">
  <sheetPr codeName="Sheet16">
    <tabColor rgb="FFFF0000"/>
  </sheetPr>
  <dimension ref="B1:V53"/>
  <sheetViews>
    <sheetView topLeftCell="B24" workbookViewId="0">
      <selection activeCell="M4" sqref="M4"/>
    </sheetView>
  </sheetViews>
  <sheetFormatPr defaultColWidth="9.1640625" defaultRowHeight="13.15"/>
  <cols>
    <col min="1" max="1" width="3" style="39" customWidth="1"/>
    <col min="2" max="2" width="25.5" style="39" bestFit="1" customWidth="1"/>
    <col min="3" max="3" width="16.83203125" style="39" bestFit="1" customWidth="1"/>
    <col min="4" max="4" width="13.83203125" style="39" bestFit="1" customWidth="1"/>
    <col min="5" max="5" width="15" style="39" bestFit="1" customWidth="1"/>
    <col min="6" max="6" width="13.83203125" style="39" bestFit="1" customWidth="1"/>
    <col min="7" max="7" width="16.1640625" style="39" bestFit="1" customWidth="1"/>
    <col min="8" max="8" width="15.6640625" style="39" bestFit="1" customWidth="1"/>
    <col min="9" max="9" width="13.83203125" style="39" bestFit="1" customWidth="1"/>
    <col min="10" max="10" width="14.33203125" style="39" bestFit="1" customWidth="1"/>
    <col min="11" max="11" width="14.33203125" style="39" customWidth="1"/>
    <col min="12" max="12" width="15" style="39" customWidth="1"/>
    <col min="13" max="13" width="15.6640625" style="39" customWidth="1"/>
    <col min="14" max="14" width="15.83203125" style="39" customWidth="1"/>
    <col min="15" max="15" width="10.83203125" style="39" bestFit="1" customWidth="1"/>
    <col min="16" max="19" width="13.6640625" style="39" customWidth="1"/>
    <col min="20" max="20" width="17.33203125" style="39" customWidth="1"/>
    <col min="21" max="21" width="17" style="39" customWidth="1"/>
    <col min="22" max="22" width="17.6640625" style="39" customWidth="1"/>
    <col min="23" max="23" width="11.5" style="39" bestFit="1" customWidth="1"/>
    <col min="24" max="16384" width="9.1640625" style="39"/>
  </cols>
  <sheetData>
    <row r="1" spans="2:22" ht="16.149999999999999" thickBot="1">
      <c r="B1" s="57" t="s">
        <v>398</v>
      </c>
      <c r="C1" s="57"/>
    </row>
    <row r="2" spans="2:22" ht="13.9" thickBot="1">
      <c r="B2" s="236" t="s">
        <v>1</v>
      </c>
      <c r="C2" s="512" t="s">
        <v>529</v>
      </c>
      <c r="D2" s="512" t="s">
        <v>530</v>
      </c>
      <c r="E2" s="512" t="s">
        <v>531</v>
      </c>
      <c r="F2" s="512" t="s">
        <v>532</v>
      </c>
      <c r="G2" s="512" t="s">
        <v>533</v>
      </c>
      <c r="H2" s="512" t="s">
        <v>534</v>
      </c>
      <c r="I2" s="512" t="s">
        <v>535</v>
      </c>
      <c r="J2" s="512" t="s">
        <v>536</v>
      </c>
      <c r="K2" s="512" t="s">
        <v>537</v>
      </c>
      <c r="L2" s="512" t="s">
        <v>538</v>
      </c>
      <c r="M2" s="512" t="s">
        <v>16</v>
      </c>
      <c r="N2" s="513" t="s">
        <v>17</v>
      </c>
      <c r="P2" s="286"/>
      <c r="Q2" s="287" t="str">
        <f>J2</f>
        <v>2023 Normal</v>
      </c>
      <c r="R2" s="287" t="str">
        <f>K2</f>
        <v>2024 Normal</v>
      </c>
      <c r="S2" s="287" t="str">
        <f>L2</f>
        <v>2025 Normal</v>
      </c>
      <c r="T2" s="287" t="str">
        <f>M2</f>
        <v>2026 Forecast</v>
      </c>
      <c r="U2" s="288" t="str">
        <f>N2</f>
        <v>2027 Forecast</v>
      </c>
    </row>
    <row r="3" spans="2:22">
      <c r="B3" s="58" t="s">
        <v>18</v>
      </c>
      <c r="C3" s="40">
        <f ca="1">OFFSET('Normalized Annual Summary'!$C$45,COLUMN(C3)-COLUMN($C3),0)</f>
        <v>76635115</v>
      </c>
      <c r="D3" s="40">
        <f ca="1">OFFSET('Normalized Annual Summary'!$C$45,COLUMN(D3)-COLUMN($C3),0)</f>
        <v>76119517.019999996</v>
      </c>
      <c r="E3" s="40">
        <f ca="1">OFFSET('Normalized Annual Summary'!$C$45,COLUMN(E3)-COLUMN($C3),0)</f>
        <v>81716499</v>
      </c>
      <c r="F3" s="40">
        <f ca="1">OFFSET('Normalized Annual Summary'!$C$45,COLUMN(F3)-COLUMN($C3),0)</f>
        <v>85932903</v>
      </c>
      <c r="G3" s="40">
        <f ca="1">OFFSET('Normalized Annual Summary'!$C$45,COLUMN(G3)-COLUMN($C3),0)</f>
        <v>85141857</v>
      </c>
      <c r="H3" s="40">
        <f ca="1">OFFSET('Normalized Annual Summary'!$C$45,COLUMN(H3)-COLUMN($C3),0)</f>
        <v>85333074.640000001</v>
      </c>
      <c r="I3" s="40">
        <f ca="1">OFFSET('Normalized Annual Summary'!$C$45,COLUMN(I3)-COLUMN($C3),0)</f>
        <v>86112039</v>
      </c>
      <c r="J3" s="40">
        <f ca="1">OFFSET('Normalized Annual Summary'!$C$45,COLUMN(J3)-COLUMN($C3),0)</f>
        <v>85022917</v>
      </c>
      <c r="K3" s="40">
        <f ca="1">OFFSET('Normalized Annual Summary'!$C$45,COLUMN(K3)-COLUMN($C3),0)</f>
        <v>86752528</v>
      </c>
      <c r="L3" s="40">
        <f ca="1">OFFSET('Normalized Annual Summary'!$C$45,COLUMN(L3)-COLUMN($C3),0)</f>
        <v>90973051</v>
      </c>
      <c r="M3" s="40">
        <f ca="1">OFFSET('Normalized Annual Summary'!$J$55,COLUMN(M3)-COLUMN($M3),0)</f>
        <v>91407174.748566478</v>
      </c>
      <c r="N3" s="59">
        <f ca="1">OFFSET('Normalized Annual Summary'!$J$55,COLUMN(N3)-COLUMN($M3),0)</f>
        <v>93232928.198050857</v>
      </c>
      <c r="O3" s="40"/>
      <c r="P3" s="565" t="s">
        <v>1</v>
      </c>
      <c r="Q3" s="566"/>
      <c r="R3" s="566"/>
      <c r="S3" s="566"/>
      <c r="T3" s="567"/>
      <c r="U3" s="568"/>
    </row>
    <row r="4" spans="2:22">
      <c r="B4" s="60" t="s">
        <v>19</v>
      </c>
      <c r="C4" s="40">
        <f ca="1">OFFSET('Normalized Annual Summary'!$M$45,COLUMN(C4)-COLUMN($C4),0)</f>
        <v>29514061</v>
      </c>
      <c r="D4" s="40">
        <f ca="1">OFFSET('Normalized Annual Summary'!$M$45,COLUMN(D4)-COLUMN($C4),0)</f>
        <v>28872534</v>
      </c>
      <c r="E4" s="40">
        <f ca="1">OFFSET('Normalized Annual Summary'!$M$45,COLUMN(E4)-COLUMN($C4),0)</f>
        <v>30060062</v>
      </c>
      <c r="F4" s="40">
        <f ca="1">OFFSET('Normalized Annual Summary'!$M$45,COLUMN(F4)-COLUMN($C4),0)</f>
        <v>30767208</v>
      </c>
      <c r="G4" s="40">
        <f ca="1">OFFSET('Normalized Annual Summary'!$M$45,COLUMN(G4)-COLUMN($C4),0)</f>
        <v>26233400</v>
      </c>
      <c r="H4" s="40">
        <f ca="1">OFFSET('Normalized Annual Summary'!$M$45,COLUMN(H4)-COLUMN($C4),0)</f>
        <v>27003038.649999999</v>
      </c>
      <c r="I4" s="40">
        <f ca="1">OFFSET('Normalized Annual Summary'!$M$45,COLUMN(I4)-COLUMN($C4),0)</f>
        <v>28785066</v>
      </c>
      <c r="J4" s="40">
        <f ca="1">OFFSET('Normalized Annual Summary'!$M$45,COLUMN(J4)-COLUMN($C4),0)</f>
        <v>29063129</v>
      </c>
      <c r="K4" s="40">
        <f ca="1">OFFSET('Normalized Annual Summary'!$M$45,COLUMN(K4)-COLUMN($C4),0)</f>
        <v>29356697</v>
      </c>
      <c r="L4" s="40">
        <f ca="1">OFFSET('Normalized Annual Summary'!$M$45,COLUMN(L4)-COLUMN($C4),0)</f>
        <v>30749969</v>
      </c>
      <c r="M4" s="40">
        <f ca="1">OFFSET('Normalized Annual Summary'!$T$55,COLUMN(M4)-COLUMN($M4),0)</f>
        <v>30478150.521457553</v>
      </c>
      <c r="N4" s="59">
        <f ca="1">OFFSET('Normalized Annual Summary'!$T$55,COLUMN(N4)-COLUMN($M4),0)</f>
        <v>31033620.084669221</v>
      </c>
      <c r="P4" s="284" t="str">
        <f t="shared" ref="P4:P9" si="0">B3</f>
        <v>Residential</v>
      </c>
      <c r="Q4" s="282">
        <f t="shared" ref="Q4:S9" ca="1" si="1">J3</f>
        <v>85022917</v>
      </c>
      <c r="R4" s="282">
        <f t="shared" ca="1" si="1"/>
        <v>86752528</v>
      </c>
      <c r="S4" s="282">
        <f t="shared" ca="1" si="1"/>
        <v>90973051</v>
      </c>
      <c r="T4" s="282">
        <f ca="1">M3-'CDM Adjustment'!N7</f>
        <v>91218659.053820208</v>
      </c>
      <c r="U4" s="285">
        <f t="shared" ref="U4:U9" ca="1" si="2">H13</f>
        <v>92256254.464997321</v>
      </c>
    </row>
    <row r="5" spans="2:22">
      <c r="B5" s="60" t="s">
        <v>20</v>
      </c>
      <c r="C5" s="40">
        <f ca="1">OFFSET('Normalized Annual Summary'!$W$45,COLUMN(C5)-COLUMN($C5),0)</f>
        <v>75048053</v>
      </c>
      <c r="D5" s="40">
        <f ca="1">OFFSET('Normalized Annual Summary'!$W$45,COLUMN(D5)-COLUMN($C5),0)</f>
        <v>70829349</v>
      </c>
      <c r="E5" s="40">
        <f ca="1">OFFSET('Normalized Annual Summary'!$W$45,COLUMN(E5)-COLUMN($C5),0)</f>
        <v>71502339</v>
      </c>
      <c r="F5" s="40">
        <f ca="1">OFFSET('Normalized Annual Summary'!$W$45,COLUMN(F5)-COLUMN($C5),0)</f>
        <v>73532152</v>
      </c>
      <c r="G5" s="40">
        <f ca="1">OFFSET('Normalized Annual Summary'!$W$45,COLUMN(G5)-COLUMN($C5),0)</f>
        <v>65161090</v>
      </c>
      <c r="H5" s="40">
        <f ca="1">OFFSET('Normalized Annual Summary'!$W$45,COLUMN(H5)-COLUMN($C5),0)</f>
        <v>67961293.822997034</v>
      </c>
      <c r="I5" s="40">
        <f ca="1">OFFSET('Normalized Annual Summary'!$W$45,COLUMN(I5)-COLUMN($C5),0)</f>
        <v>68211369.280000001</v>
      </c>
      <c r="J5" s="40">
        <f ca="1">OFFSET('Normalized Annual Summary'!$W$45,COLUMN(J5)-COLUMN($C5),0)</f>
        <v>64679344</v>
      </c>
      <c r="K5" s="40">
        <f ca="1">OFFSET('Normalized Annual Summary'!$W$45,COLUMN(K5)-COLUMN($C5),0)</f>
        <v>64215692</v>
      </c>
      <c r="L5" s="40">
        <f ca="1">OFFSET('Normalized Annual Summary'!$W$45,COLUMN(L5)-COLUMN($C5),0)</f>
        <v>72102178</v>
      </c>
      <c r="M5" s="40">
        <f ca="1">OFFSET('Normalized Annual Summary'!$AD$55,COLUMN(M5)-COLUMN($M5),0)</f>
        <v>65642348.581128612</v>
      </c>
      <c r="N5" s="59">
        <f ca="1">OFFSET('Normalized Annual Summary'!$AD$55,COLUMN(N5)-COLUMN($M5),0)</f>
        <v>65700091.783353448</v>
      </c>
      <c r="P5" s="284" t="str">
        <f t="shared" si="0"/>
        <v>GS &lt; 50</v>
      </c>
      <c r="Q5" s="282">
        <f t="shared" ca="1" si="1"/>
        <v>29063129</v>
      </c>
      <c r="R5" s="282">
        <f t="shared" ca="1" si="1"/>
        <v>29356697</v>
      </c>
      <c r="S5" s="282">
        <f t="shared" ca="1" si="1"/>
        <v>30749969</v>
      </c>
      <c r="T5" s="282">
        <f ca="1">M4-'CDM Adjustment'!N8</f>
        <v>30138183.335336193</v>
      </c>
      <c r="U5" s="285">
        <f t="shared" ca="1" si="2"/>
        <v>30112270.08050023</v>
      </c>
    </row>
    <row r="6" spans="2:22">
      <c r="B6" s="60" t="s">
        <v>21</v>
      </c>
      <c r="C6" s="40">
        <f ca="1">OFFSET('Normalized Annual Summary'!$AG$5,COLUMN(C6)-COLUMN($C6),0)</f>
        <v>1307703</v>
      </c>
      <c r="D6" s="40">
        <f ca="1">OFFSET('Normalized Annual Summary'!$AG$5,COLUMN(D6)-COLUMN($C6),0)</f>
        <v>1297582</v>
      </c>
      <c r="E6" s="40">
        <f ca="1">OFFSET('Normalized Annual Summary'!$AG$5,COLUMN(E6)-COLUMN($C6),0)</f>
        <v>1110658</v>
      </c>
      <c r="F6" s="40">
        <f ca="1">OFFSET('Normalized Annual Summary'!$AG$5,COLUMN(F6)-COLUMN($C6),0)</f>
        <v>1053969</v>
      </c>
      <c r="G6" s="40">
        <f ca="1">OFFSET('Normalized Annual Summary'!$AG$5,COLUMN(G6)-COLUMN($C6),0)</f>
        <v>1015667</v>
      </c>
      <c r="H6" s="40">
        <f ca="1">OFFSET('Normalized Annual Summary'!$AG$5,COLUMN(H6)-COLUMN($C6),0)</f>
        <v>1011635.55</v>
      </c>
      <c r="I6" s="40">
        <f ca="1">OFFSET('Normalized Annual Summary'!$AG$5,COLUMN(I6)-COLUMN($C6),0)</f>
        <v>1002092</v>
      </c>
      <c r="J6" s="40">
        <f ca="1">OFFSET('Normalized Annual Summary'!$AG$5,COLUMN(J6)-COLUMN($C6),0)</f>
        <v>998543</v>
      </c>
      <c r="K6" s="40">
        <f ca="1">OFFSET('Normalized Annual Summary'!$AG$5,COLUMN(K6)-COLUMN($C6),0)</f>
        <v>996845</v>
      </c>
      <c r="L6" s="40">
        <f ca="1">OFFSET('Normalized Annual Summary'!$AG$5,COLUMN(L6)-COLUMN($C6),0)</f>
        <v>1016652</v>
      </c>
      <c r="M6" s="40">
        <f ca="1">OFFSET('Normalized Annual Summary'!$AJ$15,COLUMN(M6)-COLUMN($M6),0)</f>
        <v>1012496.4456910954</v>
      </c>
      <c r="N6" s="59">
        <f ca="1">OFFSET('Normalized Annual Summary'!$AJ$15,COLUMN(N6)-COLUMN($M6),0)</f>
        <v>1016551.0227896626</v>
      </c>
      <c r="P6" s="284" t="str">
        <f t="shared" si="0"/>
        <v>GS &gt; 50</v>
      </c>
      <c r="Q6" s="282">
        <f t="shared" ca="1" si="1"/>
        <v>64679344</v>
      </c>
      <c r="R6" s="282">
        <f t="shared" ca="1" si="1"/>
        <v>64215692</v>
      </c>
      <c r="S6" s="282">
        <f t="shared" ca="1" si="1"/>
        <v>72102178</v>
      </c>
      <c r="T6" s="282">
        <f ca="1">M5-'CDM Adjustment'!N9</f>
        <v>65316237.074867412</v>
      </c>
      <c r="U6" s="285">
        <f t="shared" ca="1" si="2"/>
        <v>64921164.300896965</v>
      </c>
      <c r="V6" s="40"/>
    </row>
    <row r="7" spans="2:22">
      <c r="B7" s="60" t="s">
        <v>22</v>
      </c>
      <c r="C7" s="40">
        <f ca="1">OFFSET('Normalized Annual Summary'!$AN$5,COLUMN(C7)-COLUMN($C7),0)</f>
        <v>217806</v>
      </c>
      <c r="D7" s="40">
        <f ca="1">OFFSET('Normalized Annual Summary'!$AN$5,COLUMN(D7)-COLUMN($C7),0)</f>
        <v>203681</v>
      </c>
      <c r="E7" s="40">
        <f ca="1">OFFSET('Normalized Annual Summary'!$AN$5,COLUMN(E7)-COLUMN($C7),0)</f>
        <v>203849</v>
      </c>
      <c r="F7" s="40">
        <f ca="1">OFFSET('Normalized Annual Summary'!$AN$5,COLUMN(F7)-COLUMN($C7),0)</f>
        <v>211785</v>
      </c>
      <c r="G7" s="40">
        <f ca="1">OFFSET('Normalized Annual Summary'!$AN$5,COLUMN(G7)-COLUMN($C7),0)</f>
        <v>199124</v>
      </c>
      <c r="H7" s="40">
        <f ca="1">OFFSET('Normalized Annual Summary'!$AN$5,COLUMN(H7)-COLUMN($C7),0)</f>
        <v>189809.41692454813</v>
      </c>
      <c r="I7" s="40">
        <f ca="1">OFFSET('Normalized Annual Summary'!$AN$5,COLUMN(I7)-COLUMN($C7),0)</f>
        <v>190718</v>
      </c>
      <c r="J7" s="40">
        <f ca="1">OFFSET('Normalized Annual Summary'!$AN$5,COLUMN(J7)-COLUMN($C7),0)</f>
        <v>175555</v>
      </c>
      <c r="K7" s="40">
        <f ca="1">OFFSET('Normalized Annual Summary'!$AN$5,COLUMN(K7)-COLUMN($C7),0)</f>
        <v>164745</v>
      </c>
      <c r="L7" s="40">
        <f ca="1">OFFSET('Normalized Annual Summary'!$AN$5,COLUMN(L7)-COLUMN($C7),0)</f>
        <v>162265</v>
      </c>
      <c r="M7" s="40">
        <f ca="1">OFFSET('Normalized Annual Summary'!$AQ$15,COLUMN(M7)-COLUMN($M7),0)</f>
        <v>157402.60281308927</v>
      </c>
      <c r="N7" s="59">
        <f ca="1">OFFSET('Normalized Annual Summary'!$AQ$15,COLUMN(N7)-COLUMN($M7),0)</f>
        <v>149812.20333023078</v>
      </c>
      <c r="P7" s="284" t="str">
        <f t="shared" si="0"/>
        <v>Street Light</v>
      </c>
      <c r="Q7" s="282">
        <f t="shared" ca="1" si="1"/>
        <v>998543</v>
      </c>
      <c r="R7" s="282">
        <f t="shared" ca="1" si="1"/>
        <v>996845</v>
      </c>
      <c r="S7" s="282">
        <f t="shared" ca="1" si="1"/>
        <v>1016652</v>
      </c>
      <c r="T7" s="282">
        <f ca="1">M6-'CDM Adjustment'!N10</f>
        <v>1012496.4456910954</v>
      </c>
      <c r="U7" s="285">
        <f t="shared" ca="1" si="2"/>
        <v>1016551.0227896626</v>
      </c>
      <c r="V7" s="40"/>
    </row>
    <row r="8" spans="2:22">
      <c r="B8" s="60" t="s">
        <v>23</v>
      </c>
      <c r="C8" s="40">
        <f ca="1">OFFSET('Normalized Annual Summary'!$AV$5,COLUMN(C8)-COLUMN($C8),0)</f>
        <v>594265</v>
      </c>
      <c r="D8" s="40">
        <f ca="1">OFFSET('Normalized Annual Summary'!$AV$5,COLUMN(D8)-COLUMN($C8),0)</f>
        <v>606897.73</v>
      </c>
      <c r="E8" s="40">
        <f ca="1">OFFSET('Normalized Annual Summary'!$AV$5,COLUMN(E8)-COLUMN($C8),0)</f>
        <v>605298.17000000004</v>
      </c>
      <c r="F8" s="40">
        <f ca="1">OFFSET('Normalized Annual Summary'!$AV$5,COLUMN(F8)-COLUMN($C8),0)</f>
        <v>613238</v>
      </c>
      <c r="G8" s="40">
        <f ca="1">OFFSET('Normalized Annual Summary'!$AV$5,COLUMN(G8)-COLUMN($C8),0)</f>
        <v>602100</v>
      </c>
      <c r="H8" s="40">
        <f ca="1">OFFSET('Normalized Annual Summary'!$AV$5,COLUMN(H8)-COLUMN($C8),0)</f>
        <v>613643.61</v>
      </c>
      <c r="I8" s="40">
        <f ca="1">OFFSET('Normalized Annual Summary'!$AV$5,COLUMN(I8)-COLUMN($C8),0)</f>
        <v>588782</v>
      </c>
      <c r="J8" s="40">
        <f ca="1">OFFSET('Normalized Annual Summary'!$AV$5,COLUMN(J8)-COLUMN($C8),0)</f>
        <v>589689</v>
      </c>
      <c r="K8" s="40">
        <f ca="1">OFFSET('Normalized Annual Summary'!$AV$5,COLUMN(K8)-COLUMN($C8),0)</f>
        <v>591629</v>
      </c>
      <c r="L8" s="40">
        <f ca="1">OFFSET('Normalized Annual Summary'!$AV$5,COLUMN(L8)-COLUMN($C8),0)</f>
        <v>587172</v>
      </c>
      <c r="M8" s="40">
        <f ca="1">OFFSET('Normalized Annual Summary'!$AY$15,COLUMN(M8)-COLUMN($M8),0)</f>
        <v>598467.08981554129</v>
      </c>
      <c r="N8" s="59">
        <f ca="1">OFFSET('Normalized Annual Summary'!$AY$15,COLUMN(N8)-COLUMN($M8),0)</f>
        <v>598467.08981554129</v>
      </c>
      <c r="P8" s="284" t="str">
        <f t="shared" si="0"/>
        <v>Sentinel Light</v>
      </c>
      <c r="Q8" s="282">
        <f t="shared" ca="1" si="1"/>
        <v>175555</v>
      </c>
      <c r="R8" s="282">
        <f t="shared" ca="1" si="1"/>
        <v>164745</v>
      </c>
      <c r="S8" s="282">
        <f t="shared" ca="1" si="1"/>
        <v>162265</v>
      </c>
      <c r="T8" s="282">
        <f ca="1">M7-'CDM Adjustment'!N11</f>
        <v>157402.60281308927</v>
      </c>
      <c r="U8" s="285">
        <f t="shared" ca="1" si="2"/>
        <v>149812.20333023078</v>
      </c>
    </row>
    <row r="9" spans="2:22" ht="13.9" thickBot="1">
      <c r="B9" s="233" t="s">
        <v>4</v>
      </c>
      <c r="C9" s="234">
        <f ca="1">SUM(C3:C8)</f>
        <v>183317003</v>
      </c>
      <c r="D9" s="234">
        <f t="shared" ref="D9:N9" ca="1" si="3">SUM(D3:D8)</f>
        <v>177929560.74999997</v>
      </c>
      <c r="E9" s="234">
        <f t="shared" ca="1" si="3"/>
        <v>185198705.16999999</v>
      </c>
      <c r="F9" s="234">
        <f t="shared" ca="1" si="3"/>
        <v>192111255</v>
      </c>
      <c r="G9" s="234">
        <f t="shared" ca="1" si="3"/>
        <v>178353238</v>
      </c>
      <c r="H9" s="234">
        <f t="shared" ca="1" si="3"/>
        <v>182112495.68992159</v>
      </c>
      <c r="I9" s="234">
        <f t="shared" ca="1" si="3"/>
        <v>184890066.28</v>
      </c>
      <c r="J9" s="234">
        <f t="shared" ca="1" si="3"/>
        <v>180529177</v>
      </c>
      <c r="K9" s="234">
        <f t="shared" ca="1" si="3"/>
        <v>182078136</v>
      </c>
      <c r="L9" s="234">
        <f t="shared" ca="1" si="3"/>
        <v>195591287</v>
      </c>
      <c r="M9" s="234">
        <f t="shared" ca="1" si="3"/>
        <v>189296039.98947239</v>
      </c>
      <c r="N9" s="235">
        <f t="shared" ca="1" si="3"/>
        <v>191731470.38200894</v>
      </c>
      <c r="P9" s="284" t="str">
        <f t="shared" si="0"/>
        <v>USL</v>
      </c>
      <c r="Q9" s="282">
        <f t="shared" ca="1" si="1"/>
        <v>589689</v>
      </c>
      <c r="R9" s="282">
        <f t="shared" ca="1" si="1"/>
        <v>591629</v>
      </c>
      <c r="S9" s="282">
        <f t="shared" ca="1" si="1"/>
        <v>587172</v>
      </c>
      <c r="T9" s="282">
        <f ca="1">M8-'CDM Adjustment'!N12</f>
        <v>-256127.29731328972</v>
      </c>
      <c r="U9" s="285">
        <f t="shared" ca="1" si="2"/>
        <v>598467.08981554129</v>
      </c>
    </row>
    <row r="10" spans="2:22" ht="13.9" thickBot="1">
      <c r="P10" s="289" t="s">
        <v>4</v>
      </c>
      <c r="Q10" s="290">
        <f ca="1">SUM(Q4:Q9)</f>
        <v>180529177</v>
      </c>
      <c r="R10" s="290">
        <f ca="1">SUM(R4:R9)</f>
        <v>182078136</v>
      </c>
      <c r="S10" s="290">
        <f ca="1">SUM(S4:S9)</f>
        <v>195591287</v>
      </c>
      <c r="T10" s="290">
        <f ca="1">SUM(T4:T9)</f>
        <v>187586851.21521473</v>
      </c>
      <c r="U10" s="291">
        <f ca="1">SUM(U4:U9)</f>
        <v>189054519.16232991</v>
      </c>
    </row>
    <row r="11" spans="2:22" ht="16.149999999999999" thickBot="1">
      <c r="B11" s="57" t="s">
        <v>519</v>
      </c>
      <c r="C11" s="57"/>
      <c r="G11" s="40"/>
      <c r="H11" s="40"/>
      <c r="I11" s="40"/>
      <c r="J11" s="40"/>
      <c r="K11" s="40"/>
      <c r="L11" s="40"/>
      <c r="P11" s="569" t="s">
        <v>2</v>
      </c>
      <c r="Q11" s="570"/>
      <c r="R11" s="570"/>
      <c r="S11" s="570"/>
      <c r="T11" s="571"/>
      <c r="U11" s="572"/>
    </row>
    <row r="12" spans="2:22" ht="55.15" customHeight="1">
      <c r="B12" s="230" t="s">
        <v>1</v>
      </c>
      <c r="C12" s="231" t="s">
        <v>520</v>
      </c>
      <c r="D12" s="231" t="s">
        <v>521</v>
      </c>
      <c r="E12" s="232" t="s">
        <v>522</v>
      </c>
      <c r="G12" s="240" t="s">
        <v>523</v>
      </c>
      <c r="H12" s="232" t="s">
        <v>524</v>
      </c>
      <c r="J12" s="509" t="s">
        <v>526</v>
      </c>
      <c r="P12" s="283" t="str">
        <f>P6</f>
        <v>GS &gt; 50</v>
      </c>
      <c r="Q12" s="292">
        <f t="shared" ref="Q12:S14" ca="1" si="4">J23</f>
        <v>200029.965799383</v>
      </c>
      <c r="R12" s="292">
        <f t="shared" ca="1" si="4"/>
        <v>198981.49485573068</v>
      </c>
      <c r="S12" s="292">
        <f t="shared" ca="1" si="4"/>
        <v>217022.78055106304</v>
      </c>
      <c r="T12" s="292">
        <f ca="1">M23-'CDM Adjustment'!N20</f>
        <v>197167.48266937432</v>
      </c>
      <c r="U12" s="295">
        <f ca="1">E30</f>
        <v>196084.63819244891</v>
      </c>
      <c r="V12" s="40"/>
    </row>
    <row r="13" spans="2:22">
      <c r="B13" s="58" t="str">
        <f t="shared" ref="B13:B18" si="5">B3</f>
        <v>Residential</v>
      </c>
      <c r="C13" s="40">
        <f t="shared" ref="C13:C18" ca="1" si="6">N3</f>
        <v>93232928.198050857</v>
      </c>
      <c r="D13" s="40">
        <f>'CDM Adjustment'!O7</f>
        <v>400787.83468170569</v>
      </c>
      <c r="E13" s="59">
        <f ca="1">C13-D13</f>
        <v>92832140.363369152</v>
      </c>
      <c r="F13" s="218"/>
      <c r="G13" s="219">
        <f ca="1">'Total Additional-Lost Loads'!E18</f>
        <v>575885.8983718378</v>
      </c>
      <c r="H13" s="59">
        <f t="shared" ref="H13:H18" ca="1" si="7">E13-G13</f>
        <v>92256254.464997321</v>
      </c>
      <c r="J13" s="510">
        <f t="shared" ref="J13:J18" ca="1" si="8">E13/L3-1</f>
        <v>2.0435605302158599E-2</v>
      </c>
      <c r="P13" s="284" t="str">
        <f>P7</f>
        <v>Street Light</v>
      </c>
      <c r="Q13" s="282">
        <f t="shared" ca="1" si="4"/>
        <v>2786.9592214763152</v>
      </c>
      <c r="R13" s="282">
        <f t="shared" ca="1" si="4"/>
        <v>2782.2200597596266</v>
      </c>
      <c r="S13" s="282">
        <f t="shared" ca="1" si="4"/>
        <v>2837.5019067104154</v>
      </c>
      <c r="T13" s="282">
        <f ca="1">M24</f>
        <v>2825.9036476454103</v>
      </c>
      <c r="U13" s="295">
        <f ca="1">E31</f>
        <v>2837.2200767166055</v>
      </c>
    </row>
    <row r="14" spans="2:22">
      <c r="B14" s="60" t="str">
        <f t="shared" si="5"/>
        <v>GS &lt; 50</v>
      </c>
      <c r="C14" s="40">
        <f t="shared" ca="1" si="6"/>
        <v>31033620.084669221</v>
      </c>
      <c r="D14" s="40">
        <f>'CDM Adjustment'!O8</f>
        <v>790199.88498740643</v>
      </c>
      <c r="E14" s="59">
        <f ca="1">C14-D14</f>
        <v>30243420.199681815</v>
      </c>
      <c r="G14" s="219">
        <f ca="1">'Total Additional-Lost Loads'!E19</f>
        <v>131150.11918158378</v>
      </c>
      <c r="H14" s="59">
        <f t="shared" ca="1" si="7"/>
        <v>30112270.08050023</v>
      </c>
      <c r="J14" s="510">
        <f t="shared" ca="1" si="8"/>
        <v>-1.6473148324740894E-2</v>
      </c>
      <c r="P14" s="284" t="str">
        <f>P8</f>
        <v>Sentinel Light</v>
      </c>
      <c r="Q14" s="282">
        <f t="shared" ca="1" si="4"/>
        <v>486.16161745865787</v>
      </c>
      <c r="R14" s="282">
        <f t="shared" ca="1" si="4"/>
        <v>456.22565958375776</v>
      </c>
      <c r="S14" s="282">
        <f t="shared" ca="1" si="4"/>
        <v>449.3578357604689</v>
      </c>
      <c r="T14" s="282">
        <f ca="1">M25</f>
        <v>435.8924780029858</v>
      </c>
      <c r="U14" s="295">
        <f ca="1">E32</f>
        <v>414.87250768175403</v>
      </c>
    </row>
    <row r="15" spans="2:22" ht="13.9" thickBot="1">
      <c r="B15" s="60" t="str">
        <f t="shared" si="5"/>
        <v>GS &gt; 50</v>
      </c>
      <c r="C15" s="40">
        <f t="shared" ca="1" si="6"/>
        <v>65700091.783353448</v>
      </c>
      <c r="D15" s="40">
        <f>'CDM Adjustment'!O9</f>
        <v>761532.96113880095</v>
      </c>
      <c r="E15" s="59">
        <f ca="1">C15-D15</f>
        <v>64938558.822214648</v>
      </c>
      <c r="G15" s="219">
        <f>'Total Additional-Lost Loads'!E20</f>
        <v>17394.521317681541</v>
      </c>
      <c r="H15" s="59">
        <f t="shared" ca="1" si="7"/>
        <v>64921164.300896965</v>
      </c>
      <c r="J15" s="510">
        <f t="shared" ca="1" si="8"/>
        <v>-9.9353714083163402E-2</v>
      </c>
      <c r="P15" s="289" t="s">
        <v>4</v>
      </c>
      <c r="Q15" s="290">
        <f ca="1">SUM(Q12:Q14)</f>
        <v>203303.08663831797</v>
      </c>
      <c r="R15" s="290">
        <f ca="1">SUM(R12:R14)</f>
        <v>202219.94057507406</v>
      </c>
      <c r="S15" s="290">
        <f ca="1">SUM(S12:S14)</f>
        <v>220309.64029353391</v>
      </c>
      <c r="T15" s="290">
        <f ca="1">SUM(T12:T14)</f>
        <v>200429.27879502272</v>
      </c>
      <c r="U15" s="291">
        <f ca="1">SUM(U12:U14)</f>
        <v>199336.73077684725</v>
      </c>
    </row>
    <row r="16" spans="2:22" ht="13.9" thickBot="1">
      <c r="B16" s="60" t="str">
        <f t="shared" si="5"/>
        <v>Street Light</v>
      </c>
      <c r="C16" s="40">
        <f t="shared" ca="1" si="6"/>
        <v>1016551.0227896626</v>
      </c>
      <c r="D16" s="40"/>
      <c r="E16" s="59">
        <f ca="1">C16</f>
        <v>1016551.0227896626</v>
      </c>
      <c r="G16" s="219"/>
      <c r="H16" s="59">
        <f t="shared" ca="1" si="7"/>
        <v>1016551.0227896626</v>
      </c>
      <c r="J16" s="510">
        <f t="shared" ca="1" si="8"/>
        <v>-9.9323279093899153E-5</v>
      </c>
      <c r="P16" s="573" t="s">
        <v>527</v>
      </c>
      <c r="Q16" s="574"/>
      <c r="R16" s="574"/>
      <c r="S16" s="574"/>
      <c r="T16" s="575"/>
      <c r="U16" s="576"/>
    </row>
    <row r="17" spans="2:21">
      <c r="B17" s="60" t="str">
        <f t="shared" si="5"/>
        <v>Sentinel Light</v>
      </c>
      <c r="C17" s="40">
        <f t="shared" ca="1" si="6"/>
        <v>149812.20333023078</v>
      </c>
      <c r="D17" s="40"/>
      <c r="E17" s="59">
        <f ca="1">C17</f>
        <v>149812.20333023078</v>
      </c>
      <c r="G17" s="219"/>
      <c r="H17" s="59">
        <f t="shared" ca="1" si="7"/>
        <v>149812.20333023078</v>
      </c>
      <c r="J17" s="510">
        <f t="shared" ca="1" si="8"/>
        <v>-7.6743577911251415E-2</v>
      </c>
      <c r="P17" s="293" t="str">
        <f t="shared" ref="P17:P23" si="9">P4</f>
        <v>Residential</v>
      </c>
      <c r="Q17" s="294">
        <f t="shared" ref="Q17:U23" ca="1" si="10">J37</f>
        <v>10282.666666666666</v>
      </c>
      <c r="R17" s="294">
        <f t="shared" ca="1" si="10"/>
        <v>10350.916666666666</v>
      </c>
      <c r="S17" s="294">
        <f t="shared" ca="1" si="10"/>
        <v>10391.75</v>
      </c>
      <c r="T17" s="294">
        <f t="shared" ca="1" si="10"/>
        <v>10495.129042232138</v>
      </c>
      <c r="U17" s="295">
        <f t="shared" ca="1" si="10"/>
        <v>10599.533931725675</v>
      </c>
    </row>
    <row r="18" spans="2:21">
      <c r="B18" s="60" t="str">
        <f t="shared" si="5"/>
        <v>USL</v>
      </c>
      <c r="C18" s="40">
        <f t="shared" ca="1" si="6"/>
        <v>598467.08981554129</v>
      </c>
      <c r="D18" s="40"/>
      <c r="E18" s="59">
        <f ca="1">C18-D18</f>
        <v>598467.08981554129</v>
      </c>
      <c r="G18" s="219"/>
      <c r="H18" s="59">
        <f t="shared" ca="1" si="7"/>
        <v>598467.08981554129</v>
      </c>
      <c r="J18" s="510">
        <f t="shared" ca="1" si="8"/>
        <v>1.9236424447250933E-2</v>
      </c>
      <c r="P18" s="284" t="str">
        <f t="shared" si="9"/>
        <v>GS &lt; 50</v>
      </c>
      <c r="Q18" s="294">
        <f t="shared" ca="1" si="10"/>
        <v>1269.5833333333333</v>
      </c>
      <c r="R18" s="294">
        <f t="shared" ca="1" si="10"/>
        <v>1276.4166666666667</v>
      </c>
      <c r="S18" s="294">
        <f t="shared" ca="1" si="10"/>
        <v>1271.75</v>
      </c>
      <c r="T18" s="294">
        <f t="shared" ca="1" si="10"/>
        <v>1269.4661548068505</v>
      </c>
      <c r="U18" s="295">
        <f t="shared" ca="1" si="10"/>
        <v>1267.18536428947</v>
      </c>
    </row>
    <row r="19" spans="2:21" ht="13.9" thickBot="1">
      <c r="B19" s="233" t="s">
        <v>4</v>
      </c>
      <c r="C19" s="234">
        <f ca="1">SUM(C13:C18)</f>
        <v>191731470.38200894</v>
      </c>
      <c r="D19" s="234">
        <f>SUM(D13:D18)</f>
        <v>1952520.680807913</v>
      </c>
      <c r="E19" s="235">
        <f ca="1">SUM(E13:E18)</f>
        <v>189778949.70120102</v>
      </c>
      <c r="F19" s="228"/>
      <c r="G19" s="241">
        <f ca="1">SUM(G13:G18)</f>
        <v>724430.53887110308</v>
      </c>
      <c r="H19" s="235">
        <f ca="1">SUM(H13:H18)</f>
        <v>189054519.16232991</v>
      </c>
      <c r="I19" s="228"/>
      <c r="J19" s="511">
        <f ca="1">E19/M9-1</f>
        <v>2.5510819547809316E-3</v>
      </c>
      <c r="P19" s="284" t="str">
        <f t="shared" si="9"/>
        <v>GS &gt; 50</v>
      </c>
      <c r="Q19" s="294">
        <f t="shared" ca="1" si="10"/>
        <v>139.33333333333334</v>
      </c>
      <c r="R19" s="294">
        <f t="shared" ca="1" si="10"/>
        <v>138.66666666666666</v>
      </c>
      <c r="S19" s="294">
        <f t="shared" ca="1" si="10"/>
        <v>135.75</v>
      </c>
      <c r="T19" s="294">
        <f t="shared" ca="1" si="10"/>
        <v>134.27880455069922</v>
      </c>
      <c r="U19" s="295">
        <f t="shared" ca="1" si="10"/>
        <v>132.82234198416529</v>
      </c>
    </row>
    <row r="20" spans="2:21">
      <c r="G20" s="225"/>
      <c r="P20" s="284" t="str">
        <f t="shared" si="9"/>
        <v>Street Light</v>
      </c>
      <c r="Q20" s="294">
        <f t="shared" ca="1" si="10"/>
        <v>2903.6666666666665</v>
      </c>
      <c r="R20" s="294">
        <f t="shared" ca="1" si="10"/>
        <v>2907.1666666666665</v>
      </c>
      <c r="S20" s="294">
        <f t="shared" ca="1" si="10"/>
        <v>2924.8333333333335</v>
      </c>
      <c r="T20" s="294">
        <f t="shared" ca="1" si="10"/>
        <v>2936.5433529136408</v>
      </c>
      <c r="U20" s="295">
        <f t="shared" ca="1" si="10"/>
        <v>2948.3028425181169</v>
      </c>
    </row>
    <row r="21" spans="2:21" ht="16.149999999999999" thickBot="1">
      <c r="B21" s="57" t="s">
        <v>398</v>
      </c>
      <c r="C21" s="57"/>
      <c r="P21" s="284" t="str">
        <f t="shared" si="9"/>
        <v>Sentinel Light</v>
      </c>
      <c r="Q21" s="294">
        <f t="shared" ca="1" si="10"/>
        <v>173.91666666666666</v>
      </c>
      <c r="R21" s="294">
        <f t="shared" ca="1" si="10"/>
        <v>172.83333333333334</v>
      </c>
      <c r="S21" s="294">
        <f t="shared" ca="1" si="10"/>
        <v>177</v>
      </c>
      <c r="T21" s="294">
        <f t="shared" ca="1" si="10"/>
        <v>176.4263804778202</v>
      </c>
      <c r="U21" s="295">
        <f t="shared" ca="1" si="10"/>
        <v>175.85432333854411</v>
      </c>
    </row>
    <row r="22" spans="2:21">
      <c r="B22" s="236" t="s">
        <v>2</v>
      </c>
      <c r="C22" s="512" t="s">
        <v>529</v>
      </c>
      <c r="D22" s="512" t="s">
        <v>530</v>
      </c>
      <c r="E22" s="512" t="s">
        <v>531</v>
      </c>
      <c r="F22" s="512" t="s">
        <v>532</v>
      </c>
      <c r="G22" s="512" t="s">
        <v>533</v>
      </c>
      <c r="H22" s="512" t="s">
        <v>534</v>
      </c>
      <c r="I22" s="512" t="s">
        <v>535</v>
      </c>
      <c r="J22" s="512" t="s">
        <v>536</v>
      </c>
      <c r="K22" s="512" t="s">
        <v>537</v>
      </c>
      <c r="L22" s="512" t="s">
        <v>538</v>
      </c>
      <c r="M22" s="512" t="s">
        <v>16</v>
      </c>
      <c r="N22" s="513" t="s">
        <v>17</v>
      </c>
      <c r="P22" s="284" t="str">
        <f t="shared" si="9"/>
        <v>USL</v>
      </c>
      <c r="Q22" s="294">
        <f t="shared" ca="1" si="10"/>
        <v>18.916666666666668</v>
      </c>
      <c r="R22" s="294">
        <f t="shared" ca="1" si="10"/>
        <v>18.25</v>
      </c>
      <c r="S22" s="294">
        <f t="shared" ca="1" si="10"/>
        <v>19</v>
      </c>
      <c r="T22" s="294">
        <f t="shared" ca="1" si="10"/>
        <v>19</v>
      </c>
      <c r="U22" s="295">
        <f t="shared" ca="1" si="10"/>
        <v>19</v>
      </c>
    </row>
    <row r="23" spans="2:21" ht="13.9" thickBot="1">
      <c r="B23" s="60" t="s">
        <v>20</v>
      </c>
      <c r="C23" s="40">
        <f ca="1">OFFSET('kW Forecast (Weather Normal)'!$H$18,COLUMN()-COLUMN($C23),0)</f>
        <v>206649.11499993675</v>
      </c>
      <c r="D23" s="40">
        <f ca="1">OFFSET('kW Forecast (Weather Normal)'!$H$18,COLUMN()-COLUMN($C23),0)</f>
        <v>204881.38312328837</v>
      </c>
      <c r="E23" s="40">
        <f ca="1">OFFSET('kW Forecast (Weather Normal)'!$H$18,COLUMN()-COLUMN($C23),0)</f>
        <v>203396.67233514137</v>
      </c>
      <c r="F23" s="40">
        <f ca="1">OFFSET('kW Forecast (Weather Normal)'!$H$18,COLUMN()-COLUMN($C23),0)</f>
        <v>202681.66996843214</v>
      </c>
      <c r="G23" s="40">
        <f ca="1">OFFSET('kW Forecast (Weather Normal)'!$H$18,COLUMN()-COLUMN($C23),0)</f>
        <v>202743.05250788177</v>
      </c>
      <c r="H23" s="40">
        <f ca="1">OFFSET('kW Forecast (Weather Normal)'!$H$18,COLUMN()-COLUMN($C23),0)</f>
        <v>202270.09920362238</v>
      </c>
      <c r="I23" s="40">
        <f ca="1">OFFSET('kW Forecast (Weather Normal)'!$H$18,COLUMN()-COLUMN($C23),0)</f>
        <v>200956.35128278937</v>
      </c>
      <c r="J23" s="40">
        <f ca="1">OFFSET('kW Forecast (Weather Normal)'!$H$18,COLUMN()-COLUMN($C23),0)</f>
        <v>200029.965799383</v>
      </c>
      <c r="K23" s="40">
        <f ca="1">OFFSET('kW Forecast (Weather Normal)'!$H$18,COLUMN()-COLUMN($C23),0)</f>
        <v>198981.49485573068</v>
      </c>
      <c r="L23" s="40">
        <f ca="1">OFFSET('kW Forecast (Weather Normal)'!$H$18,COLUMN()-COLUMN($C23),0)</f>
        <v>217022.78055106304</v>
      </c>
      <c r="M23" s="40">
        <f ca="1">OFFSET('kW Forecast (Weather Normal)'!$H$18,COLUMN()-COLUMN($C23),0)</f>
        <v>198151.90228138195</v>
      </c>
      <c r="N23" s="59">
        <f ca="1">OFFSET('kW Forecast (Weather Normal)'!$H$18,COLUMN()-COLUMN($C23),0)</f>
        <v>198384.11816035735</v>
      </c>
      <c r="P23" s="289" t="str">
        <f t="shared" si="9"/>
        <v>Total</v>
      </c>
      <c r="Q23" s="290">
        <f t="shared" ca="1" si="10"/>
        <v>14788.083333333332</v>
      </c>
      <c r="R23" s="290">
        <f t="shared" ca="1" si="10"/>
        <v>14864.249999999998</v>
      </c>
      <c r="S23" s="290">
        <f t="shared" ca="1" si="10"/>
        <v>14920.083333333334</v>
      </c>
      <c r="T23" s="290">
        <f t="shared" ca="1" si="10"/>
        <v>15030.843734981148</v>
      </c>
      <c r="U23" s="291">
        <f t="shared" ca="1" si="10"/>
        <v>15142.69880385597</v>
      </c>
    </row>
    <row r="24" spans="2:21">
      <c r="B24" s="60" t="s">
        <v>21</v>
      </c>
      <c r="C24" s="40">
        <f ca="1">OFFSET('kW Forecast (Weather Normal)'!$L$18,COLUMN()-COLUMN($C24),0)</f>
        <v>3649.8327411060327</v>
      </c>
      <c r="D24" s="40">
        <f ca="1">OFFSET('kW Forecast (Weather Normal)'!$L$18,COLUMN()-COLUMN($C24),0)</f>
        <v>3621.5847695308858</v>
      </c>
      <c r="E24" s="40">
        <f ca="1">OFFSET('kW Forecast (Weather Normal)'!$L$18,COLUMN()-COLUMN($C24),0)</f>
        <v>3099.8750729877838</v>
      </c>
      <c r="F24" s="40">
        <f ca="1">OFFSET('kW Forecast (Weather Normal)'!$L$18,COLUMN()-COLUMN($C24),0)</f>
        <v>2941.6546144734575</v>
      </c>
      <c r="G24" s="40">
        <f ca="1">OFFSET('kW Forecast (Weather Normal)'!$L$18,COLUMN()-COLUMN($C24),0)</f>
        <v>2834.7527463506167</v>
      </c>
      <c r="H24" s="40">
        <f ca="1">OFFSET('kW Forecast (Weather Normal)'!$L$18,COLUMN()-COLUMN($C24),0)</f>
        <v>2823.5008656069526</v>
      </c>
      <c r="I24" s="40">
        <f ca="1">OFFSET('kW Forecast (Weather Normal)'!$L$18,COLUMN()-COLUMN($C24),0)</f>
        <v>2796.8645718488274</v>
      </c>
      <c r="J24" s="40">
        <f ca="1">OFFSET('kW Forecast (Weather Normal)'!$L$18,COLUMN()-COLUMN($C24),0)</f>
        <v>2786.9592214763152</v>
      </c>
      <c r="K24" s="40">
        <f ca="1">OFFSET('kW Forecast (Weather Normal)'!$L$18,COLUMN()-COLUMN($C24),0)</f>
        <v>2782.2200597596266</v>
      </c>
      <c r="L24" s="40">
        <f ca="1">OFFSET('kW Forecast (Weather Normal)'!$L$18,COLUMN()-COLUMN($C24),0)</f>
        <v>2837.5019067104154</v>
      </c>
      <c r="M24" s="40">
        <f ca="1">OFFSET('kW Forecast (Weather Normal)'!$L$18,COLUMN()-COLUMN($C24),0)</f>
        <v>2825.9036476454103</v>
      </c>
      <c r="N24" s="59">
        <f ca="1">OFFSET('kW Forecast (Weather Normal)'!$L$18,COLUMN()-COLUMN($C24),0)</f>
        <v>2837.2200767166055</v>
      </c>
    </row>
    <row r="25" spans="2:21">
      <c r="B25" s="60" t="s">
        <v>22</v>
      </c>
      <c r="C25" s="40">
        <f ca="1">OFFSET('kW Forecast (Weather Normal)'!$S$18,COLUMN()-COLUMN($C25),0)</f>
        <v>603.16662728034191</v>
      </c>
      <c r="D25" s="40">
        <f ca="1">OFFSET('kW Forecast (Weather Normal)'!$S$18,COLUMN()-COLUMN($C25),0)</f>
        <v>564.05049360939245</v>
      </c>
      <c r="E25" s="40">
        <f ca="1">OFFSET('kW Forecast (Weather Normal)'!$S$18,COLUMN()-COLUMN($C25),0)</f>
        <v>564.5157332877443</v>
      </c>
      <c r="F25" s="40">
        <f ca="1">OFFSET('kW Forecast (Weather Normal)'!$S$18,COLUMN()-COLUMN($C25),0)</f>
        <v>586.49276952226853</v>
      </c>
      <c r="G25" s="40">
        <f ca="1">OFFSET('kW Forecast (Weather Normal)'!$S$18,COLUMN()-COLUMN($C25),0)</f>
        <v>551.43086733409916</v>
      </c>
      <c r="H25" s="40">
        <f ca="1">OFFSET('kW Forecast (Weather Normal)'!$S$18,COLUMN()-COLUMN($C25),0)</f>
        <v>525.63614332216719</v>
      </c>
      <c r="I25" s="40">
        <f ca="1">OFFSET('kW Forecast (Weather Normal)'!$S$18,COLUMN()-COLUMN($C25),0)</f>
        <v>528.15226771370976</v>
      </c>
      <c r="J25" s="40">
        <f ca="1">OFFSET('kW Forecast (Weather Normal)'!$S$18,COLUMN()-COLUMN($C25),0)</f>
        <v>486.16161745865787</v>
      </c>
      <c r="K25" s="40">
        <f ca="1">OFFSET('kW Forecast (Weather Normal)'!$S$18,COLUMN()-COLUMN($C25),0)</f>
        <v>456.22565958375776</v>
      </c>
      <c r="L25" s="40">
        <f ca="1">OFFSET('kW Forecast (Weather Normal)'!$S$18,COLUMN()-COLUMN($C25),0)</f>
        <v>449.3578357604689</v>
      </c>
      <c r="M25" s="40">
        <f ca="1">OFFSET('kW Forecast (Weather Normal)'!$S$18,COLUMN()-COLUMN($C25),0)</f>
        <v>435.8924780029858</v>
      </c>
      <c r="N25" s="59">
        <f ca="1">OFFSET('kW Forecast (Weather Normal)'!$S$18,COLUMN()-COLUMN($C25),0)</f>
        <v>414.87250768175403</v>
      </c>
    </row>
    <row r="26" spans="2:21" ht="13.9" thickBot="1">
      <c r="B26" s="233" t="s">
        <v>4</v>
      </c>
      <c r="C26" s="234">
        <f ca="1">SUM(C23:C25)</f>
        <v>210902.11436832315</v>
      </c>
      <c r="D26" s="234">
        <f t="shared" ref="D26:N26" ca="1" si="11">SUM(D23:D25)</f>
        <v>209067.01838642865</v>
      </c>
      <c r="E26" s="234">
        <f t="shared" ca="1" si="11"/>
        <v>207061.0631414169</v>
      </c>
      <c r="F26" s="234">
        <f t="shared" ca="1" si="11"/>
        <v>206209.81735242787</v>
      </c>
      <c r="G26" s="234">
        <f t="shared" ca="1" si="11"/>
        <v>206129.2361215665</v>
      </c>
      <c r="H26" s="234">
        <f t="shared" ca="1" si="11"/>
        <v>205619.23621255148</v>
      </c>
      <c r="I26" s="234">
        <f t="shared" ca="1" si="11"/>
        <v>204281.36812235191</v>
      </c>
      <c r="J26" s="234">
        <f t="shared" ca="1" si="11"/>
        <v>203303.08663831797</v>
      </c>
      <c r="K26" s="234">
        <f t="shared" ca="1" si="11"/>
        <v>202219.94057507406</v>
      </c>
      <c r="L26" s="234">
        <f t="shared" ca="1" si="11"/>
        <v>220309.64029353391</v>
      </c>
      <c r="M26" s="234">
        <f t="shared" ca="1" si="11"/>
        <v>201413.69840703034</v>
      </c>
      <c r="N26" s="235">
        <f t="shared" ca="1" si="11"/>
        <v>201636.21074475569</v>
      </c>
    </row>
    <row r="28" spans="2:21" ht="16.149999999999999" thickBot="1">
      <c r="B28" s="57" t="s">
        <v>519</v>
      </c>
      <c r="C28" s="57"/>
    </row>
    <row r="29" spans="2:21" ht="39.6">
      <c r="B29" s="230" t="s">
        <v>2</v>
      </c>
      <c r="C29" s="231" t="s">
        <v>520</v>
      </c>
      <c r="D29" s="231" t="s">
        <v>521</v>
      </c>
      <c r="E29" s="232" t="s">
        <v>522</v>
      </c>
    </row>
    <row r="30" spans="2:21">
      <c r="B30" s="60" t="str">
        <f>B23</f>
        <v>GS &gt; 50</v>
      </c>
      <c r="C30" s="40">
        <f ca="1">N23</f>
        <v>198384.11816035735</v>
      </c>
      <c r="D30" s="40">
        <f ca="1">'CDM Adjustment'!O20</f>
        <v>2299.4799679084331</v>
      </c>
      <c r="E30" s="59">
        <f ca="1">C30-D30</f>
        <v>196084.63819244891</v>
      </c>
    </row>
    <row r="31" spans="2:21">
      <c r="B31" s="60" t="str">
        <f>B24</f>
        <v>Street Light</v>
      </c>
      <c r="C31" s="40">
        <f ca="1">N24</f>
        <v>2837.2200767166055</v>
      </c>
      <c r="D31" s="40"/>
      <c r="E31" s="59">
        <f ca="1">C31-D31</f>
        <v>2837.2200767166055</v>
      </c>
    </row>
    <row r="32" spans="2:21">
      <c r="B32" s="60" t="str">
        <f>B25</f>
        <v>Sentinel Light</v>
      </c>
      <c r="C32" s="40">
        <f ca="1">N25</f>
        <v>414.87250768175403</v>
      </c>
      <c r="D32" s="40"/>
      <c r="E32" s="59">
        <f ca="1">C32-D32</f>
        <v>414.87250768175403</v>
      </c>
    </row>
    <row r="33" spans="2:14" ht="13.9" thickBot="1">
      <c r="B33" s="233" t="s">
        <v>4</v>
      </c>
      <c r="C33" s="234">
        <f ca="1">SUM(C30:C32)</f>
        <v>201636.21074475569</v>
      </c>
      <c r="D33" s="234">
        <f ca="1">SUM(D30:D32)</f>
        <v>2299.4799679084331</v>
      </c>
      <c r="E33" s="235">
        <f ca="1">SUM(E30:E32)</f>
        <v>199336.73077684725</v>
      </c>
    </row>
    <row r="35" spans="2:14" ht="16.149999999999999" thickBot="1">
      <c r="B35" s="57" t="s">
        <v>3</v>
      </c>
      <c r="C35" s="57"/>
    </row>
    <row r="36" spans="2:14">
      <c r="B36" s="236" t="s">
        <v>25</v>
      </c>
      <c r="C36" s="237" t="s">
        <v>6</v>
      </c>
      <c r="D36" s="237" t="s">
        <v>7</v>
      </c>
      <c r="E36" s="237" t="s">
        <v>8</v>
      </c>
      <c r="F36" s="237" t="s">
        <v>9</v>
      </c>
      <c r="G36" s="237" t="s">
        <v>10</v>
      </c>
      <c r="H36" s="237" t="s">
        <v>11</v>
      </c>
      <c r="I36" s="237" t="s">
        <v>12</v>
      </c>
      <c r="J36" s="237" t="s">
        <v>13</v>
      </c>
      <c r="K36" s="237" t="s">
        <v>14</v>
      </c>
      <c r="L36" s="237" t="s">
        <v>15</v>
      </c>
      <c r="M36" s="512" t="s">
        <v>16</v>
      </c>
      <c r="N36" s="513" t="s">
        <v>17</v>
      </c>
    </row>
    <row r="37" spans="2:14">
      <c r="B37" s="58" t="str">
        <f t="shared" ref="B37:B42" si="12">B3</f>
        <v>Residential</v>
      </c>
      <c r="C37" s="40">
        <f ca="1">OFFSET('Customer Count'!$C$4,COLUMN()-COLUMN($C37),0)</f>
        <v>9506</v>
      </c>
      <c r="D37" s="40">
        <f ca="1">OFFSET('Customer Count'!$C$4,COLUMN()-COLUMN($C37),0)</f>
        <v>9600</v>
      </c>
      <c r="E37" s="40">
        <f ca="1">OFFSET('Customer Count'!$C$4,COLUMN()-COLUMN($C37),0)</f>
        <v>9740.8333333333339</v>
      </c>
      <c r="F37" s="40">
        <f ca="1">OFFSET('Customer Count'!$C$4,COLUMN()-COLUMN($C37),0)</f>
        <v>9857.25</v>
      </c>
      <c r="G37" s="40">
        <f ca="1">OFFSET('Customer Count'!$C$4,COLUMN()-COLUMN($C37),0)</f>
        <v>9959.0833333333339</v>
      </c>
      <c r="H37" s="40">
        <f ca="1">OFFSET('Customer Count'!$C$4,COLUMN()-COLUMN($C37),0)</f>
        <v>10078.083333333334</v>
      </c>
      <c r="I37" s="40">
        <f ca="1">OFFSET('Customer Count'!$C$4,COLUMN()-COLUMN($C37),0)</f>
        <v>10168.75</v>
      </c>
      <c r="J37" s="40">
        <f ca="1">OFFSET('Customer Count'!$C$4,COLUMN()-COLUMN($C37),0)</f>
        <v>10282.666666666666</v>
      </c>
      <c r="K37" s="40">
        <f ca="1">OFFSET('Customer Count'!$C$4,COLUMN()-COLUMN($C37),0)</f>
        <v>10350.916666666666</v>
      </c>
      <c r="L37" s="40">
        <f ca="1">OFFSET('Customer Count'!$C$4,COLUMN()-COLUMN($C37),0)</f>
        <v>10391.75</v>
      </c>
      <c r="M37" s="40">
        <f ca="1">OFFSET('Customer Count'!$C$18,COLUMN()-COLUMN($M37),0)</f>
        <v>10495.129042232138</v>
      </c>
      <c r="N37" s="59">
        <f ca="1">OFFSET('Customer Count'!$C$18,COLUMN()-COLUMN($M37),0)</f>
        <v>10599.533931725675</v>
      </c>
    </row>
    <row r="38" spans="2:14">
      <c r="B38" s="60" t="str">
        <f t="shared" si="12"/>
        <v>GS &lt; 50</v>
      </c>
      <c r="C38" s="40">
        <f ca="1">OFFSET('Customer Count'!$G$4,COLUMN()-COLUMN($C38),0)</f>
        <v>1292.5</v>
      </c>
      <c r="D38" s="40">
        <f ca="1">OFFSET('Customer Count'!$G$4,COLUMN()-COLUMN($C38),0)</f>
        <v>1282</v>
      </c>
      <c r="E38" s="40">
        <f ca="1">OFFSET('Customer Count'!$G$4,COLUMN()-COLUMN($C38),0)</f>
        <v>1287.4166666666667</v>
      </c>
      <c r="F38" s="40">
        <f ca="1">OFFSET('Customer Count'!$G$4,COLUMN()-COLUMN($C38),0)</f>
        <v>1285.75</v>
      </c>
      <c r="G38" s="40">
        <f ca="1">OFFSET('Customer Count'!$G$4,COLUMN()-COLUMN($C38),0)</f>
        <v>1276.9166666666667</v>
      </c>
      <c r="H38" s="40">
        <f ca="1">OFFSET('Customer Count'!$G$4,COLUMN()-COLUMN($C38),0)</f>
        <v>1278.4166666666667</v>
      </c>
      <c r="I38" s="40">
        <f ca="1">OFFSET('Customer Count'!$G$4,COLUMN()-COLUMN($C38),0)</f>
        <v>1277.75</v>
      </c>
      <c r="J38" s="40">
        <f ca="1">OFFSET('Customer Count'!$G$4,COLUMN()-COLUMN($C38),0)</f>
        <v>1269.5833333333333</v>
      </c>
      <c r="K38" s="40">
        <f ca="1">OFFSET('Customer Count'!$G$4,COLUMN()-COLUMN($C38),0)</f>
        <v>1276.4166666666667</v>
      </c>
      <c r="L38" s="40">
        <f ca="1">OFFSET('Customer Count'!$G$4,COLUMN()-COLUMN($C38),0)</f>
        <v>1271.75</v>
      </c>
      <c r="M38" s="40">
        <f ca="1">OFFSET('Customer Count'!$G$18,COLUMN()-COLUMN($M38),0)</f>
        <v>1269.4661548068505</v>
      </c>
      <c r="N38" s="59">
        <f ca="1">OFFSET('Customer Count'!$G$18,COLUMN()-COLUMN($M38),0)</f>
        <v>1267.18536428947</v>
      </c>
    </row>
    <row r="39" spans="2:14" ht="13.5" customHeight="1">
      <c r="B39" s="60" t="str">
        <f t="shared" si="12"/>
        <v>GS &gt; 50</v>
      </c>
      <c r="C39" s="40">
        <f ca="1">OFFSET('Customer Count'!$K$4,COLUMN()-COLUMN($C39),0)</f>
        <v>149.75</v>
      </c>
      <c r="D39" s="40">
        <f ca="1">OFFSET('Customer Count'!$K$4,COLUMN()-COLUMN($C39),0)</f>
        <v>151.25</v>
      </c>
      <c r="E39" s="40">
        <f ca="1">OFFSET('Customer Count'!$K$4,COLUMN()-COLUMN($C39),0)</f>
        <v>149.25</v>
      </c>
      <c r="F39" s="40">
        <f ca="1">OFFSET('Customer Count'!$K$4,COLUMN()-COLUMN($C39),0)</f>
        <v>149.33333333333334</v>
      </c>
      <c r="G39" s="40">
        <f ca="1">OFFSET('Customer Count'!$K$4,COLUMN()-COLUMN($C39),0)</f>
        <v>149.66666666666666</v>
      </c>
      <c r="H39" s="40">
        <f ca="1">OFFSET('Customer Count'!$K$4,COLUMN()-COLUMN($C39),0)</f>
        <v>144.58333333333334</v>
      </c>
      <c r="I39" s="40">
        <f ca="1">OFFSET('Customer Count'!$K$4,COLUMN()-COLUMN($C39),0)</f>
        <v>141.91666666666666</v>
      </c>
      <c r="J39" s="40">
        <f ca="1">OFFSET('Customer Count'!$K$4,COLUMN()-COLUMN($C39),0)</f>
        <v>139.33333333333334</v>
      </c>
      <c r="K39" s="40">
        <f ca="1">OFFSET('Customer Count'!$K$4,COLUMN()-COLUMN($C39),0)</f>
        <v>138.66666666666666</v>
      </c>
      <c r="L39" s="40">
        <f ca="1">OFFSET('Customer Count'!$K$4,COLUMN()-COLUMN($C39),0)</f>
        <v>135.75</v>
      </c>
      <c r="M39" s="40">
        <f ca="1">OFFSET('Customer Count'!$K$18,COLUMN()-COLUMN($M39),0)</f>
        <v>134.27880455069922</v>
      </c>
      <c r="N39" s="59">
        <f ca="1">OFFSET('Customer Count'!$K$18,COLUMN()-COLUMN($M39),0)</f>
        <v>132.82234198416529</v>
      </c>
    </row>
    <row r="40" spans="2:14">
      <c r="B40" s="60" t="str">
        <f t="shared" si="12"/>
        <v>Street Light</v>
      </c>
      <c r="C40" s="40">
        <f ca="1">OFFSET('Customer Count'!$O$4,COLUMN()-COLUMN($C40),0)</f>
        <v>2821.5</v>
      </c>
      <c r="D40" s="40">
        <f ca="1">OFFSET('Customer Count'!$O$4,COLUMN()-COLUMN($C40),0)</f>
        <v>2840</v>
      </c>
      <c r="E40" s="40">
        <f ca="1">OFFSET('Customer Count'!$O$4,COLUMN()-COLUMN($C40),0)</f>
        <v>2877.5</v>
      </c>
      <c r="F40" s="40">
        <f ca="1">OFFSET('Customer Count'!$O$4,COLUMN()-COLUMN($C40),0)</f>
        <v>2897</v>
      </c>
      <c r="G40" s="40">
        <f ca="1">OFFSET('Customer Count'!$O$4,COLUMN()-COLUMN($C40),0)</f>
        <v>2905</v>
      </c>
      <c r="H40" s="40">
        <f ca="1">OFFSET('Customer Count'!$O$4,COLUMN()-COLUMN($C40),0)</f>
        <v>2920</v>
      </c>
      <c r="I40" s="40">
        <f ca="1">OFFSET('Customer Count'!$O$4,COLUMN()-COLUMN($C40),0)</f>
        <v>2920</v>
      </c>
      <c r="J40" s="40">
        <f ca="1">OFFSET('Customer Count'!$O$4,COLUMN()-COLUMN($C40),0)</f>
        <v>2903.6666666666665</v>
      </c>
      <c r="K40" s="40">
        <f ca="1">OFFSET('Customer Count'!$O$4,COLUMN()-COLUMN($C40),0)</f>
        <v>2907.1666666666665</v>
      </c>
      <c r="L40" s="40">
        <f ca="1">OFFSET('Customer Count'!$O$4,COLUMN()-COLUMN($C40),0)</f>
        <v>2924.8333333333335</v>
      </c>
      <c r="M40" s="40">
        <f ca="1">OFFSET('Customer Count'!$O$18,COLUMN()-COLUMN($M40),0)</f>
        <v>2936.5433529136408</v>
      </c>
      <c r="N40" s="59">
        <f ca="1">OFFSET('Customer Count'!$O$18,COLUMN()-COLUMN($M40),0)</f>
        <v>2948.3028425181169</v>
      </c>
    </row>
    <row r="41" spans="2:14">
      <c r="B41" s="60" t="str">
        <f t="shared" si="12"/>
        <v>Sentinel Light</v>
      </c>
      <c r="C41" s="40">
        <f ca="1">OFFSET('Customer Count'!$S$4,COLUMN()-COLUMN($C41),0)</f>
        <v>182.25</v>
      </c>
      <c r="D41" s="40">
        <f ca="1">OFFSET('Customer Count'!$S$4,COLUMN()-COLUMN($C41),0)</f>
        <v>178</v>
      </c>
      <c r="E41" s="40">
        <f ca="1">OFFSET('Customer Count'!$S$4,COLUMN()-COLUMN($C41),0)</f>
        <v>178</v>
      </c>
      <c r="F41" s="40">
        <f ca="1">OFFSET('Customer Count'!$S$4,COLUMN()-COLUMN($C41),0)</f>
        <v>175</v>
      </c>
      <c r="G41" s="40">
        <f ca="1">OFFSET('Customer Count'!$S$4,COLUMN()-COLUMN($C41),0)</f>
        <v>171</v>
      </c>
      <c r="H41" s="40">
        <f ca="1">OFFSET('Customer Count'!$S$4,COLUMN()-COLUMN($C41),0)</f>
        <v>171</v>
      </c>
      <c r="I41" s="40">
        <f ca="1">OFFSET('Customer Count'!$S$4,COLUMN()-COLUMN($C41),0)</f>
        <v>177</v>
      </c>
      <c r="J41" s="40">
        <f ca="1">OFFSET('Customer Count'!$S$4,COLUMN()-COLUMN($C41),0)</f>
        <v>173.91666666666666</v>
      </c>
      <c r="K41" s="40">
        <f ca="1">OFFSET('Customer Count'!$S$4,COLUMN()-COLUMN($C41),0)</f>
        <v>172.83333333333334</v>
      </c>
      <c r="L41" s="40">
        <f ca="1">OFFSET('Customer Count'!$S$4,COLUMN()-COLUMN($C41),0)</f>
        <v>177</v>
      </c>
      <c r="M41" s="40">
        <f ca="1">OFFSET('Customer Count'!$S$18,COLUMN()-COLUMN($M41),0)</f>
        <v>176.4263804778202</v>
      </c>
      <c r="N41" s="59">
        <f ca="1">OFFSET('Customer Count'!$S$18,COLUMN()-COLUMN($M41),0)</f>
        <v>175.85432333854411</v>
      </c>
    </row>
    <row r="42" spans="2:14">
      <c r="B42" s="60" t="str">
        <f t="shared" si="12"/>
        <v>USL</v>
      </c>
      <c r="C42" s="40">
        <f ca="1">OFFSET('Customer Count'!$W$4,COLUMN()-COLUMN($C42),0)</f>
        <v>19</v>
      </c>
      <c r="D42" s="40">
        <f ca="1">OFFSET('Customer Count'!$W$4,COLUMN()-COLUMN($C42),0)</f>
        <v>19</v>
      </c>
      <c r="E42" s="40">
        <f ca="1">OFFSET('Customer Count'!$W$4,COLUMN()-COLUMN($C42),0)</f>
        <v>19</v>
      </c>
      <c r="F42" s="40">
        <f ca="1">OFFSET('Customer Count'!$W$4,COLUMN()-COLUMN($C42),0)</f>
        <v>19</v>
      </c>
      <c r="G42" s="40">
        <f ca="1">OFFSET('Customer Count'!$W$4,COLUMN()-COLUMN($C42),0)</f>
        <v>19</v>
      </c>
      <c r="H42" s="40">
        <f ca="1">OFFSET('Customer Count'!$W$4,COLUMN()-COLUMN($C42),0)</f>
        <v>19</v>
      </c>
      <c r="I42" s="40">
        <f ca="1">OFFSET('Customer Count'!$W$4,COLUMN()-COLUMN($C42),0)</f>
        <v>19</v>
      </c>
      <c r="J42" s="40">
        <f ca="1">OFFSET('Customer Count'!$W$4,COLUMN()-COLUMN($C42),0)</f>
        <v>18.916666666666668</v>
      </c>
      <c r="K42" s="40">
        <f ca="1">OFFSET('Customer Count'!$W$4,COLUMN()-COLUMN($C42),0)</f>
        <v>18.25</v>
      </c>
      <c r="L42" s="40">
        <f ca="1">OFFSET('Customer Count'!$W$4,COLUMN()-COLUMN($C42),0)</f>
        <v>19</v>
      </c>
      <c r="M42" s="40">
        <f ca="1">OFFSET('Customer Count'!$W$18,COLUMN()-COLUMN($M42),0)</f>
        <v>19</v>
      </c>
      <c r="N42" s="59">
        <f ca="1">OFFSET('Customer Count'!$W$18,COLUMN()-COLUMN($M42),0)</f>
        <v>19</v>
      </c>
    </row>
    <row r="43" spans="2:14" ht="13.9" thickBot="1">
      <c r="B43" s="233" t="s">
        <v>4</v>
      </c>
      <c r="C43" s="234">
        <f t="shared" ref="C43:N43" ca="1" si="13">SUM(C37:C42)</f>
        <v>13971</v>
      </c>
      <c r="D43" s="234">
        <f t="shared" ca="1" si="13"/>
        <v>14070.25</v>
      </c>
      <c r="E43" s="234">
        <f t="shared" ca="1" si="13"/>
        <v>14252</v>
      </c>
      <c r="F43" s="234">
        <f t="shared" ca="1" si="13"/>
        <v>14383.333333333334</v>
      </c>
      <c r="G43" s="234">
        <f t="shared" ca="1" si="13"/>
        <v>14480.666666666666</v>
      </c>
      <c r="H43" s="234">
        <f t="shared" ca="1" si="13"/>
        <v>14611.083333333334</v>
      </c>
      <c r="I43" s="234">
        <f t="shared" ca="1" si="13"/>
        <v>14704.416666666666</v>
      </c>
      <c r="J43" s="234">
        <f t="shared" ca="1" si="13"/>
        <v>14788.083333333332</v>
      </c>
      <c r="K43" s="234">
        <f t="shared" ca="1" si="13"/>
        <v>14864.249999999998</v>
      </c>
      <c r="L43" s="234">
        <f t="shared" ca="1" si="13"/>
        <v>14920.083333333334</v>
      </c>
      <c r="M43" s="234">
        <f t="shared" ca="1" si="13"/>
        <v>15030.843734981148</v>
      </c>
      <c r="N43" s="235">
        <f t="shared" ca="1" si="13"/>
        <v>15142.69880385597</v>
      </c>
    </row>
    <row r="45" spans="2:14" ht="16.149999999999999" thickBot="1">
      <c r="B45" s="57" t="s">
        <v>528</v>
      </c>
      <c r="C45" s="229"/>
    </row>
    <row r="46" spans="2:14" ht="26.45">
      <c r="B46" s="230">
        <v>2027</v>
      </c>
      <c r="C46" s="231" t="s">
        <v>1</v>
      </c>
      <c r="D46" s="231" t="s">
        <v>2</v>
      </c>
      <c r="E46" s="232" t="s">
        <v>3</v>
      </c>
    </row>
    <row r="47" spans="2:14">
      <c r="B47" s="60" t="str">
        <f t="shared" ref="B47:B52" si="14">B37</f>
        <v>Residential</v>
      </c>
      <c r="C47" s="40">
        <f t="shared" ref="C47:C52" ca="1" si="15">E13</f>
        <v>92832140.363369152</v>
      </c>
      <c r="D47" s="40"/>
      <c r="E47" s="59">
        <f t="shared" ref="E47:E52" ca="1" si="16">N37</f>
        <v>10599.533931725675</v>
      </c>
      <c r="G47" s="40"/>
      <c r="H47" s="40"/>
      <c r="I47" s="40"/>
    </row>
    <row r="48" spans="2:14">
      <c r="B48" s="60" t="str">
        <f t="shared" si="14"/>
        <v>GS &lt; 50</v>
      </c>
      <c r="C48" s="40">
        <f t="shared" ca="1" si="15"/>
        <v>30243420.199681815</v>
      </c>
      <c r="D48" s="40"/>
      <c r="E48" s="59">
        <f t="shared" ca="1" si="16"/>
        <v>1267.18536428947</v>
      </c>
      <c r="G48" s="40"/>
      <c r="H48" s="40"/>
      <c r="I48" s="40"/>
    </row>
    <row r="49" spans="2:9">
      <c r="B49" s="60" t="str">
        <f t="shared" si="14"/>
        <v>GS &gt; 50</v>
      </c>
      <c r="C49" s="40">
        <f t="shared" ca="1" si="15"/>
        <v>64938558.822214648</v>
      </c>
      <c r="D49" s="40">
        <f ca="1">E30</f>
        <v>196084.63819244891</v>
      </c>
      <c r="E49" s="59">
        <f t="shared" ca="1" si="16"/>
        <v>132.82234198416529</v>
      </c>
      <c r="G49" s="40"/>
      <c r="H49" s="40"/>
      <c r="I49" s="40"/>
    </row>
    <row r="50" spans="2:9">
      <c r="B50" s="60" t="str">
        <f t="shared" si="14"/>
        <v>Street Light</v>
      </c>
      <c r="C50" s="40">
        <f t="shared" ca="1" si="15"/>
        <v>1016551.0227896626</v>
      </c>
      <c r="D50" s="40">
        <f ca="1">E31</f>
        <v>2837.2200767166055</v>
      </c>
      <c r="E50" s="59">
        <f t="shared" ca="1" si="16"/>
        <v>2948.3028425181169</v>
      </c>
      <c r="G50" s="40"/>
      <c r="H50" s="40"/>
      <c r="I50" s="40"/>
    </row>
    <row r="51" spans="2:9">
      <c r="B51" s="60" t="str">
        <f t="shared" si="14"/>
        <v>Sentinel Light</v>
      </c>
      <c r="C51" s="40">
        <f t="shared" ca="1" si="15"/>
        <v>149812.20333023078</v>
      </c>
      <c r="D51" s="40">
        <f ca="1">E32</f>
        <v>414.87250768175403</v>
      </c>
      <c r="E51" s="59">
        <f t="shared" ca="1" si="16"/>
        <v>175.85432333854411</v>
      </c>
      <c r="G51" s="40"/>
      <c r="H51" s="40"/>
      <c r="I51" s="40"/>
    </row>
    <row r="52" spans="2:9">
      <c r="B52" s="60" t="str">
        <f t="shared" si="14"/>
        <v>USL</v>
      </c>
      <c r="C52" s="40">
        <f t="shared" ca="1" si="15"/>
        <v>598467.08981554129</v>
      </c>
      <c r="D52" s="40"/>
      <c r="E52" s="59">
        <f t="shared" ca="1" si="16"/>
        <v>19</v>
      </c>
      <c r="G52" s="40"/>
      <c r="H52" s="40"/>
      <c r="I52" s="40"/>
    </row>
    <row r="53" spans="2:9" ht="13.9" thickBot="1">
      <c r="B53" s="233" t="s">
        <v>4</v>
      </c>
      <c r="C53" s="234">
        <f ca="1">SUM(C47:C52)</f>
        <v>189778949.70120102</v>
      </c>
      <c r="D53" s="234">
        <f ca="1">SUM(D47:D52)</f>
        <v>199336.73077684725</v>
      </c>
      <c r="E53" s="235">
        <f ca="1">SUM(E47:E52)</f>
        <v>15142.69880385597</v>
      </c>
      <c r="G53" s="40"/>
      <c r="H53" s="40"/>
      <c r="I53" s="40"/>
    </row>
  </sheetData>
  <mergeCells count="3">
    <mergeCell ref="P3:U3"/>
    <mergeCell ref="P11:U11"/>
    <mergeCell ref="P16:U16"/>
  </mergeCells>
  <phoneticPr fontId="40" type="noConversion"/>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FA2445251801A428D4FE529F366DEF1" ma:contentTypeVersion="3" ma:contentTypeDescription="Create a new document." ma:contentTypeScope="" ma:versionID="20c29099d6ac27a6142bded6c77bf6c5">
  <xsd:schema xmlns:xsd="http://www.w3.org/2001/XMLSchema" xmlns:xs="http://www.w3.org/2001/XMLSchema" xmlns:p="http://schemas.microsoft.com/office/2006/metadata/properties" xmlns:ns2="1b9f3f5c-0695-45fd-87e1-fd937b129812" targetNamespace="http://schemas.microsoft.com/office/2006/metadata/properties" ma:root="true" ma:fieldsID="1e1c50cf6bf36eb8266c3a16135e0f85" ns2:_="">
    <xsd:import namespace="1b9f3f5c-0695-45fd-87e1-fd937b1298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9f3f5c-0695-45fd-87e1-fd937b1298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81E2EB5-8799-4CFD-8A03-22EEDB2BDA85}"/>
</file>

<file path=customXml/itemProps2.xml><?xml version="1.0" encoding="utf-8"?>
<ds:datastoreItem xmlns:ds="http://schemas.openxmlformats.org/officeDocument/2006/customXml" ds:itemID="{78BF1F12-A6D7-4F83-A90E-6933624FD9CE}"/>
</file>

<file path=customXml/itemProps3.xml><?xml version="1.0" encoding="utf-8"?>
<ds:datastoreItem xmlns:ds="http://schemas.openxmlformats.org/officeDocument/2006/customXml" ds:itemID="{5C3FEBF0-846E-4BD0-9F5B-E01B36F8CB8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Andrew Blair</dc:creator>
  <cp:keywords/>
  <dc:description/>
  <cp:lastModifiedBy>Jeffrey Roy</cp:lastModifiedBy>
  <cp:revision/>
  <dcterms:created xsi:type="dcterms:W3CDTF">2018-12-19T20:07:02Z</dcterms:created>
  <dcterms:modified xsi:type="dcterms:W3CDTF">2026-08-27T19:37:26Z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0x0101002FA2445251801A428D4FE529F366DEF1</vt:lpwstr>
  </property>
</Properties>
</file>